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table+xml" PartName="/xl/tables/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225" windowWidth="28800" xWindow="0" yWindow="0"/>
  </bookViews>
  <sheets>
    <sheet name="THE FINAL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color rgb="FF3F3F76"/>
      <sz val="11"/>
      <scheme val="minor"/>
    </font>
    <font>
      <name val="Calibri"/>
      <b val="1"/>
      <color rgb="FF000000"/>
      <sz val="16"/>
    </font>
    <font>
      <name val="Calibri"/>
      <b val="1"/>
      <color rgb="FF000000"/>
      <sz val="11"/>
    </font>
    <font>
      <name val="Calibri"/>
      <family val="2"/>
      <color theme="0" tint="-0.499984740745262"/>
      <sz val="11"/>
      <scheme val="minor"/>
    </font>
    <font>
      <name val="Calibri"/>
      <family val="2"/>
      <b val="1"/>
      <color theme="5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scheme val="minor"/>
    </font>
    <font>
      <name val="Calibri"/>
      <family val="2"/>
      <b val="1"/>
      <color rgb="FF000000"/>
      <sz val="16"/>
    </font>
    <font>
      <name val="Calibri"/>
      <family val="2"/>
      <color theme="3"/>
      <sz val="11"/>
      <scheme val="minor"/>
    </font>
    <font>
      <name val="Calibri"/>
      <family val="2"/>
      <color theme="10"/>
      <sz val="12"/>
      <scheme val="minor"/>
    </font>
  </fonts>
  <fills count="13">
    <fill>
      <patternFill/>
    </fill>
    <fill>
      <patternFill patternType="gray125"/>
    </fill>
    <fill>
      <patternFill patternType="solid">
        <fgColor rgb="FFFFCC99"/>
      </patternFill>
    </fill>
    <fill>
      <patternFill patternType="solid">
        <fgColor rgb="FFF79646"/>
        <bgColor rgb="FFF79646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CFFCC"/>
        <bgColor rgb="FFCCFFCC"/>
      </patternFill>
    </fill>
    <fill>
      <patternFill patternType="solid">
        <fgColor rgb="FFFF0000"/>
        <bgColor rgb="FFFF0000"/>
      </patternFill>
    </fill>
    <fill>
      <patternFill patternType="solid">
        <fgColor rgb="00FFFF00"/>
        <bgColor rgb="00FFFF00"/>
      </patternFill>
    </fill>
  </fills>
  <borders count="1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4">
    <xf borderId="0" fillId="0" fontId="0" numFmtId="0"/>
    <xf borderId="1" fillId="2" fontId="2" numFmtId="0"/>
    <xf borderId="0" fillId="0" fontId="11" numFmtId="0"/>
    <xf borderId="0" fillId="0" fontId="11" numFmtId="0"/>
  </cellStyleXfs>
  <cellXfs count="44">
    <xf borderId="0" fillId="0" fontId="0" numFmtId="0" pivotButton="0" quotePrefix="0" xfId="0"/>
    <xf applyAlignment="1" borderId="9" fillId="5" fontId="6" numFmtId="0" pivotButton="0" quotePrefix="0" xfId="0">
      <alignment horizontal="center"/>
    </xf>
    <xf applyAlignment="1" borderId="0" fillId="0" fontId="0" numFmtId="0" pivotButton="0" quotePrefix="0" xfId="0">
      <alignment horizontal="center" vertical="center"/>
    </xf>
    <xf applyAlignment="1" borderId="0" fillId="4" fontId="4" numFmtId="0" pivotButton="0" quotePrefix="0" xfId="0">
      <alignment horizontal="left"/>
    </xf>
    <xf applyAlignment="1" borderId="4" fillId="4" fontId="4" numFmtId="0" pivotButton="0" quotePrefix="0" xfId="0">
      <alignment horizontal="left"/>
    </xf>
    <xf applyAlignment="1" borderId="2" fillId="4" fontId="4" numFmtId="0" pivotButton="0" quotePrefix="0" xfId="0">
      <alignment horizontal="left"/>
    </xf>
    <xf applyAlignment="1" borderId="0" fillId="0" fontId="0" numFmtId="0" pivotButton="0" quotePrefix="0" xfId="0">
      <alignment horizontal="left" vertical="center"/>
    </xf>
    <xf applyAlignment="1" borderId="2" fillId="4" fontId="1" numFmtId="0" pivotButton="0" quotePrefix="0" xfId="0">
      <alignment horizontal="left"/>
    </xf>
    <xf applyAlignment="1" borderId="8" fillId="0" fontId="0" numFmtId="0" pivotButton="0" quotePrefix="0" xfId="0">
      <alignment horizontal="center" vertical="center"/>
    </xf>
    <xf applyAlignment="1" borderId="5" fillId="4" fontId="1" numFmtId="0" pivotButton="0" quotePrefix="0" xfId="0">
      <alignment horizontal="left" vertical="center"/>
    </xf>
    <xf applyAlignment="1" borderId="2" fillId="4" fontId="1" numFmtId="0" pivotButton="0" quotePrefix="0" xfId="0">
      <alignment horizontal="left" vertical="center"/>
    </xf>
    <xf applyAlignment="1" borderId="7" fillId="4" fontId="1" numFmtId="0" pivotButton="0" quotePrefix="0" xfId="0">
      <alignment horizontal="left"/>
    </xf>
    <xf applyAlignment="1" borderId="0" fillId="6" fontId="0" numFmtId="0" pivotButton="0" quotePrefix="0" xfId="0">
      <alignment horizontal="center" vertical="center"/>
    </xf>
    <xf applyAlignment="1" borderId="3" fillId="0" fontId="5" numFmtId="0" pivotButton="0" quotePrefix="0" xfId="0">
      <alignment horizontal="center" vertical="center"/>
    </xf>
    <xf applyAlignment="1" borderId="10" fillId="4" fontId="1" numFmtId="0" pivotButton="0" quotePrefix="0" xfId="0">
      <alignment horizontal="left" vertical="center"/>
    </xf>
    <xf applyAlignment="1" borderId="3" fillId="0" fontId="0" numFmtId="0" pivotButton="0" quotePrefix="0" xfId="0">
      <alignment horizontal="center" vertical="center"/>
    </xf>
    <xf applyAlignment="1" borderId="11" fillId="0" fontId="0" numFmtId="0" pivotButton="0" quotePrefix="0" xfId="0">
      <alignment horizontal="center" vertical="center"/>
    </xf>
    <xf applyAlignment="1" borderId="12" fillId="0" fontId="0" numFmtId="0" pivotButton="0" quotePrefix="0" xfId="0">
      <alignment horizontal="center" vertical="center"/>
    </xf>
    <xf applyAlignment="1" borderId="11" fillId="6" fontId="0" numFmtId="0" pivotButton="0" quotePrefix="0" xfId="0">
      <alignment horizontal="center" vertical="center"/>
    </xf>
    <xf applyAlignment="1" borderId="3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borderId="0" fillId="6" fontId="0" numFmtId="0" pivotButton="0" quotePrefix="0" xfId="0"/>
    <xf borderId="0" fillId="7" fontId="8" numFmtId="0" pivotButton="0" quotePrefix="0" xfId="0"/>
    <xf applyAlignment="1" borderId="11" fillId="7" fontId="8" numFmtId="0" pivotButton="0" quotePrefix="0" xfId="0">
      <alignment horizontal="center" vertical="center"/>
    </xf>
    <xf applyAlignment="1" borderId="0" fillId="4" fontId="1" numFmtId="0" pivotButton="0" quotePrefix="0" xfId="0">
      <alignment horizontal="left"/>
    </xf>
    <xf applyAlignment="1" borderId="3" fillId="8" fontId="10" numFmtId="0" pivotButton="0" quotePrefix="0" xfId="0">
      <alignment horizontal="left"/>
    </xf>
    <xf applyAlignment="1" borderId="0" fillId="0" fontId="0" numFmtId="0" pivotButton="0" quotePrefix="0" xfId="0">
      <alignment horizontal="left" vertical="top"/>
    </xf>
    <xf borderId="0" fillId="0" fontId="11" numFmtId="0" pivotButton="0" quotePrefix="0" xfId="2"/>
    <xf borderId="0" fillId="0" fontId="0" numFmtId="0" pivotButton="0" quotePrefix="0" xfId="0"/>
    <xf borderId="0" fillId="0" fontId="11" numFmtId="0" pivotButton="0" quotePrefix="0" xfId="2"/>
    <xf borderId="0" fillId="10" fontId="0" numFmtId="0" pivotButton="0" quotePrefix="0" xfId="0"/>
    <xf borderId="0" fillId="11" fontId="0" numFmtId="0" pivotButton="0" quotePrefix="0" xfId="0"/>
    <xf borderId="15" fillId="0" fontId="0" numFmtId="0" pivotButton="0" quotePrefix="0" xfId="0"/>
    <xf applyAlignment="1" borderId="0" fillId="3" fontId="3" numFmtId="0" pivotButton="0" quotePrefix="0" xfId="0">
      <alignment horizontal="center"/>
    </xf>
    <xf borderId="0" fillId="0" fontId="0" numFmtId="0" pivotButton="0" quotePrefix="0" xfId="0"/>
    <xf applyAlignment="1" borderId="6" fillId="3" fontId="9" numFmtId="0" pivotButton="0" quotePrefix="0" xfId="0">
      <alignment horizontal="center" vertical="center"/>
    </xf>
    <xf applyAlignment="1" borderId="13" fillId="8" fontId="10" numFmtId="0" pivotButton="0" quotePrefix="0" xfId="0">
      <alignment horizontal="center"/>
    </xf>
    <xf borderId="16" fillId="0" fontId="0" numFmtId="0" pivotButton="0" quotePrefix="0" xfId="0"/>
    <xf applyAlignment="1" borderId="13" fillId="8" fontId="10" numFmtId="0" pivotButton="0" quotePrefix="0" xfId="1">
      <alignment horizontal="center"/>
    </xf>
    <xf applyAlignment="1" borderId="6" fillId="3" fontId="3" numFmtId="0" pivotButton="0" quotePrefix="0" xfId="0">
      <alignment horizontal="center" vertical="center"/>
    </xf>
    <xf applyAlignment="1" borderId="14" fillId="9" fontId="7" numFmtId="0" pivotButton="0" quotePrefix="0" xfId="0">
      <alignment horizontal="center"/>
    </xf>
    <xf borderId="14" fillId="0" fontId="0" numFmtId="0" pivotButton="0" quotePrefix="0" xfId="0"/>
    <xf borderId="0" fillId="0" fontId="11" numFmtId="0" pivotButton="0" quotePrefix="0" xfId="3"/>
    <xf applyAlignment="1" borderId="3" fillId="12" fontId="0" numFmtId="0" pivotButton="0" quotePrefix="0" xfId="0">
      <alignment horizontal="center" vertical="center"/>
    </xf>
  </cellXfs>
  <cellStyles count="4">
    <cellStyle builtinId="0" name="Normal" xfId="0"/>
    <cellStyle builtinId="20" name="Entrada" xfId="1"/>
    <cellStyle builtinId="8" name="Hiperlink" xfId="2"/>
    <cellStyle builtinId="8" hidden="0" name="Hyperlink" xfId="3"/>
  </cellStyles>
  <dxfs count="57"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fill>
        <patternFill>
          <fgColor indexed="64"/>
          <bgColor indexed="65"/>
        </patternFill>
      </fill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fill>
        <patternFill patternType="solid">
          <fgColor indexed="64"/>
          <bgColor theme="1"/>
        </patternFill>
      </fill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numFmt formatCode="General" numFmtId="0"/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/>
        <horizont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  <vertical style="thin">
          <color indexed="64"/>
        </vertical>
        <horizontal style="thin">
          <color indexed="64"/>
        </horizontal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 outline="0">
        <left/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fill>
        <patternFill patternType="solid">
          <fgColor indexed="64"/>
          <bgColor theme="1"/>
        </patternFill>
      </fill>
      <alignment horizontal="center" vertical="center"/>
      <border outline="0">
        <left style="thin">
          <color indexed="64"/>
        </left>
        <right/>
        <top/>
        <bottom/>
        <diagonal/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font>
        <name val="Calibri"/>
        <strike val="0"/>
        <outline val="0"/>
        <shadow val="0"/>
        <color theme="0" tint="-0.499984740745262"/>
        <sz val="11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font>
        <name val="Calibri"/>
        <strike val="0"/>
        <outline val="0"/>
        <shadow val="0"/>
        <color theme="0" tint="-0.499984740745262"/>
        <sz val="11"/>
        <vertAlign val="baseline"/>
        <scheme val="minor"/>
      </font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/>
        <bottom/>
        <diagonal/>
      </border>
    </dxf>
    <dxf>
      <alignment horizontal="center" vertical="center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diagonal/>
      </border>
    </dxf>
    <dxf>
      <alignment horizontal="center" vertical="center"/>
    </dxf>
    <dxf>
      <font>
        <name val="Calibri"/>
        <b val="1"/>
        <strike val="0"/>
        <outline val="0"/>
        <shadow val="0"/>
        <condense val="0"/>
        <color rgb="FF000000"/>
        <extend val="0"/>
        <sz val="11"/>
        <vertAlign val="baseline"/>
      </font>
      <fill>
        <patternFill patternType="solid">
          <fgColor rgb="FF9BBB59"/>
          <bgColor rgb="FF9BBB59"/>
        </patternFill>
      </fill>
      <alignment horizontal="left" vertical="bottom"/>
      <border outline="0">
        <left style="thin">
          <color rgb="FF000000"/>
        </left>
        <right style="thin">
          <color rgb="FF000000"/>
        </right>
        <top/>
        <bottom/>
        <diagonal/>
      </border>
    </dxf>
    <dxf>
      <fill>
        <patternFill>
          <bgColor theme="9" tint="0.5999633777886288"/>
        </patternFill>
      </fill>
    </dxf>
    <dxf>
      <fill>
        <patternFill>
          <bgColor theme="9" tint="0.3999450666829432"/>
        </patternFill>
      </fill>
    </dxf>
    <dxf>
      <fill>
        <patternFill>
          <bgColor theme="9" tint="-0.249946592608417"/>
        </patternFill>
      </fill>
    </dxf>
  </dxfs>
  <tableStyles count="0" defaultPivotStyle="PivotStyleMedium9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Luis Felipe</author>
  </authors>
  <commentList>
    <comment authorId="0" ref="A1" shapeId="0">
      <text>
        <t>Luis Felipe:
Inserir endereço onde se encontra a pasta Dados (com imagens e txts)</t>
      </text>
    </comment>
    <comment authorId="0" ref="W2" shapeId="0">
      <text>
        <t>Luis Felipe:</t>
      </text>
    </comment>
    <comment authorId="0" ref="AH2" shapeId="0">
      <text>
        <t>Luis Felipe:
arquivos gerados pelo COMSOL - podem ser úteis futuramente</t>
      </text>
    </comment>
    <comment authorId="0" ref="K3" shapeId="0">
      <text>
        <t>Luis Felipe:</t>
      </text>
    </comment>
    <comment authorId="0" ref="L3" shapeId="0">
      <text>
        <t>Luis Felipe:
Campo máximo do perfil alvo (rampa).</t>
      </text>
    </comment>
    <comment authorId="0" ref="N3" shapeId="0">
      <text>
        <t>Luis Felipe:
Campo médio na região de campo alto em z=0</t>
      </text>
    </comment>
    <comment authorId="0" ref="O3" shapeId="0">
      <text>
        <t>Luis Felipe:
Campo médio na borda do regenerador</t>
      </text>
    </comment>
    <comment authorId="0" ref="P3" shapeId="0">
      <text>
        <t>Luis Felipe:
Campo médio em todo o regenerador</t>
      </text>
    </comment>
    <comment authorId="0" ref="Q3" shapeId="0">
      <text>
        <t>Luis Felipe:
Campo médio na região de campo baixo para z=0</t>
      </text>
    </comment>
    <comment authorId="0" ref="R3" shapeId="0">
      <text>
        <t>Luis Felipe:
Campo médio na borda do regenerador na região de campo baixo</t>
      </text>
    </comment>
    <comment authorId="0" ref="S3" shapeId="0">
      <text>
        <t>Luis Felipe:
Campo médio em todo o regenerador na região de campo baixo</t>
      </text>
    </comment>
    <comment authorId="0" ref="T3" shapeId="0">
      <text>
        <t>Luis Felipe:
Link para a imagem do perfil para z=0 - alvo, 2D e 3D.</t>
      </text>
    </comment>
    <comment authorId="0" ref="U3" shapeId="0">
      <text>
        <t>Luis Felipe:
Link para txt com dados do campo com z, phi e B obtidos no meio do gap.</t>
      </text>
    </comment>
    <comment authorId="0" ref="W3" shapeId="0">
      <text>
        <t>Luis Felipe:
campo médio obtido na região de campo alto no modelo 2D</t>
      </text>
    </comment>
    <comment authorId="0" ref="X3" shapeId="0">
      <text>
        <t>Luis Felipe:
Campo médio nas bordas do ímã na região de campo alto</t>
      </text>
    </comment>
    <comment authorId="0" ref="Y3" shapeId="0">
      <text>
        <t>Luis Felipe:
K obtido pela função de otimização do Fábio, porém priorizando as regiões de campo constante (no caso, modelo de pesos 1-0)</t>
      </text>
    </comment>
    <comment authorId="0" ref="AI3" shapeId="0">
      <text>
        <t>Luis Felipe:
número de elementos</t>
      </text>
    </comment>
    <comment authorId="0" ref="AJ3" shapeId="0">
      <text>
        <t>Luis Felipe:
tempo de simulação</t>
      </text>
    </comment>
  </commentList>
</comments>
</file>

<file path=xl/tables/table1.xml><?xml version="1.0" encoding="utf-8"?>
<table xmlns="http://schemas.openxmlformats.org/spreadsheetml/2006/main" dataDxfId="52" displayName="Tabela352" headerRowCount="1" headerRowDxfId="53" id="1" name="Tabela352" ref="E3:AF1707">
  <autoFilter ref="E3:AF1707"/>
  <tableColumns count="28">
    <tableColumn dataCellStyle="Normal" dataDxfId="51" id="2" name="R2 [mm]" totalsRowDxfId="50"/>
    <tableColumn dataCellStyle="Normal" dataDxfId="49" id="3" name="R3 [mm]" totalsRowDxfId="48"/>
    <tableColumn dataCellStyle="Normal" dataDxfId="47" id="4" name="R4 [mm]" totalsRowDxfId="46"/>
    <tableColumn dataCellStyle="Normal" dataDxfId="45" id="5" name="h_fc[mm]"/>
    <tableColumn dataCellStyle="Normal" dataDxfId="44" id="25" name="L_magnet[mm]"/>
    <tableColumn dataCellStyle="Normal" dataDxfId="43" id="6" name="FM [%]" totalsRowDxfId="42"/>
    <tableColumn dataCellStyle="Normal" id="18" name="phi_S_IV [º]" totalsRowDxfId="41"/>
    <tableColumn dataCellStyle="Normal" dataDxfId="40" id="10" name="B_HIGH[T]" totalsRowDxfId="39"/>
    <tableColumn dataCellStyle="Normal" dataDxfId="38" id="11" name="."/>
    <tableColumn dataCellStyle="Normal" dataDxfId="37" id="13" name="B_max [T]" totalsRowDxfId="36"/>
    <tableColumn dataCellStyle="Normal" dataDxfId="35" id="14" name="B_edge_reg [T]" totalsRowDxfId="34" totalsRowFunction="count"/>
    <tableColumn dataCellStyle="Normal" dataDxfId="33" id="19" name="B_MED_reg[T]" totalsRowDxfId="32"/>
    <tableColumn dataCellStyle="Normal" dataDxfId="31" id="21" name="B_min [T]" totalsRowDxfId="30"/>
    <tableColumn dataCellStyle="Normal" dataDxfId="29" id="22" name="B_edge_reg_low [T]" totalsRowDxfId="28"/>
    <tableColumn dataCellStyle="Normal" dataDxfId="27" id="23" name="B_med_reg_low[T]" totalsRowDxfId="26"/>
    <tableColumn dataDxfId="25" id="29" name="Imagem_perfil" totalsRowDxfId="24"/>
    <tableColumn dataCellStyle="Normal" dataDxfId="23" id="24" name="Arquivos Results" totalsRowDxfId="22"/>
    <tableColumn dataCellStyle="Normal" dataDxfId="21" id="1" name=".." totalsRowDxfId="20"/>
    <tableColumn dataCellStyle="Normal" dataDxfId="19" id="7" name="B_2D_MAX [T]" totalsRowDxfId="18"/>
    <tableColumn dataDxfId="17" id="28" name="B_edge_mag_high [T]" totalsRowDxfId="16"/>
    <tableColumn dataCellStyle="Normal" dataDxfId="15" id="8" name="K" totalsRowDxfId="14"/>
    <tableColumn dataCellStyle="Normal" dataDxfId="13" id="9" name="Demag-com [%]" totalsRowDxfId="12"/>
    <tableColumn dataCellStyle="Normal" dataDxfId="11" id="12" name="Saturação-com [%]" totalsRowDxfId="10"/>
    <tableColumn dataCellStyle="Normal" dataDxfId="9" id="15" name="alpha_rem 1 [º]" totalsRowDxfId="8"/>
    <tableColumn dataCellStyle="Normal" dataDxfId="7" id="16" name="alpha_rem 2 [º]" totalsRowDxfId="6"/>
    <tableColumn dataCellStyle="Normal" dataDxfId="5" id="17" name="alpha_rem 3[º]" totalsRowDxfId="4"/>
    <tableColumn dataCellStyle="Normal" dataDxfId="3" id="20" name="alpha_rem 4[º]" totalsRowDxfId="2"/>
    <tableColumn dataCellStyle="Normal" dataDxfId="1" id="26" name="alpha_rem 5[º]" totalsRowDxfId="0"/>
  </tableColumns>
  <tableStyleInfo name="TableStyleLight9" showColumnStripes="0" showFirstColumn="0" showLastColumn="0" showRowStripes="1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tables/table1.xml" Type="http://schemas.openxmlformats.org/officeDocument/2006/relationships/table" /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L1744"/>
  <sheetViews>
    <sheetView tabSelected="1" topLeftCell="A818" workbookViewId="0">
      <selection activeCell="E824" sqref="E824"/>
    </sheetView>
  </sheetViews>
  <sheetFormatPr baseColWidth="8" defaultRowHeight="15"/>
  <cols>
    <col customWidth="1" max="1" min="1" style="34" width="14.7109375"/>
    <col customWidth="1" max="2" min="2" style="34" width="10.7109375"/>
    <col customWidth="1" max="4" min="3" style="34" width="9.140625"/>
    <col customWidth="1" max="5" min="5" style="34" width="11.140625"/>
    <col customWidth="1" max="7" min="6" style="34" width="10.5703125"/>
    <col customWidth="1" max="8" min="8" style="34" width="11.85546875"/>
    <col customWidth="1" max="9" min="9" style="34" width="16.42578125"/>
    <col customWidth="1" max="10" min="10" style="34" width="10.42578125"/>
    <col customWidth="1" max="11" min="11" style="34" width="14.7109375"/>
    <col customWidth="1" max="12" min="12" style="34" width="12"/>
    <col customWidth="1" max="13" min="13" style="34" width="9.140625"/>
    <col customWidth="1" max="14" min="14" style="34" width="13.28515625"/>
    <col customWidth="1" max="15" min="15" style="34" width="14"/>
    <col customWidth="1" max="16" min="16" style="34" width="16.28515625"/>
    <col customWidth="1" max="17" min="17" style="34" width="11.7109375"/>
    <col customWidth="1" max="18" min="18" style="34" width="16.7109375"/>
    <col customWidth="1" max="20" min="19" style="34" width="17.42578125"/>
    <col customWidth="1" max="21" min="21" style="34" width="18"/>
    <col customWidth="1" max="22" min="22" style="34" width="9.140625"/>
    <col customWidth="1" max="23" min="23" style="34" width="15.85546875"/>
    <col customWidth="1" max="24" min="24" style="34" width="14.7109375"/>
    <col customWidth="1" max="25" min="25" style="34" width="9.140625"/>
    <col customWidth="1" max="26" min="26" style="34" width="17.28515625"/>
    <col customWidth="1" max="27" min="27" style="34" width="20.28515625"/>
    <col customWidth="1" max="28" min="28" style="34" width="14"/>
    <col customWidth="1" max="29" min="29" style="34" width="15.140625"/>
    <col customWidth="1" max="30" min="30" style="34" width="16.85546875"/>
    <col customWidth="1" max="31" min="31" style="34" width="16.140625"/>
    <col customWidth="1" max="32" min="32" style="34" width="16.42578125"/>
    <col customWidth="1" max="33" min="33" style="34" width="9.140625"/>
    <col customWidth="1" max="34" min="34" style="34" width="15.7109375"/>
    <col customWidth="1" max="36" min="35" style="34" width="9.140625"/>
    <col customWidth="1" max="37" min="37" style="34" width="18.5703125"/>
    <col customWidth="1" max="38" min="38" style="34" width="17.7109375"/>
    <col customWidth="1" max="40" min="39" style="34" width="9.140625"/>
    <col customWidth="1" max="16384" min="41" style="34" width="9.140625"/>
  </cols>
  <sheetData>
    <row customHeight="1" ht="15.75" r="1" s="34" thickBot="1">
      <c r="A1" s="26" t="inlineStr">
        <is>
          <t>C:\\Users\\Luis Felipe\\Documents\\GitHub\\magnet3D-polomag</t>
        </is>
      </c>
      <c r="N1" s="1" t="inlineStr">
        <is>
          <t>HIGH_REGION(0º-22,5º)</t>
        </is>
      </c>
      <c r="O1" s="32" t="n"/>
      <c r="Q1" s="1" t="inlineStr">
        <is>
          <t>LOW_REGION(67,5º-90º)</t>
        </is>
      </c>
      <c r="R1" s="32" t="n"/>
    </row>
    <row customHeight="1" ht="21" r="2" s="34">
      <c r="E2" s="33" t="inlineStr">
        <is>
          <t>INPUTS</t>
        </is>
      </c>
      <c r="M2" s="2" t="n"/>
      <c r="N2" s="35" t="inlineStr">
        <is>
          <t>Resultados</t>
        </is>
      </c>
      <c r="W2" s="39" t="inlineStr">
        <is>
          <t>Intermediários</t>
        </is>
      </c>
      <c r="AH2" s="35" t="inlineStr">
        <is>
          <t>FILES e SIMULAÇÃO</t>
        </is>
      </c>
    </row>
    <row customHeight="1" ht="15.75" r="3" s="34">
      <c r="E3" s="4" t="inlineStr">
        <is>
          <t>R2 [mm]</t>
        </is>
      </c>
      <c r="F3" s="4" t="inlineStr">
        <is>
          <t>R3 [mm]</t>
        </is>
      </c>
      <c r="G3" s="5" t="inlineStr">
        <is>
          <t>R4 [mm]</t>
        </is>
      </c>
      <c r="H3" s="7" t="inlineStr">
        <is>
          <t>h_fc[mm]</t>
        </is>
      </c>
      <c r="I3" s="3" t="inlineStr">
        <is>
          <t>L_magnet[mm]</t>
        </is>
      </c>
      <c r="J3" s="7" t="inlineStr">
        <is>
          <t>FM [%]</t>
        </is>
      </c>
      <c r="K3" s="24" t="inlineStr">
        <is>
          <t>phi_S_IV [º]</t>
        </is>
      </c>
      <c r="L3" s="24" t="inlineStr">
        <is>
          <t>B_HIGH[T]</t>
        </is>
      </c>
      <c r="M3" s="6" t="inlineStr">
        <is>
          <t>.</t>
        </is>
      </c>
      <c r="N3" s="11" t="inlineStr">
        <is>
          <t>B_max [T]</t>
        </is>
      </c>
      <c r="O3" s="11" t="inlineStr">
        <is>
          <t>B_edge_reg [T]</t>
        </is>
      </c>
      <c r="P3" s="11" t="inlineStr">
        <is>
          <t>B_MED_reg[T]</t>
        </is>
      </c>
      <c r="Q3" s="11" t="inlineStr">
        <is>
          <t>B_min [T]</t>
        </is>
      </c>
      <c r="R3" s="11" t="inlineStr">
        <is>
          <t>B_edge_reg_low [T]</t>
        </is>
      </c>
      <c r="S3" s="11" t="inlineStr">
        <is>
          <t>B_med_reg_low[T]</t>
        </is>
      </c>
      <c r="T3" s="29" t="inlineStr">
        <is>
          <t>Imagem_perfil</t>
        </is>
      </c>
      <c r="U3" s="29" t="inlineStr">
        <is>
          <t>Arquivos Results</t>
        </is>
      </c>
      <c r="V3" s="6" t="inlineStr">
        <is>
          <t>..</t>
        </is>
      </c>
      <c r="W3" s="9" t="inlineStr">
        <is>
          <t>B_2D_MAX [T]</t>
        </is>
      </c>
      <c r="X3" s="10" t="inlineStr">
        <is>
          <t>B_edge_mag_high [T]</t>
        </is>
      </c>
      <c r="Y3" s="10" t="inlineStr">
        <is>
          <t>K</t>
        </is>
      </c>
      <c r="Z3" s="11" t="inlineStr">
        <is>
          <t>Demag-com [%]</t>
        </is>
      </c>
      <c r="AA3" s="11" t="inlineStr">
        <is>
          <t>Saturação-com [%]</t>
        </is>
      </c>
      <c r="AB3" s="22" t="inlineStr">
        <is>
          <t>alpha_rem 1 [º]</t>
        </is>
      </c>
      <c r="AC3" s="22" t="inlineStr">
        <is>
          <t>alpha_rem 2 [º]</t>
        </is>
      </c>
      <c r="AD3" s="23" t="inlineStr">
        <is>
          <t>alpha_rem 3[º]</t>
        </is>
      </c>
      <c r="AE3" s="23" t="inlineStr">
        <is>
          <t>alpha_rem 4[º]</t>
        </is>
      </c>
      <c r="AF3" s="11" t="inlineStr">
        <is>
          <t>alpha_rem 5[º]</t>
        </is>
      </c>
      <c r="AH3" s="29" t="inlineStr">
        <is>
          <t>Magnetic fields</t>
        </is>
      </c>
      <c r="AI3" s="14" t="inlineStr">
        <is>
          <t>noe</t>
        </is>
      </c>
      <c r="AJ3" s="14" t="inlineStr">
        <is>
          <t>wall</t>
        </is>
      </c>
      <c r="AK3" s="29" t="inlineStr">
        <is>
          <t>Magnet_3D_results</t>
        </is>
      </c>
      <c r="AL3" s="29" t="inlineStr">
        <is>
          <t>Magnetic fields 2D</t>
        </is>
      </c>
    </row>
    <row customHeight="1" ht="15.75" r="4" s="34">
      <c r="E4" t="n">
        <v>120</v>
      </c>
      <c r="F4" t="n">
        <v>170</v>
      </c>
      <c r="G4" t="n">
        <v>350</v>
      </c>
      <c r="H4" t="n">
        <v>20</v>
      </c>
      <c r="I4" t="n">
        <v>140</v>
      </c>
      <c r="J4" t="n">
        <v>25</v>
      </c>
      <c r="K4" t="n">
        <v>35</v>
      </c>
      <c r="L4" t="n">
        <v>1.3</v>
      </c>
      <c r="N4" t="n">
        <v>1.033349921186745</v>
      </c>
      <c r="O4" t="n">
        <v>0.7951360891545236</v>
      </c>
      <c r="P4" t="n">
        <v>0.9605196269431812</v>
      </c>
      <c r="Q4" t="n">
        <v>0.0009514742372009733</v>
      </c>
      <c r="R4" t="n">
        <v>0.02028806552885511</v>
      </c>
      <c r="S4" s="16" t="n">
        <v>0.00178885820755712</v>
      </c>
      <c r="T4" s="29">
        <f>HIPERLINK($A$1 &amp; "\Dados\Imagem_perfil_4.png", "Imagem_perfil_4")</f>
        <v/>
      </c>
      <c r="U4" s="29">
        <f>HIPERLINK($A$1 &amp; "\Dados\Results_airgap4.txt", "Results_airgap4")</f>
        <v/>
      </c>
      <c r="V4" s="18" t="n"/>
      <c r="W4" s="16" t="n">
        <v>1.332161304347826</v>
      </c>
      <c r="X4" s="16" t="n">
        <v>0.6599678353919393</v>
      </c>
      <c r="Y4" s="16" t="n">
        <v>0.03212995260964156</v>
      </c>
      <c r="Z4" s="16" t="n">
        <v>0.2790645438181367</v>
      </c>
      <c r="AA4" s="16" t="n">
        <v>4.634378910403179</v>
      </c>
      <c r="AB4" s="16" t="n">
        <v>0</v>
      </c>
      <c r="AC4" s="16" t="n">
        <v>0</v>
      </c>
      <c r="AD4" s="16" t="n">
        <v>20.56517501910499</v>
      </c>
      <c r="AE4" s="16" t="n">
        <v>64.55730387067373</v>
      </c>
      <c r="AF4" s="16" t="n">
        <v>106.8470222641267</v>
      </c>
      <c r="AH4" s="29">
        <f>HIPERLINK($A$1 &amp; "\Dados\Magnet_fields.txt_4.txt.txt", "Magnet_fields.txt_4.txt")</f>
        <v/>
      </c>
      <c r="AI4" t="n">
        <v>9779</v>
      </c>
      <c r="AJ4" t="n">
        <v>31</v>
      </c>
      <c r="AK4" s="29">
        <f>HIPERLINK($A$1 &amp; "\Dados\Magnet_3D_results.txt_4.txt.txt", "Magnet_3D_results.txt_4.txt")</f>
        <v/>
      </c>
      <c r="AL4" s="29">
        <f>HIPERLINK($A$1 &amp; "\Dados\Magnet_fields_2D.txt_4.txt.txt", "Magnet_fields_2D.txt_4.txt")</f>
        <v/>
      </c>
    </row>
    <row customHeight="1" ht="15.75" r="5" s="34">
      <c r="E5" s="15" t="n">
        <v>120</v>
      </c>
      <c r="F5" s="15" t="n">
        <v>170</v>
      </c>
      <c r="G5" s="15" t="n">
        <v>350</v>
      </c>
      <c r="H5" s="15" t="n">
        <v>20</v>
      </c>
      <c r="I5" s="15" t="n">
        <v>140</v>
      </c>
      <c r="J5" s="13" t="n">
        <v>25</v>
      </c>
      <c r="K5" t="n">
        <v>35</v>
      </c>
      <c r="L5" s="13" t="n">
        <v>1.4</v>
      </c>
      <c r="M5" s="12" t="n"/>
      <c r="N5" s="8" t="n">
        <v>1.058926604840939</v>
      </c>
      <c r="O5" s="15" t="n">
        <v>0.8152397822340787</v>
      </c>
      <c r="P5" s="15" t="n">
        <v>0.9843288426829631</v>
      </c>
      <c r="Q5" s="15" t="n">
        <v>0.0009534693511386186</v>
      </c>
      <c r="R5" s="15" t="n">
        <v>0.02170224434779509</v>
      </c>
      <c r="S5" s="15" t="n">
        <v>0.001827114018586992</v>
      </c>
      <c r="T5" s="29">
        <f>HIPERLINK($A$1 &amp; "\Dados\Imagem_perfil_5.png", "Imagem_perfil_5")</f>
        <v/>
      </c>
      <c r="U5" s="29">
        <f>HIPERLINK($A$1 &amp; "\Dados\Results_airgap5.txt", "Results_airgap5")</f>
        <v/>
      </c>
      <c r="V5" s="19" t="n"/>
      <c r="W5" s="43" t="n">
        <v>1.36316</v>
      </c>
      <c r="X5" s="15" t="n">
        <v>0.6775766904190558</v>
      </c>
      <c r="Y5" s="15" t="n">
        <v>0.08131014861060039</v>
      </c>
      <c r="Z5" s="15" t="n">
        <v>0.1724219994081036</v>
      </c>
      <c r="AA5" s="15" t="n">
        <v>3.835698461398154</v>
      </c>
      <c r="AB5" s="15" t="n">
        <v>0</v>
      </c>
      <c r="AC5" s="15" t="n">
        <v>4.376232767110117</v>
      </c>
      <c r="AD5" s="15" t="n">
        <v>26.4524225662299</v>
      </c>
      <c r="AE5" s="15" t="n">
        <v>67.30862197879485</v>
      </c>
      <c r="AF5" s="15" t="n">
        <v>107.7278022137695</v>
      </c>
      <c r="AH5" s="29">
        <f>HIPERLINK($A$1 &amp; "\Dados\Magnet_fields.txt_5.txt.txt", "Magnet_fields.txt_5.txt")</f>
        <v/>
      </c>
      <c r="AI5" t="n">
        <v>9779</v>
      </c>
      <c r="AJ5" t="n">
        <v>30</v>
      </c>
      <c r="AK5" s="29">
        <f>HIPERLINK($A$1 &amp; "\Dados\Magnet_3D_results.txt_5.txt.txt", "Magnet_3D_results.txt_5.txt")</f>
        <v/>
      </c>
      <c r="AL5" s="29">
        <f>HIPERLINK($A$1 &amp; "\Dados\Magnet_fields_2D.txt_5.txt.txt", "Magnet_fields_2D.txt_5.txt")</f>
        <v/>
      </c>
    </row>
    <row customHeight="1" ht="15.75" r="6" s="34">
      <c r="A6" s="40" t="inlineStr">
        <is>
          <t>PARÂMETROS FIXOS</t>
        </is>
      </c>
      <c r="B6" s="41" t="n"/>
      <c r="E6" s="15" t="n">
        <v>120</v>
      </c>
      <c r="F6" s="15" t="n">
        <v>170</v>
      </c>
      <c r="G6" s="15" t="n">
        <v>350</v>
      </c>
      <c r="H6" s="15" t="n">
        <v>20</v>
      </c>
      <c r="I6" s="15" t="n">
        <v>140</v>
      </c>
      <c r="J6" s="13" t="n">
        <v>25</v>
      </c>
      <c r="K6" t="n">
        <v>35</v>
      </c>
      <c r="L6" s="13" t="n">
        <v>1.5</v>
      </c>
      <c r="M6" s="12" t="n"/>
      <c r="N6" s="8" t="n">
        <v>1.06950340423286</v>
      </c>
      <c r="O6" s="15" t="n">
        <v>0.8234867752403301</v>
      </c>
      <c r="P6" s="15" t="n">
        <v>0.9941995306646152</v>
      </c>
      <c r="Q6" s="15" t="n">
        <v>0.0009548596752719641</v>
      </c>
      <c r="R6" s="15" t="n">
        <v>0.02222354176391894</v>
      </c>
      <c r="S6" s="15" t="n">
        <v>0.001841586984975371</v>
      </c>
      <c r="T6" s="29">
        <f>HIPERLINK($A$1 &amp; "\Dados\Imagem_perfil_6.png", "Imagem_perfil_6")</f>
        <v/>
      </c>
      <c r="U6" s="29">
        <f>HIPERLINK($A$1 &amp; "\Dados\Results_airgap6.txt", "Results_airgap6")</f>
        <v/>
      </c>
      <c r="V6" s="19" t="n"/>
      <c r="W6" s="43" t="n">
        <v>1.378518478260869</v>
      </c>
      <c r="X6" s="15" t="n">
        <v>0.6849138582446759</v>
      </c>
      <c r="Y6" s="15" t="n">
        <v>0.1508724496475279</v>
      </c>
      <c r="Z6" s="15" t="n">
        <v>0.1072421861990194</v>
      </c>
      <c r="AA6" s="15" t="n">
        <v>3.502676515476424</v>
      </c>
      <c r="AB6" s="15" t="n">
        <v>0.8825006377760193</v>
      </c>
      <c r="AC6" s="15" t="n">
        <v>7.497744845674234</v>
      </c>
      <c r="AD6" s="15" t="n">
        <v>28.91540325931243</v>
      </c>
      <c r="AE6" s="15" t="n">
        <v>68.44820286375835</v>
      </c>
      <c r="AF6" s="15" t="n">
        <v>107.9522244257481</v>
      </c>
      <c r="AH6" s="29">
        <f>HIPERLINK($A$1 &amp; "\Dados\Magnet_fields.txt_6.txt.txt", "Magnet_fields.txt_6.txt")</f>
        <v/>
      </c>
      <c r="AI6" t="n">
        <v>9779</v>
      </c>
      <c r="AJ6" t="n">
        <v>31</v>
      </c>
      <c r="AK6" s="29">
        <f>HIPERLINK($A$1 &amp; "\Dados\Magnet_3D_results.txt_6.txt.txt", "Magnet_3D_results.txt_6.txt")</f>
        <v/>
      </c>
      <c r="AL6" s="29">
        <f>HIPERLINK($A$1 &amp; "\Dados\Magnet_fields_2D.txt_6.txt.txt", "Magnet_fields_2D.txt_6.txt")</f>
        <v/>
      </c>
    </row>
    <row customHeight="1" ht="15.75" r="7" s="34">
      <c r="A7" s="36" t="inlineStr">
        <is>
          <t>R1</t>
        </is>
      </c>
      <c r="B7" s="37" t="n"/>
      <c r="E7" s="8" t="n">
        <v>120</v>
      </c>
      <c r="F7" s="15" t="n">
        <v>170</v>
      </c>
      <c r="G7" s="15" t="n">
        <v>350</v>
      </c>
      <c r="H7" s="15" t="n">
        <v>20</v>
      </c>
      <c r="I7" s="15" t="n">
        <v>140</v>
      </c>
      <c r="J7" s="13" t="n">
        <v>25</v>
      </c>
      <c r="K7" t="n">
        <v>35</v>
      </c>
      <c r="L7" s="13" t="n">
        <v>1.6</v>
      </c>
      <c r="M7" s="12" t="n"/>
      <c r="N7" s="8" t="n">
        <v>1.078677515775837</v>
      </c>
      <c r="O7" s="15" t="n">
        <v>0.8307075787047183</v>
      </c>
      <c r="P7" s="15" t="n">
        <v>1.002780113968061</v>
      </c>
      <c r="Q7" s="15" t="n">
        <v>0.0009539584188482087</v>
      </c>
      <c r="R7" s="15" t="n">
        <v>0.02279192052385717</v>
      </c>
      <c r="S7" s="15" t="n">
        <v>0.00185484624991508</v>
      </c>
      <c r="T7" s="29">
        <f>HIPERLINK($A$1 &amp; "\Dados\Imagem_perfil_7.png", "Imagem_perfil_7")</f>
        <v/>
      </c>
      <c r="U7" s="29">
        <f>HIPERLINK($A$1 &amp; "\Dados\Results_airgap7.txt", "Results_airgap7")</f>
        <v/>
      </c>
      <c r="V7" s="19" t="n"/>
      <c r="W7" s="15" t="n">
        <v>1.386417391304348</v>
      </c>
      <c r="X7" s="15" t="n">
        <v>0.691322859976149</v>
      </c>
      <c r="Y7" s="15" t="n">
        <v>0.2334902477244789</v>
      </c>
      <c r="Z7" s="15" t="n">
        <v>0.1006336339828995</v>
      </c>
      <c r="AA7" s="15" t="n">
        <v>3.117643408891301</v>
      </c>
      <c r="AB7" s="15" t="n">
        <v>1.677920300608386</v>
      </c>
      <c r="AC7" s="15" t="n">
        <v>9.165935217607483</v>
      </c>
      <c r="AD7" s="15" t="n">
        <v>30.22795559400126</v>
      </c>
      <c r="AE7" s="15" t="n">
        <v>69.09424693072218</v>
      </c>
      <c r="AF7" s="15" t="n">
        <v>108.0482133735091</v>
      </c>
      <c r="AH7" s="29">
        <f>HIPERLINK($A$1 &amp; "\Dados\Magnet_fields.txt_7.txt.txt", "Magnet_fields.txt_7.txt")</f>
        <v/>
      </c>
      <c r="AI7" t="n">
        <v>9779</v>
      </c>
      <c r="AJ7" t="n">
        <v>31</v>
      </c>
      <c r="AK7" s="29">
        <f>HIPERLINK($A$1 &amp; "\Dados\Magnet_3D_results.txt_7.txt.txt", "Magnet_3D_results.txt_7.txt")</f>
        <v/>
      </c>
      <c r="AL7" s="29">
        <f>HIPERLINK($A$1 &amp; "\Dados\Magnet_fields_2D.txt_7.txt.txt", "Magnet_fields_2D.txt_7.txt")</f>
        <v/>
      </c>
    </row>
    <row customHeight="1" ht="15.75" r="8" s="34">
      <c r="A8" s="36" t="inlineStr">
        <is>
          <t>30mm</t>
        </is>
      </c>
      <c r="B8" s="37" t="n"/>
      <c r="E8" s="8" t="n">
        <v>120</v>
      </c>
      <c r="F8" s="15" t="n">
        <v>170</v>
      </c>
      <c r="G8" s="15" t="n">
        <v>350</v>
      </c>
      <c r="H8" s="15" t="n">
        <v>20</v>
      </c>
      <c r="I8" s="15" t="n">
        <v>140</v>
      </c>
      <c r="J8" s="13" t="n">
        <v>25</v>
      </c>
      <c r="K8" t="n">
        <v>35</v>
      </c>
      <c r="L8" s="13" t="n">
        <v>1.7</v>
      </c>
      <c r="M8" s="12" t="n"/>
      <c r="N8" s="8" t="n">
        <v>1.080901386454295</v>
      </c>
      <c r="O8" s="15" t="n">
        <v>0.8324001949085558</v>
      </c>
      <c r="P8" s="15" t="n">
        <v>1.004880623999366</v>
      </c>
      <c r="Q8" s="15" t="n">
        <v>0.0009544433567101338</v>
      </c>
      <c r="R8" s="15" t="n">
        <v>0.0228556013334264</v>
      </c>
      <c r="S8" s="15" t="n">
        <v>0.001856863306412938</v>
      </c>
      <c r="T8" s="29">
        <f>HIPERLINK($A$1 &amp; "\Dados\Imagem_perfil_8.png", "Imagem_perfil_8")</f>
        <v/>
      </c>
      <c r="U8" s="29">
        <f>HIPERLINK($A$1 &amp; "\Dados\Results_airgap8.txt", "Results_airgap8")</f>
        <v/>
      </c>
      <c r="V8" s="19" t="n"/>
      <c r="W8" s="15" t="n">
        <v>1.390695217391304</v>
      </c>
      <c r="X8" s="15" t="n">
        <v>0.6928418245306279</v>
      </c>
      <c r="Y8" s="15" t="n">
        <v>0.3236044881892068</v>
      </c>
      <c r="Z8" s="15" t="n">
        <v>0.1006336339828995</v>
      </c>
      <c r="AA8" s="15" t="n">
        <v>3.083465734905094</v>
      </c>
      <c r="AB8" s="15" t="n">
        <v>2.096929115856124</v>
      </c>
      <c r="AC8" s="15" t="n">
        <v>10.12488672620426</v>
      </c>
      <c r="AD8" s="15" t="n">
        <v>30.99547703134717</v>
      </c>
      <c r="AE8" s="15" t="n">
        <v>69.41738660590909</v>
      </c>
      <c r="AF8" s="15" t="n">
        <v>108.1378707359575</v>
      </c>
      <c r="AH8" s="29">
        <f>HIPERLINK($A$1 &amp; "\Dados\Magnet_fields.txt_8.txt.txt", "Magnet_fields.txt_8.txt")</f>
        <v/>
      </c>
      <c r="AI8" t="n">
        <v>9779</v>
      </c>
      <c r="AJ8" t="n">
        <v>29</v>
      </c>
      <c r="AK8" s="29">
        <f>HIPERLINK($A$1 &amp; "\Dados\Magnet_3D_results.txt_8.txt.txt", "Magnet_3D_results.txt_8.txt")</f>
        <v/>
      </c>
      <c r="AL8" s="29">
        <f>HIPERLINK($A$1 &amp; "\Dados\Magnet_fields_2D.txt_8.txt.txt", "Magnet_fields_2D.txt_8.txt")</f>
        <v/>
      </c>
    </row>
    <row customHeight="1" ht="15.75" r="9" s="34">
      <c r="A9" s="38" t="inlineStr">
        <is>
          <t>Temperatura padrão</t>
        </is>
      </c>
      <c r="B9" s="37" t="n"/>
      <c r="E9" s="8" t="n">
        <v>120</v>
      </c>
      <c r="F9" s="15" t="n">
        <v>170</v>
      </c>
      <c r="G9" s="15" t="n">
        <v>350</v>
      </c>
      <c r="H9" s="15" t="n">
        <v>20</v>
      </c>
      <c r="I9" s="15" t="n">
        <v>140</v>
      </c>
      <c r="J9" s="13" t="n">
        <v>25</v>
      </c>
      <c r="K9" t="n">
        <v>35</v>
      </c>
      <c r="L9" s="13" t="n">
        <v>1.8</v>
      </c>
      <c r="M9" s="12" t="n"/>
      <c r="N9" s="8" t="n">
        <v>1.082698394302855</v>
      </c>
      <c r="O9" s="15" t="n">
        <v>0.8338134787633998</v>
      </c>
      <c r="P9" s="15" t="n">
        <v>1.006547530620577</v>
      </c>
      <c r="Q9" s="15" t="n">
        <v>0.0009546455669521972</v>
      </c>
      <c r="R9" s="15" t="n">
        <v>0.0229671361511071</v>
      </c>
      <c r="S9" s="15" t="n">
        <v>0.001859791384598577</v>
      </c>
      <c r="T9" s="29">
        <f>HIPERLINK($A$1 &amp; "\Dados\Imagem_perfil_9.png", "Imagem_perfil_9")</f>
        <v/>
      </c>
      <c r="U9" s="29">
        <f>HIPERLINK($A$1 &amp; "\Dados\Results_airgap9.txt", "Results_airgap9")</f>
        <v/>
      </c>
      <c r="V9" s="19" t="n"/>
      <c r="W9" s="15" t="n">
        <v>1.394074130434783</v>
      </c>
      <c r="X9" s="15" t="n">
        <v>0.6940961151436901</v>
      </c>
      <c r="Y9" s="15" t="n">
        <v>0.4173726524831868</v>
      </c>
      <c r="Z9" s="15" t="n">
        <v>0.1006336339828995</v>
      </c>
      <c r="AA9" s="15" t="n">
        <v>2.964969583045079</v>
      </c>
      <c r="AB9" s="15" t="n">
        <v>2.44695609032803</v>
      </c>
      <c r="AC9" s="15" t="n">
        <v>10.85905695927852</v>
      </c>
      <c r="AD9" s="15" t="n">
        <v>31.63551281730838</v>
      </c>
      <c r="AE9" s="15" t="n">
        <v>69.75415055533334</v>
      </c>
      <c r="AF9" s="15" t="n">
        <v>108.1882344224892</v>
      </c>
      <c r="AH9" s="29">
        <f>HIPERLINK($A$1 &amp; "\Dados\Magnet_fields.txt_9.txt.txt", "Magnet_fields.txt_9.txt")</f>
        <v/>
      </c>
      <c r="AI9" t="n">
        <v>9779</v>
      </c>
      <c r="AJ9" t="n">
        <v>30</v>
      </c>
      <c r="AK9" s="29">
        <f>HIPERLINK($A$1 &amp; "\Dados\Magnet_3D_results.txt_9.txt.txt", "Magnet_3D_results.txt_9.txt")</f>
        <v/>
      </c>
      <c r="AL9" s="29">
        <f>HIPERLINK($A$1 &amp; "\Dados\Magnet_fields_2D.txt_9.txt.txt", "Magnet_fields_2D.txt_9.txt")</f>
        <v/>
      </c>
    </row>
    <row customHeight="1" ht="15.75" r="10" s="34">
      <c r="A10" s="38" t="inlineStr">
        <is>
          <t>25ºC</t>
        </is>
      </c>
      <c r="B10" s="37" t="n"/>
      <c r="E10" s="8" t="n">
        <v>120</v>
      </c>
      <c r="F10" s="15" t="n">
        <v>170</v>
      </c>
      <c r="G10" s="15" t="n">
        <v>350</v>
      </c>
      <c r="H10" s="15" t="n">
        <v>20</v>
      </c>
      <c r="I10" s="15" t="n">
        <v>140</v>
      </c>
      <c r="J10" s="13" t="n">
        <v>25</v>
      </c>
      <c r="K10" t="n">
        <v>35</v>
      </c>
      <c r="L10" s="13" t="n">
        <v>1.900000000000001</v>
      </c>
      <c r="M10" s="12" t="n"/>
      <c r="N10" s="8" t="n">
        <v>1.085906354149132</v>
      </c>
      <c r="O10" s="15" t="n">
        <v>0.8363064701475446</v>
      </c>
      <c r="P10" s="15" t="n">
        <v>1.009544772726078</v>
      </c>
      <c r="Q10" s="15" t="n">
        <v>0.0009550805218671636</v>
      </c>
      <c r="R10" s="15" t="n">
        <v>0.02312819002199656</v>
      </c>
      <c r="S10" s="15" t="n">
        <v>0.001864114473859761</v>
      </c>
      <c r="T10" s="29">
        <f>HIPERLINK($A$1 &amp; "\Dados\Imagem_perfil_10.png", "Imagem_perfil_10")</f>
        <v/>
      </c>
      <c r="U10" s="29">
        <f>HIPERLINK($A$1 &amp; "\Dados\Results_airgap10.txt", "Results_airgap10")</f>
        <v/>
      </c>
      <c r="V10" s="19" t="n"/>
      <c r="W10" s="15" t="n">
        <v>1.396172826086957</v>
      </c>
      <c r="X10" s="15" t="n">
        <v>0.69635345295666</v>
      </c>
      <c r="Y10" s="15" t="n">
        <v>0.5122227048713074</v>
      </c>
      <c r="Z10" s="15" t="n">
        <v>0.08271308926829835</v>
      </c>
      <c r="AA10" s="15" t="n">
        <v>2.835483100453274</v>
      </c>
      <c r="AB10" s="15" t="n">
        <v>2.657460924072645</v>
      </c>
      <c r="AC10" s="15" t="n">
        <v>11.34610293479188</v>
      </c>
      <c r="AD10" s="15" t="n">
        <v>32.04232227976149</v>
      </c>
      <c r="AE10" s="15" t="n">
        <v>69.93905531562633</v>
      </c>
      <c r="AF10" s="15" t="n">
        <v>108.219738335774</v>
      </c>
      <c r="AH10" s="29">
        <f>HIPERLINK($A$1 &amp; "\Dados\Magnet_fields.txt_10.txt.txt", "Magnet_fields.txt_10.txt")</f>
        <v/>
      </c>
      <c r="AI10" t="n">
        <v>9779</v>
      </c>
      <c r="AJ10" t="n">
        <v>30</v>
      </c>
      <c r="AK10" s="29">
        <f>HIPERLINK($A$1 &amp; "\Dados\Magnet_3D_results.txt_10.txt.txt", "Magnet_3D_results.txt_10.txt")</f>
        <v/>
      </c>
      <c r="AL10" s="29">
        <f>HIPERLINK($A$1 &amp; "\Dados\Magnet_fields_2D.txt_10.txt.txt", "Magnet_fields_2D.txt_10.txt")</f>
        <v/>
      </c>
    </row>
    <row customHeight="1" ht="15.75" r="11" s="34">
      <c r="A11" s="38" t="inlineStr">
        <is>
          <t>Remanência</t>
        </is>
      </c>
      <c r="B11" s="37" t="n"/>
      <c r="E11" s="8" t="n">
        <v>120</v>
      </c>
      <c r="F11" s="15" t="n">
        <v>170</v>
      </c>
      <c r="G11" s="15" t="n">
        <v>350</v>
      </c>
      <c r="H11" s="15" t="n">
        <v>20</v>
      </c>
      <c r="I11" s="15" t="n">
        <v>140</v>
      </c>
      <c r="J11" s="13" t="n">
        <v>25</v>
      </c>
      <c r="K11" t="n">
        <v>35</v>
      </c>
      <c r="L11" s="13" t="n">
        <v>2.000000000000001</v>
      </c>
      <c r="M11" s="12" t="n"/>
      <c r="N11" s="8" t="n">
        <v>1.086931277750065</v>
      </c>
      <c r="O11" s="15" t="n">
        <v>0.8371722537488921</v>
      </c>
      <c r="P11" s="15" t="n">
        <v>1.010493601593352</v>
      </c>
      <c r="Q11" s="15" t="n">
        <v>0.0009541515245268261</v>
      </c>
      <c r="R11" s="15" t="n">
        <v>0.02327426353353808</v>
      </c>
      <c r="S11" s="15" t="n">
        <v>0.001866814285486399</v>
      </c>
      <c r="T11" s="29">
        <f>HIPERLINK($A$1 &amp; "\Dados\Imagem_perfil_11.png", "Imagem_perfil_11")</f>
        <v/>
      </c>
      <c r="U11" s="29">
        <f>HIPERLINK($A$1 &amp; "\Dados\Results_airgap11.txt", "Results_airgap11")</f>
        <v/>
      </c>
      <c r="V11" s="19" t="n"/>
      <c r="W11" s="15" t="n">
        <v>1.397718695652174</v>
      </c>
      <c r="X11" s="15" t="n">
        <v>0.6971002084583138</v>
      </c>
      <c r="Y11" s="15" t="n">
        <v>0.6064528893539085</v>
      </c>
      <c r="Z11" s="15" t="n">
        <v>0.08271308926829835</v>
      </c>
      <c r="AA11" s="15" t="n">
        <v>2.699820312379431</v>
      </c>
      <c r="AB11" s="15" t="n">
        <v>2.82329781278345</v>
      </c>
      <c r="AC11" s="15" t="n">
        <v>11.7025270108109</v>
      </c>
      <c r="AD11" s="15" t="n">
        <v>32.34308447378541</v>
      </c>
      <c r="AE11" s="15" t="n">
        <v>70.09647126303746</v>
      </c>
      <c r="AF11" s="15" t="n">
        <v>108.2684694137124</v>
      </c>
      <c r="AH11" s="29">
        <f>HIPERLINK($A$1 &amp; "\Dados\Magnet_fields.txt_11.txt.txt", "Magnet_fields.txt_11.txt")</f>
        <v/>
      </c>
      <c r="AI11" t="n">
        <v>9779</v>
      </c>
      <c r="AJ11" t="n">
        <v>30</v>
      </c>
      <c r="AK11" s="29">
        <f>HIPERLINK($A$1 &amp; "\Dados\Magnet_3D_results.txt_11.txt.txt", "Magnet_3D_results.txt_11.txt")</f>
        <v/>
      </c>
      <c r="AL11" s="29">
        <f>HIPERLINK($A$1 &amp; "\Dados\Magnet_fields_2D.txt_11.txt.txt", "Magnet_fields_2D.txt_11.txt")</f>
        <v/>
      </c>
    </row>
    <row customHeight="1" ht="15.75" r="12" s="34">
      <c r="A12" s="38" t="inlineStr">
        <is>
          <t>1.41T</t>
        </is>
      </c>
      <c r="B12" s="37" t="n"/>
      <c r="E12" s="8" t="n">
        <v>120</v>
      </c>
      <c r="F12" s="15" t="n">
        <v>170</v>
      </c>
      <c r="G12" s="15" t="n">
        <v>350</v>
      </c>
      <c r="H12" s="15" t="n">
        <v>20</v>
      </c>
      <c r="I12" s="15" t="n">
        <v>140</v>
      </c>
      <c r="J12" s="13" t="n">
        <v>25</v>
      </c>
      <c r="K12" t="n">
        <v>35</v>
      </c>
      <c r="L12" s="13" t="n">
        <v>2.100000000000001</v>
      </c>
      <c r="M12" s="12" t="n"/>
      <c r="N12" s="8" t="n">
        <v>1.086931277750065</v>
      </c>
      <c r="O12" s="15" t="n">
        <v>0.8371722537488921</v>
      </c>
      <c r="P12" s="15" t="n">
        <v>1.010493601593352</v>
      </c>
      <c r="Q12" s="15" t="n">
        <v>0.0009541515245268261</v>
      </c>
      <c r="R12" s="15" t="n">
        <v>0.02327426353353808</v>
      </c>
      <c r="S12" s="15" t="n">
        <v>0.001866814285486398</v>
      </c>
      <c r="T12" s="29">
        <f>HIPERLINK($A$1 &amp; "\Dados\Imagem_perfil_12.png", "Imagem_perfil_12")</f>
        <v/>
      </c>
      <c r="U12" s="29">
        <f>HIPERLINK($A$1 &amp; "\Dados\Results_airgap12.txt", "Results_airgap12")</f>
        <v/>
      </c>
      <c r="V12" s="19" t="n"/>
      <c r="W12" s="15" t="n">
        <v>1.398921304347826</v>
      </c>
      <c r="X12" s="15" t="n">
        <v>0.6971002084583138</v>
      </c>
      <c r="Y12" s="15" t="n">
        <v>0.6989569006359092</v>
      </c>
      <c r="Z12" s="15" t="n">
        <v>0.08271308926829835</v>
      </c>
      <c r="AA12" s="15" t="n">
        <v>2.699820312379431</v>
      </c>
      <c r="AB12" s="15" t="n">
        <v>2.974059839640271</v>
      </c>
      <c r="AC12" s="15" t="n">
        <v>11.97622275604793</v>
      </c>
      <c r="AD12" s="15" t="n">
        <v>32.58295632760652</v>
      </c>
      <c r="AE12" s="15" t="n">
        <v>70.21466615418326</v>
      </c>
      <c r="AF12" s="15" t="n">
        <v>108.2973450752795</v>
      </c>
      <c r="AH12" s="29">
        <f>HIPERLINK($A$1 &amp; "\Dados\Magnet_fields.txt_12.txt.txt", "Magnet_fields.txt_12.txt")</f>
        <v/>
      </c>
      <c r="AI12" t="n">
        <v>9779</v>
      </c>
      <c r="AJ12" t="n">
        <v>30</v>
      </c>
      <c r="AK12" s="29">
        <f>HIPERLINK($A$1 &amp; "\Dados\Magnet_3D_results.txt_12.txt.txt", "Magnet_3D_results.txt_12.txt")</f>
        <v/>
      </c>
      <c r="AL12" s="29">
        <f>HIPERLINK($A$1 &amp; "\Dados\Magnet_fields_2D.txt_12.txt.txt", "Magnet_fields_2D.txt_12.txt")</f>
        <v/>
      </c>
    </row>
    <row customHeight="1" ht="15.75" r="13" s="34">
      <c r="A13" s="38" t="inlineStr">
        <is>
          <t>B_low</t>
        </is>
      </c>
      <c r="B13" s="37" t="n"/>
      <c r="E13" s="8" t="n">
        <v>120</v>
      </c>
      <c r="F13" s="15" t="n">
        <v>170</v>
      </c>
      <c r="G13" s="15" t="n">
        <v>350</v>
      </c>
      <c r="H13" s="15" t="n">
        <v>22</v>
      </c>
      <c r="I13" s="15" t="n">
        <v>140</v>
      </c>
      <c r="J13" s="13" t="n">
        <v>25</v>
      </c>
      <c r="K13" t="n">
        <v>35</v>
      </c>
      <c r="L13" s="13" t="n">
        <v>1.3</v>
      </c>
      <c r="M13" s="12" t="n"/>
      <c r="N13" s="8" t="n">
        <v>1.035729444739202</v>
      </c>
      <c r="O13" s="15" t="n">
        <v>0.7996990921845893</v>
      </c>
      <c r="P13" s="15" t="n">
        <v>0.9632885778639275</v>
      </c>
      <c r="Q13" s="15" t="n">
        <v>0.0009582005848252911</v>
      </c>
      <c r="R13" s="15" t="n">
        <v>0.02079335554297301</v>
      </c>
      <c r="S13" s="15" t="n">
        <v>0.001818194868161655</v>
      </c>
      <c r="T13" s="29">
        <f>HIPERLINK($A$1 &amp; "\Dados\Imagem_perfil_13.png", "Imagem_perfil_13")</f>
        <v/>
      </c>
      <c r="U13" s="29">
        <f>HIPERLINK($A$1 &amp; "\Dados\Results_airgap13.txt", "Results_airgap13")</f>
        <v/>
      </c>
      <c r="V13" s="19" t="n"/>
      <c r="W13" s="43" t="n">
        <v>1.332166521739131</v>
      </c>
      <c r="X13" s="15" t="n">
        <v>0.6662410735900063</v>
      </c>
      <c r="Y13" s="15" t="n">
        <v>0.03212228001399461</v>
      </c>
      <c r="Z13" s="15" t="n">
        <v>0.2935184094401608</v>
      </c>
      <c r="AA13" s="15" t="n">
        <v>4.336822889113261</v>
      </c>
      <c r="AB13" s="15" t="n">
        <v>0</v>
      </c>
      <c r="AC13" s="15" t="n">
        <v>0</v>
      </c>
      <c r="AD13" s="15" t="n">
        <v>20.5565285597846</v>
      </c>
      <c r="AE13" s="15" t="n">
        <v>64.56108057902408</v>
      </c>
      <c r="AF13" s="15" t="n">
        <v>106.8393469861454</v>
      </c>
      <c r="AH13" s="29">
        <f>HIPERLINK($A$1 &amp; "\Dados\Magnet_fields.txt_13.txt.txt", "Magnet_fields.txt_13.txt")</f>
        <v/>
      </c>
      <c r="AI13" t="n">
        <v>9656</v>
      </c>
      <c r="AJ13" t="n">
        <v>29</v>
      </c>
      <c r="AK13" s="29">
        <f>HIPERLINK($A$1 &amp; "\Dados\Magnet_3D_results.txt_13.txt.txt", "Magnet_3D_results.txt_13.txt")</f>
        <v/>
      </c>
      <c r="AL13" s="29">
        <f>HIPERLINK($A$1 &amp; "\Dados\Magnet_fields_2D.txt_13.txt.txt", "Magnet_fields_2D.txt_13.txt")</f>
        <v/>
      </c>
    </row>
    <row customHeight="1" ht="15.75" r="14" s="34">
      <c r="A14" s="38" t="n">
        <v>0</v>
      </c>
      <c r="B14" s="37" t="n"/>
      <c r="E14" s="8" t="n">
        <v>120</v>
      </c>
      <c r="F14" s="15" t="n">
        <v>170</v>
      </c>
      <c r="G14" s="15" t="n">
        <v>350</v>
      </c>
      <c r="H14" s="15" t="n">
        <v>22</v>
      </c>
      <c r="I14" s="15" t="n">
        <v>140</v>
      </c>
      <c r="J14" s="13" t="n">
        <v>25</v>
      </c>
      <c r="K14" t="n">
        <v>35</v>
      </c>
      <c r="L14" s="13" t="n">
        <v>1.4</v>
      </c>
      <c r="M14" s="12" t="n"/>
      <c r="N14" s="8" t="n">
        <v>1.06121091855735</v>
      </c>
      <c r="O14" s="15" t="n">
        <v>0.8197336258571117</v>
      </c>
      <c r="P14" s="15" t="n">
        <v>0.9870075020917239</v>
      </c>
      <c r="Q14" s="15" t="n">
        <v>0.0009605810072445478</v>
      </c>
      <c r="R14" s="15" t="n">
        <v>0.02218308792739669</v>
      </c>
      <c r="S14" s="15" t="n">
        <v>0.001855855113317243</v>
      </c>
      <c r="T14" s="29">
        <f>HIPERLINK($A$1 &amp; "\Dados\Imagem_perfil_14.png", "Imagem_perfil_14")</f>
        <v/>
      </c>
      <c r="U14" s="29">
        <f>HIPERLINK($A$1 &amp; "\Dados\Results_airgap14.txt", "Results_airgap14")</f>
        <v/>
      </c>
      <c r="V14" s="19" t="n"/>
      <c r="W14" s="43" t="n">
        <v>1.363188260869565</v>
      </c>
      <c r="X14" s="15" t="n">
        <v>0.6838373569636635</v>
      </c>
      <c r="Y14" s="15" t="n">
        <v>0.0812968970317768</v>
      </c>
      <c r="Z14" s="15" t="n">
        <v>0.1672750740526378</v>
      </c>
      <c r="AA14" s="15" t="n">
        <v>3.254985414858722</v>
      </c>
      <c r="AB14" s="15" t="n">
        <v>0</v>
      </c>
      <c r="AC14" s="15" t="n">
        <v>4.373705575209461</v>
      </c>
      <c r="AD14" s="15" t="n">
        <v>26.45389985980919</v>
      </c>
      <c r="AE14" s="15" t="n">
        <v>67.31627415544386</v>
      </c>
      <c r="AF14" s="15" t="n">
        <v>107.7195428674282</v>
      </c>
      <c r="AH14" s="29">
        <f>HIPERLINK($A$1 &amp; "\Dados\Magnet_fields.txt_14.txt.txt", "Magnet_fields.txt_14.txt")</f>
        <v/>
      </c>
      <c r="AI14" t="n">
        <v>9656</v>
      </c>
      <c r="AJ14" t="n">
        <v>30</v>
      </c>
      <c r="AK14" s="29">
        <f>HIPERLINK($A$1 &amp; "\Dados\Magnet_3D_results.txt_14.txt.txt", "Magnet_3D_results.txt_14.txt")</f>
        <v/>
      </c>
      <c r="AL14" s="29">
        <f>HIPERLINK($A$1 &amp; "\Dados\Magnet_fields_2D.txt_14.txt.txt", "Magnet_fields_2D.txt_14.txt")</f>
        <v/>
      </c>
    </row>
    <row customHeight="1" ht="15.75" r="15" s="34">
      <c r="A15" s="38" t="inlineStr">
        <is>
          <t>mu_iron</t>
        </is>
      </c>
      <c r="B15" s="37" t="n"/>
      <c r="E15" s="8" t="n">
        <v>120</v>
      </c>
      <c r="F15" s="15" t="n">
        <v>170</v>
      </c>
      <c r="G15" s="15" t="n">
        <v>350</v>
      </c>
      <c r="H15" s="15" t="n">
        <v>22</v>
      </c>
      <c r="I15" s="15" t="n">
        <v>140</v>
      </c>
      <c r="J15" s="13" t="n">
        <v>25</v>
      </c>
      <c r="K15" t="n">
        <v>35</v>
      </c>
      <c r="L15" s="13" t="n">
        <v>1.5</v>
      </c>
      <c r="M15" s="12" t="n"/>
      <c r="N15" s="8" t="n">
        <v>1.071737295986203</v>
      </c>
      <c r="O15" s="15" t="n">
        <v>0.8279350182718287</v>
      </c>
      <c r="P15" s="15" t="n">
        <v>0.9968274401915009</v>
      </c>
      <c r="Q15" s="15" t="n">
        <v>0.0009620157431071472</v>
      </c>
      <c r="R15" s="15" t="n">
        <v>0.0226931834893057</v>
      </c>
      <c r="S15" s="15" t="n">
        <v>0.001869965562199972</v>
      </c>
      <c r="T15" s="29">
        <f>HIPERLINK($A$1 &amp; "\Dados\Imagem_perfil_15.png", "Imagem_perfil_15")</f>
        <v/>
      </c>
      <c r="U15" s="29">
        <f>HIPERLINK($A$1 &amp; "\Dados\Results_airgap15.txt", "Results_airgap15")</f>
        <v/>
      </c>
      <c r="V15" s="19" t="n"/>
      <c r="W15" s="43" t="n">
        <v>1.378521739130435</v>
      </c>
      <c r="X15" s="15" t="n">
        <v>0.6911488247701514</v>
      </c>
      <c r="Y15" s="15" t="n">
        <v>0.1508552485612658</v>
      </c>
      <c r="Z15" s="15" t="n">
        <v>0.1254438130022078</v>
      </c>
      <c r="AA15" s="15" t="n">
        <v>2.956239287469222</v>
      </c>
      <c r="AB15" s="15" t="n">
        <v>0.8860679816805712</v>
      </c>
      <c r="AC15" s="15" t="n">
        <v>7.501221886264059</v>
      </c>
      <c r="AD15" s="15" t="n">
        <v>28.90738453607919</v>
      </c>
      <c r="AE15" s="15" t="n">
        <v>68.43430055850514</v>
      </c>
      <c r="AF15" s="15" t="n">
        <v>107.9619687445128</v>
      </c>
      <c r="AH15" s="29">
        <f>HIPERLINK($A$1 &amp; "\Dados\Magnet_fields.txt_15.txt.txt", "Magnet_fields.txt_15.txt")</f>
        <v/>
      </c>
      <c r="AI15" t="n">
        <v>9656</v>
      </c>
      <c r="AJ15" t="n">
        <v>29</v>
      </c>
      <c r="AK15" s="29">
        <f>HIPERLINK($A$1 &amp; "\Dados\Magnet_3D_results.txt_15.txt.txt", "Magnet_3D_results.txt_15.txt")</f>
        <v/>
      </c>
      <c r="AL15" s="29">
        <f>HIPERLINK($A$1 &amp; "\Dados\Magnet_fields_2D.txt_15.txt.txt", "Magnet_fields_2D.txt_15.txt")</f>
        <v/>
      </c>
    </row>
    <row customHeight="1" ht="15.75" r="16" s="34">
      <c r="A16" s="38" t="n">
        <v>5000</v>
      </c>
      <c r="B16" s="37" t="n"/>
      <c r="E16" s="8" t="n">
        <v>120</v>
      </c>
      <c r="F16" s="15" t="n">
        <v>170</v>
      </c>
      <c r="G16" s="15" t="n">
        <v>350</v>
      </c>
      <c r="H16" s="15" t="n">
        <v>22</v>
      </c>
      <c r="I16" s="15" t="n">
        <v>140</v>
      </c>
      <c r="J16" s="13" t="n">
        <v>25</v>
      </c>
      <c r="K16" t="n">
        <v>35</v>
      </c>
      <c r="L16" s="13" t="n">
        <v>1.6</v>
      </c>
      <c r="M16" s="12" t="n"/>
      <c r="N16" s="8" t="n">
        <v>1.080857022559942</v>
      </c>
      <c r="O16" s="15" t="n">
        <v>0.8351027346046652</v>
      </c>
      <c r="P16" s="15" t="n">
        <v>1.005353504211919</v>
      </c>
      <c r="Q16" s="15" t="n">
        <v>0.0009612418158550167</v>
      </c>
      <c r="R16" s="15" t="n">
        <v>0.02324687607343195</v>
      </c>
      <c r="S16" s="15" t="n">
        <v>0.001882827182431154</v>
      </c>
      <c r="T16" s="29">
        <f>HIPERLINK($A$1 &amp; "\Dados\Imagem_perfil_16.png", "Imagem_perfil_16")</f>
        <v/>
      </c>
      <c r="U16" s="29">
        <f>HIPERLINK($A$1 &amp; "\Dados\Results_airgap16.txt", "Results_airgap16")</f>
        <v/>
      </c>
      <c r="V16" s="19" t="n"/>
      <c r="W16" s="15" t="n">
        <v>1.386362391304348</v>
      </c>
      <c r="X16" s="15" t="n">
        <v>0.6975254204530061</v>
      </c>
      <c r="Y16" s="15" t="n">
        <v>0.2334699261284437</v>
      </c>
      <c r="Z16" s="15" t="n">
        <v>0.0959926563868909</v>
      </c>
      <c r="AA16" s="15" t="n">
        <v>2.491947567844278</v>
      </c>
      <c r="AB16" s="15" t="n">
        <v>1.64766409963916</v>
      </c>
      <c r="AC16" s="15" t="n">
        <v>9.153077624847549</v>
      </c>
      <c r="AD16" s="15" t="n">
        <v>30.21755347248042</v>
      </c>
      <c r="AE16" s="15" t="n">
        <v>69.09301127532748</v>
      </c>
      <c r="AF16" s="15" t="n">
        <v>108.0476281972821</v>
      </c>
      <c r="AH16" s="29">
        <f>HIPERLINK($A$1 &amp; "\Dados\Magnet_fields.txt_16.txt.txt", "Magnet_fields.txt_16.txt")</f>
        <v/>
      </c>
      <c r="AI16" t="n">
        <v>9656</v>
      </c>
      <c r="AJ16" t="n">
        <v>30</v>
      </c>
      <c r="AK16" s="29">
        <f>HIPERLINK($A$1 &amp; "\Dados\Magnet_3D_results.txt_16.txt.txt", "Magnet_3D_results.txt_16.txt")</f>
        <v/>
      </c>
      <c r="AL16" s="29">
        <f>HIPERLINK($A$1 &amp; "\Dados\Magnet_fields_2D.txt_16.txt.txt", "Magnet_fields_2D.txt_16.txt")</f>
        <v/>
      </c>
    </row>
    <row customHeight="1" ht="15.75" r="17" s="34">
      <c r="A17" s="38" t="inlineStr">
        <is>
          <t>mu_mag</t>
        </is>
      </c>
      <c r="B17" s="37" t="n"/>
      <c r="E17" s="8" t="n">
        <v>120</v>
      </c>
      <c r="F17" s="15" t="n">
        <v>170</v>
      </c>
      <c r="G17" s="15" t="n">
        <v>350</v>
      </c>
      <c r="H17" s="15" t="n">
        <v>22</v>
      </c>
      <c r="I17" s="15" t="n">
        <v>140</v>
      </c>
      <c r="J17" s="13" t="n">
        <v>25</v>
      </c>
      <c r="K17" t="n">
        <v>35</v>
      </c>
      <c r="L17" s="13" t="n">
        <v>1.7</v>
      </c>
      <c r="M17" s="12" t="n"/>
      <c r="N17" s="8" t="n">
        <v>1.084855194884055</v>
      </c>
      <c r="O17" s="15" t="n">
        <v>0.8381856953124688</v>
      </c>
      <c r="P17" s="15" t="n">
        <v>1.009098124637401</v>
      </c>
      <c r="Q17" s="15" t="n">
        <v>0.0009619293444379472</v>
      </c>
      <c r="R17" s="15" t="n">
        <v>0.02341756452006895</v>
      </c>
      <c r="S17" s="15" t="n">
        <v>0.001887621365994371</v>
      </c>
      <c r="T17" s="29">
        <f>HIPERLINK($A$1 &amp; "\Dados\Imagem_perfil_17.png", "Imagem_perfil_17")</f>
        <v/>
      </c>
      <c r="U17" s="29">
        <f>HIPERLINK($A$1 &amp; "\Dados\Results_airgap17.txt", "Results_airgap17")</f>
        <v/>
      </c>
      <c r="V17" s="19" t="n"/>
      <c r="W17" s="15" t="n">
        <v>1.391079782608696</v>
      </c>
      <c r="X17" s="15" t="n">
        <v>0.70028604394879</v>
      </c>
      <c r="Y17" s="15" t="n">
        <v>0.3235812520684045</v>
      </c>
      <c r="Z17" s="15" t="n">
        <v>0.09317558923238231</v>
      </c>
      <c r="AA17" s="15" t="n">
        <v>2.377549910924319</v>
      </c>
      <c r="AB17" s="15" t="n">
        <v>2.127695825288693</v>
      </c>
      <c r="AC17" s="15" t="n">
        <v>10.1792333860542</v>
      </c>
      <c r="AD17" s="15" t="n">
        <v>31.07384738218005</v>
      </c>
      <c r="AE17" s="15" t="n">
        <v>69.48911332153416</v>
      </c>
      <c r="AF17" s="15" t="n">
        <v>108.1248360799703</v>
      </c>
      <c r="AH17" s="29">
        <f>HIPERLINK($A$1 &amp; "\Dados\Magnet_fields.txt_17.txt.txt", "Magnet_fields.txt_17.txt")</f>
        <v/>
      </c>
      <c r="AI17" t="n">
        <v>9656</v>
      </c>
      <c r="AJ17" t="n">
        <v>29</v>
      </c>
      <c r="AK17" s="29">
        <f>HIPERLINK($A$1 &amp; "\Dados\Magnet_3D_results.txt_17.txt.txt", "Magnet_3D_results.txt_17.txt")</f>
        <v/>
      </c>
      <c r="AL17" s="29">
        <f>HIPERLINK($A$1 &amp; "\Dados\Magnet_fields_2D.txt_17.txt.txt", "Magnet_fields_2D.txt_17.txt")</f>
        <v/>
      </c>
    </row>
    <row customHeight="1" ht="15.75" r="18" s="34">
      <c r="A18" s="38" t="n">
        <v>1.05</v>
      </c>
      <c r="B18" s="37" t="n"/>
      <c r="E18" s="8" t="n">
        <v>120</v>
      </c>
      <c r="F18" s="15" t="n">
        <v>170</v>
      </c>
      <c r="G18" s="15" t="n">
        <v>350</v>
      </c>
      <c r="H18" s="15" t="n">
        <v>22</v>
      </c>
      <c r="I18" s="15" t="n">
        <v>140</v>
      </c>
      <c r="J18" s="13" t="n">
        <v>25</v>
      </c>
      <c r="K18" t="n">
        <v>35</v>
      </c>
      <c r="L18" s="13" t="n">
        <v>1.8</v>
      </c>
      <c r="M18" s="12" t="n"/>
      <c r="N18" s="8" t="n">
        <v>1.084855194884055</v>
      </c>
      <c r="O18" s="15" t="n">
        <v>0.8381856953124688</v>
      </c>
      <c r="P18" s="15" t="n">
        <v>1.009098124637401</v>
      </c>
      <c r="Q18" s="15" t="n">
        <v>0.0009619293444379472</v>
      </c>
      <c r="R18" s="15" t="n">
        <v>0.02341756452006895</v>
      </c>
      <c r="S18" s="15" t="n">
        <v>0.001887621365994371</v>
      </c>
      <c r="T18" s="29">
        <f>HIPERLINK($A$1 &amp; "\Dados\Imagem_perfil_18.png", "Imagem_perfil_18")</f>
        <v/>
      </c>
      <c r="U18" s="29">
        <f>HIPERLINK($A$1 &amp; "\Dados\Results_airgap18.txt", "Results_airgap18")</f>
        <v/>
      </c>
      <c r="V18" s="19" t="n"/>
      <c r="W18" s="15" t="n">
        <v>1.394084565217391</v>
      </c>
      <c r="X18" s="15" t="n">
        <v>0.7002860439487897</v>
      </c>
      <c r="Y18" s="15" t="n">
        <v>0.417348455252116</v>
      </c>
      <c r="Z18" s="15" t="n">
        <v>0.09317558923238231</v>
      </c>
      <c r="AA18" s="15" t="n">
        <v>2.377549910924319</v>
      </c>
      <c r="AB18" s="15" t="n">
        <v>2.456087529793199</v>
      </c>
      <c r="AC18" s="15" t="n">
        <v>10.85626258109857</v>
      </c>
      <c r="AD18" s="15" t="n">
        <v>31.62671422968133</v>
      </c>
      <c r="AE18" s="15" t="n">
        <v>69.75892356855111</v>
      </c>
      <c r="AF18" s="15" t="n">
        <v>108.1923236040996</v>
      </c>
      <c r="AH18" s="29">
        <f>HIPERLINK($A$1 &amp; "\Dados\Magnet_fields.txt_18.txt.txt", "Magnet_fields.txt_18.txt")</f>
        <v/>
      </c>
      <c r="AI18" t="n">
        <v>9656</v>
      </c>
      <c r="AJ18" t="n">
        <v>29</v>
      </c>
      <c r="AK18" s="29">
        <f>HIPERLINK($A$1 &amp; "\Dados\Magnet_3D_results.txt_18.txt.txt", "Magnet_3D_results.txt_18.txt")</f>
        <v/>
      </c>
      <c r="AL18" s="29">
        <f>HIPERLINK($A$1 &amp; "\Dados\Magnet_fields_2D.txt_18.txt.txt", "Magnet_fields_2D.txt_18.txt")</f>
        <v/>
      </c>
    </row>
    <row customHeight="1" ht="15.75" r="19" s="34">
      <c r="A19" s="38" t="inlineStr">
        <is>
          <t>fractions phi</t>
        </is>
      </c>
      <c r="B19" s="37" t="n"/>
      <c r="E19" s="8" t="n">
        <v>120</v>
      </c>
      <c r="F19" s="15" t="n">
        <v>170</v>
      </c>
      <c r="G19" s="15" t="n">
        <v>350</v>
      </c>
      <c r="H19" s="15" t="n">
        <v>22</v>
      </c>
      <c r="I19" s="15" t="n">
        <v>140</v>
      </c>
      <c r="J19" s="13" t="n">
        <v>25</v>
      </c>
      <c r="K19" t="n">
        <v>35</v>
      </c>
      <c r="L19" s="13" t="n">
        <v>1.900000000000001</v>
      </c>
      <c r="M19" s="12" t="n"/>
      <c r="N19" s="8" t="n">
        <v>1.088040477068019</v>
      </c>
      <c r="O19" s="15" t="n">
        <v>0.8406552841580883</v>
      </c>
      <c r="P19" s="15" t="n">
        <v>1.012072295447323</v>
      </c>
      <c r="Q19" s="15" t="n">
        <v>0.0009623593693629186</v>
      </c>
      <c r="R19" s="15" t="n">
        <v>0.02357396262340074</v>
      </c>
      <c r="S19" s="15" t="n">
        <v>0.001891782945589475</v>
      </c>
      <c r="T19" s="29">
        <f>HIPERLINK($A$1 &amp; "\Dados\Imagem_perfil_19.png", "Imagem_perfil_19")</f>
        <v/>
      </c>
      <c r="U19" s="29">
        <f>HIPERLINK($A$1 &amp; "\Dados\Results_airgap19.txt", "Results_airgap19")</f>
        <v/>
      </c>
      <c r="V19" s="19" t="n"/>
      <c r="W19" s="15" t="n">
        <v>1.396153913043479</v>
      </c>
      <c r="X19" s="15" t="n">
        <v>0.7025274158072016</v>
      </c>
      <c r="Y19" s="15" t="n">
        <v>0.512197349417484</v>
      </c>
      <c r="Z19" s="15" t="n">
        <v>0.08681688776167339</v>
      </c>
      <c r="AA19" s="15" t="n">
        <v>2.233607096064384</v>
      </c>
      <c r="AB19" s="15" t="n">
        <v>2.650978977843323</v>
      </c>
      <c r="AC19" s="15" t="n">
        <v>11.32817789100671</v>
      </c>
      <c r="AD19" s="15" t="n">
        <v>32.04192524142509</v>
      </c>
      <c r="AE19" s="15" t="n">
        <v>69.94010187351513</v>
      </c>
      <c r="AF19" s="15" t="n">
        <v>108.218315570933</v>
      </c>
      <c r="AH19" s="29">
        <f>HIPERLINK($A$1 &amp; "\Dados\Magnet_fields.txt_19.txt.txt", "Magnet_fields.txt_19.txt")</f>
        <v/>
      </c>
      <c r="AI19" t="n">
        <v>9656</v>
      </c>
      <c r="AJ19" t="n">
        <v>183</v>
      </c>
      <c r="AK19" s="29">
        <f>HIPERLINK($A$1 &amp; "\Dados\Magnet_3D_results.txt_19.txt.txt", "Magnet_3D_results.txt_19.txt")</f>
        <v/>
      </c>
      <c r="AL19" s="29">
        <f>HIPERLINK($A$1 &amp; "\Dados\Magnet_fields_2D.txt_19.txt.txt", "Magnet_fields_2D.txt_19.txt")</f>
        <v/>
      </c>
    </row>
    <row customHeight="1" ht="15.75" r="20" s="34">
      <c r="A20" s="38" t="inlineStr">
        <is>
          <t>20-20-20-20-20</t>
        </is>
      </c>
      <c r="B20" s="37" t="n"/>
      <c r="E20" s="8" t="n">
        <v>120</v>
      </c>
      <c r="F20" s="15" t="n">
        <v>170</v>
      </c>
      <c r="G20" s="15" t="n">
        <v>350</v>
      </c>
      <c r="H20" s="15" t="n">
        <v>22</v>
      </c>
      <c r="I20" s="15" t="n">
        <v>140</v>
      </c>
      <c r="J20" s="13" t="n">
        <v>25</v>
      </c>
      <c r="K20" t="n">
        <v>35</v>
      </c>
      <c r="L20" s="13" t="n">
        <v>2.000000000000001</v>
      </c>
      <c r="M20" s="12" t="n"/>
      <c r="N20" s="8" t="n">
        <v>1.08905119828586</v>
      </c>
      <c r="O20" s="15" t="n">
        <v>0.8415090144922454</v>
      </c>
      <c r="P20" s="15" t="n">
        <v>1.013007543987463</v>
      </c>
      <c r="Q20" s="15" t="n">
        <v>0.0009614370602939688</v>
      </c>
      <c r="R20" s="15" t="n">
        <v>0.02371582994973714</v>
      </c>
      <c r="S20" s="15" t="n">
        <v>0.001894328186841758</v>
      </c>
      <c r="T20" s="29">
        <f>HIPERLINK($A$1 &amp; "\Dados\Imagem_perfil_20.png", "Imagem_perfil_20")</f>
        <v/>
      </c>
      <c r="U20" s="29">
        <f>HIPERLINK($A$1 &amp; "\Dados\Results_airgap20.txt", "Results_airgap20")</f>
        <v/>
      </c>
      <c r="V20" s="19" t="n"/>
      <c r="W20" s="15" t="n">
        <v>1.397735</v>
      </c>
      <c r="X20" s="15" t="n">
        <v>0.7032643935350081</v>
      </c>
      <c r="Y20" s="15" t="n">
        <v>0.6064267661419583</v>
      </c>
      <c r="Z20" s="15" t="n">
        <v>0.07842814898450039</v>
      </c>
      <c r="AA20" s="15" t="n">
        <v>2.064253640996621</v>
      </c>
      <c r="AB20" s="15" t="n">
        <v>2.853083356904402</v>
      </c>
      <c r="AC20" s="15" t="n">
        <v>11.68965984263712</v>
      </c>
      <c r="AD20" s="15" t="n">
        <v>32.34242679146207</v>
      </c>
      <c r="AE20" s="15" t="n">
        <v>70.09516139263235</v>
      </c>
      <c r="AF20" s="15" t="n">
        <v>108.2655543559141</v>
      </c>
      <c r="AH20" s="29">
        <f>HIPERLINK($A$1 &amp; "\Dados\Magnet_fields.txt_20.txt.txt", "Magnet_fields.txt_20.txt")</f>
        <v/>
      </c>
      <c r="AI20" t="n">
        <v>9656</v>
      </c>
      <c r="AJ20" t="n">
        <v>30</v>
      </c>
      <c r="AK20" s="29">
        <f>HIPERLINK($A$1 &amp; "\Dados\Magnet_3D_results.txt_20.txt.txt", "Magnet_3D_results.txt_20.txt")</f>
        <v/>
      </c>
      <c r="AL20" s="29">
        <f>HIPERLINK($A$1 &amp; "\Dados\Magnet_fields_2D.txt_20.txt.txt", "Magnet_fields_2D.txt_20.txt")</f>
        <v/>
      </c>
    </row>
    <row customHeight="1" ht="15.75" r="21" s="34">
      <c r="A21" s="38" t="inlineStr">
        <is>
          <t>Saturação</t>
        </is>
      </c>
      <c r="B21" s="37" t="n"/>
      <c r="E21" s="8" t="n">
        <v>120</v>
      </c>
      <c r="F21" s="15" t="n">
        <v>170</v>
      </c>
      <c r="G21" s="15" t="n">
        <v>350</v>
      </c>
      <c r="H21" s="15" t="n">
        <v>22</v>
      </c>
      <c r="I21" s="15" t="n">
        <v>140</v>
      </c>
      <c r="J21" s="13" t="n">
        <v>25</v>
      </c>
      <c r="K21" t="n">
        <v>35</v>
      </c>
      <c r="L21" s="13" t="n">
        <v>2.100000000000001</v>
      </c>
      <c r="M21" s="12" t="n"/>
      <c r="N21" s="8" t="n">
        <v>1.08905119828586</v>
      </c>
      <c r="O21" s="15" t="n">
        <v>0.8415090144922456</v>
      </c>
      <c r="P21" s="15" t="n">
        <v>1.013007543987463</v>
      </c>
      <c r="Q21" s="15" t="n">
        <v>0.0009614370602939687</v>
      </c>
      <c r="R21" s="15" t="n">
        <v>0.02371582994973714</v>
      </c>
      <c r="S21" s="15" t="n">
        <v>0.001894328186841758</v>
      </c>
      <c r="T21" s="29">
        <f>HIPERLINK($A$1 &amp; "\Dados\Imagem_perfil_21.png", "Imagem_perfil_21")</f>
        <v/>
      </c>
      <c r="U21" s="29">
        <f>HIPERLINK($A$1 &amp; "\Dados\Results_airgap21.txt", "Results_airgap21")</f>
        <v/>
      </c>
      <c r="V21" s="19" t="n"/>
      <c r="W21" s="15" t="n">
        <v>1.398910217391304</v>
      </c>
      <c r="X21" s="15" t="n">
        <v>0.7032643935350085</v>
      </c>
      <c r="Y21" s="15" t="n">
        <v>0.6989302361680998</v>
      </c>
      <c r="Z21" s="15" t="n">
        <v>0.07842814898450039</v>
      </c>
      <c r="AA21" s="15" t="n">
        <v>2.064253640996621</v>
      </c>
      <c r="AB21" s="15" t="n">
        <v>2.919275308717842</v>
      </c>
      <c r="AC21" s="15" t="n">
        <v>11.97380195262691</v>
      </c>
      <c r="AD21" s="15" t="n">
        <v>32.58902013367284</v>
      </c>
      <c r="AE21" s="15" t="n">
        <v>70.21561224018667</v>
      </c>
      <c r="AF21" s="15" t="n">
        <v>108.3003287477423</v>
      </c>
      <c r="AH21" s="29">
        <f>HIPERLINK($A$1 &amp; "\Dados\Magnet_fields.txt_21.txt.txt", "Magnet_fields.txt_21.txt")</f>
        <v/>
      </c>
      <c r="AI21" t="n">
        <v>9656</v>
      </c>
      <c r="AJ21" t="n">
        <v>29</v>
      </c>
      <c r="AK21" s="29">
        <f>HIPERLINK($A$1 &amp; "\Dados\Magnet_3D_results.txt_21.txt.txt", "Magnet_3D_results.txt_21.txt")</f>
        <v/>
      </c>
      <c r="AL21" s="29">
        <f>HIPERLINK($A$1 &amp; "\Dados\Magnet_fields_2D.txt_21.txt.txt", "Magnet_fields_2D.txt_21.txt")</f>
        <v/>
      </c>
    </row>
    <row customHeight="1" ht="15.75" r="22" s="34">
      <c r="A22" s="38" t="inlineStr">
        <is>
          <t>2T</t>
        </is>
      </c>
      <c r="B22" s="37" t="n"/>
      <c r="E22" s="8" t="n">
        <v>120</v>
      </c>
      <c r="F22" s="15" t="n">
        <v>170</v>
      </c>
      <c r="G22" s="15" t="n">
        <v>350</v>
      </c>
      <c r="H22" s="15" t="n">
        <v>24</v>
      </c>
      <c r="I22" s="15" t="n">
        <v>140</v>
      </c>
      <c r="J22" s="13" t="n">
        <v>25</v>
      </c>
      <c r="K22" t="n">
        <v>35</v>
      </c>
      <c r="L22" s="13" t="n">
        <v>1.3</v>
      </c>
      <c r="M22" s="12" t="n"/>
      <c r="N22" s="8" t="n">
        <v>1.038945777845917</v>
      </c>
      <c r="O22" s="15" t="n">
        <v>0.7906048923316474</v>
      </c>
      <c r="P22" s="15" t="n">
        <v>0.96451917107623</v>
      </c>
      <c r="Q22" s="15" t="n">
        <v>0.0009853837650511026</v>
      </c>
      <c r="R22" s="15" t="n">
        <v>0.0214135909107953</v>
      </c>
      <c r="S22" s="15" t="n">
        <v>0.001922323371000923</v>
      </c>
      <c r="T22" s="29">
        <f>HIPERLINK($A$1 &amp; "\Dados\Imagem_perfil_22.png", "Imagem_perfil_22")</f>
        <v/>
      </c>
      <c r="U22" s="29">
        <f>HIPERLINK($A$1 &amp; "\Dados\Results_airgap22.txt", "Results_airgap22")</f>
        <v/>
      </c>
      <c r="V22" s="19" t="n"/>
      <c r="W22" s="43" t="n">
        <v>1.332245217391304</v>
      </c>
      <c r="X22" s="15" t="n">
        <v>0.6664768682922816</v>
      </c>
      <c r="Y22" s="15" t="n">
        <v>0.0321148852868071</v>
      </c>
      <c r="Z22" s="15" t="n">
        <v>0.3214579690457413</v>
      </c>
      <c r="AA22" s="15" t="n">
        <v>3.91840264037189</v>
      </c>
      <c r="AB22" s="15" t="n">
        <v>0</v>
      </c>
      <c r="AC22" s="15" t="n">
        <v>0</v>
      </c>
      <c r="AD22" s="15" t="n">
        <v>20.55627965087489</v>
      </c>
      <c r="AE22" s="15" t="n">
        <v>64.59553258399684</v>
      </c>
      <c r="AF22" s="15" t="n">
        <v>106.8975720202433</v>
      </c>
      <c r="AH22" s="29">
        <f>HIPERLINK($A$1 &amp; "\Dados\Magnet_fields.txt_22.txt.txt", "Magnet_fields.txt_22.txt")</f>
        <v/>
      </c>
      <c r="AI22" t="n">
        <v>9493</v>
      </c>
      <c r="AJ22" t="n">
        <v>30</v>
      </c>
      <c r="AK22" s="29">
        <f>HIPERLINK($A$1 &amp; "\Dados\Magnet_3D_results.txt_22.txt.txt", "Magnet_3D_results.txt_22.txt")</f>
        <v/>
      </c>
      <c r="AL22" s="29">
        <f>HIPERLINK($A$1 &amp; "\Dados\Magnet_fields_2D.txt_22.txt.txt", "Magnet_fields_2D.txt_22.txt")</f>
        <v/>
      </c>
    </row>
    <row customHeight="1" ht="15.75" r="23" s="34">
      <c r="A23" s="36" t="inlineStr">
        <is>
          <t>Coercividade</t>
        </is>
      </c>
      <c r="B23" s="37" t="n"/>
      <c r="E23" s="8" t="n">
        <v>120</v>
      </c>
      <c r="F23" s="15" t="n">
        <v>170</v>
      </c>
      <c r="G23" s="15" t="n">
        <v>350</v>
      </c>
      <c r="H23" s="15" t="n">
        <v>24</v>
      </c>
      <c r="I23" s="15" t="n">
        <v>140</v>
      </c>
      <c r="J23" s="13" t="n">
        <v>25</v>
      </c>
      <c r="K23" t="n">
        <v>35</v>
      </c>
      <c r="L23" s="13" t="n">
        <v>1.4</v>
      </c>
      <c r="M23" s="12" t="n"/>
      <c r="N23" s="8" t="n">
        <v>1.064096407522306</v>
      </c>
      <c r="O23" s="15" t="n">
        <v>0.810367651205292</v>
      </c>
      <c r="P23" s="15" t="n">
        <v>0.9880418072882005</v>
      </c>
      <c r="Q23" s="15" t="n">
        <v>0.0009873871665046557</v>
      </c>
      <c r="R23" s="15" t="n">
        <v>0.02277472315402285</v>
      </c>
      <c r="S23" s="15" t="n">
        <v>0.001961616090610021</v>
      </c>
      <c r="T23" s="29">
        <f>HIPERLINK($A$1 &amp; "\Dados\Imagem_perfil_23.png", "Imagem_perfil_23")</f>
        <v/>
      </c>
      <c r="U23" s="29">
        <f>HIPERLINK($A$1 &amp; "\Dados\Results_airgap23.txt", "Results_airgap23")</f>
        <v/>
      </c>
      <c r="V23" s="19" t="n"/>
      <c r="W23" s="43" t="n">
        <v>1.363148695652174</v>
      </c>
      <c r="X23" s="15" t="n">
        <v>0.6837925737634397</v>
      </c>
      <c r="Y23" s="15" t="n">
        <v>0.08128554083246518</v>
      </c>
      <c r="Z23" s="15" t="n">
        <v>0.1986938052880661</v>
      </c>
      <c r="AA23" s="15" t="n">
        <v>2.745791889007601</v>
      </c>
      <c r="AB23" s="15" t="n">
        <v>0</v>
      </c>
      <c r="AC23" s="15" t="n">
        <v>4.372442005369735</v>
      </c>
      <c r="AD23" s="15" t="n">
        <v>26.44004697513983</v>
      </c>
      <c r="AE23" s="15" t="n">
        <v>67.29256814522314</v>
      </c>
      <c r="AF23" s="15" t="n">
        <v>107.7360048473176</v>
      </c>
      <c r="AH23" s="29">
        <f>HIPERLINK($A$1 &amp; "\Dados\Magnet_fields.txt_23.txt.txt", "Magnet_fields.txt_23.txt")</f>
        <v/>
      </c>
      <c r="AI23" t="n">
        <v>9493</v>
      </c>
      <c r="AJ23" t="n">
        <v>30</v>
      </c>
      <c r="AK23" s="29">
        <f>HIPERLINK($A$1 &amp; "\Dados\Magnet_3D_results.txt_23.txt.txt", "Magnet_3D_results.txt_23.txt")</f>
        <v/>
      </c>
      <c r="AL23" s="29">
        <f>HIPERLINK($A$1 &amp; "\Dados\Magnet_fields_2D.txt_23.txt.txt", "Magnet_fields_2D.txt_23.txt")</f>
        <v/>
      </c>
    </row>
    <row customHeight="1" ht="15.75" r="24" s="34">
      <c r="A24" s="36" t="inlineStr">
        <is>
          <t>1080kA/m</t>
        </is>
      </c>
      <c r="B24" s="37" t="n"/>
      <c r="E24" s="8" t="n">
        <v>120</v>
      </c>
      <c r="F24" s="15" t="n">
        <v>170</v>
      </c>
      <c r="G24" s="15" t="n">
        <v>350</v>
      </c>
      <c r="H24" s="15" t="n">
        <v>24</v>
      </c>
      <c r="I24" s="15" t="n">
        <v>140</v>
      </c>
      <c r="J24" s="13" t="n">
        <v>25</v>
      </c>
      <c r="K24" t="n">
        <v>35</v>
      </c>
      <c r="L24" s="13" t="n">
        <v>1.5</v>
      </c>
      <c r="M24" s="12" t="n"/>
      <c r="N24" s="8" t="n">
        <v>1.074519221904748</v>
      </c>
      <c r="O24" s="15" t="n">
        <v>0.8185732154499149</v>
      </c>
      <c r="P24" s="15" t="n">
        <v>0.9978956767091404</v>
      </c>
      <c r="Q24" s="15" t="n">
        <v>0.000988680333863134</v>
      </c>
      <c r="R24" s="15" t="n">
        <v>0.0232715470996657</v>
      </c>
      <c r="S24" s="15" t="n">
        <v>0.001976183075146154</v>
      </c>
      <c r="T24" s="29">
        <f>HIPERLINK($A$1 &amp; "\Dados\Imagem_perfil_24.png", "Imagem_perfil_24")</f>
        <v/>
      </c>
      <c r="U24" s="29">
        <f>HIPERLINK($A$1 &amp; "\Dados\Results_airgap24.txt", "Results_airgap24")</f>
        <v/>
      </c>
      <c r="V24" s="19" t="n"/>
      <c r="W24" s="43" t="n">
        <v>1.378541086956522</v>
      </c>
      <c r="X24" s="15" t="n">
        <v>0.6910343448602804</v>
      </c>
      <c r="Y24" s="15" t="n">
        <v>0.1508398443584353</v>
      </c>
      <c r="Z24" s="15" t="n">
        <v>0.1547013352898312</v>
      </c>
      <c r="AA24" s="15" t="n">
        <v>2.37576397334799</v>
      </c>
      <c r="AB24" s="15" t="n">
        <v>0.8711504764644172</v>
      </c>
      <c r="AC24" s="15" t="n">
        <v>7.498285387125063</v>
      </c>
      <c r="AD24" s="15" t="n">
        <v>28.90753845228428</v>
      </c>
      <c r="AE24" s="15" t="n">
        <v>68.45918349171846</v>
      </c>
      <c r="AF24" s="15" t="n">
        <v>107.9270356806152</v>
      </c>
      <c r="AH24" s="29">
        <f>HIPERLINK($A$1 &amp; "\Dados\Magnet_fields.txt_24.txt.txt", "Magnet_fields.txt_24.txt")</f>
        <v/>
      </c>
      <c r="AI24" t="n">
        <v>9493</v>
      </c>
      <c r="AJ24" t="n">
        <v>30</v>
      </c>
      <c r="AK24" s="29">
        <f>HIPERLINK($A$1 &amp; "\Dados\Magnet_3D_results.txt_24.txt.txt", "Magnet_3D_results.txt_24.txt")</f>
        <v/>
      </c>
      <c r="AL24" s="29">
        <f>HIPERLINK($A$1 &amp; "\Dados\Magnet_fields_2D.txt_24.txt.txt", "Magnet_fields_2D.txt_24.txt")</f>
        <v/>
      </c>
    </row>
    <row customHeight="1" ht="15.75" r="25" s="34">
      <c r="A25" s="36" t="inlineStr">
        <is>
          <t>L_reg</t>
        </is>
      </c>
      <c r="B25" s="37" t="n"/>
      <c r="E25" s="8" t="n">
        <v>120</v>
      </c>
      <c r="F25" s="15" t="n">
        <v>170</v>
      </c>
      <c r="G25" s="15" t="n">
        <v>350</v>
      </c>
      <c r="H25" s="15" t="n">
        <v>24</v>
      </c>
      <c r="I25" s="15" t="n">
        <v>140</v>
      </c>
      <c r="J25" s="13" t="n">
        <v>25</v>
      </c>
      <c r="K25" t="n">
        <v>35</v>
      </c>
      <c r="L25" s="13" t="n">
        <v>1.6</v>
      </c>
      <c r="M25" s="12" t="n"/>
      <c r="N25" s="8" t="n">
        <v>1.083517752587521</v>
      </c>
      <c r="O25" s="15" t="n">
        <v>0.8256807143226039</v>
      </c>
      <c r="P25" s="15" t="n">
        <v>1.006345196012947</v>
      </c>
      <c r="Q25" s="15" t="n">
        <v>0.0009876604422451635</v>
      </c>
      <c r="R25" s="15" t="n">
        <v>0.02380745007591903</v>
      </c>
      <c r="S25" s="15" t="n">
        <v>0.001989407196276077</v>
      </c>
      <c r="T25" s="29">
        <f>HIPERLINK($A$1 &amp; "\Dados\Imagem_perfil_25.png", "Imagem_perfil_25")</f>
        <v/>
      </c>
      <c r="U25" s="29">
        <f>HIPERLINK($A$1 &amp; "\Dados\Results_airgap25.txt", "Results_airgap25")</f>
        <v/>
      </c>
      <c r="V25" s="19" t="n"/>
      <c r="W25" s="15" t="n">
        <v>1.386444347826087</v>
      </c>
      <c r="X25" s="15" t="n">
        <v>0.6973190601044738</v>
      </c>
      <c r="Y25" s="15" t="n">
        <v>0.2334520244859478</v>
      </c>
      <c r="Z25" s="15" t="n">
        <v>0.09967795488170256</v>
      </c>
      <c r="AA25" s="15" t="n">
        <v>1.914517179575703</v>
      </c>
      <c r="AB25" s="15" t="n">
        <v>1.677720539913552</v>
      </c>
      <c r="AC25" s="15" t="n">
        <v>9.16104939861372</v>
      </c>
      <c r="AD25" s="15" t="n">
        <v>30.23101566555439</v>
      </c>
      <c r="AE25" s="15" t="n">
        <v>69.08353993061942</v>
      </c>
      <c r="AF25" s="15" t="n">
        <v>108.0426179680607</v>
      </c>
      <c r="AH25" s="29">
        <f>HIPERLINK($A$1 &amp; "\Dados\Magnet_fields.txt_25.txt.txt", "Magnet_fields.txt_25.txt")</f>
        <v/>
      </c>
      <c r="AI25" t="n">
        <v>9493</v>
      </c>
      <c r="AJ25" t="n">
        <v>29</v>
      </c>
      <c r="AK25" s="29">
        <f>HIPERLINK($A$1 &amp; "\Dados\Magnet_3D_results.txt_25.txt.txt", "Magnet_3D_results.txt_25.txt")</f>
        <v/>
      </c>
      <c r="AL25" s="29">
        <f>HIPERLINK($A$1 &amp; "\Dados\Magnet_fields_2D.txt_25.txt.txt", "Magnet_fields_2D.txt_25.txt")</f>
        <v/>
      </c>
    </row>
    <row customHeight="1" ht="15.75" r="26" s="34">
      <c r="A26" s="36" t="inlineStr">
        <is>
          <t>120mm</t>
        </is>
      </c>
      <c r="B26" s="37" t="n"/>
      <c r="E26" s="8" t="n">
        <v>120</v>
      </c>
      <c r="F26" s="15" t="n">
        <v>170</v>
      </c>
      <c r="G26" s="15" t="n">
        <v>350</v>
      </c>
      <c r="H26" s="15" t="n">
        <v>24</v>
      </c>
      <c r="I26" s="15" t="n">
        <v>140</v>
      </c>
      <c r="J26" s="13" t="n">
        <v>25</v>
      </c>
      <c r="K26" t="n">
        <v>35</v>
      </c>
      <c r="L26" s="13" t="n">
        <v>1.7</v>
      </c>
      <c r="M26" s="12" t="n"/>
      <c r="N26" s="8" t="n">
        <v>1.087471808676651</v>
      </c>
      <c r="O26" s="15" t="n">
        <v>0.8287762639960323</v>
      </c>
      <c r="P26" s="15" t="n">
        <v>1.01005186073328</v>
      </c>
      <c r="Q26" s="15" t="n">
        <v>0.0009882898250175758</v>
      </c>
      <c r="R26" s="15" t="n">
        <v>0.02397247091864358</v>
      </c>
      <c r="S26" s="15" t="n">
        <v>0.001994277405067323</v>
      </c>
      <c r="T26" s="29">
        <f>HIPERLINK($A$1 &amp; "\Dados\Imagem_perfil_26.png", "Imagem_perfil_26")</f>
        <v/>
      </c>
      <c r="U26" s="29">
        <f>HIPERLINK($A$1 &amp; "\Dados\Results_airgap26.txt", "Results_airgap26")</f>
        <v/>
      </c>
      <c r="V26" s="19" t="n"/>
      <c r="W26" s="15" t="n">
        <v>1.390861956521739</v>
      </c>
      <c r="X26" s="15" t="n">
        <v>0.7000532595767462</v>
      </c>
      <c r="Y26" s="15" t="n">
        <v>0.3235616081141232</v>
      </c>
      <c r="Z26" s="15" t="n">
        <v>0.09967795488170256</v>
      </c>
      <c r="AA26" s="15" t="n">
        <v>1.750554904679321</v>
      </c>
      <c r="AB26" s="15" t="n">
        <v>2.163214275468966</v>
      </c>
      <c r="AC26" s="15" t="n">
        <v>10.13234602365596</v>
      </c>
      <c r="AD26" s="15" t="n">
        <v>31.0093078222015</v>
      </c>
      <c r="AE26" s="15" t="n">
        <v>69.4471351448947</v>
      </c>
      <c r="AF26" s="15" t="n">
        <v>108.1422951828579</v>
      </c>
      <c r="AH26" s="29">
        <f>HIPERLINK($A$1 &amp; "\Dados\Magnet_fields.txt_26.txt.txt", "Magnet_fields.txt_26.txt")</f>
        <v/>
      </c>
      <c r="AI26" t="n">
        <v>9493</v>
      </c>
      <c r="AJ26" t="n">
        <v>30</v>
      </c>
      <c r="AK26" s="29">
        <f>HIPERLINK($A$1 &amp; "\Dados\Magnet_3D_results.txt_26.txt.txt", "Magnet_3D_results.txt_26.txt")</f>
        <v/>
      </c>
      <c r="AL26" s="29">
        <f>HIPERLINK($A$1 &amp; "\Dados\Magnet_fields_2D.txt_26.txt.txt", "Magnet_fields_2D.txt_26.txt")</f>
        <v/>
      </c>
    </row>
    <row customHeight="1" ht="15.75" r="27" s="34">
      <c r="A27" s="36" t="inlineStr">
        <is>
          <t>nII</t>
        </is>
      </c>
      <c r="B27" s="37" t="n"/>
      <c r="E27" s="8" t="n">
        <v>120</v>
      </c>
      <c r="F27" s="15" t="n">
        <v>170</v>
      </c>
      <c r="G27" s="15" t="n">
        <v>350</v>
      </c>
      <c r="H27" s="15" t="n">
        <v>24</v>
      </c>
      <c r="I27" s="15" t="n">
        <v>140</v>
      </c>
      <c r="J27" s="13" t="n">
        <v>25</v>
      </c>
      <c r="K27" t="n">
        <v>35</v>
      </c>
      <c r="L27" s="13" t="n">
        <v>1.8</v>
      </c>
      <c r="M27" s="12" t="n"/>
      <c r="N27" s="8" t="n">
        <v>1.087471808676651</v>
      </c>
      <c r="O27" s="15" t="n">
        <v>0.8287762639960324</v>
      </c>
      <c r="P27" s="15" t="n">
        <v>1.01005186073328</v>
      </c>
      <c r="Q27" s="15" t="n">
        <v>0.0009882898250175756</v>
      </c>
      <c r="R27" s="15" t="n">
        <v>0.02397247091864358</v>
      </c>
      <c r="S27" s="15" t="n">
        <v>0.001994277405067323</v>
      </c>
      <c r="T27" s="29">
        <f>HIPERLINK($A$1 &amp; "\Dados\Imagem_perfil_27.png", "Imagem_perfil_27")</f>
        <v/>
      </c>
      <c r="U27" s="29">
        <f>HIPERLINK($A$1 &amp; "\Dados\Results_airgap27.txt", "Results_airgap27")</f>
        <v/>
      </c>
      <c r="V27" s="19" t="n"/>
      <c r="W27" s="15" t="n">
        <v>1.394086086956522</v>
      </c>
      <c r="X27" s="15" t="n">
        <v>0.7000532595767465</v>
      </c>
      <c r="Y27" s="15" t="n">
        <v>0.4173271279277578</v>
      </c>
      <c r="Z27" s="15" t="n">
        <v>0.09967795488170256</v>
      </c>
      <c r="AA27" s="15" t="n">
        <v>1.750554904679321</v>
      </c>
      <c r="AB27" s="15" t="n">
        <v>2.440664993436959</v>
      </c>
      <c r="AC27" s="15" t="n">
        <v>10.85652374553317</v>
      </c>
      <c r="AD27" s="15" t="n">
        <v>31.62681214169737</v>
      </c>
      <c r="AE27" s="15" t="n">
        <v>69.75293106359362</v>
      </c>
      <c r="AF27" s="15" t="n">
        <v>108.188604928286</v>
      </c>
      <c r="AH27" s="29">
        <f>HIPERLINK($A$1 &amp; "\Dados\Magnet_fields.txt_27.txt.txt", "Magnet_fields.txt_27.txt")</f>
        <v/>
      </c>
      <c r="AI27" t="n">
        <v>9493</v>
      </c>
      <c r="AJ27" t="n">
        <v>29</v>
      </c>
      <c r="AK27" s="29">
        <f>HIPERLINK($A$1 &amp; "\Dados\Magnet_3D_results.txt_27.txt.txt", "Magnet_3D_results.txt_27.txt")</f>
        <v/>
      </c>
      <c r="AL27" s="29">
        <f>HIPERLINK($A$1 &amp; "\Dados\Magnet_fields_2D.txt_27.txt.txt", "Magnet_fields_2D.txt_27.txt")</f>
        <v/>
      </c>
    </row>
    <row customHeight="1" ht="15.75" r="28" s="34">
      <c r="A28" s="36" t="n">
        <v>0</v>
      </c>
      <c r="B28" s="37" t="n"/>
      <c r="E28" s="8" t="n">
        <v>120</v>
      </c>
      <c r="F28" s="15" t="n">
        <v>170</v>
      </c>
      <c r="G28" s="15" t="n">
        <v>350</v>
      </c>
      <c r="H28" s="15" t="n">
        <v>24</v>
      </c>
      <c r="I28" s="15" t="n">
        <v>140</v>
      </c>
      <c r="J28" s="13" t="n">
        <v>25</v>
      </c>
      <c r="K28" t="n">
        <v>35</v>
      </c>
      <c r="L28" s="13" t="n">
        <v>1.900000000000001</v>
      </c>
      <c r="M28" s="12" t="n"/>
      <c r="N28" s="8" t="n">
        <v>1.090609604002631</v>
      </c>
      <c r="O28" s="15" t="n">
        <v>0.8312597440291731</v>
      </c>
      <c r="P28" s="15" t="n">
        <v>1.01302336538716</v>
      </c>
      <c r="Q28" s="15" t="n">
        <v>0.0009886542700555353</v>
      </c>
      <c r="R28" s="15" t="n">
        <v>0.02412328564971547</v>
      </c>
      <c r="S28" s="15" t="n">
        <v>0.001998500341506126</v>
      </c>
      <c r="T28" s="29">
        <f>HIPERLINK($A$1 &amp; "\Dados\Imagem_perfil_28.png", "Imagem_perfil_28")</f>
        <v/>
      </c>
      <c r="U28" s="29">
        <f>HIPERLINK($A$1 &amp; "\Dados\Results_airgap28.txt", "Results_airgap28")</f>
        <v/>
      </c>
      <c r="V28" s="19" t="n"/>
      <c r="W28" s="15" t="n">
        <v>1.396166521739131</v>
      </c>
      <c r="X28" s="15" t="n">
        <v>0.7022670940070634</v>
      </c>
      <c r="Y28" s="15" t="n">
        <v>0.5121749950448976</v>
      </c>
      <c r="Z28" s="15" t="n">
        <v>0.09967795488170256</v>
      </c>
      <c r="AA28" s="15" t="n">
        <v>1.637952028870043</v>
      </c>
      <c r="AB28" s="15" t="n">
        <v>2.637992171534021</v>
      </c>
      <c r="AC28" s="15" t="n">
        <v>11.33367285781014</v>
      </c>
      <c r="AD28" s="15" t="n">
        <v>32.03790537099331</v>
      </c>
      <c r="AE28" s="15" t="n">
        <v>69.94187437744287</v>
      </c>
      <c r="AF28" s="15" t="n">
        <v>108.2196003108825</v>
      </c>
      <c r="AH28" s="29">
        <f>HIPERLINK($A$1 &amp; "\Dados\Magnet_fields.txt_28.txt.txt", "Magnet_fields.txt_28.txt")</f>
        <v/>
      </c>
      <c r="AI28" t="n">
        <v>9493</v>
      </c>
      <c r="AJ28" t="n">
        <v>29</v>
      </c>
      <c r="AK28" s="29">
        <f>HIPERLINK($A$1 &amp; "\Dados\Magnet_3D_results.txt_28.txt.txt", "Magnet_3D_results.txt_28.txt")</f>
        <v/>
      </c>
      <c r="AL28" s="29">
        <f>HIPERLINK($A$1 &amp; "\Dados\Magnet_fields_2D.txt_28.txt.txt", "Magnet_fields_2D.txt_28.txt")</f>
        <v/>
      </c>
    </row>
    <row customHeight="1" ht="15.75" r="29" s="34">
      <c r="A29" s="36" t="inlineStr">
        <is>
          <t>nIV</t>
        </is>
      </c>
      <c r="B29" s="37" t="n"/>
      <c r="E29" s="8" t="n">
        <v>120</v>
      </c>
      <c r="F29" s="15" t="n">
        <v>170</v>
      </c>
      <c r="G29" s="15" t="n">
        <v>350</v>
      </c>
      <c r="H29" s="15" t="n">
        <v>24</v>
      </c>
      <c r="I29" s="15" t="n">
        <v>140</v>
      </c>
      <c r="J29" s="13" t="n">
        <v>25</v>
      </c>
      <c r="K29" t="n">
        <v>35</v>
      </c>
      <c r="L29" s="13" t="n">
        <v>2.000000000000001</v>
      </c>
      <c r="M29" s="12" t="n"/>
      <c r="N29" s="8" t="n">
        <v>1.091592397406858</v>
      </c>
      <c r="O29" s="15" t="n">
        <v>0.8320515427369601</v>
      </c>
      <c r="P29" s="15" t="n">
        <v>1.013928047551491</v>
      </c>
      <c r="Q29" s="15" t="n">
        <v>0.0009876340814839546</v>
      </c>
      <c r="R29" s="15" t="n">
        <v>0.02425990130364584</v>
      </c>
      <c r="S29" s="15" t="n">
        <v>0.002001135168069591</v>
      </c>
      <c r="T29" s="29">
        <f>HIPERLINK($A$1 &amp; "\Dados\Imagem_perfil_29.png", "Imagem_perfil_29")</f>
        <v/>
      </c>
      <c r="U29" s="29">
        <f>HIPERLINK($A$1 &amp; "\Dados\Results_airgap29.txt", "Results_airgap29")</f>
        <v/>
      </c>
      <c r="V29" s="19" t="n"/>
      <c r="W29" s="15" t="n">
        <v>1.397902391304348</v>
      </c>
      <c r="X29" s="15" t="n">
        <v>0.702972973787208</v>
      </c>
      <c r="Y29" s="15" t="n">
        <v>0.6064041931268971</v>
      </c>
      <c r="Z29" s="15" t="n">
        <v>0.09967795488170256</v>
      </c>
      <c r="AA29" s="15" t="n">
        <v>1.564364125761565</v>
      </c>
      <c r="AB29" s="15" t="n">
        <v>2.784333845109602</v>
      </c>
      <c r="AC29" s="15" t="n">
        <v>11.76798897865439</v>
      </c>
      <c r="AD29" s="15" t="n">
        <v>32.37355445395963</v>
      </c>
      <c r="AE29" s="15" t="n">
        <v>70.09057918157821</v>
      </c>
      <c r="AF29" s="15" t="n">
        <v>108.2395148678263</v>
      </c>
      <c r="AH29" s="29">
        <f>HIPERLINK($A$1 &amp; "\Dados\Magnet_fields.txt_29.txt.txt", "Magnet_fields.txt_29.txt")</f>
        <v/>
      </c>
      <c r="AI29" t="n">
        <v>9493</v>
      </c>
      <c r="AJ29" t="n">
        <v>30</v>
      </c>
      <c r="AK29" s="29">
        <f>HIPERLINK($A$1 &amp; "\Dados\Magnet_3D_results.txt_29.txt.txt", "Magnet_3D_results.txt_29.txt")</f>
        <v/>
      </c>
      <c r="AL29" s="29">
        <f>HIPERLINK($A$1 &amp; "\Dados\Magnet_fields_2D.txt_29.txt.txt", "Magnet_fields_2D.txt_29.txt")</f>
        <v/>
      </c>
    </row>
    <row customHeight="1" ht="15.75" r="30" s="34">
      <c r="A30" s="36" t="n">
        <v>5</v>
      </c>
      <c r="B30" s="37" t="n"/>
      <c r="E30" s="8" t="n">
        <v>120</v>
      </c>
      <c r="F30" s="15" t="n">
        <v>170</v>
      </c>
      <c r="G30" s="15" t="n">
        <v>350</v>
      </c>
      <c r="H30" s="15" t="n">
        <v>24</v>
      </c>
      <c r="I30" s="15" t="n">
        <v>140</v>
      </c>
      <c r="J30" s="13" t="n">
        <v>25</v>
      </c>
      <c r="K30" t="n">
        <v>35</v>
      </c>
      <c r="L30" s="13" t="n">
        <v>2.100000000000001</v>
      </c>
      <c r="M30" s="12" t="n"/>
      <c r="N30" s="8" t="n">
        <v>1.091592397406858</v>
      </c>
      <c r="O30" s="15" t="n">
        <v>0.8320515427369601</v>
      </c>
      <c r="P30" s="15" t="n">
        <v>1.013928047551491</v>
      </c>
      <c r="Q30" s="15" t="n">
        <v>0.0009876340814839544</v>
      </c>
      <c r="R30" s="15" t="n">
        <v>0.02425990130364584</v>
      </c>
      <c r="S30" s="15" t="n">
        <v>0.002001135168069591</v>
      </c>
      <c r="T30" s="29">
        <f>HIPERLINK($A$1 &amp; "\Dados\Imagem_perfil_30.png", "Imagem_perfil_30")</f>
        <v/>
      </c>
      <c r="U30" s="29">
        <f>HIPERLINK($A$1 &amp; "\Dados\Results_airgap30.txt", "Results_airgap30")</f>
        <v/>
      </c>
      <c r="V30" s="19" t="n"/>
      <c r="W30" s="15" t="n">
        <v>1.39892304347826</v>
      </c>
      <c r="X30" s="15" t="n">
        <v>0.702972973787208</v>
      </c>
      <c r="Y30" s="15" t="n">
        <v>0.698906628488469</v>
      </c>
      <c r="Z30" s="15" t="n">
        <v>0.09967795488170256</v>
      </c>
      <c r="AA30" s="15" t="n">
        <v>1.564364125761565</v>
      </c>
      <c r="AB30" s="15" t="n">
        <v>2.934115887405202</v>
      </c>
      <c r="AC30" s="15" t="n">
        <v>11.97185524378808</v>
      </c>
      <c r="AD30" s="15" t="n">
        <v>32.58437912715025</v>
      </c>
      <c r="AE30" s="15" t="n">
        <v>70.21120712940265</v>
      </c>
      <c r="AF30" s="15" t="n">
        <v>108.29565045259</v>
      </c>
      <c r="AH30" s="29">
        <f>HIPERLINK($A$1 &amp; "\Dados\Magnet_fields.txt_30.txt.txt", "Magnet_fields.txt_30.txt")</f>
        <v/>
      </c>
      <c r="AI30" t="n">
        <v>9493</v>
      </c>
      <c r="AJ30" t="n">
        <v>30</v>
      </c>
      <c r="AK30" s="29">
        <f>HIPERLINK($A$1 &amp; "\Dados\Magnet_3D_results.txt_30.txt.txt", "Magnet_3D_results.txt_30.txt")</f>
        <v/>
      </c>
      <c r="AL30" s="29">
        <f>HIPERLINK($A$1 &amp; "\Dados\Magnet_fields_2D.txt_30.txt.txt", "Magnet_fields_2D.txt_30.txt")</f>
        <v/>
      </c>
    </row>
    <row customHeight="1" ht="15.75" r="31" s="34">
      <c r="A31" s="36" t="inlineStr">
        <is>
          <t>phi_c_IV</t>
        </is>
      </c>
      <c r="B31" s="37" t="n"/>
      <c r="E31" s="8" t="n">
        <v>120</v>
      </c>
      <c r="F31" s="15" t="n">
        <v>170</v>
      </c>
      <c r="G31" s="15" t="n">
        <v>350</v>
      </c>
      <c r="H31" s="15" t="n">
        <v>26</v>
      </c>
      <c r="I31" s="15" t="n">
        <v>140</v>
      </c>
      <c r="J31" s="13" t="n">
        <v>25</v>
      </c>
      <c r="K31" t="n">
        <v>35</v>
      </c>
      <c r="L31" s="13" t="n">
        <v>1.3</v>
      </c>
      <c r="M31" s="12" t="n"/>
      <c r="N31" s="8" t="n">
        <v>1.041038766377252</v>
      </c>
      <c r="O31" s="15" t="n">
        <v>0.7935568908962897</v>
      </c>
      <c r="P31" s="15" t="n">
        <v>0.966718473175068</v>
      </c>
      <c r="Q31" s="15" t="n">
        <v>0.0009876749643988757</v>
      </c>
      <c r="R31" s="15" t="n">
        <v>0.02204372033001174</v>
      </c>
      <c r="S31" s="15" t="n">
        <v>0.001903053406529966</v>
      </c>
      <c r="T31" s="29">
        <f>HIPERLINK($A$1 &amp; "\Dados\Imagem_perfil_31.png", "Imagem_perfil_31")</f>
        <v/>
      </c>
      <c r="U31" s="29">
        <f>HIPERLINK($A$1 &amp; "\Dados\Results_airgap31.txt", "Results_airgap31")</f>
        <v/>
      </c>
      <c r="V31" s="19" t="n"/>
      <c r="W31" s="43" t="n">
        <v>1.332085217391304</v>
      </c>
      <c r="X31" s="15" t="n">
        <v>0.6669075393998847</v>
      </c>
      <c r="Y31" s="15" t="n">
        <v>0.03211021719200396</v>
      </c>
      <c r="Z31" s="15" t="n">
        <v>0.3340566928830889</v>
      </c>
      <c r="AA31" s="15" t="n">
        <v>3.357377497967347</v>
      </c>
      <c r="AB31" s="15" t="n">
        <v>0</v>
      </c>
      <c r="AC31" s="15" t="n">
        <v>0</v>
      </c>
      <c r="AD31" s="15" t="n">
        <v>20.51851283950862</v>
      </c>
      <c r="AE31" s="15" t="n">
        <v>64.55619226207867</v>
      </c>
      <c r="AF31" s="15" t="n">
        <v>106.7967057306321</v>
      </c>
      <c r="AH31" s="29">
        <f>HIPERLINK($A$1 &amp; "\Dados\Magnet_fields.txt_31.txt.txt", "Magnet_fields.txt_31.txt")</f>
        <v/>
      </c>
      <c r="AI31" t="n">
        <v>8843</v>
      </c>
      <c r="AJ31" t="n">
        <v>30</v>
      </c>
      <c r="AK31" s="29">
        <f>HIPERLINK($A$1 &amp; "\Dados\Magnet_3D_results.txt_31.txt.txt", "Magnet_3D_results.txt_31.txt")</f>
        <v/>
      </c>
      <c r="AL31" s="29">
        <f>HIPERLINK($A$1 &amp; "\Dados\Magnet_fields_2D.txt_31.txt.txt", "Magnet_fields_2D.txt_31.txt")</f>
        <v/>
      </c>
    </row>
    <row customHeight="1" ht="15.75" r="32" s="34">
      <c r="A32" s="36" t="n">
        <v>0</v>
      </c>
      <c r="B32" s="37" t="n"/>
      <c r="E32" s="8" t="n">
        <v>120</v>
      </c>
      <c r="F32" s="15" t="n">
        <v>170</v>
      </c>
      <c r="G32" s="15" t="n">
        <v>350</v>
      </c>
      <c r="H32" s="15" t="n">
        <v>26</v>
      </c>
      <c r="I32" s="15" t="n">
        <v>140</v>
      </c>
      <c r="J32" s="13" t="n">
        <v>25</v>
      </c>
      <c r="K32" t="n">
        <v>35</v>
      </c>
      <c r="L32" s="13" t="n">
        <v>1.4</v>
      </c>
      <c r="M32" s="12" t="n"/>
      <c r="N32" s="8" t="n">
        <v>1.066019203017717</v>
      </c>
      <c r="O32" s="15" t="n">
        <v>0.8132376689176539</v>
      </c>
      <c r="P32" s="15" t="n">
        <v>0.990067311800931</v>
      </c>
      <c r="Q32" s="15" t="n">
        <v>0.0009892326515573619</v>
      </c>
      <c r="R32" s="15" t="n">
        <v>0.02336461836507325</v>
      </c>
      <c r="S32" s="15" t="n">
        <v>0.001939571422532379</v>
      </c>
      <c r="T32" s="29">
        <f>HIPERLINK($A$1 &amp; "\Dados\Imagem_perfil_32.png", "Imagem_perfil_32")</f>
        <v/>
      </c>
      <c r="U32" s="29">
        <f>HIPERLINK($A$1 &amp; "\Dados\Results_airgap32.txt", "Results_airgap32")</f>
        <v/>
      </c>
      <c r="V32" s="19" t="n"/>
      <c r="W32" s="43" t="n">
        <v>1.363174782608696</v>
      </c>
      <c r="X32" s="15" t="n">
        <v>0.6841758031340406</v>
      </c>
      <c r="Y32" s="15" t="n">
        <v>0.08127546541637892</v>
      </c>
      <c r="Z32" s="15" t="n">
        <v>0.1894805590510369</v>
      </c>
      <c r="AA32" s="15" t="n">
        <v>2.180056727512036</v>
      </c>
      <c r="AB32" s="15" t="n">
        <v>0</v>
      </c>
      <c r="AC32" s="15" t="n">
        <v>4.370395182794468</v>
      </c>
      <c r="AD32" s="15" t="n">
        <v>26.44268370106894</v>
      </c>
      <c r="AE32" s="15" t="n">
        <v>67.29986642171751</v>
      </c>
      <c r="AF32" s="15" t="n">
        <v>107.7296084616601</v>
      </c>
      <c r="AH32" s="29">
        <f>HIPERLINK($A$1 &amp; "\Dados\Magnet_fields.txt_32.txt.txt", "Magnet_fields.txt_32.txt")</f>
        <v/>
      </c>
      <c r="AI32" t="n">
        <v>8843</v>
      </c>
      <c r="AJ32" t="n">
        <v>29</v>
      </c>
      <c r="AK32" s="29">
        <f>HIPERLINK($A$1 &amp; "\Dados\Magnet_3D_results.txt_32.txt.txt", "Magnet_3D_results.txt_32.txt")</f>
        <v/>
      </c>
      <c r="AL32" s="29">
        <f>HIPERLINK($A$1 &amp; "\Dados\Magnet_fields_2D.txt_32.txt.txt", "Magnet_fields_2D.txt_32.txt")</f>
        <v/>
      </c>
    </row>
    <row customHeight="1" ht="15.75" r="33" s="34">
      <c r="A33" s="25" t="inlineStr">
        <is>
          <t xml:space="preserve">REMANENCE_TEMPERATURE_COEFFICIENT </t>
        </is>
      </c>
      <c r="B33" s="25" t="n"/>
      <c r="E33" s="8" t="n">
        <v>120</v>
      </c>
      <c r="F33" s="15" t="n">
        <v>170</v>
      </c>
      <c r="G33" s="15" t="n">
        <v>350</v>
      </c>
      <c r="H33" s="15" t="n">
        <v>26</v>
      </c>
      <c r="I33" s="15" t="n">
        <v>140</v>
      </c>
      <c r="J33" s="13" t="n">
        <v>25</v>
      </c>
      <c r="K33" t="n">
        <v>35</v>
      </c>
      <c r="L33" s="13" t="n">
        <v>1.5</v>
      </c>
      <c r="M33" s="12" t="n"/>
      <c r="N33" s="8" t="n">
        <v>1.076367799892907</v>
      </c>
      <c r="O33" s="15" t="n">
        <v>0.821409173204561</v>
      </c>
      <c r="P33" s="15" t="n">
        <v>0.9998491159824908</v>
      </c>
      <c r="Q33" s="15" t="n">
        <v>0.0009903971128784434</v>
      </c>
      <c r="R33" s="15" t="n">
        <v>0.0238446722813185</v>
      </c>
      <c r="S33" s="15" t="n">
        <v>0.001953110940996479</v>
      </c>
      <c r="T33" s="29">
        <f>HIPERLINK($A$1 &amp; "\Dados\Imagem_perfil_33.png", "Imagem_perfil_33")</f>
        <v/>
      </c>
      <c r="U33" s="29">
        <f>HIPERLINK($A$1 &amp; "\Dados\Results_airgap33.txt", "Results_airgap33")</f>
        <v/>
      </c>
      <c r="V33" s="19" t="n"/>
      <c r="W33" s="43" t="n">
        <v>1.378556739130435</v>
      </c>
      <c r="X33" s="15" t="n">
        <v>0.6913764575564099</v>
      </c>
      <c r="Y33" s="15" t="n">
        <v>0.150826773058856</v>
      </c>
      <c r="Z33" s="15" t="n">
        <v>0.1585802681123364</v>
      </c>
      <c r="AA33" s="15" t="n">
        <v>1.79657444249402</v>
      </c>
      <c r="AB33" s="15" t="n">
        <v>0.8785457873821252</v>
      </c>
      <c r="AC33" s="15" t="n">
        <v>7.500321582700543</v>
      </c>
      <c r="AD33" s="15" t="n">
        <v>28.90713766779243</v>
      </c>
      <c r="AE33" s="15" t="n">
        <v>68.44450245135674</v>
      </c>
      <c r="AF33" s="15" t="n">
        <v>107.9399603839241</v>
      </c>
      <c r="AH33" s="29">
        <f>HIPERLINK($A$1 &amp; "\Dados\Magnet_fields.txt_33.txt.txt", "Magnet_fields.txt_33.txt")</f>
        <v/>
      </c>
      <c r="AI33" t="n">
        <v>8843</v>
      </c>
      <c r="AJ33" t="n">
        <v>30</v>
      </c>
      <c r="AK33" s="29">
        <f>HIPERLINK($A$1 &amp; "\Dados\Magnet_3D_results.txt_33.txt.txt", "Magnet_3D_results.txt_33.txt")</f>
        <v/>
      </c>
      <c r="AL33" s="29">
        <f>HIPERLINK($A$1 &amp; "\Dados\Magnet_fields_2D.txt_33.txt.txt", "Magnet_fields_2D.txt_33.txt")</f>
        <v/>
      </c>
    </row>
    <row customHeight="1" ht="15.75" r="34" s="34">
      <c r="A34" s="36" t="n">
        <v>0.0011</v>
      </c>
      <c r="B34" s="37" t="n"/>
      <c r="E34" s="8" t="n">
        <v>120</v>
      </c>
      <c r="F34" s="15" t="n">
        <v>170</v>
      </c>
      <c r="G34" s="15" t="n">
        <v>350</v>
      </c>
      <c r="H34" s="15" t="n">
        <v>26</v>
      </c>
      <c r="I34" s="15" t="n">
        <v>140</v>
      </c>
      <c r="J34" s="13" t="n">
        <v>25</v>
      </c>
      <c r="K34" t="n">
        <v>35</v>
      </c>
      <c r="L34" s="13" t="n">
        <v>1.6</v>
      </c>
      <c r="M34" s="12" t="n"/>
      <c r="N34" s="8" t="n">
        <v>1.085271881650946</v>
      </c>
      <c r="O34" s="15" t="n">
        <v>0.8284627684812702</v>
      </c>
      <c r="P34" s="15" t="n">
        <v>1.008206382062245</v>
      </c>
      <c r="Q34" s="15" t="n">
        <v>0.0009891163395000261</v>
      </c>
      <c r="R34" s="15" t="n">
        <v>0.02435674327167939</v>
      </c>
      <c r="S34" s="15" t="n">
        <v>0.001964950734822994</v>
      </c>
      <c r="T34" s="29">
        <f>HIPERLINK($A$1 &amp; "\Dados\Imagem_perfil_34.png", "Imagem_perfil_34")</f>
        <v/>
      </c>
      <c r="U34" s="29">
        <f>HIPERLINK($A$1 &amp; "\Dados\Results_airgap34.txt", "Results_airgap34")</f>
        <v/>
      </c>
      <c r="V34" s="19" t="n"/>
      <c r="W34" s="15" t="n">
        <v>1.38644152173913</v>
      </c>
      <c r="X34" s="15" t="n">
        <v>0.697614771873233</v>
      </c>
      <c r="Y34" s="15" t="n">
        <v>0.2334365355842387</v>
      </c>
      <c r="Z34" s="15" t="n">
        <v>0.1055369548615896</v>
      </c>
      <c r="AA34" s="15" t="n">
        <v>1.242473278879185</v>
      </c>
      <c r="AB34" s="15" t="n">
        <v>1.664168325135111</v>
      </c>
      <c r="AC34" s="15" t="n">
        <v>9.16391401362614</v>
      </c>
      <c r="AD34" s="15" t="n">
        <v>30.22328110677228</v>
      </c>
      <c r="AE34" s="15" t="n">
        <v>69.08570334510397</v>
      </c>
      <c r="AF34" s="15" t="n">
        <v>108.0471847641081</v>
      </c>
      <c r="AH34" s="29">
        <f>HIPERLINK($A$1 &amp; "\Dados\Magnet_fields.txt_34.txt.txt", "Magnet_fields.txt_34.txt")</f>
        <v/>
      </c>
      <c r="AI34" t="n">
        <v>8843</v>
      </c>
      <c r="AJ34" t="n">
        <v>29</v>
      </c>
      <c r="AK34" s="29">
        <f>HIPERLINK($A$1 &amp; "\Dados\Magnet_3D_results.txt_34.txt.txt", "Magnet_3D_results.txt_34.txt")</f>
        <v/>
      </c>
      <c r="AL34" s="29">
        <f>HIPERLINK($A$1 &amp; "\Dados\Magnet_fields_2D.txt_34.txt.txt", "Magnet_fields_2D.txt_34.txt")</f>
        <v/>
      </c>
    </row>
    <row customHeight="1" ht="15.75" r="35" s="34">
      <c r="A35" s="25" t="inlineStr">
        <is>
          <t>COERCICITY_TEMPERATURE_COEFFICIENT</t>
        </is>
      </c>
      <c r="B35" s="25" t="n"/>
      <c r="E35" s="8" t="n">
        <v>120</v>
      </c>
      <c r="F35" s="15" t="n">
        <v>170</v>
      </c>
      <c r="G35" s="15" t="n">
        <v>350</v>
      </c>
      <c r="H35" s="15" t="n">
        <v>26</v>
      </c>
      <c r="I35" s="15" t="n">
        <v>140</v>
      </c>
      <c r="J35" s="13" t="n">
        <v>25</v>
      </c>
      <c r="K35" t="n">
        <v>35</v>
      </c>
      <c r="L35" s="13" t="n">
        <v>1.7</v>
      </c>
      <c r="M35" s="12" t="n"/>
      <c r="N35" s="8" t="n">
        <v>1.089194152070774</v>
      </c>
      <c r="O35" s="15" t="n">
        <v>0.8315447380351911</v>
      </c>
      <c r="P35" s="15" t="n">
        <v>1.011882711055584</v>
      </c>
      <c r="Q35" s="15" t="n">
        <v>0.0009896970902989305</v>
      </c>
      <c r="R35" s="15" t="n">
        <v>0.02451489976179196</v>
      </c>
      <c r="S35" s="15" t="n">
        <v>0.001969446287921386</v>
      </c>
      <c r="T35" s="29">
        <f>HIPERLINK($A$1 &amp; "\Dados\Imagem_perfil_35.png", "Imagem_perfil_35")</f>
        <v/>
      </c>
      <c r="U35" s="29">
        <f>HIPERLINK($A$1 &amp; "\Dados\Results_airgap35.txt", "Results_airgap35")</f>
        <v/>
      </c>
      <c r="V35" s="19" t="n"/>
      <c r="W35" s="15" t="n">
        <v>1.391079347826087</v>
      </c>
      <c r="X35" s="15" t="n">
        <v>0.7003330273725369</v>
      </c>
      <c r="Y35" s="15" t="n">
        <v>0.3235441433817497</v>
      </c>
      <c r="Z35" s="15" t="n">
        <v>0.1055369548615896</v>
      </c>
      <c r="AA35" s="15" t="n">
        <v>1.016982838141892</v>
      </c>
      <c r="AB35" s="15" t="n">
        <v>2.122171819890676</v>
      </c>
      <c r="AC35" s="15" t="n">
        <v>10.1709815124204</v>
      </c>
      <c r="AD35" s="15" t="n">
        <v>31.0639098052704</v>
      </c>
      <c r="AE35" s="15" t="n">
        <v>69.49327074430973</v>
      </c>
      <c r="AF35" s="15" t="n">
        <v>108.1324827609405</v>
      </c>
      <c r="AH35" s="29">
        <f>HIPERLINK($A$1 &amp; "\Dados\Magnet_fields.txt_35.txt.txt", "Magnet_fields.txt_35.txt")</f>
        <v/>
      </c>
      <c r="AI35" t="n">
        <v>8843</v>
      </c>
      <c r="AJ35" t="n">
        <v>29</v>
      </c>
      <c r="AK35" s="29">
        <f>HIPERLINK($A$1 &amp; "\Dados\Magnet_3D_results.txt_35.txt.txt", "Magnet_3D_results.txt_35.txt")</f>
        <v/>
      </c>
      <c r="AL35" s="29">
        <f>HIPERLINK($A$1 &amp; "\Dados\Magnet_fields_2D.txt_35.txt.txt", "Magnet_fields_2D.txt_35.txt")</f>
        <v/>
      </c>
    </row>
    <row customHeight="1" ht="15.75" r="36" s="34">
      <c r="A36" s="36" t="n">
        <v>0.006</v>
      </c>
      <c r="B36" s="37" t="n"/>
      <c r="E36" s="8" t="n">
        <v>120</v>
      </c>
      <c r="F36" s="15" t="n">
        <v>170</v>
      </c>
      <c r="G36" s="15" t="n">
        <v>350</v>
      </c>
      <c r="H36" s="15" t="n">
        <v>26</v>
      </c>
      <c r="I36" s="15" t="n">
        <v>140</v>
      </c>
      <c r="J36" s="13" t="n">
        <v>25</v>
      </c>
      <c r="K36" t="n">
        <v>35</v>
      </c>
      <c r="L36" s="13" t="n">
        <v>1.8</v>
      </c>
      <c r="M36" s="12" t="n"/>
      <c r="N36" s="8" t="n">
        <v>1.089194152070774</v>
      </c>
      <c r="O36" s="15" t="n">
        <v>0.8315447380351911</v>
      </c>
      <c r="P36" s="15" t="n">
        <v>1.011882711055584</v>
      </c>
      <c r="Q36" s="15" t="n">
        <v>0.0009896970902989305</v>
      </c>
      <c r="R36" s="15" t="n">
        <v>0.02451489976179196</v>
      </c>
      <c r="S36" s="15" t="n">
        <v>0.001969446287921386</v>
      </c>
      <c r="T36" s="29">
        <f>HIPERLINK($A$1 &amp; "\Dados\Imagem_perfil_36.png", "Imagem_perfil_36")</f>
        <v/>
      </c>
      <c r="U36" s="29">
        <f>HIPERLINK($A$1 &amp; "\Dados\Results_airgap36.txt", "Results_airgap36")</f>
        <v/>
      </c>
      <c r="V36" s="19" t="n"/>
      <c r="W36" s="15" t="n">
        <v>1.394069565217391</v>
      </c>
      <c r="X36" s="15" t="n">
        <v>0.7003330273725371</v>
      </c>
      <c r="Y36" s="15" t="n">
        <v>0.4173086937856531</v>
      </c>
      <c r="Z36" s="15" t="n">
        <v>0.1055369548615896</v>
      </c>
      <c r="AA36" s="15" t="n">
        <v>1.016982838141892</v>
      </c>
      <c r="AB36" s="15" t="n">
        <v>2.435082673728439</v>
      </c>
      <c r="AC36" s="15" t="n">
        <v>10.84285495607284</v>
      </c>
      <c r="AD36" s="15" t="n">
        <v>31.62741373214594</v>
      </c>
      <c r="AE36" s="15" t="n">
        <v>69.7509602032287</v>
      </c>
      <c r="AF36" s="15" t="n">
        <v>108.1848605138401</v>
      </c>
      <c r="AH36" s="29">
        <f>HIPERLINK($A$1 &amp; "\Dados\Magnet_fields.txt_36.txt.txt", "Magnet_fields.txt_36.txt")</f>
        <v/>
      </c>
      <c r="AI36" t="n">
        <v>8843</v>
      </c>
      <c r="AJ36" t="n">
        <v>29</v>
      </c>
      <c r="AK36" s="29">
        <f>HIPERLINK($A$1 &amp; "\Dados\Magnet_3D_results.txt_36.txt.txt", "Magnet_3D_results.txt_36.txt")</f>
        <v/>
      </c>
      <c r="AL36" s="29">
        <f>HIPERLINK($A$1 &amp; "\Dados\Magnet_fields_2D.txt_36.txt.txt", "Magnet_fields_2D.txt_36.txt")</f>
        <v/>
      </c>
    </row>
    <row customHeight="1" ht="15.75" r="37" s="34">
      <c r="E37" s="15" t="n">
        <v>120</v>
      </c>
      <c r="F37" s="15" t="n">
        <v>170</v>
      </c>
      <c r="G37" s="15" t="n">
        <v>350</v>
      </c>
      <c r="H37" s="15" t="n">
        <v>26</v>
      </c>
      <c r="I37" s="15" t="n">
        <v>140</v>
      </c>
      <c r="J37" s="13" t="n">
        <v>25</v>
      </c>
      <c r="K37" t="n">
        <v>35</v>
      </c>
      <c r="L37" s="13" t="n">
        <v>1.900000000000001</v>
      </c>
      <c r="M37" s="12" t="n"/>
      <c r="N37" s="8" t="n">
        <v>1.092300201599921</v>
      </c>
      <c r="O37" s="15" t="n">
        <v>0.8340107970405418</v>
      </c>
      <c r="P37" s="15" t="n">
        <v>1.014822812539373</v>
      </c>
      <c r="Q37" s="15" t="n">
        <v>0.0009900093867767983</v>
      </c>
      <c r="R37" s="15" t="n">
        <v>0.02465858091798149</v>
      </c>
      <c r="S37" s="15" t="n">
        <v>0.001973296775868258</v>
      </c>
      <c r="T37" s="29">
        <f>HIPERLINK($A$1 &amp; "\Dados\Imagem_perfil_37.png", "Imagem_perfil_37")</f>
        <v/>
      </c>
      <c r="U37" s="29">
        <f>HIPERLINK($A$1 &amp; "\Dados\Results_airgap37.txt", "Results_airgap37")</f>
        <v/>
      </c>
      <c r="V37" s="19" t="n"/>
      <c r="W37" s="15" t="n">
        <v>1.396171956521739</v>
      </c>
      <c r="X37" s="15" t="n">
        <v>0.7025296587710547</v>
      </c>
      <c r="Y37" s="15" t="n">
        <v>0.5121556616847855</v>
      </c>
      <c r="Z37" s="15" t="n">
        <v>0.09907206682408097</v>
      </c>
      <c r="AA37" s="15" t="n">
        <v>0.8150190279694041</v>
      </c>
      <c r="AB37" s="15" t="n">
        <v>2.643865883660939</v>
      </c>
      <c r="AC37" s="15" t="n">
        <v>11.33376603030555</v>
      </c>
      <c r="AD37" s="15" t="n">
        <v>32.03207769673619</v>
      </c>
      <c r="AE37" s="15" t="n">
        <v>69.93755690860132</v>
      </c>
      <c r="AF37" s="15" t="n">
        <v>108.2167363188984</v>
      </c>
      <c r="AH37" s="29">
        <f>HIPERLINK($A$1 &amp; "\Dados\Magnet_fields.txt_37.txt.txt", "Magnet_fields.txt_37.txt")</f>
        <v/>
      </c>
      <c r="AI37" t="n">
        <v>8843</v>
      </c>
      <c r="AJ37" t="n">
        <v>30</v>
      </c>
      <c r="AK37" s="29">
        <f>HIPERLINK($A$1 &amp; "\Dados\Magnet_3D_results.txt_37.txt.txt", "Magnet_3D_results.txt_37.txt")</f>
        <v/>
      </c>
      <c r="AL37" s="29">
        <f>HIPERLINK($A$1 &amp; "\Dados\Magnet_fields_2D.txt_37.txt.txt", "Magnet_fields_2D.txt_37.txt")</f>
        <v/>
      </c>
    </row>
    <row customHeight="1" ht="15.75" r="38" s="34">
      <c r="E38" s="15" t="n">
        <v>120</v>
      </c>
      <c r="F38" s="15" t="n">
        <v>170</v>
      </c>
      <c r="G38" s="15" t="n">
        <v>350</v>
      </c>
      <c r="H38" s="15" t="n">
        <v>26</v>
      </c>
      <c r="I38" s="15" t="n">
        <v>140</v>
      </c>
      <c r="J38" s="13" t="n">
        <v>25</v>
      </c>
      <c r="K38" t="n">
        <v>35</v>
      </c>
      <c r="L38" s="13" t="n">
        <v>2.000000000000001</v>
      </c>
      <c r="M38" s="12" t="n"/>
      <c r="N38" s="8" t="n">
        <v>1.093256657663913</v>
      </c>
      <c r="O38" s="15" t="n">
        <v>0.8347824161734071</v>
      </c>
      <c r="P38" s="15" t="n">
        <v>1.015701417151339</v>
      </c>
      <c r="Q38" s="15" t="n">
        <v>0.0009889247800700929</v>
      </c>
      <c r="R38" s="15" t="n">
        <v>0.02478718550020458</v>
      </c>
      <c r="S38" s="15" t="n">
        <v>0.001975522364605457</v>
      </c>
      <c r="T38" s="29">
        <f>HIPERLINK($A$1 &amp; "\Dados\Imagem_perfil_38.png", "Imagem_perfil_38")</f>
        <v/>
      </c>
      <c r="U38" s="29">
        <f>HIPERLINK($A$1 &amp; "\Dados\Results_airgap38.txt", "Results_airgap38")</f>
        <v/>
      </c>
      <c r="V38" s="19" t="n"/>
      <c r="W38" s="15" t="n">
        <v>1.3978</v>
      </c>
      <c r="X38" s="15" t="n">
        <v>0.7032236955206308</v>
      </c>
      <c r="Y38" s="15" t="n">
        <v>0.6063837455836701</v>
      </c>
      <c r="Z38" s="15" t="n">
        <v>0.08927167133533605</v>
      </c>
      <c r="AA38" s="15" t="n">
        <v>0.6128579670833388</v>
      </c>
      <c r="AB38" s="15" t="n">
        <v>2.852032604128936</v>
      </c>
      <c r="AC38" s="15" t="n">
        <v>11.70660412997587</v>
      </c>
      <c r="AD38" s="15" t="n">
        <v>32.34472026135388</v>
      </c>
      <c r="AE38" s="15" t="n">
        <v>70.08853849854719</v>
      </c>
      <c r="AF38" s="15" t="n">
        <v>108.2699359657377</v>
      </c>
      <c r="AH38" s="29">
        <f>HIPERLINK($A$1 &amp; "\Dados\Magnet_fields.txt_38.txt.txt", "Magnet_fields.txt_38.txt")</f>
        <v/>
      </c>
      <c r="AI38" t="n">
        <v>8843</v>
      </c>
      <c r="AJ38" t="n">
        <v>29</v>
      </c>
      <c r="AK38" s="29">
        <f>HIPERLINK($A$1 &amp; "\Dados\Magnet_3D_results.txt_38.txt.txt", "Magnet_3D_results.txt_38.txt")</f>
        <v/>
      </c>
      <c r="AL38" s="29">
        <f>HIPERLINK($A$1 &amp; "\Dados\Magnet_fields_2D.txt_38.txt.txt", "Magnet_fields_2D.txt_38.txt")</f>
        <v/>
      </c>
    </row>
    <row customHeight="1" ht="15.75" r="39" s="34">
      <c r="E39" s="15" t="n">
        <v>120</v>
      </c>
      <c r="F39" s="15" t="n">
        <v>170</v>
      </c>
      <c r="G39" s="15" t="n">
        <v>350</v>
      </c>
      <c r="H39" s="15" t="n">
        <v>26</v>
      </c>
      <c r="I39" s="15" t="n">
        <v>140</v>
      </c>
      <c r="J39" s="13" t="n">
        <v>25</v>
      </c>
      <c r="K39" t="n">
        <v>35</v>
      </c>
      <c r="L39" s="13" t="n">
        <v>2.100000000000001</v>
      </c>
      <c r="M39" s="12" t="n"/>
      <c r="N39" s="8" t="n">
        <v>1.093256657663914</v>
      </c>
      <c r="O39" s="15" t="n">
        <v>0.834782416173407</v>
      </c>
      <c r="P39" s="15" t="n">
        <v>1.015701417151339</v>
      </c>
      <c r="Q39" s="15" t="n">
        <v>0.0009889247800700931</v>
      </c>
      <c r="R39" s="15" t="n">
        <v>0.02478718550020458</v>
      </c>
      <c r="S39" s="15" t="n">
        <v>0.001975522364605457</v>
      </c>
      <c r="T39" s="29">
        <f>HIPERLINK($A$1 &amp; "\Dados\Imagem_perfil_39.png", "Imagem_perfil_39")</f>
        <v/>
      </c>
      <c r="U39" s="29">
        <f>HIPERLINK($A$1 &amp; "\Dados\Results_airgap39.txt", "Results_airgap39")</f>
        <v/>
      </c>
      <c r="V39" s="19" t="n"/>
      <c r="W39" s="15" t="n">
        <v>1.398981086956522</v>
      </c>
      <c r="X39" s="15" t="n">
        <v>0.7032236955206308</v>
      </c>
      <c r="Y39" s="15" t="n">
        <v>0.6988864406135021</v>
      </c>
      <c r="Z39" s="15" t="n">
        <v>0.08927167133533605</v>
      </c>
      <c r="AA39" s="15" t="n">
        <v>0.6128579670833388</v>
      </c>
      <c r="AB39" s="15" t="n">
        <v>2.95829550773259</v>
      </c>
      <c r="AC39" s="15" t="n">
        <v>11.99170462375527</v>
      </c>
      <c r="AD39" s="15" t="n">
        <v>32.56894490638936</v>
      </c>
      <c r="AE39" s="15" t="n">
        <v>70.23705568086181</v>
      </c>
      <c r="AF39" s="15" t="n">
        <v>108.251437491374</v>
      </c>
      <c r="AH39" s="29">
        <f>HIPERLINK($A$1 &amp; "\Dados\Magnet_fields.txt_39.txt.txt", "Magnet_fields.txt_39.txt")</f>
        <v/>
      </c>
      <c r="AI39" t="n">
        <v>8843</v>
      </c>
      <c r="AJ39" t="n">
        <v>29</v>
      </c>
      <c r="AK39" s="29">
        <f>HIPERLINK($A$1 &amp; "\Dados\Magnet_3D_results.txt_39.txt.txt", "Magnet_3D_results.txt_39.txt")</f>
        <v/>
      </c>
      <c r="AL39" s="29">
        <f>HIPERLINK($A$1 &amp; "\Dados\Magnet_fields_2D.txt_39.txt.txt", "Magnet_fields_2D.txt_39.txt")</f>
        <v/>
      </c>
    </row>
    <row customHeight="1" ht="15.75" r="40" s="34">
      <c r="E40" s="15" t="n">
        <v>120</v>
      </c>
      <c r="F40" s="15" t="n">
        <v>170</v>
      </c>
      <c r="G40" s="15" t="n">
        <v>350</v>
      </c>
      <c r="H40" s="15" t="n">
        <v>28</v>
      </c>
      <c r="I40" s="15" t="n">
        <v>140</v>
      </c>
      <c r="J40" s="13" t="n">
        <v>25</v>
      </c>
      <c r="K40" t="n">
        <v>35</v>
      </c>
      <c r="L40" s="13" t="n">
        <v>1.3</v>
      </c>
      <c r="M40" s="12" t="n"/>
      <c r="N40" s="8" t="n">
        <v>1.043849704813936</v>
      </c>
      <c r="O40" s="15" t="n">
        <v>0.7946500188321576</v>
      </c>
      <c r="P40" s="15" t="n">
        <v>0.9692404822653832</v>
      </c>
      <c r="Q40" s="15" t="n">
        <v>0.0009929167210227315</v>
      </c>
      <c r="R40" s="15" t="n">
        <v>0.02253263651667844</v>
      </c>
      <c r="S40" s="15" t="n">
        <v>0.001965726949746095</v>
      </c>
      <c r="T40" s="29">
        <f>HIPERLINK($A$1 &amp; "\Dados\Imagem_perfil_40.png", "Imagem_perfil_40")</f>
        <v/>
      </c>
      <c r="U40" s="29">
        <f>HIPERLINK($A$1 &amp; "\Dados\Results_airgap40.txt", "Results_airgap40")</f>
        <v/>
      </c>
      <c r="V40" s="19" t="n"/>
      <c r="W40" s="43" t="n">
        <v>1.332667826086956</v>
      </c>
      <c r="X40" s="15" t="n">
        <v>0.6654602031318626</v>
      </c>
      <c r="Y40" s="15" t="n">
        <v>0.03210282993707824</v>
      </c>
      <c r="Z40" s="15" t="n">
        <v>0.3594477748854779</v>
      </c>
      <c r="AA40" s="15" t="n">
        <v>2.522696724334753</v>
      </c>
      <c r="AB40" s="15" t="n">
        <v>0</v>
      </c>
      <c r="AC40" s="15" t="n">
        <v>0</v>
      </c>
      <c r="AD40" s="15" t="n">
        <v>20.62049348724812</v>
      </c>
      <c r="AE40" s="15" t="n">
        <v>64.72883936427075</v>
      </c>
      <c r="AF40" s="15" t="n">
        <v>107.0618730007675</v>
      </c>
      <c r="AH40" s="29">
        <f>HIPERLINK($A$1 &amp; "\Dados\Magnet_fields.txt_40.txt.txt", "Magnet_fields.txt_40.txt")</f>
        <v/>
      </c>
      <c r="AI40" t="n">
        <v>8857</v>
      </c>
      <c r="AJ40" t="n">
        <v>29</v>
      </c>
      <c r="AK40" s="29">
        <f>HIPERLINK($A$1 &amp; "\Dados\Magnet_3D_results.txt_40.txt.txt", "Magnet_3D_results.txt_40.txt")</f>
        <v/>
      </c>
      <c r="AL40" s="29">
        <f>HIPERLINK($A$1 &amp; "\Dados\Magnet_fields_2D.txt_40.txt.txt", "Magnet_fields_2D.txt_40.txt")</f>
        <v/>
      </c>
    </row>
    <row customHeight="1" ht="15.75" r="41" s="34">
      <c r="E41" s="15" t="n">
        <v>120</v>
      </c>
      <c r="F41" s="15" t="n">
        <v>170</v>
      </c>
      <c r="G41" s="15" t="n">
        <v>350</v>
      </c>
      <c r="H41" s="15" t="n">
        <v>28</v>
      </c>
      <c r="I41" s="15" t="n">
        <v>140</v>
      </c>
      <c r="J41" s="13" t="n">
        <v>25</v>
      </c>
      <c r="K41" t="n">
        <v>35</v>
      </c>
      <c r="L41" s="13" t="n">
        <v>1.4</v>
      </c>
      <c r="M41" s="12" t="n"/>
      <c r="N41" s="8" t="n">
        <v>1.068367983901521</v>
      </c>
      <c r="O41" s="15" t="n">
        <v>0.8138802451245766</v>
      </c>
      <c r="P41" s="15" t="n">
        <v>0.992126830355063</v>
      </c>
      <c r="Q41" s="15" t="n">
        <v>0.0009959144831705406</v>
      </c>
      <c r="R41" s="15" t="n">
        <v>0.02373594651434241</v>
      </c>
      <c r="S41" s="15" t="n">
        <v>0.002001797014564578</v>
      </c>
      <c r="T41" s="29">
        <f>HIPERLINK($A$1 &amp; "\Dados\Imagem_perfil_41.png", "Imagem_perfil_41")</f>
        <v/>
      </c>
      <c r="U41" s="29">
        <f>HIPERLINK($A$1 &amp; "\Dados\Results_airgap41.txt", "Results_airgap41")</f>
        <v/>
      </c>
      <c r="V41" s="19" t="n"/>
      <c r="W41" s="43" t="n">
        <v>1.363137608695652</v>
      </c>
      <c r="X41" s="15" t="n">
        <v>0.6822401644531623</v>
      </c>
      <c r="Y41" s="15" t="n">
        <v>0.08126696803525629</v>
      </c>
      <c r="Z41" s="15" t="n">
        <v>0.2145405888157562</v>
      </c>
      <c r="AA41" s="15" t="n">
        <v>1.551419289266079</v>
      </c>
      <c r="AB41" s="15" t="n">
        <v>0</v>
      </c>
      <c r="AC41" s="15" t="n">
        <v>4.367826624236271</v>
      </c>
      <c r="AD41" s="15" t="n">
        <v>26.42965157784546</v>
      </c>
      <c r="AE41" s="15" t="n">
        <v>67.28521700071154</v>
      </c>
      <c r="AF41" s="15" t="n">
        <v>107.7433848572287</v>
      </c>
      <c r="AH41" s="29">
        <f>HIPERLINK($A$1 &amp; "\Dados\Magnet_fields.txt_41.txt.txt", "Magnet_fields.txt_41.txt")</f>
        <v/>
      </c>
      <c r="AI41" t="n">
        <v>8857</v>
      </c>
      <c r="AJ41" t="n">
        <v>29</v>
      </c>
      <c r="AK41" s="29">
        <f>HIPERLINK($A$1 &amp; "\Dados\Magnet_3D_results.txt_41.txt.txt", "Magnet_3D_results.txt_41.txt")</f>
        <v/>
      </c>
      <c r="AL41" s="29">
        <f>HIPERLINK($A$1 &amp; "\Dados\Magnet_fields_2D.txt_41.txt.txt", "Magnet_fields_2D.txt_41.txt")</f>
        <v/>
      </c>
    </row>
    <row customHeight="1" ht="15.75" r="42" s="34">
      <c r="E42" s="15" t="n">
        <v>120</v>
      </c>
      <c r="F42" s="15" t="n">
        <v>170</v>
      </c>
      <c r="G42" s="15" t="n">
        <v>350</v>
      </c>
      <c r="H42" s="15" t="n">
        <v>28</v>
      </c>
      <c r="I42" s="15" t="n">
        <v>140</v>
      </c>
      <c r="J42" s="13" t="n">
        <v>25</v>
      </c>
      <c r="K42" t="n">
        <v>35</v>
      </c>
      <c r="L42" s="13" t="n">
        <v>1.5</v>
      </c>
      <c r="M42" s="12" t="n"/>
      <c r="N42" s="8" t="n">
        <v>1.078638852890282</v>
      </c>
      <c r="O42" s="15" t="n">
        <v>0.8219642671985419</v>
      </c>
      <c r="P42" s="15" t="n">
        <v>1.001827400525526</v>
      </c>
      <c r="Q42" s="15" t="n">
        <v>0.0009969675241397696</v>
      </c>
      <c r="R42" s="15" t="n">
        <v>0.02419800645402169</v>
      </c>
      <c r="S42" s="15" t="n">
        <v>0.002015214923619795</v>
      </c>
      <c r="T42" s="29">
        <f>HIPERLINK($A$1 &amp; "\Dados\Imagem_perfil_42.png", "Imagem_perfil_42")</f>
        <v/>
      </c>
      <c r="U42" s="29">
        <f>HIPERLINK($A$1 &amp; "\Dados\Results_airgap42.txt", "Results_airgap42")</f>
        <v/>
      </c>
      <c r="V42" s="19" t="n"/>
      <c r="W42" s="43" t="n">
        <v>1.378575434782608</v>
      </c>
      <c r="X42" s="15" t="n">
        <v>0.6893357106948621</v>
      </c>
      <c r="Y42" s="15" t="n">
        <v>0.1508153029939265</v>
      </c>
      <c r="Z42" s="15" t="n">
        <v>0.1589550442304528</v>
      </c>
      <c r="AA42" s="15" t="n">
        <v>0.9235708977638266</v>
      </c>
      <c r="AB42" s="15" t="n">
        <v>0.8763926323509893</v>
      </c>
      <c r="AC42" s="15" t="n">
        <v>7.50299821698886</v>
      </c>
      <c r="AD42" s="15" t="n">
        <v>28.89826242957548</v>
      </c>
      <c r="AE42" s="15" t="n">
        <v>68.4619572885225</v>
      </c>
      <c r="AF42" s="15" t="n">
        <v>107.9497621975789</v>
      </c>
      <c r="AH42" s="29">
        <f>HIPERLINK($A$1 &amp; "\Dados\Magnet_fields.txt_42.txt.txt", "Magnet_fields.txt_42.txt")</f>
        <v/>
      </c>
      <c r="AI42" t="n">
        <v>8857</v>
      </c>
      <c r="AJ42" t="n">
        <v>29</v>
      </c>
      <c r="AK42" s="29">
        <f>HIPERLINK($A$1 &amp; "\Dados\Magnet_3D_results.txt_42.txt.txt", "Magnet_3D_results.txt_42.txt")</f>
        <v/>
      </c>
      <c r="AL42" s="29">
        <f>HIPERLINK($A$1 &amp; "\Dados\Magnet_fields_2D.txt_42.txt.txt", "Magnet_fields_2D.txt_42.txt")</f>
        <v/>
      </c>
    </row>
    <row customHeight="1" ht="15.75" r="43" s="34">
      <c r="E43" s="15" t="n">
        <v>120</v>
      </c>
      <c r="F43" s="15" t="n">
        <v>170</v>
      </c>
      <c r="G43" s="15" t="n">
        <v>350</v>
      </c>
      <c r="H43" s="15" t="n">
        <v>28</v>
      </c>
      <c r="I43" s="15" t="n">
        <v>140</v>
      </c>
      <c r="J43" s="13" t="n">
        <v>25</v>
      </c>
      <c r="K43" t="n">
        <v>35</v>
      </c>
      <c r="L43" s="13" t="n">
        <v>1.6</v>
      </c>
      <c r="M43" s="12" t="n"/>
      <c r="N43" s="8" t="n">
        <v>1.087436748703895</v>
      </c>
      <c r="O43" s="15" t="n">
        <v>0.8289094594493114</v>
      </c>
      <c r="P43" s="15" t="n">
        <v>1.010076859250138</v>
      </c>
      <c r="Q43" s="15" t="n">
        <v>0.0009955215582577602</v>
      </c>
      <c r="R43" s="15" t="n">
        <v>0.02468295544712461</v>
      </c>
      <c r="S43" s="15" t="n">
        <v>0.002026698867838101</v>
      </c>
      <c r="T43" s="29">
        <f>HIPERLINK($A$1 &amp; "\Dados\Imagem_perfil_43.png", "Imagem_perfil_43")</f>
        <v/>
      </c>
      <c r="U43" s="29">
        <f>HIPERLINK($A$1 &amp; "\Dados\Results_airgap43.txt", "Results_airgap43")</f>
        <v/>
      </c>
      <c r="V43" s="19" t="n"/>
      <c r="W43" s="15" t="n">
        <v>1.386440434782609</v>
      </c>
      <c r="X43" s="15" t="n">
        <v>0.6954613666336426</v>
      </c>
      <c r="Y43" s="15" t="n">
        <v>0.2334230561775281</v>
      </c>
      <c r="Z43" s="15" t="n">
        <v>0.1228453652499338</v>
      </c>
      <c r="AA43" s="15" t="n">
        <v>0.4091174785862735</v>
      </c>
      <c r="AB43" s="15" t="n">
        <v>1.666115785650247</v>
      </c>
      <c r="AC43" s="15" t="n">
        <v>9.157095696992776</v>
      </c>
      <c r="AD43" s="15" t="n">
        <v>30.21981942715386</v>
      </c>
      <c r="AE43" s="15" t="n">
        <v>69.08955747090017</v>
      </c>
      <c r="AF43" s="15" t="n">
        <v>108.052597057354</v>
      </c>
      <c r="AH43" s="29">
        <f>HIPERLINK($A$1 &amp; "\Dados\Magnet_fields.txt_43.txt.txt", "Magnet_fields.txt_43.txt")</f>
        <v/>
      </c>
      <c r="AI43" t="n">
        <v>8857</v>
      </c>
      <c r="AJ43" t="n">
        <v>29</v>
      </c>
      <c r="AK43" s="29">
        <f>HIPERLINK($A$1 &amp; "\Dados\Magnet_3D_results.txt_43.txt.txt", "Magnet_3D_results.txt_43.txt")</f>
        <v/>
      </c>
      <c r="AL43" s="29">
        <f>HIPERLINK($A$1 &amp; "\Dados\Magnet_fields_2D.txt_43.txt.txt", "Magnet_fields_2D.txt_43.txt")</f>
        <v/>
      </c>
    </row>
    <row customHeight="1" ht="15.75" r="44" s="34">
      <c r="E44" s="15" t="n">
        <v>120</v>
      </c>
      <c r="F44" s="15" t="n">
        <v>170</v>
      </c>
      <c r="G44" s="15" t="n">
        <v>350</v>
      </c>
      <c r="H44" s="15" t="n">
        <v>28</v>
      </c>
      <c r="I44" s="15" t="n">
        <v>140</v>
      </c>
      <c r="J44" s="13" t="n">
        <v>25</v>
      </c>
      <c r="K44" t="n">
        <v>35</v>
      </c>
      <c r="L44" s="13" t="n">
        <v>1.7</v>
      </c>
      <c r="M44" s="12" t="n"/>
      <c r="N44" s="8" t="n">
        <v>1.091323143386365</v>
      </c>
      <c r="O44" s="15" t="n">
        <v>0.8319516115855834</v>
      </c>
      <c r="P44" s="15" t="n">
        <v>1.013716320621835</v>
      </c>
      <c r="Q44" s="15" t="n">
        <v>0.0009960450411162338</v>
      </c>
      <c r="R44" s="15" t="n">
        <v>0.02483323256082993</v>
      </c>
      <c r="S44" s="15" t="n">
        <v>0.002031064717578925</v>
      </c>
      <c r="T44" s="29">
        <f>HIPERLINK($A$1 &amp; "\Dados\Imagem_perfil_44.png", "Imagem_perfil_44")</f>
        <v/>
      </c>
      <c r="U44" s="29">
        <f>HIPERLINK($A$1 &amp; "\Dados\Results_airgap44.txt", "Results_airgap44")</f>
        <v/>
      </c>
      <c r="V44" s="19" t="n"/>
      <c r="W44" s="15" t="n">
        <v>1.391063695652174</v>
      </c>
      <c r="X44" s="15" t="n">
        <v>0.6981383458144569</v>
      </c>
      <c r="Y44" s="15" t="n">
        <v>0.3235291805005531</v>
      </c>
      <c r="Z44" s="15" t="n">
        <v>0.1038442160614303</v>
      </c>
      <c r="AA44" s="15" t="n">
        <v>0.3075560954032279</v>
      </c>
      <c r="AB44" s="15" t="n">
        <v>2.125306849412928</v>
      </c>
      <c r="AC44" s="15" t="n">
        <v>10.15485071848488</v>
      </c>
      <c r="AD44" s="15" t="n">
        <v>31.06103981533593</v>
      </c>
      <c r="AE44" s="15" t="n">
        <v>69.4994194115704</v>
      </c>
      <c r="AF44" s="15" t="n">
        <v>108.1335785267037</v>
      </c>
      <c r="AH44" s="29">
        <f>HIPERLINK($A$1 &amp; "\Dados\Magnet_fields.txt_44.txt.txt", "Magnet_fields.txt_44.txt")</f>
        <v/>
      </c>
      <c r="AI44" t="n">
        <v>8857</v>
      </c>
      <c r="AJ44" t="n">
        <v>29</v>
      </c>
      <c r="AK44" s="29">
        <f>HIPERLINK($A$1 &amp; "\Dados\Magnet_3D_results.txt_44.txt.txt", "Magnet_3D_results.txt_44.txt")</f>
        <v/>
      </c>
      <c r="AL44" s="29">
        <f>HIPERLINK($A$1 &amp; "\Dados\Magnet_fields_2D.txt_44.txt.txt", "Magnet_fields_2D.txt_44.txt")</f>
        <v/>
      </c>
    </row>
    <row customHeight="1" ht="15.75" r="45" s="34">
      <c r="E45" s="15" t="n">
        <v>120</v>
      </c>
      <c r="F45" s="15" t="n">
        <v>170</v>
      </c>
      <c r="G45" s="15" t="n">
        <v>350</v>
      </c>
      <c r="H45" s="15" t="n">
        <v>28</v>
      </c>
      <c r="I45" s="15" t="n">
        <v>140</v>
      </c>
      <c r="J45" s="13" t="n">
        <v>25</v>
      </c>
      <c r="K45" t="n">
        <v>35</v>
      </c>
      <c r="L45" s="13" t="n">
        <v>1.8</v>
      </c>
      <c r="M45" s="12" t="n"/>
      <c r="N45" s="8" t="n">
        <v>1.091323143386365</v>
      </c>
      <c r="O45" s="15" t="n">
        <v>0.8319516115855832</v>
      </c>
      <c r="P45" s="15" t="n">
        <v>1.013716320621835</v>
      </c>
      <c r="Q45" s="15" t="n">
        <v>0.0009960450411162338</v>
      </c>
      <c r="R45" s="15" t="n">
        <v>0.02483323256082992</v>
      </c>
      <c r="S45" s="15" t="n">
        <v>0.002031064717578925</v>
      </c>
      <c r="T45" s="29">
        <f>HIPERLINK($A$1 &amp; "\Dados\Imagem_perfil_45.png", "Imagem_perfil_45")</f>
        <v/>
      </c>
      <c r="U45" s="29">
        <f>HIPERLINK($A$1 &amp; "\Dados\Results_airgap45.txt", "Results_airgap45")</f>
        <v/>
      </c>
      <c r="V45" s="19" t="n"/>
      <c r="W45" s="15" t="n">
        <v>1.394112173913044</v>
      </c>
      <c r="X45" s="15" t="n">
        <v>0.6981383458144569</v>
      </c>
      <c r="Y45" s="15" t="n">
        <v>0.4172926687258398</v>
      </c>
      <c r="Z45" s="15" t="n">
        <v>0.1038442160614303</v>
      </c>
      <c r="AA45" s="15" t="n">
        <v>0.3075560954032279</v>
      </c>
      <c r="AB45" s="15" t="n">
        <v>2.434545787647978</v>
      </c>
      <c r="AC45" s="15" t="n">
        <v>10.86048071297261</v>
      </c>
      <c r="AD45" s="15" t="n">
        <v>31.62458796725567</v>
      </c>
      <c r="AE45" s="15" t="n">
        <v>69.75021121830127</v>
      </c>
      <c r="AF45" s="15" t="n">
        <v>108.1843804868116</v>
      </c>
      <c r="AH45" s="29">
        <f>HIPERLINK($A$1 &amp; "\Dados\Magnet_fields.txt_45.txt.txt", "Magnet_fields.txt_45.txt")</f>
        <v/>
      </c>
      <c r="AI45" t="n">
        <v>8857</v>
      </c>
      <c r="AJ45" t="n">
        <v>29</v>
      </c>
      <c r="AK45" s="29">
        <f>HIPERLINK($A$1 &amp; "\Dados\Magnet_3D_results.txt_45.txt.txt", "Magnet_3D_results.txt_45.txt")</f>
        <v/>
      </c>
      <c r="AL45" s="29">
        <f>HIPERLINK($A$1 &amp; "\Dados\Magnet_fields_2D.txt_45.txt.txt", "Magnet_fields_2D.txt_45.txt")</f>
        <v/>
      </c>
    </row>
    <row customHeight="1" ht="15.75" r="46" s="34">
      <c r="E46" s="15" t="n">
        <v>120</v>
      </c>
      <c r="F46" s="15" t="n">
        <v>170</v>
      </c>
      <c r="G46" s="15" t="n">
        <v>350</v>
      </c>
      <c r="H46" s="15" t="n">
        <v>28</v>
      </c>
      <c r="I46" s="15" t="n">
        <v>140</v>
      </c>
      <c r="J46" s="13" t="n">
        <v>25</v>
      </c>
      <c r="K46" t="n">
        <v>35</v>
      </c>
      <c r="L46" s="13" t="n">
        <v>1.900000000000001</v>
      </c>
      <c r="M46" s="12" t="n"/>
      <c r="N46" s="8" t="n">
        <v>1.094391970701698</v>
      </c>
      <c r="O46" s="15" t="n">
        <v>0.8343767457784036</v>
      </c>
      <c r="P46" s="15" t="n">
        <v>1.016617561830393</v>
      </c>
      <c r="Q46" s="15" t="n">
        <v>0.0009962884424615452</v>
      </c>
      <c r="R46" s="15" t="n">
        <v>0.02496839942196434</v>
      </c>
      <c r="S46" s="15" t="n">
        <v>0.002034746014502642</v>
      </c>
      <c r="T46" s="29">
        <f>HIPERLINK($A$1 &amp; "\Dados\Imagem_perfil_46.png", "Imagem_perfil_46")</f>
        <v/>
      </c>
      <c r="U46" s="29">
        <f>HIPERLINK($A$1 &amp; "\Dados\Results_airgap46.txt", "Results_airgap46")</f>
        <v/>
      </c>
      <c r="V46" s="19" t="n"/>
      <c r="W46" s="15" t="n">
        <v>1.396198913043479</v>
      </c>
      <c r="X46" s="15" t="n">
        <v>0.700287007134594</v>
      </c>
      <c r="Y46" s="15" t="n">
        <v>0.5121388411867672</v>
      </c>
      <c r="Z46" s="15" t="n">
        <v>0.09744179071027446</v>
      </c>
      <c r="AA46" s="15" t="n">
        <v>0.2306905160083727</v>
      </c>
      <c r="AB46" s="15" t="n">
        <v>2.662725293415091</v>
      </c>
      <c r="AC46" s="15" t="n">
        <v>11.33369865791723</v>
      </c>
      <c r="AD46" s="15" t="n">
        <v>32.03489899602143</v>
      </c>
      <c r="AE46" s="15" t="n">
        <v>69.93132275040681</v>
      </c>
      <c r="AF46" s="15" t="n">
        <v>108.2136308707608</v>
      </c>
      <c r="AH46" s="29">
        <f>HIPERLINK($A$1 &amp; "\Dados\Magnet_fields.txt_46.txt.txt", "Magnet_fields.txt_46.txt")</f>
        <v/>
      </c>
      <c r="AI46" t="n">
        <v>8857</v>
      </c>
      <c r="AJ46" t="n">
        <v>29</v>
      </c>
      <c r="AK46" s="29">
        <f>HIPERLINK($A$1 &amp; "\Dados\Magnet_3D_results.txt_46.txt.txt", "Magnet_3D_results.txt_46.txt")</f>
        <v/>
      </c>
      <c r="AL46" s="29">
        <f>HIPERLINK($A$1 &amp; "\Dados\Magnet_fields_2D.txt_46.txt.txt", "Magnet_fields_2D.txt_46.txt")</f>
        <v/>
      </c>
    </row>
    <row customHeight="1" ht="15.75" r="47" s="34">
      <c r="E47" s="15" t="n">
        <v>120</v>
      </c>
      <c r="F47" s="15" t="n">
        <v>170</v>
      </c>
      <c r="G47" s="15" t="n">
        <v>350</v>
      </c>
      <c r="H47" s="15" t="n">
        <v>28</v>
      </c>
      <c r="I47" s="15" t="n">
        <v>140</v>
      </c>
      <c r="J47" s="13" t="n">
        <v>25</v>
      </c>
      <c r="K47" t="n">
        <v>35</v>
      </c>
      <c r="L47" s="13" t="n">
        <v>2.000000000000001</v>
      </c>
      <c r="M47" s="12" t="n"/>
      <c r="N47" s="8" t="n">
        <v>1.095311288421505</v>
      </c>
      <c r="O47" s="15" t="n">
        <v>0.8351148186069559</v>
      </c>
      <c r="P47" s="15" t="n">
        <v>1.017459360971729</v>
      </c>
      <c r="Q47" s="15" t="n">
        <v>0.0009951264310458792</v>
      </c>
      <c r="R47" s="15" t="n">
        <v>0.02508667205459679</v>
      </c>
      <c r="S47" s="15" t="n">
        <v>0.00203676300848238</v>
      </c>
      <c r="T47" s="29">
        <f>HIPERLINK($A$1 &amp; "\Dados\Imagem_perfil_47.png", "Imagem_perfil_47")</f>
        <v/>
      </c>
      <c r="U47" s="29">
        <f>HIPERLINK($A$1 &amp; "\Dados\Results_airgap47.txt", "Results_airgap47")</f>
        <v/>
      </c>
      <c r="V47" s="19" t="n"/>
      <c r="W47" s="15" t="n">
        <v>1.397807608695652</v>
      </c>
      <c r="X47" s="15" t="n">
        <v>0.7009528364592506</v>
      </c>
      <c r="Y47" s="15" t="n">
        <v>0.6063663850556906</v>
      </c>
      <c r="Z47" s="15" t="n">
        <v>0.09744179071027446</v>
      </c>
      <c r="AA47" s="15" t="n">
        <v>0.1114549435946903</v>
      </c>
      <c r="AB47" s="15" t="n">
        <v>2.844625306334341</v>
      </c>
      <c r="AC47" s="15" t="n">
        <v>11.7161104564822</v>
      </c>
      <c r="AD47" s="15" t="n">
        <v>32.33593760736537</v>
      </c>
      <c r="AE47" s="15" t="n">
        <v>70.08779662760591</v>
      </c>
      <c r="AF47" s="15" t="n">
        <v>108.2627779062148</v>
      </c>
      <c r="AH47" s="29">
        <f>HIPERLINK($A$1 &amp; "\Dados\Magnet_fields.txt_47.txt.txt", "Magnet_fields.txt_47.txt")</f>
        <v/>
      </c>
      <c r="AI47" t="n">
        <v>8857</v>
      </c>
      <c r="AJ47" t="n">
        <v>29</v>
      </c>
      <c r="AK47" s="29">
        <f>HIPERLINK($A$1 &amp; "\Dados\Magnet_3D_results.txt_47.txt.txt", "Magnet_3D_results.txt_47.txt")</f>
        <v/>
      </c>
      <c r="AL47" s="29">
        <f>HIPERLINK($A$1 &amp; "\Dados\Magnet_fields_2D.txt_47.txt.txt", "Magnet_fields_2D.txt_47.txt")</f>
        <v/>
      </c>
    </row>
    <row customHeight="1" ht="15.75" r="48" s="34">
      <c r="E48" s="15" t="n">
        <v>120</v>
      </c>
      <c r="F48" s="15" t="n">
        <v>170</v>
      </c>
      <c r="G48" s="15" t="n">
        <v>350</v>
      </c>
      <c r="H48" s="15" t="n">
        <v>28</v>
      </c>
      <c r="I48" s="15" t="n">
        <v>140</v>
      </c>
      <c r="J48" s="13" t="n">
        <v>25</v>
      </c>
      <c r="K48" t="n">
        <v>35</v>
      </c>
      <c r="L48" s="13" t="n">
        <v>2.100000000000001</v>
      </c>
      <c r="M48" s="12" t="n"/>
      <c r="N48" s="8" t="n">
        <v>1.095311288421505</v>
      </c>
      <c r="O48" s="15" t="n">
        <v>0.8351148186069559</v>
      </c>
      <c r="P48" s="15" t="n">
        <v>1.017459360971729</v>
      </c>
      <c r="Q48" s="15" t="n">
        <v>0.0009951264310458792</v>
      </c>
      <c r="R48" s="15" t="n">
        <v>0.02508667205459679</v>
      </c>
      <c r="S48" s="15" t="n">
        <v>0.00203676300848238</v>
      </c>
      <c r="T48" s="29">
        <f>HIPERLINK($A$1 &amp; "\Dados\Imagem_perfil_48.png", "Imagem_perfil_48")</f>
        <v/>
      </c>
      <c r="U48" s="29">
        <f>HIPERLINK($A$1 &amp; "\Dados\Results_airgap48.txt", "Results_airgap48")</f>
        <v/>
      </c>
      <c r="V48" s="19" t="n"/>
      <c r="W48" s="15" t="n">
        <v>1.398972391304348</v>
      </c>
      <c r="X48" s="15" t="n">
        <v>0.7009528364592506</v>
      </c>
      <c r="Y48" s="15" t="n">
        <v>0.6988685234735552</v>
      </c>
      <c r="Z48" s="15" t="n">
        <v>0.09744179071027446</v>
      </c>
      <c r="AA48" s="15" t="n">
        <v>0.1114549435946903</v>
      </c>
      <c r="AB48" s="15" t="n">
        <v>2.95446556985882</v>
      </c>
      <c r="AC48" s="15" t="n">
        <v>11.99017484749237</v>
      </c>
      <c r="AD48" s="15" t="n">
        <v>32.57287197920152</v>
      </c>
      <c r="AE48" s="15" t="n">
        <v>70.20535953262656</v>
      </c>
      <c r="AF48" s="15" t="n">
        <v>108.2931379671021</v>
      </c>
      <c r="AH48" s="29">
        <f>HIPERLINK($A$1 &amp; "\Dados\Magnet_fields.txt_48.txt.txt", "Magnet_fields.txt_48.txt")</f>
        <v/>
      </c>
      <c r="AI48" t="n">
        <v>8857</v>
      </c>
      <c r="AJ48" t="n">
        <v>29</v>
      </c>
      <c r="AK48" s="29">
        <f>HIPERLINK($A$1 &amp; "\Dados\Magnet_3D_results.txt_48.txt.txt", "Magnet_3D_results.txt_48.txt")</f>
        <v/>
      </c>
      <c r="AL48" s="29">
        <f>HIPERLINK($A$1 &amp; "\Dados\Magnet_fields_2D.txt_48.txt.txt", "Magnet_fields_2D.txt_48.txt")</f>
        <v/>
      </c>
    </row>
    <row customHeight="1" ht="15.75" r="49" s="34">
      <c r="E49" s="15" t="n">
        <v>120</v>
      </c>
      <c r="F49" s="15" t="n">
        <v>170</v>
      </c>
      <c r="G49" s="15" t="n">
        <v>350</v>
      </c>
      <c r="H49" s="15" t="n">
        <v>30</v>
      </c>
      <c r="I49" s="15" t="n">
        <v>140</v>
      </c>
      <c r="J49" s="13" t="n">
        <v>25</v>
      </c>
      <c r="K49" t="n">
        <v>35</v>
      </c>
      <c r="L49" s="13" t="n">
        <v>1.3</v>
      </c>
      <c r="M49" s="12" t="n"/>
      <c r="N49" s="8" t="n">
        <v>1.045976074958774</v>
      </c>
      <c r="O49" s="15" t="n">
        <v>0.7957901590569062</v>
      </c>
      <c r="P49" s="15" t="n">
        <v>0.9712291590292949</v>
      </c>
      <c r="Q49" s="15" t="n">
        <v>0.000996161558561536</v>
      </c>
      <c r="R49" s="15" t="n">
        <v>0.02307022021691926</v>
      </c>
      <c r="S49" s="15" t="n">
        <v>0.001961092052002305</v>
      </c>
      <c r="T49" s="29">
        <f>HIPERLINK($A$1 &amp; "\Dados\Imagem_perfil_49.png", "Imagem_perfil_49")</f>
        <v/>
      </c>
      <c r="U49" s="29">
        <f>HIPERLINK($A$1 &amp; "\Dados\Results_airgap49.txt", "Results_airgap49")</f>
        <v/>
      </c>
      <c r="V49" s="19" t="n"/>
      <c r="W49" s="43" t="n">
        <v>1.332685217391304</v>
      </c>
      <c r="X49" s="15" t="n">
        <v>0.6653925448077525</v>
      </c>
      <c r="Y49" s="15" t="n">
        <v>0.032098234744044</v>
      </c>
      <c r="Z49" s="15" t="n">
        <v>0.406026200098716</v>
      </c>
      <c r="AA49" s="15" t="n">
        <v>2.057561003848896</v>
      </c>
      <c r="AB49" s="15" t="n">
        <v>0</v>
      </c>
      <c r="AC49" s="15" t="n">
        <v>0</v>
      </c>
      <c r="AD49" s="15" t="n">
        <v>20.62223570776322</v>
      </c>
      <c r="AE49" s="15" t="n">
        <v>64.72656705719508</v>
      </c>
      <c r="AF49" s="15" t="n">
        <v>107.0578913478711</v>
      </c>
      <c r="AH49" s="29">
        <f>HIPERLINK($A$1 &amp; "\Dados\Magnet_fields.txt_49.txt.txt", "Magnet_fields.txt_49.txt")</f>
        <v/>
      </c>
      <c r="AI49" t="n">
        <v>8604</v>
      </c>
      <c r="AJ49" t="n">
        <v>29</v>
      </c>
      <c r="AK49" s="29">
        <f>HIPERLINK($A$1 &amp; "\Dados\Magnet_3D_results.txt_49.txt.txt", "Magnet_3D_results.txt_49.txt")</f>
        <v/>
      </c>
      <c r="AL49" s="29">
        <f>HIPERLINK($A$1 &amp; "\Dados\Magnet_fields_2D.txt_49.txt.txt", "Magnet_fields_2D.txt_49.txt")</f>
        <v/>
      </c>
    </row>
    <row customHeight="1" ht="15.75" r="50" s="34">
      <c r="E50" s="15" t="n">
        <v>120</v>
      </c>
      <c r="F50" s="15" t="n">
        <v>170</v>
      </c>
      <c r="G50" s="15" t="n">
        <v>350</v>
      </c>
      <c r="H50" s="15" t="n">
        <v>30</v>
      </c>
      <c r="I50" s="15" t="n">
        <v>140</v>
      </c>
      <c r="J50" s="13" t="n">
        <v>25</v>
      </c>
      <c r="K50" t="n">
        <v>35</v>
      </c>
      <c r="L50" s="13" t="n">
        <v>1.4</v>
      </c>
      <c r="M50" s="12" t="n"/>
      <c r="N50" s="8" t="n">
        <v>1.070262928342755</v>
      </c>
      <c r="O50" s="15" t="n">
        <v>0.8147973131746685</v>
      </c>
      <c r="P50" s="15" t="n">
        <v>0.9939007463799794</v>
      </c>
      <c r="Q50" s="15" t="n">
        <v>0.0009983772727938543</v>
      </c>
      <c r="R50" s="15" t="n">
        <v>0.02422117723898386</v>
      </c>
      <c r="S50" s="15" t="n">
        <v>0.001994484108500367</v>
      </c>
      <c r="T50" s="29">
        <f>HIPERLINK($A$1 &amp; "\Dados\Imagem_perfil_50.png", "Imagem_perfil_50")</f>
        <v/>
      </c>
      <c r="U50" s="29">
        <f>HIPERLINK($A$1 &amp; "\Dados\Results_airgap50.txt", "Results_airgap50")</f>
        <v/>
      </c>
      <c r="V50" s="19" t="n"/>
      <c r="W50" s="43" t="n">
        <v>1.363114130434783</v>
      </c>
      <c r="X50" s="15" t="n">
        <v>0.6820339972981209</v>
      </c>
      <c r="Y50" s="15" t="n">
        <v>0.08125919828167956</v>
      </c>
      <c r="Z50" s="15" t="n">
        <v>0.1780936113289324</v>
      </c>
      <c r="AA50" s="15" t="n">
        <v>0.5798796590178832</v>
      </c>
      <c r="AB50" s="15" t="n">
        <v>0</v>
      </c>
      <c r="AC50" s="15" t="n">
        <v>4.367659054338453</v>
      </c>
      <c r="AD50" s="15" t="n">
        <v>26.4211608617428</v>
      </c>
      <c r="AE50" s="15" t="n">
        <v>67.26869532786422</v>
      </c>
      <c r="AF50" s="15" t="n">
        <v>107.74476129629</v>
      </c>
      <c r="AH50" s="29">
        <f>HIPERLINK($A$1 &amp; "\Dados\Magnet_fields.txt_50.txt.txt", "Magnet_fields.txt_50.txt")</f>
        <v/>
      </c>
      <c r="AI50" t="n">
        <v>8604</v>
      </c>
      <c r="AJ50" t="n">
        <v>29</v>
      </c>
      <c r="AK50" s="29">
        <f>HIPERLINK($A$1 &amp; "\Dados\Magnet_3D_results.txt_50.txt.txt", "Magnet_3D_results.txt_50.txt")</f>
        <v/>
      </c>
      <c r="AL50" s="29">
        <f>HIPERLINK($A$1 &amp; "\Dados\Magnet_fields_2D.txt_50.txt.txt", "Magnet_fields_2D.txt_50.txt")</f>
        <v/>
      </c>
    </row>
    <row customHeight="1" ht="15.75" r="51" s="34">
      <c r="E51" s="15" t="n">
        <v>120</v>
      </c>
      <c r="F51" s="15" t="n">
        <v>170</v>
      </c>
      <c r="G51" s="15" t="n">
        <v>350</v>
      </c>
      <c r="H51" s="15" t="n">
        <v>30</v>
      </c>
      <c r="I51" s="15" t="n">
        <v>140</v>
      </c>
      <c r="J51" s="13" t="n">
        <v>25</v>
      </c>
      <c r="K51" t="n">
        <v>35</v>
      </c>
      <c r="L51" s="13" t="n">
        <v>1.5</v>
      </c>
      <c r="M51" s="12" t="n"/>
      <c r="N51" s="8" t="n">
        <v>1.080422036680683</v>
      </c>
      <c r="O51" s="15" t="n">
        <v>0.8227715020217206</v>
      </c>
      <c r="P51" s="15" t="n">
        <v>1.003496894445614</v>
      </c>
      <c r="Q51" s="15" t="n">
        <v>0.0009990753788791673</v>
      </c>
      <c r="R51" s="15" t="n">
        <v>0.02465703805614237</v>
      </c>
      <c r="S51" s="15" t="n">
        <v>0.002006662600120752</v>
      </c>
      <c r="T51" s="29">
        <f>HIPERLINK($A$1 &amp; "\Dados\Imagem_perfil_51.png", "Imagem_perfil_51")</f>
        <v/>
      </c>
      <c r="U51" s="29">
        <f>HIPERLINK($A$1 &amp; "\Dados\Results_airgap51.txt", "Results_airgap51")</f>
        <v/>
      </c>
      <c r="V51" s="19" t="n"/>
      <c r="W51" s="43" t="n">
        <v>1.378573043478261</v>
      </c>
      <c r="X51" s="15" t="n">
        <v>0.6890477716855007</v>
      </c>
      <c r="Y51" s="15" t="n">
        <v>0.150805004001643</v>
      </c>
      <c r="Z51" s="15" t="n">
        <v>0.1480802905364408</v>
      </c>
      <c r="AA51" s="15" t="n">
        <v>0.2291407091186062</v>
      </c>
      <c r="AB51" s="15" t="n">
        <v>0.8846611637964733</v>
      </c>
      <c r="AC51" s="15" t="n">
        <v>7.502401847695644</v>
      </c>
      <c r="AD51" s="15" t="n">
        <v>28.89506741131955</v>
      </c>
      <c r="AE51" s="15" t="n">
        <v>68.44525374101214</v>
      </c>
      <c r="AF51" s="15" t="n">
        <v>107.969962986262</v>
      </c>
      <c r="AH51" s="29">
        <f>HIPERLINK($A$1 &amp; "\Dados\Magnet_fields.txt_51.txt.txt", "Magnet_fields.txt_51.txt")</f>
        <v/>
      </c>
      <c r="AI51" t="n">
        <v>8604</v>
      </c>
      <c r="AJ51" t="n">
        <v>29</v>
      </c>
      <c r="AK51" s="29">
        <f>HIPERLINK($A$1 &amp; "\Dados\Magnet_3D_results.txt_51.txt.txt", "Magnet_3D_results.txt_51.txt")</f>
        <v/>
      </c>
      <c r="AL51" s="29">
        <f>HIPERLINK($A$1 &amp; "\Dados\Magnet_fields_2D.txt_51.txt.txt", "Magnet_fields_2D.txt_51.txt")</f>
        <v/>
      </c>
    </row>
    <row customHeight="1" ht="15.75" r="52" s="34">
      <c r="E52" s="15" t="n">
        <v>120</v>
      </c>
      <c r="F52" s="15" t="n">
        <v>170</v>
      </c>
      <c r="G52" s="15" t="n">
        <v>350</v>
      </c>
      <c r="H52" s="15" t="n">
        <v>30</v>
      </c>
      <c r="I52" s="15" t="n">
        <v>140</v>
      </c>
      <c r="J52" s="13" t="n">
        <v>25</v>
      </c>
      <c r="K52" t="n">
        <v>35</v>
      </c>
      <c r="L52" s="13" t="n">
        <v>1.6</v>
      </c>
      <c r="M52" s="12" t="n"/>
      <c r="N52" s="8" t="n">
        <v>1.089060743899512</v>
      </c>
      <c r="O52" s="15" t="n">
        <v>0.8295688159224944</v>
      </c>
      <c r="P52" s="15" t="n">
        <v>1.011593719949905</v>
      </c>
      <c r="Q52" s="15" t="n">
        <v>0.0009968473276065037</v>
      </c>
      <c r="R52" s="15" t="n">
        <v>0.02510384018226645</v>
      </c>
      <c r="S52" s="15" t="n">
        <v>0.002016161258848069</v>
      </c>
      <c r="T52" s="29">
        <f>HIPERLINK($A$1 &amp; "\Dados\Imagem_perfil_52.png", "Imagem_perfil_52")</f>
        <v/>
      </c>
      <c r="U52" s="29">
        <f>HIPERLINK($A$1 &amp; "\Dados\Results_airgap52.txt", "Results_airgap52")</f>
        <v/>
      </c>
      <c r="V52" s="19" t="n"/>
      <c r="W52" s="15" t="n">
        <v>1.386464782608696</v>
      </c>
      <c r="X52" s="15" t="n">
        <v>0.6950608813526143</v>
      </c>
      <c r="Y52" s="15" t="n">
        <v>0.233410799110514</v>
      </c>
      <c r="Z52" s="15" t="n">
        <v>0.1195161040673328</v>
      </c>
      <c r="AA52" s="15" t="n">
        <v>0.09615413082911781</v>
      </c>
      <c r="AB52" s="15" t="n">
        <v>1.671058997101179</v>
      </c>
      <c r="AC52" s="15" t="n">
        <v>9.159778038480116</v>
      </c>
      <c r="AD52" s="15" t="n">
        <v>30.22607173743044</v>
      </c>
      <c r="AE52" s="15" t="n">
        <v>69.07840197322075</v>
      </c>
      <c r="AF52" s="15" t="n">
        <v>108.0403997150427</v>
      </c>
      <c r="AH52" s="29">
        <f>HIPERLINK($A$1 &amp; "\Dados\Magnet_fields.txt_52.txt.txt", "Magnet_fields.txt_52.txt")</f>
        <v/>
      </c>
      <c r="AI52" t="n">
        <v>8604</v>
      </c>
      <c r="AJ52" t="n">
        <v>28</v>
      </c>
      <c r="AK52" s="29">
        <f>HIPERLINK($A$1 &amp; "\Dados\Magnet_3D_results.txt_52.txt.txt", "Magnet_3D_results.txt_52.txt")</f>
        <v/>
      </c>
      <c r="AL52" s="29">
        <f>HIPERLINK($A$1 &amp; "\Dados\Magnet_fields_2D.txt_52.txt.txt", "Magnet_fields_2D.txt_52.txt")</f>
        <v/>
      </c>
    </row>
    <row customHeight="1" ht="15.75" r="53" s="34">
      <c r="E53" s="15" t="n">
        <v>120</v>
      </c>
      <c r="F53" s="15" t="n">
        <v>170</v>
      </c>
      <c r="G53" s="15" t="n">
        <v>350</v>
      </c>
      <c r="H53" s="15" t="n">
        <v>30</v>
      </c>
      <c r="I53" s="15" t="n">
        <v>140</v>
      </c>
      <c r="J53" s="13" t="n">
        <v>25</v>
      </c>
      <c r="K53" t="n">
        <v>35</v>
      </c>
      <c r="L53" s="13" t="n">
        <v>1.7</v>
      </c>
      <c r="M53" s="12" t="n"/>
      <c r="N53" s="8" t="n">
        <v>1.09289876511916</v>
      </c>
      <c r="O53" s="15" t="n">
        <v>0.8325641643628684</v>
      </c>
      <c r="P53" s="15" t="n">
        <v>1.015186378674208</v>
      </c>
      <c r="Q53" s="15" t="n">
        <v>0.0009972294488722929</v>
      </c>
      <c r="R53" s="15" t="n">
        <v>0.0252423183437708</v>
      </c>
      <c r="S53" s="15" t="n">
        <v>0.002020011634619171</v>
      </c>
      <c r="T53" s="29">
        <f>HIPERLINK($A$1 &amp; "\Dados\Imagem_perfil_53.png", "Imagem_perfil_53")</f>
        <v/>
      </c>
      <c r="U53" s="29">
        <f>HIPERLINK($A$1 &amp; "\Dados\Results_airgap53.txt", "Results_airgap53")</f>
        <v/>
      </c>
      <c r="V53" s="19" t="n"/>
      <c r="W53" s="15" t="n">
        <v>1.391265869565217</v>
      </c>
      <c r="X53" s="15" t="n">
        <v>0.6977002639231793</v>
      </c>
      <c r="Y53" s="15" t="n">
        <v>0.3235158702830638</v>
      </c>
      <c r="Z53" s="15" t="n">
        <v>0.1195161040673328</v>
      </c>
      <c r="AA53" s="15" t="n">
        <v>0.05355278044593131</v>
      </c>
      <c r="AB53" s="15" t="n">
        <v>2.120021480297607</v>
      </c>
      <c r="AC53" s="15" t="n">
        <v>10.18635534473592</v>
      </c>
      <c r="AD53" s="15" t="n">
        <v>31.10995419815779</v>
      </c>
      <c r="AE53" s="15" t="n">
        <v>69.5318522812038</v>
      </c>
      <c r="AF53" s="15" t="n">
        <v>108.1161536181144</v>
      </c>
      <c r="AH53" s="29">
        <f>HIPERLINK($A$1 &amp; "\Dados\Magnet_fields.txt_53.txt.txt", "Magnet_fields.txt_53.txt")</f>
        <v/>
      </c>
      <c r="AI53" t="n">
        <v>8604</v>
      </c>
      <c r="AJ53" t="n">
        <v>29</v>
      </c>
      <c r="AK53" s="29">
        <f>HIPERLINK($A$1 &amp; "\Dados\Magnet_3D_results.txt_53.txt.txt", "Magnet_3D_results.txt_53.txt")</f>
        <v/>
      </c>
      <c r="AL53" s="29">
        <f>HIPERLINK($A$1 &amp; "\Dados\Magnet_fields_2D.txt_53.txt.txt", "Magnet_fields_2D.txt_53.txt")</f>
        <v/>
      </c>
    </row>
    <row customHeight="1" ht="15.75" r="54" s="34">
      <c r="E54" s="15" t="n">
        <v>120</v>
      </c>
      <c r="F54" s="15" t="n">
        <v>170</v>
      </c>
      <c r="G54" s="15" t="n">
        <v>350</v>
      </c>
      <c r="H54" s="15" t="n">
        <v>30</v>
      </c>
      <c r="I54" s="15" t="n">
        <v>140</v>
      </c>
      <c r="J54" s="13" t="n">
        <v>25</v>
      </c>
      <c r="K54" t="n">
        <v>35</v>
      </c>
      <c r="L54" s="13" t="n">
        <v>1.8</v>
      </c>
      <c r="M54" s="12" t="n"/>
      <c r="N54" s="8" t="n">
        <v>1.09289876511916</v>
      </c>
      <c r="O54" s="15" t="n">
        <v>0.8325641643628685</v>
      </c>
      <c r="P54" s="15" t="n">
        <v>1.015186378674207</v>
      </c>
      <c r="Q54" s="15" t="n">
        <v>0.0009972294488722929</v>
      </c>
      <c r="R54" s="15" t="n">
        <v>0.02524231834377081</v>
      </c>
      <c r="S54" s="15" t="n">
        <v>0.002020011634619171</v>
      </c>
      <c r="T54" s="29">
        <f>HIPERLINK($A$1 &amp; "\Dados\Imagem_perfil_54.png", "Imagem_perfil_54")</f>
        <v/>
      </c>
      <c r="U54" s="29">
        <f>HIPERLINK($A$1 &amp; "\Dados\Results_airgap54.txt", "Results_airgap54")</f>
        <v/>
      </c>
      <c r="V54" s="19" t="n"/>
      <c r="W54" s="15" t="n">
        <v>1.394121956521739</v>
      </c>
      <c r="X54" s="15" t="n">
        <v>0.6977002639231793</v>
      </c>
      <c r="Y54" s="15" t="n">
        <v>0.4172780297076781</v>
      </c>
      <c r="Z54" s="15" t="n">
        <v>0.1195161040673328</v>
      </c>
      <c r="AA54" s="15" t="n">
        <v>0.05355278044593131</v>
      </c>
      <c r="AB54" s="15" t="n">
        <v>2.445710088761335</v>
      </c>
      <c r="AC54" s="15" t="n">
        <v>10.85637751119259</v>
      </c>
      <c r="AD54" s="15" t="n">
        <v>31.62749487039107</v>
      </c>
      <c r="AE54" s="15" t="n">
        <v>69.74131251564486</v>
      </c>
      <c r="AF54" s="15" t="n">
        <v>108.1775514672316</v>
      </c>
      <c r="AH54" s="29">
        <f>HIPERLINK($A$1 &amp; "\Dados\Magnet_fields.txt_54.txt.txt", "Magnet_fields.txt_54.txt")</f>
        <v/>
      </c>
      <c r="AI54" t="n">
        <v>8604</v>
      </c>
      <c r="AJ54" t="n">
        <v>28</v>
      </c>
      <c r="AK54" s="29">
        <f>HIPERLINK($A$1 &amp; "\Dados\Magnet_3D_results.txt_54.txt.txt", "Magnet_3D_results.txt_54.txt")</f>
        <v/>
      </c>
      <c r="AL54" s="29">
        <f>HIPERLINK($A$1 &amp; "\Dados\Magnet_fields_2D.txt_54.txt.txt", "Magnet_fields_2D.txt_54.txt")</f>
        <v/>
      </c>
    </row>
    <row customHeight="1" ht="15.75" r="55" s="34">
      <c r="E55" s="15" t="n">
        <v>120</v>
      </c>
      <c r="F55" s="15" t="n">
        <v>170</v>
      </c>
      <c r="G55" s="15" t="n">
        <v>350</v>
      </c>
      <c r="H55" s="15" t="n">
        <v>30</v>
      </c>
      <c r="I55" s="15" t="n">
        <v>140</v>
      </c>
      <c r="J55" s="13" t="n">
        <v>25</v>
      </c>
      <c r="K55" t="n">
        <v>35</v>
      </c>
      <c r="L55" s="13" t="n">
        <v>1.900000000000001</v>
      </c>
      <c r="M55" s="12" t="n"/>
      <c r="N55" s="8" t="n">
        <v>1.095916606280214</v>
      </c>
      <c r="O55" s="15" t="n">
        <v>0.83494060494306</v>
      </c>
      <c r="P55" s="15" t="n">
        <v>1.018039604755074</v>
      </c>
      <c r="Q55" s="15" t="n">
        <v>0.000997333233148587</v>
      </c>
      <c r="R55" s="15" t="n">
        <v>0.02536539550157536</v>
      </c>
      <c r="S55" s="15" t="n">
        <v>0.002023176247198985</v>
      </c>
      <c r="T55" s="29">
        <f>HIPERLINK($A$1 &amp; "\Dados\Imagem_perfil_55.png", "Imagem_perfil_55")</f>
        <v/>
      </c>
      <c r="U55" s="29">
        <f>HIPERLINK($A$1 &amp; "\Dados\Results_airgap55.txt", "Results_airgap55")</f>
        <v/>
      </c>
      <c r="V55" s="19" t="n"/>
      <c r="W55" s="15" t="n">
        <v>1.396209130434783</v>
      </c>
      <c r="X55" s="15" t="n">
        <v>0.6998112188862753</v>
      </c>
      <c r="Y55" s="15" t="n">
        <v>0.5121234571939879</v>
      </c>
      <c r="Z55" s="15" t="n">
        <v>0.1178858279535263</v>
      </c>
      <c r="AA55" s="15" t="n">
        <v>0.04357864335466505</v>
      </c>
      <c r="AB55" s="15" t="n">
        <v>2.649033412480465</v>
      </c>
      <c r="AC55" s="15" t="n">
        <v>11.33509088327957</v>
      </c>
      <c r="AD55" s="15" t="n">
        <v>32.03521108189102</v>
      </c>
      <c r="AE55" s="15" t="n">
        <v>69.93406172937763</v>
      </c>
      <c r="AF55" s="15" t="n">
        <v>108.220153438448</v>
      </c>
      <c r="AH55" s="29">
        <f>HIPERLINK($A$1 &amp; "\Dados\Magnet_fields.txt_55.txt.txt", "Magnet_fields.txt_55.txt")</f>
        <v/>
      </c>
      <c r="AI55" t="n">
        <v>8604</v>
      </c>
      <c r="AJ55" t="n">
        <v>28</v>
      </c>
      <c r="AK55" s="29">
        <f>HIPERLINK($A$1 &amp; "\Dados\Magnet_3D_results.txt_55.txt.txt", "Magnet_3D_results.txt_55.txt")</f>
        <v/>
      </c>
      <c r="AL55" s="29">
        <f>HIPERLINK($A$1 &amp; "\Dados\Magnet_fields_2D.txt_55.txt.txt", "Magnet_fields_2D.txt_55.txt")</f>
        <v/>
      </c>
    </row>
    <row customHeight="1" ht="15.75" r="56" s="34">
      <c r="E56" s="15" t="n">
        <v>120</v>
      </c>
      <c r="F56" s="15" t="n">
        <v>170</v>
      </c>
      <c r="G56" s="15" t="n">
        <v>350</v>
      </c>
      <c r="H56" s="15" t="n">
        <v>30</v>
      </c>
      <c r="I56" s="15" t="n">
        <v>140</v>
      </c>
      <c r="J56" s="13" t="n">
        <v>25</v>
      </c>
      <c r="K56" t="n">
        <v>35</v>
      </c>
      <c r="L56" s="13" t="n">
        <v>2.000000000000001</v>
      </c>
      <c r="M56" s="12" t="n"/>
      <c r="N56" s="8" t="n">
        <v>1.096784830051632</v>
      </c>
      <c r="O56" s="15" t="n">
        <v>0.8356325838922269</v>
      </c>
      <c r="P56" s="15" t="n">
        <v>1.018831545709195</v>
      </c>
      <c r="Q56" s="15" t="n">
        <v>0.00099599596131894</v>
      </c>
      <c r="R56" s="15" t="n">
        <v>0.02547015691150292</v>
      </c>
      <c r="S56" s="15" t="n">
        <v>0.00202460968910972</v>
      </c>
      <c r="T56" s="29">
        <f>HIPERLINK($A$1 &amp; "\Dados\Imagem_perfil_56.png", "Imagem_perfil_56")</f>
        <v/>
      </c>
      <c r="U56" s="29">
        <f>HIPERLINK($A$1 &amp; "\Dados\Results_airgap56.txt", "Results_airgap56")</f>
        <v/>
      </c>
      <c r="V56" s="19" t="n"/>
      <c r="W56" s="15" t="n">
        <v>1.397799565217391</v>
      </c>
      <c r="X56" s="15" t="n">
        <v>0.7004432327604274</v>
      </c>
      <c r="Y56" s="15" t="n">
        <v>0.6063505110575367</v>
      </c>
      <c r="Z56" s="15" t="n">
        <v>0.1041690220304646</v>
      </c>
      <c r="AA56" s="15" t="n">
        <v>0.02015235595010597</v>
      </c>
      <c r="AB56" s="15" t="n">
        <v>2.820855922266622</v>
      </c>
      <c r="AC56" s="15" t="n">
        <v>11.71994664210387</v>
      </c>
      <c r="AD56" s="15" t="n">
        <v>32.33195586156835</v>
      </c>
      <c r="AE56" s="15" t="n">
        <v>70.08536486424482</v>
      </c>
      <c r="AF56" s="15" t="n">
        <v>108.2625267040965</v>
      </c>
      <c r="AH56" s="29">
        <f>HIPERLINK($A$1 &amp; "\Dados\Magnet_fields.txt_56.txt.txt", "Magnet_fields.txt_56.txt")</f>
        <v/>
      </c>
      <c r="AI56" t="n">
        <v>8604</v>
      </c>
      <c r="AJ56" t="n">
        <v>29</v>
      </c>
      <c r="AK56" s="29">
        <f>HIPERLINK($A$1 &amp; "\Dados\Magnet_3D_results.txt_56.txt.txt", "Magnet_3D_results.txt_56.txt")</f>
        <v/>
      </c>
      <c r="AL56" s="29">
        <f>HIPERLINK($A$1 &amp; "\Dados\Magnet_fields_2D.txt_56.txt.txt", "Magnet_fields_2D.txt_56.txt")</f>
        <v/>
      </c>
    </row>
    <row customHeight="1" ht="15.75" r="57" s="34">
      <c r="E57" s="15" t="n">
        <v>120</v>
      </c>
      <c r="F57" s="15" t="n">
        <v>170</v>
      </c>
      <c r="G57" s="15" t="n">
        <v>350</v>
      </c>
      <c r="H57" s="15" t="n">
        <v>30</v>
      </c>
      <c r="I57" s="15" t="n">
        <v>140</v>
      </c>
      <c r="J57" s="13" t="n">
        <v>25</v>
      </c>
      <c r="K57" t="n">
        <v>35</v>
      </c>
      <c r="L57" s="13" t="n">
        <v>2.100000000000001</v>
      </c>
      <c r="M57" s="12" t="n"/>
      <c r="N57" s="8" t="n">
        <v>1.098155424068236</v>
      </c>
      <c r="O57" s="15" t="n">
        <v>0.8367166774764661</v>
      </c>
      <c r="P57" s="15" t="n">
        <v>1.020176641674648</v>
      </c>
      <c r="Q57" s="15" t="n">
        <v>0.0009961502265070027</v>
      </c>
      <c r="R57" s="15" t="n">
        <v>0.02550897277261797</v>
      </c>
      <c r="S57" s="15" t="n">
        <v>0.002025680363955703</v>
      </c>
      <c r="T57" s="29">
        <f>HIPERLINK($A$1 &amp; "\Dados\Imagem_perfil_57.png", "Imagem_perfil_57")</f>
        <v/>
      </c>
      <c r="U57" s="29">
        <f>HIPERLINK($A$1 &amp; "\Dados\Results_airgap57.txt", "Results_airgap57")</f>
        <v/>
      </c>
      <c r="V57" s="19" t="n"/>
      <c r="W57" s="15" t="n">
        <v>1.399025434782609</v>
      </c>
      <c r="X57" s="15" t="n">
        <v>0.7014066137921382</v>
      </c>
      <c r="Y57" s="15" t="n">
        <v>0.6988524006386251</v>
      </c>
      <c r="Z57" s="15" t="n">
        <v>0.1018329175608721</v>
      </c>
      <c r="AA57" s="15" t="n">
        <v>0.0190025995130724</v>
      </c>
      <c r="AB57" s="15" t="n">
        <v>2.970980228596571</v>
      </c>
      <c r="AC57" s="15" t="n">
        <v>12.00901261227847</v>
      </c>
      <c r="AD57" s="15" t="n">
        <v>32.56650501790711</v>
      </c>
      <c r="AE57" s="15" t="n">
        <v>70.2121351102067</v>
      </c>
      <c r="AF57" s="15" t="n">
        <v>108.2884243202362</v>
      </c>
      <c r="AH57" s="29">
        <f>HIPERLINK($A$1 &amp; "\Dados\Magnet_fields.txt_57.txt.txt", "Magnet_fields.txt_57.txt")</f>
        <v/>
      </c>
      <c r="AI57" t="n">
        <v>8604</v>
      </c>
      <c r="AJ57" t="n">
        <v>29</v>
      </c>
      <c r="AK57" s="29">
        <f>HIPERLINK($A$1 &amp; "\Dados\Magnet_3D_results.txt_57.txt.txt", "Magnet_3D_results.txt_57.txt")</f>
        <v/>
      </c>
      <c r="AL57" s="29">
        <f>HIPERLINK($A$1 &amp; "\Dados\Magnet_fields_2D.txt_57.txt.txt", "Magnet_fields_2D.txt_57.txt")</f>
        <v/>
      </c>
    </row>
    <row customHeight="1" ht="15.75" r="58" s="34">
      <c r="E58" s="15" t="n">
        <v>120</v>
      </c>
      <c r="F58" s="15" t="n">
        <v>170</v>
      </c>
      <c r="G58" s="15" t="n">
        <v>350</v>
      </c>
      <c r="H58" s="15" t="n">
        <v>32</v>
      </c>
      <c r="I58" s="15" t="n">
        <v>140</v>
      </c>
      <c r="J58" s="13" t="n">
        <v>25</v>
      </c>
      <c r="K58" t="n">
        <v>35</v>
      </c>
      <c r="L58" s="13" t="n">
        <v>1.3</v>
      </c>
      <c r="M58" s="12" t="n"/>
      <c r="N58" s="8" t="n">
        <v>1.047683483258052</v>
      </c>
      <c r="O58" s="15" t="n">
        <v>0.7992980087145655</v>
      </c>
      <c r="P58" s="15" t="n">
        <v>0.9731506895962913</v>
      </c>
      <c r="Q58" s="15" t="n">
        <v>0.001003004996445644</v>
      </c>
      <c r="R58" s="15" t="n">
        <v>0.02355690242018768</v>
      </c>
      <c r="S58" s="15" t="n">
        <v>0.001981536737062932</v>
      </c>
      <c r="T58" s="29">
        <f>HIPERLINK($A$1 &amp; "\Dados\Imagem_perfil_58.png", "Imagem_perfil_58")</f>
        <v/>
      </c>
      <c r="U58" s="29">
        <f>HIPERLINK($A$1 &amp; "\Dados\Results_airgap58.txt", "Results_airgap58")</f>
        <v/>
      </c>
      <c r="V58" s="19" t="n"/>
      <c r="W58" s="43" t="n">
        <v>1.332685217391304</v>
      </c>
      <c r="X58" s="15" t="n">
        <v>0.6704875169810088</v>
      </c>
      <c r="Y58" s="15" t="n">
        <v>0.03209419593728688</v>
      </c>
      <c r="Z58" s="15" t="n">
        <v>0.3877496180719043</v>
      </c>
      <c r="AA58" s="15" t="n">
        <v>0.9796373490158633</v>
      </c>
      <c r="AB58" s="15" t="n">
        <v>0</v>
      </c>
      <c r="AC58" s="15" t="n">
        <v>0</v>
      </c>
      <c r="AD58" s="15" t="n">
        <v>20.61693928194581</v>
      </c>
      <c r="AE58" s="15" t="n">
        <v>64.72691963014765</v>
      </c>
      <c r="AF58" s="15" t="n">
        <v>107.0584016549103</v>
      </c>
      <c r="AH58" s="29">
        <f>HIPERLINK($A$1 &amp; "\Dados\Magnet_fields.txt_58.txt.txt", "Magnet_fields.txt_58.txt")</f>
        <v/>
      </c>
      <c r="AI58" t="n">
        <v>7614</v>
      </c>
      <c r="AJ58" t="n">
        <v>29</v>
      </c>
      <c r="AK58" s="29">
        <f>HIPERLINK($A$1 &amp; "\Dados\Magnet_3D_results.txt_58.txt.txt", "Magnet_3D_results.txt_58.txt")</f>
        <v/>
      </c>
      <c r="AL58" s="29">
        <f>HIPERLINK($A$1 &amp; "\Dados\Magnet_fields_2D.txt_58.txt.txt", "Magnet_fields_2D.txt_58.txt")</f>
        <v/>
      </c>
    </row>
    <row customHeight="1" ht="15.75" r="59" s="34">
      <c r="E59" s="15" t="n">
        <v>120</v>
      </c>
      <c r="F59" s="15" t="n">
        <v>170</v>
      </c>
      <c r="G59" s="15" t="n">
        <v>350</v>
      </c>
      <c r="H59" s="15" t="n">
        <v>32</v>
      </c>
      <c r="I59" s="15" t="n">
        <v>140</v>
      </c>
      <c r="J59" s="13" t="n">
        <v>25</v>
      </c>
      <c r="K59" t="n">
        <v>35</v>
      </c>
      <c r="L59" s="13" t="n">
        <v>1.4</v>
      </c>
      <c r="M59" s="12" t="n"/>
      <c r="N59" s="8" t="n">
        <v>1.0717107607447</v>
      </c>
      <c r="O59" s="15" t="n">
        <v>0.8180523146978145</v>
      </c>
      <c r="P59" s="15" t="n">
        <v>0.9955604834575598</v>
      </c>
      <c r="Q59" s="15" t="n">
        <v>0.001004836322075984</v>
      </c>
      <c r="R59" s="15" t="n">
        <v>0.02464800485586872</v>
      </c>
      <c r="S59" s="15" t="n">
        <v>0.002012850352426629</v>
      </c>
      <c r="T59" s="29">
        <f>HIPERLINK($A$1 &amp; "\Dados\Imagem_perfil_59.png", "Imagem_perfil_59")</f>
        <v/>
      </c>
      <c r="U59" s="29">
        <f>HIPERLINK($A$1 &amp; "\Dados\Results_airgap59.txt", "Results_airgap59")</f>
        <v/>
      </c>
      <c r="V59" s="19" t="n"/>
      <c r="W59" s="43" t="n">
        <v>1.363180869565217</v>
      </c>
      <c r="X59" s="15" t="n">
        <v>0.6868974712427444</v>
      </c>
      <c r="Y59" s="15" t="n">
        <v>0.08125196198301214</v>
      </c>
      <c r="Z59" s="15" t="n">
        <v>0.208837745551751</v>
      </c>
      <c r="AA59" s="15" t="n">
        <v>0.1636733397226445</v>
      </c>
      <c r="AB59" s="15" t="n">
        <v>0</v>
      </c>
      <c r="AC59" s="15" t="n">
        <v>4.369713446508169</v>
      </c>
      <c r="AD59" s="15" t="n">
        <v>26.43298422770291</v>
      </c>
      <c r="AE59" s="15" t="n">
        <v>67.28973980677542</v>
      </c>
      <c r="AF59" s="15" t="n">
        <v>107.7280564235087</v>
      </c>
      <c r="AH59" s="29">
        <f>HIPERLINK($A$1 &amp; "\Dados\Magnet_fields.txt_59.txt.txt", "Magnet_fields.txt_59.txt")</f>
        <v/>
      </c>
      <c r="AI59" t="n">
        <v>7614</v>
      </c>
      <c r="AJ59" t="n">
        <v>29</v>
      </c>
      <c r="AK59" s="29">
        <f>HIPERLINK($A$1 &amp; "\Dados\Magnet_3D_results.txt_59.txt.txt", "Magnet_3D_results.txt_59.txt")</f>
        <v/>
      </c>
      <c r="AL59" s="29">
        <f>HIPERLINK($A$1 &amp; "\Dados\Magnet_fields_2D.txt_59.txt.txt", "Magnet_fields_2D.txt_59.txt")</f>
        <v/>
      </c>
    </row>
    <row customHeight="1" ht="15.75" r="60" s="34">
      <c r="E60" s="15" t="n">
        <v>120</v>
      </c>
      <c r="F60" s="15" t="n">
        <v>170</v>
      </c>
      <c r="G60" s="15" t="n">
        <v>350</v>
      </c>
      <c r="H60" s="15" t="n">
        <v>32</v>
      </c>
      <c r="I60" s="15" t="n">
        <v>140</v>
      </c>
      <c r="J60" s="13" t="n">
        <v>25</v>
      </c>
      <c r="K60" t="n">
        <v>35</v>
      </c>
      <c r="L60" s="13" t="n">
        <v>1.5</v>
      </c>
      <c r="M60" s="12" t="n"/>
      <c r="N60" s="8" t="n">
        <v>1.081736915303448</v>
      </c>
      <c r="O60" s="15" t="n">
        <v>0.8258975159881133</v>
      </c>
      <c r="P60" s="15" t="n">
        <v>1.005021796886335</v>
      </c>
      <c r="Q60" s="15" t="n">
        <v>0.001005318610448795</v>
      </c>
      <c r="R60" s="15" t="n">
        <v>0.02505298594282424</v>
      </c>
      <c r="S60" s="15" t="n">
        <v>0.002023935770425175</v>
      </c>
      <c r="T60" s="29">
        <f>HIPERLINK($A$1 &amp; "\Dados\Imagem_perfil_60.png", "Imagem_perfil_60")</f>
        <v/>
      </c>
      <c r="U60" s="29">
        <f>HIPERLINK($A$1 &amp; "\Dados\Results_airgap60.txt", "Results_airgap60")</f>
        <v/>
      </c>
      <c r="V60" s="19" t="n"/>
      <c r="W60" s="43" t="n">
        <v>1.378586304347826</v>
      </c>
      <c r="X60" s="15" t="n">
        <v>0.6937931674617146</v>
      </c>
      <c r="Y60" s="15" t="n">
        <v>0.1507957216559375</v>
      </c>
      <c r="Z60" s="15" t="n">
        <v>0.1683931561383518</v>
      </c>
      <c r="AA60" s="15" t="n">
        <v>0.03742780828062058</v>
      </c>
      <c r="AB60" s="15" t="n">
        <v>0.8798918336576306</v>
      </c>
      <c r="AC60" s="15" t="n">
        <v>7.500569274938223</v>
      </c>
      <c r="AD60" s="15" t="n">
        <v>28.89686916135112</v>
      </c>
      <c r="AE60" s="15" t="n">
        <v>68.45339337616603</v>
      </c>
      <c r="AF60" s="15" t="n">
        <v>107.944823965531</v>
      </c>
      <c r="AH60" s="29">
        <f>HIPERLINK($A$1 &amp; "\Dados\Magnet_fields.txt_60.txt.txt", "Magnet_fields.txt_60.txt")</f>
        <v/>
      </c>
      <c r="AI60" t="n">
        <v>7614</v>
      </c>
      <c r="AJ60" t="n">
        <v>28</v>
      </c>
      <c r="AK60" s="29">
        <f>HIPERLINK($A$1 &amp; "\Dados\Magnet_3D_results.txt_60.txt.txt", "Magnet_3D_results.txt_60.txt")</f>
        <v/>
      </c>
      <c r="AL60" s="29">
        <f>HIPERLINK($A$1 &amp; "\Dados\Magnet_fields_2D.txt_60.txt.txt", "Magnet_fields_2D.txt_60.txt")</f>
        <v/>
      </c>
    </row>
    <row customHeight="1" ht="15.75" r="61" s="34">
      <c r="E61" s="15" t="n">
        <v>120</v>
      </c>
      <c r="F61" s="15" t="n">
        <v>170</v>
      </c>
      <c r="G61" s="15" t="n">
        <v>350</v>
      </c>
      <c r="H61" s="15" t="n">
        <v>32</v>
      </c>
      <c r="I61" s="15" t="n">
        <v>140</v>
      </c>
      <c r="J61" s="13" t="n">
        <v>25</v>
      </c>
      <c r="K61" t="n">
        <v>35</v>
      </c>
      <c r="L61" s="13" t="n">
        <v>1.6</v>
      </c>
      <c r="M61" s="12" t="n"/>
      <c r="N61" s="8" t="n">
        <v>1.090209376350297</v>
      </c>
      <c r="O61" s="15" t="n">
        <v>0.8325287769689281</v>
      </c>
      <c r="P61" s="15" t="n">
        <v>1.012950767436904</v>
      </c>
      <c r="Q61" s="15" t="n">
        <v>0.001002790868366088</v>
      </c>
      <c r="R61" s="15" t="n">
        <v>0.02545724451565675</v>
      </c>
      <c r="S61" s="15" t="n">
        <v>0.00203195769556582</v>
      </c>
      <c r="T61" s="29">
        <f>HIPERLINK($A$1 &amp; "\Dados\Imagem_perfil_61.png", "Imagem_perfil_61")</f>
        <v/>
      </c>
      <c r="U61" s="29">
        <f>HIPERLINK($A$1 &amp; "\Dados\Results_airgap61.txt", "Results_airgap61")</f>
        <v/>
      </c>
      <c r="V61" s="19" t="n"/>
      <c r="W61" s="15" t="n">
        <v>1.386455652173913</v>
      </c>
      <c r="X61" s="15" t="n">
        <v>0.6996432826631434</v>
      </c>
      <c r="Y61" s="15" t="n">
        <v>0.2333999638790964</v>
      </c>
      <c r="Z61" s="15" t="n">
        <v>0.155950589016886</v>
      </c>
      <c r="AA61" s="15" t="n">
        <v>0.008437613198886135</v>
      </c>
      <c r="AB61" s="15" t="n">
        <v>1.665316882915017</v>
      </c>
      <c r="AC61" s="15" t="n">
        <v>9.156154909255362</v>
      </c>
      <c r="AD61" s="15" t="n">
        <v>30.21729492755304</v>
      </c>
      <c r="AE61" s="15" t="n">
        <v>69.08919375885007</v>
      </c>
      <c r="AF61" s="15" t="n">
        <v>108.0492711701618</v>
      </c>
      <c r="AH61" s="29">
        <f>HIPERLINK($A$1 &amp; "\Dados\Magnet_fields.txt_61.txt.txt", "Magnet_fields.txt_61.txt")</f>
        <v/>
      </c>
      <c r="AI61" t="n">
        <v>7614</v>
      </c>
      <c r="AJ61" t="n">
        <v>28</v>
      </c>
      <c r="AK61" s="29">
        <f>HIPERLINK($A$1 &amp; "\Dados\Magnet_3D_results.txt_61.txt.txt", "Magnet_3D_results.txt_61.txt")</f>
        <v/>
      </c>
      <c r="AL61" s="29">
        <f>HIPERLINK($A$1 &amp; "\Dados\Magnet_fields_2D.txt_61.txt.txt", "Magnet_fields_2D.txt_61.txt")</f>
        <v/>
      </c>
    </row>
    <row customHeight="1" ht="15.75" r="62" s="34">
      <c r="E62" s="15" t="n">
        <v>120</v>
      </c>
      <c r="F62" s="15" t="n">
        <v>170</v>
      </c>
      <c r="G62" s="15" t="n">
        <v>350</v>
      </c>
      <c r="H62" s="15" t="n">
        <v>32</v>
      </c>
      <c r="I62" s="15" t="n">
        <v>140</v>
      </c>
      <c r="J62" s="13" t="n">
        <v>25</v>
      </c>
      <c r="K62" t="n">
        <v>35</v>
      </c>
      <c r="L62" s="13" t="n">
        <v>1.7</v>
      </c>
      <c r="M62" s="12" t="n"/>
      <c r="N62" s="8" t="n">
        <v>1.093993101920061</v>
      </c>
      <c r="O62" s="15" t="n">
        <v>0.8354674613326263</v>
      </c>
      <c r="P62" s="15" t="n">
        <v>1.016488393882826</v>
      </c>
      <c r="Q62" s="15" t="n">
        <v>0.001003083425906413</v>
      </c>
      <c r="R62" s="15" t="n">
        <v>0.02558317199403855</v>
      </c>
      <c r="S62" s="15" t="n">
        <v>0.002035359899037306</v>
      </c>
      <c r="T62" s="29">
        <f>HIPERLINK($A$1 &amp; "\Dados\Imagem_perfil_62.png", "Imagem_perfil_62")</f>
        <v/>
      </c>
      <c r="U62" s="29">
        <f>HIPERLINK($A$1 &amp; "\Dados\Results_airgap62.txt", "Results_airgap62")</f>
        <v/>
      </c>
      <c r="V62" s="19" t="n"/>
      <c r="W62" s="15" t="n">
        <v>1.391255869565217</v>
      </c>
      <c r="X62" s="15" t="n">
        <v>0.7022230343105886</v>
      </c>
      <c r="Y62" s="15" t="n">
        <v>0.3235037791546622</v>
      </c>
      <c r="Z62" s="15" t="n">
        <v>0.1461314547222353</v>
      </c>
      <c r="AA62" s="15" t="n">
        <v>0.008437613198886135</v>
      </c>
      <c r="AB62" s="15" t="n">
        <v>2.151864256988766</v>
      </c>
      <c r="AC62" s="15" t="n">
        <v>10.17305201467168</v>
      </c>
      <c r="AD62" s="15" t="n">
        <v>31.10117729180086</v>
      </c>
      <c r="AE62" s="15" t="n">
        <v>69.52832360426166</v>
      </c>
      <c r="AF62" s="15" t="n">
        <v>108.1218260850738</v>
      </c>
      <c r="AH62" s="29">
        <f>HIPERLINK($A$1 &amp; "\Dados\Magnet_fields.txt_62.txt.txt", "Magnet_fields.txt_62.txt")</f>
        <v/>
      </c>
      <c r="AI62" t="n">
        <v>7614</v>
      </c>
      <c r="AJ62" t="n">
        <v>28</v>
      </c>
      <c r="AK62" s="29">
        <f>HIPERLINK($A$1 &amp; "\Dados\Magnet_3D_results.txt_62.txt.txt", "Magnet_3D_results.txt_62.txt")</f>
        <v/>
      </c>
      <c r="AL62" s="29">
        <f>HIPERLINK($A$1 &amp; "\Dados\Magnet_fields_2D.txt_62.txt.txt", "Magnet_fields_2D.txt_62.txt")</f>
        <v/>
      </c>
    </row>
    <row customHeight="1" ht="15.75" r="63" s="34">
      <c r="E63" s="15" t="n">
        <v>120</v>
      </c>
      <c r="F63" s="15" t="n">
        <v>170</v>
      </c>
      <c r="G63" s="15" t="n">
        <v>350</v>
      </c>
      <c r="H63" s="15" t="n">
        <v>32</v>
      </c>
      <c r="I63" s="15" t="n">
        <v>140</v>
      </c>
      <c r="J63" s="13" t="n">
        <v>25</v>
      </c>
      <c r="K63" t="n">
        <v>35</v>
      </c>
      <c r="L63" s="13" t="n">
        <v>1.8</v>
      </c>
      <c r="M63" s="12" t="n"/>
      <c r="N63" s="8" t="n">
        <v>1.093993101920061</v>
      </c>
      <c r="O63" s="15" t="n">
        <v>0.8354674613326263</v>
      </c>
      <c r="P63" s="15" t="n">
        <v>1.016488393882826</v>
      </c>
      <c r="Q63" s="15" t="n">
        <v>0.001003083425906413</v>
      </c>
      <c r="R63" s="15" t="n">
        <v>0.02558317199403855</v>
      </c>
      <c r="S63" s="15" t="n">
        <v>0.002035359899037306</v>
      </c>
      <c r="T63" s="29">
        <f>HIPERLINK($A$1 &amp; "\Dados\Imagem_perfil_63.png", "Imagem_perfil_63")</f>
        <v/>
      </c>
      <c r="U63" s="29">
        <f>HIPERLINK($A$1 &amp; "\Dados\Results_airgap63.txt", "Results_airgap63")</f>
        <v/>
      </c>
      <c r="V63" s="19" t="n"/>
      <c r="W63" s="15" t="n">
        <v>1.394133260869565</v>
      </c>
      <c r="X63" s="15" t="n">
        <v>0.7022230343105886</v>
      </c>
      <c r="Y63" s="15" t="n">
        <v>0.4172651306830485</v>
      </c>
      <c r="Z63" s="15" t="n">
        <v>0.1461314547222353</v>
      </c>
      <c r="AA63" s="15" t="n">
        <v>0.008437613198886135</v>
      </c>
      <c r="AB63" s="15" t="n">
        <v>2.45056434624968</v>
      </c>
      <c r="AC63" s="15" t="n">
        <v>10.85518048300155</v>
      </c>
      <c r="AD63" s="15" t="n">
        <v>31.6242949800746</v>
      </c>
      <c r="AE63" s="15" t="n">
        <v>69.74521976106992</v>
      </c>
      <c r="AF63" s="15" t="n">
        <v>108.1835028141931</v>
      </c>
      <c r="AH63" s="29">
        <f>HIPERLINK($A$1 &amp; "\Dados\Magnet_fields.txt_63.txt.txt", "Magnet_fields.txt_63.txt")</f>
        <v/>
      </c>
      <c r="AI63" t="n">
        <v>7614</v>
      </c>
      <c r="AJ63" t="n">
        <v>29</v>
      </c>
      <c r="AK63" s="29">
        <f>HIPERLINK($A$1 &amp; "\Dados\Magnet_3D_results.txt_63.txt.txt", "Magnet_3D_results.txt_63.txt")</f>
        <v/>
      </c>
      <c r="AL63" s="29">
        <f>HIPERLINK($A$1 &amp; "\Dados\Magnet_fields_2D.txt_63.txt.txt", "Magnet_fields_2D.txt_63.txt")</f>
        <v/>
      </c>
    </row>
    <row customHeight="1" ht="15.75" r="64" s="34">
      <c r="E64" s="15" t="n">
        <v>120</v>
      </c>
      <c r="F64" s="15" t="n">
        <v>170</v>
      </c>
      <c r="G64" s="15" t="n">
        <v>350</v>
      </c>
      <c r="H64" s="15" t="n">
        <v>32</v>
      </c>
      <c r="I64" s="15" t="n">
        <v>140</v>
      </c>
      <c r="J64" s="13" t="n">
        <v>25</v>
      </c>
      <c r="K64" t="n">
        <v>35</v>
      </c>
      <c r="L64" s="13" t="n">
        <v>1.900000000000001</v>
      </c>
      <c r="M64" s="12" t="n"/>
      <c r="N64" s="8" t="n">
        <v>1.096957067107061</v>
      </c>
      <c r="O64" s="15" t="n">
        <v>0.8377927183619914</v>
      </c>
      <c r="P64" s="15" t="n">
        <v>1.019287869718476</v>
      </c>
      <c r="Q64" s="15" t="n">
        <v>0.001003102426043111</v>
      </c>
      <c r="R64" s="15" t="n">
        <v>0.0256935907084242</v>
      </c>
      <c r="S64" s="15" t="n">
        <v>0.002038080366648611</v>
      </c>
      <c r="T64" s="29">
        <f>HIPERLINK($A$1 &amp; "\Dados\Imagem_perfil_64.png", "Imagem_perfil_64")</f>
        <v/>
      </c>
      <c r="U64" s="29">
        <f>HIPERLINK($A$1 &amp; "\Dados\Results_airgap64.txt", "Results_airgap64")</f>
        <v/>
      </c>
      <c r="V64" s="19" t="n"/>
      <c r="W64" s="15" t="n">
        <v>1.396214130434783</v>
      </c>
      <c r="X64" s="15" t="n">
        <v>0.704287002306573</v>
      </c>
      <c r="Y64" s="15" t="n">
        <v>0.5121099437819491</v>
      </c>
      <c r="Z64" s="15" t="n">
        <v>0.1260996712089116</v>
      </c>
      <c r="AA64" s="15" t="n">
        <v>0.008437613198886135</v>
      </c>
      <c r="AB64" s="15" t="n">
        <v>2.656119700673582</v>
      </c>
      <c r="AC64" s="15" t="n">
        <v>11.33453712813027</v>
      </c>
      <c r="AD64" s="15" t="n">
        <v>32.03106583406318</v>
      </c>
      <c r="AE64" s="15" t="n">
        <v>69.93216065978443</v>
      </c>
      <c r="AF64" s="15" t="n">
        <v>108.2176996668585</v>
      </c>
      <c r="AH64" s="29">
        <f>HIPERLINK($A$1 &amp; "\Dados\Magnet_fields.txt_64.txt.txt", "Magnet_fields.txt_64.txt")</f>
        <v/>
      </c>
      <c r="AI64" t="n">
        <v>7614</v>
      </c>
      <c r="AJ64" t="n">
        <v>28</v>
      </c>
      <c r="AK64" s="29">
        <f>HIPERLINK($A$1 &amp; "\Dados\Magnet_3D_results.txt_64.txt.txt", "Magnet_3D_results.txt_64.txt")</f>
        <v/>
      </c>
      <c r="AL64" s="29">
        <f>HIPERLINK($A$1 &amp; "\Dados\Magnet_fields_2D.txt_64.txt.txt", "Magnet_fields_2D.txt_64.txt")</f>
        <v/>
      </c>
    </row>
    <row customHeight="1" ht="15.75" r="65" s="34">
      <c r="E65" s="15" t="n">
        <v>120</v>
      </c>
      <c r="F65" s="15" t="n">
        <v>170</v>
      </c>
      <c r="G65" s="15" t="n">
        <v>350</v>
      </c>
      <c r="H65" s="15" t="n">
        <v>32</v>
      </c>
      <c r="I65" s="15" t="n">
        <v>140</v>
      </c>
      <c r="J65" s="13" t="n">
        <v>25</v>
      </c>
      <c r="K65" t="n">
        <v>35</v>
      </c>
      <c r="L65" s="13" t="n">
        <v>2.000000000000001</v>
      </c>
      <c r="M65" s="12" t="n"/>
      <c r="N65" s="8" t="n">
        <v>1.097769539357743</v>
      </c>
      <c r="O65" s="15" t="n">
        <v>0.8384312625259881</v>
      </c>
      <c r="P65" s="15" t="n">
        <v>1.020024069172717</v>
      </c>
      <c r="Q65" s="15" t="n">
        <v>0.001001661943819271</v>
      </c>
      <c r="R65" s="15" t="n">
        <v>0.02578295835492907</v>
      </c>
      <c r="S65" s="15" t="n">
        <v>0.002038997342897614</v>
      </c>
      <c r="T65" s="29">
        <f>HIPERLINK($A$1 &amp; "\Dados\Imagem_perfil_65.png", "Imagem_perfil_65")</f>
        <v/>
      </c>
      <c r="U65" s="29">
        <f>HIPERLINK($A$1 &amp; "\Dados\Results_airgap65.txt", "Results_airgap65")</f>
        <v/>
      </c>
      <c r="V65" s="19" t="n"/>
      <c r="W65" s="15" t="n">
        <v>1.397768913043478</v>
      </c>
      <c r="X65" s="15" t="n">
        <v>0.7048661305660044</v>
      </c>
      <c r="Y65" s="15" t="n">
        <v>0.6063365598066387</v>
      </c>
      <c r="Z65" s="15" t="n">
        <v>0.1154997533348516</v>
      </c>
      <c r="AA65" s="15" t="n">
        <v>0.008437613198886135</v>
      </c>
      <c r="AB65" s="15" t="n">
        <v>2.805377762027138</v>
      </c>
      <c r="AC65" s="15" t="n">
        <v>11.705700356541</v>
      </c>
      <c r="AD65" s="15" t="n">
        <v>32.33311383718451</v>
      </c>
      <c r="AE65" s="15" t="n">
        <v>70.0805386617217</v>
      </c>
      <c r="AF65" s="15" t="n">
        <v>108.2528068713243</v>
      </c>
      <c r="AH65" s="29">
        <f>HIPERLINK($A$1 &amp; "\Dados\Magnet_fields.txt_65.txt.txt", "Magnet_fields.txt_65.txt")</f>
        <v/>
      </c>
      <c r="AI65" t="n">
        <v>7614</v>
      </c>
      <c r="AJ65" t="n">
        <v>29</v>
      </c>
      <c r="AK65" s="29">
        <f>HIPERLINK($A$1 &amp; "\Dados\Magnet_3D_results.txt_65.txt.txt", "Magnet_3D_results.txt_65.txt")</f>
        <v/>
      </c>
      <c r="AL65" s="29">
        <f>HIPERLINK($A$1 &amp; "\Dados\Magnet_fields_2D.txt_65.txt.txt", "Magnet_fields_2D.txt_65.txt")</f>
        <v/>
      </c>
    </row>
    <row customHeight="1" ht="15.75" r="66" s="34">
      <c r="E66" s="15" t="n">
        <v>120</v>
      </c>
      <c r="F66" s="15" t="n">
        <v>170</v>
      </c>
      <c r="G66" s="15" t="n">
        <v>350</v>
      </c>
      <c r="H66" s="15" t="n">
        <v>32</v>
      </c>
      <c r="I66" s="15" t="n">
        <v>140</v>
      </c>
      <c r="J66" s="13" t="n">
        <v>25</v>
      </c>
      <c r="K66" t="n">
        <v>35</v>
      </c>
      <c r="L66" s="13" t="n">
        <v>2.100000000000001</v>
      </c>
      <c r="M66" s="12" t="n"/>
      <c r="N66" s="8" t="n">
        <v>1.097769539357743</v>
      </c>
      <c r="O66" s="15" t="n">
        <v>0.8384312625259875</v>
      </c>
      <c r="P66" s="15" t="n">
        <v>1.020024069172717</v>
      </c>
      <c r="Q66" s="15" t="n">
        <v>0.001001661943819271</v>
      </c>
      <c r="R66" s="15" t="n">
        <v>0.02578295835492907</v>
      </c>
      <c r="S66" s="15" t="n">
        <v>0.002038997342897614</v>
      </c>
      <c r="T66" s="29">
        <f>HIPERLINK($A$1 &amp; "\Dados\Imagem_perfil_66.png", "Imagem_perfil_66")</f>
        <v/>
      </c>
      <c r="U66" s="29">
        <f>HIPERLINK($A$1 &amp; "\Dados\Results_airgap66.txt", "Results_airgap66")</f>
        <v/>
      </c>
      <c r="V66" s="19" t="n"/>
      <c r="W66" s="15" t="n">
        <v>1.398958913043478</v>
      </c>
      <c r="X66" s="15" t="n">
        <v>0.7048661305660044</v>
      </c>
      <c r="Y66" s="15" t="n">
        <v>0.6988380917383351</v>
      </c>
      <c r="Z66" s="15" t="n">
        <v>0.1154997533348516</v>
      </c>
      <c r="AA66" s="15" t="n">
        <v>0.008437613198886135</v>
      </c>
      <c r="AB66" s="15" t="n">
        <v>2.924273956748198</v>
      </c>
      <c r="AC66" s="15" t="n">
        <v>11.98290539216478</v>
      </c>
      <c r="AD66" s="15" t="n">
        <v>32.57272060484139</v>
      </c>
      <c r="AE66" s="15" t="n">
        <v>70.20314529978816</v>
      </c>
      <c r="AF66" s="15" t="n">
        <v>108.2884967251783</v>
      </c>
      <c r="AH66" s="29">
        <f>HIPERLINK($A$1 &amp; "\Dados\Magnet_fields.txt_66.txt.txt", "Magnet_fields.txt_66.txt")</f>
        <v/>
      </c>
      <c r="AI66" t="n">
        <v>7614</v>
      </c>
      <c r="AJ66" t="n">
        <v>29</v>
      </c>
      <c r="AK66" s="29">
        <f>HIPERLINK($A$1 &amp; "\Dados\Magnet_3D_results.txt_66.txt.txt", "Magnet_3D_results.txt_66.txt")</f>
        <v/>
      </c>
      <c r="AL66" s="29">
        <f>HIPERLINK($A$1 &amp; "\Dados\Magnet_fields_2D.txt_66.txt.txt", "Magnet_fields_2D.txt_66.txt")</f>
        <v/>
      </c>
    </row>
    <row customHeight="1" ht="15.75" r="67" s="34">
      <c r="E67" s="15" t="n">
        <v>120</v>
      </c>
      <c r="F67" s="15" t="n">
        <v>170</v>
      </c>
      <c r="G67" s="15" t="n">
        <v>350</v>
      </c>
      <c r="H67" s="15" t="n">
        <v>34</v>
      </c>
      <c r="I67" s="15" t="n">
        <v>140</v>
      </c>
      <c r="J67" s="13" t="n">
        <v>25</v>
      </c>
      <c r="K67" t="n">
        <v>35</v>
      </c>
      <c r="L67" s="13" t="n">
        <v>1.3</v>
      </c>
      <c r="M67" s="12" t="n"/>
      <c r="N67" s="8" t="n">
        <v>1.048787339174035</v>
      </c>
      <c r="O67" s="15" t="n">
        <v>0.802342202450389</v>
      </c>
      <c r="P67" s="15" t="n">
        <v>0.9745832844123054</v>
      </c>
      <c r="Q67" s="15" t="n">
        <v>0.001008887112409704</v>
      </c>
      <c r="R67" s="15" t="n">
        <v>0.0238753632904451</v>
      </c>
      <c r="S67" s="15" t="n">
        <v>0.002014275090622037</v>
      </c>
      <c r="T67" s="29">
        <f>HIPERLINK($A$1 &amp; "\Dados\Imagem_perfil_67.png", "Imagem_perfil_67")</f>
        <v/>
      </c>
      <c r="U67" s="29">
        <f>HIPERLINK($A$1 &amp; "\Dados\Results_airgap67.txt", "Results_airgap67")</f>
        <v/>
      </c>
      <c r="V67" s="19" t="n"/>
      <c r="W67" s="43" t="n">
        <v>1.332163913043478</v>
      </c>
      <c r="X67" s="15" t="n">
        <v>0.678256656235536</v>
      </c>
      <c r="Y67" s="15" t="n">
        <v>0.03209238488596143</v>
      </c>
      <c r="Z67" s="15" t="n">
        <v>0.3508466629747055</v>
      </c>
      <c r="AA67" s="15" t="n">
        <v>0.2534560732596094</v>
      </c>
      <c r="AB67" s="15" t="n">
        <v>0</v>
      </c>
      <c r="AC67" s="15" t="n">
        <v>0</v>
      </c>
      <c r="AD67" s="15" t="n">
        <v>20.52066803226086</v>
      </c>
      <c r="AE67" s="15" t="n">
        <v>64.56021150714811</v>
      </c>
      <c r="AF67" s="15" t="n">
        <v>106.8402219229797</v>
      </c>
      <c r="AH67" s="29">
        <f>HIPERLINK($A$1 &amp; "\Dados\Magnet_fields.txt_67.txt.txt", "Magnet_fields.txt_67.txt")</f>
        <v/>
      </c>
      <c r="AI67" t="n">
        <v>7360</v>
      </c>
      <c r="AJ67" t="n">
        <v>29</v>
      </c>
      <c r="AK67" s="29">
        <f>HIPERLINK($A$1 &amp; "\Dados\Magnet_3D_results.txt_67.txt.txt", "Magnet_3D_results.txt_67.txt")</f>
        <v/>
      </c>
      <c r="AL67" s="29">
        <f>HIPERLINK($A$1 &amp; "\Dados\Magnet_fields_2D.txt_67.txt.txt", "Magnet_fields_2D.txt_67.txt")</f>
        <v/>
      </c>
    </row>
    <row customHeight="1" ht="15.75" r="68" s="34">
      <c r="E68" s="15" t="n">
        <v>120</v>
      </c>
      <c r="F68" s="15" t="n">
        <v>170</v>
      </c>
      <c r="G68" s="15" t="n">
        <v>350</v>
      </c>
      <c r="H68" s="15" t="n">
        <v>34</v>
      </c>
      <c r="I68" s="15" t="n">
        <v>140</v>
      </c>
      <c r="J68" s="13" t="n">
        <v>25</v>
      </c>
      <c r="K68" t="n">
        <v>35</v>
      </c>
      <c r="L68" s="13" t="n">
        <v>1.4</v>
      </c>
      <c r="M68" s="12" t="n"/>
      <c r="N68" s="8" t="n">
        <v>1.07270911323165</v>
      </c>
      <c r="O68" s="15" t="n">
        <v>0.8210772147459358</v>
      </c>
      <c r="P68" s="15" t="n">
        <v>0.9968906695494305</v>
      </c>
      <c r="Q68" s="15" t="n">
        <v>0.001007977575212642</v>
      </c>
      <c r="R68" s="15" t="n">
        <v>0.02494088736085882</v>
      </c>
      <c r="S68" s="15" t="n">
        <v>0.002042696245057729</v>
      </c>
      <c r="T68" s="29">
        <f>HIPERLINK($A$1 &amp; "\Dados\Imagem_perfil_68.png", "Imagem_perfil_68")</f>
        <v/>
      </c>
      <c r="U68" s="29">
        <f>HIPERLINK($A$1 &amp; "\Dados\Results_airgap68.txt", "Results_airgap68")</f>
        <v/>
      </c>
      <c r="V68" s="19" t="n"/>
      <c r="W68" s="43" t="n">
        <v>1.363195434782609</v>
      </c>
      <c r="X68" s="15" t="n">
        <v>0.6947349631209248</v>
      </c>
      <c r="Y68" s="15" t="n">
        <v>0.08124562796085441</v>
      </c>
      <c r="Z68" s="15" t="n">
        <v>0.2127041858369857</v>
      </c>
      <c r="AA68" s="15" t="n">
        <v>0.0283914860190681</v>
      </c>
      <c r="AB68" s="15" t="n">
        <v>0</v>
      </c>
      <c r="AC68" s="15" t="n">
        <v>4.367736470513026</v>
      </c>
      <c r="AD68" s="15" t="n">
        <v>26.4359457588942</v>
      </c>
      <c r="AE68" s="15" t="n">
        <v>67.29040640917867</v>
      </c>
      <c r="AF68" s="15" t="n">
        <v>107.7261431139708</v>
      </c>
      <c r="AH68" s="29">
        <f>HIPERLINK($A$1 &amp; "\Dados\Magnet_fields.txt_68.txt.txt", "Magnet_fields.txt_68.txt")</f>
        <v/>
      </c>
      <c r="AI68" t="n">
        <v>7360</v>
      </c>
      <c r="AJ68" t="n">
        <v>28</v>
      </c>
      <c r="AK68" s="29">
        <f>HIPERLINK($A$1 &amp; "\Dados\Magnet_3D_results.txt_68.txt.txt", "Magnet_3D_results.txt_68.txt")</f>
        <v/>
      </c>
      <c r="AL68" s="29">
        <f>HIPERLINK($A$1 &amp; "\Dados\Magnet_fields_2D.txt_68.txt.txt", "Magnet_fields_2D.txt_68.txt")</f>
        <v/>
      </c>
    </row>
    <row customHeight="1" ht="15.75" r="69" s="34">
      <c r="E69" s="15" t="n">
        <v>120</v>
      </c>
      <c r="F69" s="15" t="n">
        <v>170</v>
      </c>
      <c r="G69" s="15" t="n">
        <v>350</v>
      </c>
      <c r="H69" s="15" t="n">
        <v>34</v>
      </c>
      <c r="I69" s="15" t="n">
        <v>140</v>
      </c>
      <c r="J69" s="13" t="n">
        <v>25</v>
      </c>
      <c r="K69" t="n">
        <v>35</v>
      </c>
      <c r="L69" s="13" t="n">
        <v>1.5</v>
      </c>
      <c r="M69" s="12" t="n"/>
      <c r="N69" s="8" t="n">
        <v>1.082581458618886</v>
      </c>
      <c r="O69" s="15" t="n">
        <v>0.8288169499435695</v>
      </c>
      <c r="P69" s="15" t="n">
        <v>1.006200945182125</v>
      </c>
      <c r="Q69" s="15" t="n">
        <v>0.001008172253488183</v>
      </c>
      <c r="R69" s="15" t="n">
        <v>0.02530513070810112</v>
      </c>
      <c r="S69" s="15" t="n">
        <v>0.002052536942594661</v>
      </c>
      <c r="T69" s="29">
        <f>HIPERLINK($A$1 &amp; "\Dados\Imagem_perfil_69.png", "Imagem_perfil_69")</f>
        <v/>
      </c>
      <c r="U69" s="29">
        <f>HIPERLINK($A$1 &amp; "\Dados\Results_airgap69.txt", "Results_airgap69")</f>
        <v/>
      </c>
      <c r="V69" s="19" t="n"/>
      <c r="W69" s="43" t="n">
        <v>1.378602391304348</v>
      </c>
      <c r="X69" s="15" t="n">
        <v>0.7015780198370152</v>
      </c>
      <c r="Y69" s="15" t="n">
        <v>0.1507874585311442</v>
      </c>
      <c r="Z69" s="15" t="n">
        <v>0.183440417280727</v>
      </c>
      <c r="AA69" s="15" t="n">
        <v>0.02631588269376339</v>
      </c>
      <c r="AB69" s="15" t="n">
        <v>0.8839923424283783</v>
      </c>
      <c r="AC69" s="15" t="n">
        <v>7.508196640368354</v>
      </c>
      <c r="AD69" s="15" t="n">
        <v>28.8916072923395</v>
      </c>
      <c r="AE69" s="15" t="n">
        <v>68.44868066496284</v>
      </c>
      <c r="AF69" s="15" t="n">
        <v>107.9559292989899</v>
      </c>
      <c r="AH69" s="29">
        <f>HIPERLINK($A$1 &amp; "\Dados\Magnet_fields.txt_69.txt.txt", "Magnet_fields.txt_69.txt")</f>
        <v/>
      </c>
      <c r="AI69" t="n">
        <v>7360</v>
      </c>
      <c r="AJ69" t="n">
        <v>29</v>
      </c>
      <c r="AK69" s="29">
        <f>HIPERLINK($A$1 &amp; "\Dados\Magnet_3D_results.txt_69.txt.txt", "Magnet_3D_results.txt_69.txt")</f>
        <v/>
      </c>
      <c r="AL69" s="29">
        <f>HIPERLINK($A$1 &amp; "\Dados\Magnet_fields_2D.txt_69.txt.txt", "Magnet_fields_2D.txt_69.txt")</f>
        <v/>
      </c>
    </row>
    <row customHeight="1" ht="15.75" r="70" s="34">
      <c r="E70" s="15" t="n">
        <v>120</v>
      </c>
      <c r="F70" s="15" t="n">
        <v>170</v>
      </c>
      <c r="G70" s="15" t="n">
        <v>350</v>
      </c>
      <c r="H70" s="15" t="n">
        <v>34</v>
      </c>
      <c r="I70" s="15" t="n">
        <v>140</v>
      </c>
      <c r="J70" s="13" t="n">
        <v>25</v>
      </c>
      <c r="K70" t="n">
        <v>35</v>
      </c>
      <c r="L70" s="13" t="n">
        <v>1.6</v>
      </c>
      <c r="M70" s="12" t="n"/>
      <c r="N70" s="8" t="n">
        <v>1.090878842208916</v>
      </c>
      <c r="O70" s="15" t="n">
        <v>0.8353166020656692</v>
      </c>
      <c r="P70" s="15" t="n">
        <v>1.013958453865122</v>
      </c>
      <c r="Q70" s="15" t="n">
        <v>0.001005253419309433</v>
      </c>
      <c r="R70" s="15" t="n">
        <v>0.02566272459316952</v>
      </c>
      <c r="S70" s="15" t="n">
        <v>0.002059001647405911</v>
      </c>
      <c r="T70" s="29">
        <f>HIPERLINK($A$1 &amp; "\Dados\Imagem_perfil_70.png", "Imagem_perfil_70")</f>
        <v/>
      </c>
      <c r="U70" s="29">
        <f>HIPERLINK($A$1 &amp; "\Dados\Results_airgap70.txt", "Results_airgap70")</f>
        <v/>
      </c>
      <c r="V70" s="19" t="n"/>
      <c r="W70" s="15" t="n">
        <v>1.386209347826087</v>
      </c>
      <c r="X70" s="15" t="n">
        <v>0.7073448928901317</v>
      </c>
      <c r="Y70" s="15" t="n">
        <v>0.2333907286353124</v>
      </c>
      <c r="Z70" s="15" t="n">
        <v>0.152302768133886</v>
      </c>
      <c r="AA70" s="15" t="n">
        <v>0.01347481678787821</v>
      </c>
      <c r="AB70" s="15" t="n">
        <v>1.692124285868811</v>
      </c>
      <c r="AC70" s="15" t="n">
        <v>9.127151820231429</v>
      </c>
      <c r="AD70" s="15" t="n">
        <v>30.14572185035454</v>
      </c>
      <c r="AE70" s="15" t="n">
        <v>69.02441249631387</v>
      </c>
      <c r="AF70" s="15" t="n">
        <v>108.0293220363463</v>
      </c>
      <c r="AH70" s="29">
        <f>HIPERLINK($A$1 &amp; "\Dados\Magnet_fields.txt_70.txt.txt", "Magnet_fields.txt_70.txt")</f>
        <v/>
      </c>
      <c r="AI70" t="n">
        <v>7360</v>
      </c>
      <c r="AJ70" t="n">
        <v>28</v>
      </c>
      <c r="AK70" s="29">
        <f>HIPERLINK($A$1 &amp; "\Dados\Magnet_3D_results.txt_70.txt.txt", "Magnet_3D_results.txt_70.txt")</f>
        <v/>
      </c>
      <c r="AL70" s="29">
        <f>HIPERLINK($A$1 &amp; "\Dados\Magnet_fields_2D.txt_70.txt.txt", "Magnet_fields_2D.txt_70.txt")</f>
        <v/>
      </c>
    </row>
    <row customHeight="1" ht="15.75" r="71" s="34">
      <c r="E71" s="15" t="n">
        <v>120</v>
      </c>
      <c r="F71" s="15" t="n">
        <v>170</v>
      </c>
      <c r="G71" s="15" t="n">
        <v>350</v>
      </c>
      <c r="H71" s="15" t="n">
        <v>34</v>
      </c>
      <c r="I71" s="15" t="n">
        <v>140</v>
      </c>
      <c r="J71" s="13" t="n">
        <v>25</v>
      </c>
      <c r="K71" t="n">
        <v>35</v>
      </c>
      <c r="L71" s="13" t="n">
        <v>1.7</v>
      </c>
      <c r="M71" s="12" t="n"/>
      <c r="N71" s="8" t="n">
        <v>1.094612908921796</v>
      </c>
      <c r="O71" s="15" t="n">
        <v>0.838223117098348</v>
      </c>
      <c r="P71" s="15" t="n">
        <v>1.017446971324628</v>
      </c>
      <c r="Q71" s="15" t="n">
        <v>0.001005450872862821</v>
      </c>
      <c r="R71" s="15" t="n">
        <v>0.02577564627794659</v>
      </c>
      <c r="S71" s="15" t="n">
        <v>0.002062005394171338</v>
      </c>
      <c r="T71" s="29">
        <f>HIPERLINK($A$1 &amp; "\Dados\Imagem_perfil_71.png", "Imagem_perfil_71")</f>
        <v/>
      </c>
      <c r="U71" s="29">
        <f>HIPERLINK($A$1 &amp; "\Dados\Results_airgap71.txt", "Results_airgap71")</f>
        <v/>
      </c>
      <c r="V71" s="19" t="n"/>
      <c r="W71" s="15" t="n">
        <v>1.391171956521739</v>
      </c>
      <c r="X71" s="15" t="n">
        <v>0.709919857888805</v>
      </c>
      <c r="Y71" s="15" t="n">
        <v>0.3234927074983827</v>
      </c>
      <c r="Z71" s="15" t="n">
        <v>0.1462876114381172</v>
      </c>
      <c r="AA71" s="15" t="n">
        <v>0.01268332005316201</v>
      </c>
      <c r="AB71" s="15" t="n">
        <v>2.122748446436063</v>
      </c>
      <c r="AC71" s="15" t="n">
        <v>10.17118985609821</v>
      </c>
      <c r="AD71" s="15" t="n">
        <v>31.07596913057102</v>
      </c>
      <c r="AE71" s="15" t="n">
        <v>69.51290053277934</v>
      </c>
      <c r="AF71" s="15" t="n">
        <v>108.1263549297742</v>
      </c>
      <c r="AH71" s="29">
        <f>HIPERLINK($A$1 &amp; "\Dados\Magnet_fields.txt_71.txt.txt", "Magnet_fields.txt_71.txt")</f>
        <v/>
      </c>
      <c r="AI71" t="n">
        <v>7360</v>
      </c>
      <c r="AJ71" t="n">
        <v>28</v>
      </c>
      <c r="AK71" s="29">
        <f>HIPERLINK($A$1 &amp; "\Dados\Magnet_3D_results.txt_71.txt.txt", "Magnet_3D_results.txt_71.txt")</f>
        <v/>
      </c>
      <c r="AL71" s="29">
        <f>HIPERLINK($A$1 &amp; "\Dados\Magnet_fields_2D.txt_71.txt.txt", "Magnet_fields_2D.txt_71.txt")</f>
        <v/>
      </c>
    </row>
    <row customHeight="1" ht="15.75" r="72" s="34">
      <c r="E72" s="15" t="n">
        <v>120</v>
      </c>
      <c r="F72" s="15" t="n">
        <v>170</v>
      </c>
      <c r="G72" s="15" t="n">
        <v>350</v>
      </c>
      <c r="H72" s="15" t="n">
        <v>34</v>
      </c>
      <c r="I72" s="15" t="n">
        <v>140</v>
      </c>
      <c r="J72" s="13" t="n">
        <v>25</v>
      </c>
      <c r="K72" t="n">
        <v>35</v>
      </c>
      <c r="L72" s="13" t="n">
        <v>1.8</v>
      </c>
      <c r="M72" s="12" t="n"/>
      <c r="N72" s="8" t="n">
        <v>1.094612908921797</v>
      </c>
      <c r="O72" s="15" t="n">
        <v>0.8382231170983476</v>
      </c>
      <c r="P72" s="15" t="n">
        <v>1.017446971324628</v>
      </c>
      <c r="Q72" s="15" t="n">
        <v>0.001005450872862821</v>
      </c>
      <c r="R72" s="15" t="n">
        <v>0.0257756462779466</v>
      </c>
      <c r="S72" s="15" t="n">
        <v>0.002062005394171338</v>
      </c>
      <c r="T72" s="29">
        <f>HIPERLINK($A$1 &amp; "\Dados\Imagem_perfil_72.png", "Imagem_perfil_72")</f>
        <v/>
      </c>
      <c r="U72" s="29">
        <f>HIPERLINK($A$1 &amp; "\Dados\Results_airgap72.txt", "Results_airgap72")</f>
        <v/>
      </c>
      <c r="V72" s="19" t="n"/>
      <c r="W72" s="15" t="n">
        <v>1.394142826086956</v>
      </c>
      <c r="X72" s="15" t="n">
        <v>0.709919857888805</v>
      </c>
      <c r="Y72" s="15" t="n">
        <v>0.4172534385250385</v>
      </c>
      <c r="Z72" s="15" t="n">
        <v>0.1462876114381172</v>
      </c>
      <c r="AA72" s="15" t="n">
        <v>0.01268332005316201</v>
      </c>
      <c r="AB72" s="15" t="n">
        <v>2.449703318455784</v>
      </c>
      <c r="AC72" s="15" t="n">
        <v>10.85646276778061</v>
      </c>
      <c r="AD72" s="15" t="n">
        <v>31.62270282336478</v>
      </c>
      <c r="AE72" s="15" t="n">
        <v>69.74615447383529</v>
      </c>
      <c r="AF72" s="15" t="n">
        <v>108.184477667221</v>
      </c>
      <c r="AH72" s="29">
        <f>HIPERLINK($A$1 &amp; "\Dados\Magnet_fields.txt_72.txt.txt", "Magnet_fields.txt_72.txt")</f>
        <v/>
      </c>
      <c r="AI72" t="n">
        <v>7360</v>
      </c>
      <c r="AJ72" t="n">
        <v>29</v>
      </c>
      <c r="AK72" s="29">
        <f>HIPERLINK($A$1 &amp; "\Dados\Magnet_3D_results.txt_72.txt.txt", "Magnet_3D_results.txt_72.txt")</f>
        <v/>
      </c>
      <c r="AL72" s="29">
        <f>HIPERLINK($A$1 &amp; "\Dados\Magnet_fields_2D.txt_72.txt.txt", "Magnet_fields_2D.txt_72.txt")</f>
        <v/>
      </c>
    </row>
    <row customHeight="1" ht="15.75" r="73" s="34">
      <c r="E73" s="15" t="n">
        <v>120</v>
      </c>
      <c r="F73" s="15" t="n">
        <v>170</v>
      </c>
      <c r="G73" s="15" t="n">
        <v>350</v>
      </c>
      <c r="H73" s="15" t="n">
        <v>34</v>
      </c>
      <c r="I73" s="15" t="n">
        <v>140</v>
      </c>
      <c r="J73" s="13" t="n">
        <v>25</v>
      </c>
      <c r="K73" t="n">
        <v>35</v>
      </c>
      <c r="L73" s="13" t="n">
        <v>1.900000000000001</v>
      </c>
      <c r="M73" s="12" t="n"/>
      <c r="N73" s="8" t="n">
        <v>1.097531225790237</v>
      </c>
      <c r="O73" s="15" t="n">
        <v>0.8405170004942565</v>
      </c>
      <c r="P73" s="15" t="n">
        <v>1.020200927964448</v>
      </c>
      <c r="Q73" s="15" t="n">
        <v>0.001005371952240452</v>
      </c>
      <c r="R73" s="15" t="n">
        <v>0.02587407232564579</v>
      </c>
      <c r="S73" s="15" t="n">
        <v>0.00206434596307265</v>
      </c>
      <c r="T73" s="29">
        <f>HIPERLINK($A$1 &amp; "\Dados\Imagem_perfil_73.png", "Imagem_perfil_73")</f>
        <v/>
      </c>
      <c r="U73" s="29">
        <f>HIPERLINK($A$1 &amp; "\Dados\Results_airgap73.txt", "Results_airgap73")</f>
        <v/>
      </c>
      <c r="V73" s="19" t="n"/>
      <c r="W73" s="15" t="n">
        <v>1.396254782608696</v>
      </c>
      <c r="X73" s="15" t="n">
        <v>0.7119683939659716</v>
      </c>
      <c r="Y73" s="15" t="n">
        <v>0.5120977038804186</v>
      </c>
      <c r="Z73" s="15" t="n">
        <v>0.138442298032213</v>
      </c>
      <c r="AA73" s="15" t="n">
        <v>0.01042229616413008</v>
      </c>
      <c r="AB73" s="15" t="n">
        <v>2.687637073692139</v>
      </c>
      <c r="AC73" s="15" t="n">
        <v>11.33544176434133</v>
      </c>
      <c r="AD73" s="15" t="n">
        <v>32.03285443836594</v>
      </c>
      <c r="AE73" s="15" t="n">
        <v>69.9329009870151</v>
      </c>
      <c r="AF73" s="15" t="n">
        <v>108.2210105653102</v>
      </c>
      <c r="AH73" s="29">
        <f>HIPERLINK($A$1 &amp; "\Dados\Magnet_fields.txt_73.txt.txt", "Magnet_fields.txt_73.txt")</f>
        <v/>
      </c>
      <c r="AI73" t="n">
        <v>7360</v>
      </c>
      <c r="AJ73" t="n">
        <v>28</v>
      </c>
      <c r="AK73" s="29">
        <f>HIPERLINK($A$1 &amp; "\Dados\Magnet_3D_results.txt_73.txt.txt", "Magnet_3D_results.txt_73.txt")</f>
        <v/>
      </c>
      <c r="AL73" s="29">
        <f>HIPERLINK($A$1 &amp; "\Dados\Magnet_fields_2D.txt_73.txt.txt", "Magnet_fields_2D.txt_73.txt")</f>
        <v/>
      </c>
    </row>
    <row customHeight="1" ht="15.75" r="74" s="34">
      <c r="E74" s="15" t="n">
        <v>120</v>
      </c>
      <c r="F74" s="15" t="n">
        <v>170</v>
      </c>
      <c r="G74" s="15" t="n">
        <v>350</v>
      </c>
      <c r="H74" s="15" t="n">
        <v>34</v>
      </c>
      <c r="I74" s="15" t="n">
        <v>140</v>
      </c>
      <c r="J74" s="13" t="n">
        <v>25</v>
      </c>
      <c r="K74" t="n">
        <v>35</v>
      </c>
      <c r="L74" s="13" t="n">
        <v>2.000000000000001</v>
      </c>
      <c r="M74" s="12" t="n"/>
      <c r="N74" s="8" t="n">
        <v>1.098294558893026</v>
      </c>
      <c r="O74" s="15" t="n">
        <v>0.8411108137984982</v>
      </c>
      <c r="P74" s="15" t="n">
        <v>1.020889219277079</v>
      </c>
      <c r="Q74" s="15" t="n">
        <v>0.001003822924430798</v>
      </c>
      <c r="R74" s="15" t="n">
        <v>0.02594992206572609</v>
      </c>
      <c r="S74" s="15" t="n">
        <v>0.002064802244330342</v>
      </c>
      <c r="T74" s="29">
        <f>HIPERLINK($A$1 &amp; "\Dados\Imagem_perfil_74.png", "Imagem_perfil_74")</f>
        <v/>
      </c>
      <c r="U74" s="29">
        <f>HIPERLINK($A$1 &amp; "\Dados\Results_airgap74.txt", "Results_airgap74")</f>
        <v/>
      </c>
      <c r="V74" s="19" t="n"/>
      <c r="W74" s="15" t="n">
        <v>1.397791956521739</v>
      </c>
      <c r="X74" s="15" t="n">
        <v>0.7125027225219518</v>
      </c>
      <c r="Y74" s="15" t="n">
        <v>0.6063238570496912</v>
      </c>
      <c r="Z74" s="15" t="n">
        <v>0.1148688802026889</v>
      </c>
      <c r="AA74" s="15" t="n">
        <v>0.01042229616413008</v>
      </c>
      <c r="AB74" s="15" t="n">
        <v>2.821136034072561</v>
      </c>
      <c r="AC74" s="15" t="n">
        <v>11.70521152409291</v>
      </c>
      <c r="AD74" s="15" t="n">
        <v>32.33225522269685</v>
      </c>
      <c r="AE74" s="15" t="n">
        <v>70.0841369748707</v>
      </c>
      <c r="AF74" s="15" t="n">
        <v>108.2647675312236</v>
      </c>
      <c r="AH74" s="29">
        <f>HIPERLINK($A$1 &amp; "\Dados\Magnet_fields.txt_74.txt.txt", "Magnet_fields.txt_74.txt")</f>
        <v/>
      </c>
      <c r="AI74" t="n">
        <v>7360</v>
      </c>
      <c r="AJ74" t="n">
        <v>28</v>
      </c>
      <c r="AK74" s="29">
        <f>HIPERLINK($A$1 &amp; "\Dados\Magnet_3D_results.txt_74.txt.txt", "Magnet_3D_results.txt_74.txt")</f>
        <v/>
      </c>
      <c r="AL74" s="29">
        <f>HIPERLINK($A$1 &amp; "\Dados\Magnet_fields_2D.txt_74.txt.txt", "Magnet_fields_2D.txt_74.txt")</f>
        <v/>
      </c>
    </row>
    <row customHeight="1" ht="15.75" r="75" s="34">
      <c r="E75" s="15" t="n">
        <v>120</v>
      </c>
      <c r="F75" s="15" t="n">
        <v>170</v>
      </c>
      <c r="G75" s="15" t="n">
        <v>350</v>
      </c>
      <c r="H75" s="15" t="n">
        <v>34</v>
      </c>
      <c r="I75" s="15" t="n">
        <v>140</v>
      </c>
      <c r="J75" s="13" t="n">
        <v>25</v>
      </c>
      <c r="K75" t="n">
        <v>35</v>
      </c>
      <c r="L75" s="13" t="n">
        <v>2.100000000000001</v>
      </c>
      <c r="M75" s="12" t="n"/>
      <c r="N75" s="8" t="n">
        <v>1.098294558893026</v>
      </c>
      <c r="O75" s="15" t="n">
        <v>0.8411108137984981</v>
      </c>
      <c r="P75" s="15" t="n">
        <v>1.020889219277079</v>
      </c>
      <c r="Q75" s="15" t="n">
        <v>0.001003822924430798</v>
      </c>
      <c r="R75" s="15" t="n">
        <v>0.02594992206572608</v>
      </c>
      <c r="S75" s="15" t="n">
        <v>0.002064802244330342</v>
      </c>
      <c r="T75" s="29">
        <f>HIPERLINK($A$1 &amp; "\Dados\Imagem_perfil_75.png", "Imagem_perfil_75")</f>
        <v/>
      </c>
      <c r="U75" s="29">
        <f>HIPERLINK($A$1 &amp; "\Dados\Results_airgap75.txt", "Results_airgap75")</f>
        <v/>
      </c>
      <c r="V75" s="19" t="n"/>
      <c r="W75" s="15" t="n">
        <v>1.398973913043478</v>
      </c>
      <c r="X75" s="15" t="n">
        <v>0.7125027225219516</v>
      </c>
      <c r="Y75" s="15" t="n">
        <v>0.6988251121373368</v>
      </c>
      <c r="Z75" s="15" t="n">
        <v>0.1148688802026889</v>
      </c>
      <c r="AA75" s="15" t="n">
        <v>0.01042229616413008</v>
      </c>
      <c r="AB75" s="15" t="n">
        <v>2.955972897549171</v>
      </c>
      <c r="AC75" s="15" t="n">
        <v>11.97291405049195</v>
      </c>
      <c r="AD75" s="15" t="n">
        <v>32.5724106234253</v>
      </c>
      <c r="AE75" s="15" t="n">
        <v>70.20415404159773</v>
      </c>
      <c r="AF75" s="15" t="n">
        <v>108.2915686523058</v>
      </c>
      <c r="AH75" s="29">
        <f>HIPERLINK($A$1 &amp; "\Dados\Magnet_fields.txt_75.txt.txt", "Magnet_fields.txt_75.txt")</f>
        <v/>
      </c>
      <c r="AI75" t="n">
        <v>7360</v>
      </c>
      <c r="AJ75" t="n">
        <v>28</v>
      </c>
      <c r="AK75" s="29">
        <f>HIPERLINK($A$1 &amp; "\Dados\Magnet_3D_results.txt_75.txt.txt", "Magnet_3D_results.txt_75.txt")</f>
        <v/>
      </c>
      <c r="AL75" s="29">
        <f>HIPERLINK($A$1 &amp; "\Dados\Magnet_fields_2D.txt_75.txt.txt", "Magnet_fields_2D.txt_75.txt")</f>
        <v/>
      </c>
    </row>
    <row customHeight="1" ht="15.75" r="76" s="34">
      <c r="E76" s="15" t="n">
        <v>120</v>
      </c>
      <c r="F76" s="15" t="n">
        <v>170</v>
      </c>
      <c r="G76" s="15" t="n">
        <v>350</v>
      </c>
      <c r="H76" s="15" t="n">
        <v>36</v>
      </c>
      <c r="I76" s="15" t="n">
        <v>140</v>
      </c>
      <c r="J76" s="13" t="n">
        <v>25</v>
      </c>
      <c r="K76" t="n">
        <v>35</v>
      </c>
      <c r="L76" s="13" t="n">
        <v>1.3</v>
      </c>
      <c r="M76" s="12" t="n"/>
      <c r="N76" s="8" t="n">
        <v>1.050487953609081</v>
      </c>
      <c r="O76" s="15" t="n">
        <v>0.8003238996755744</v>
      </c>
      <c r="P76" s="15" t="n">
        <v>0.9757138433320627</v>
      </c>
      <c r="Q76" s="15" t="n">
        <v>0.001009965858043995</v>
      </c>
      <c r="R76" s="15" t="n">
        <v>0.0242045701981043</v>
      </c>
      <c r="S76" s="15" t="n">
        <v>0.001987894390401828</v>
      </c>
      <c r="T76" s="29">
        <f>HIPERLINK($A$1 &amp; "\Dados\Imagem_perfil_76.png", "Imagem_perfil_76")</f>
        <v/>
      </c>
      <c r="U76" s="29">
        <f>HIPERLINK($A$1 &amp; "\Dados\Results_airgap76.txt", "Results_airgap76")</f>
        <v/>
      </c>
      <c r="V76" s="19" t="n"/>
      <c r="W76" s="43" t="n">
        <v>1.33219</v>
      </c>
      <c r="X76" s="15" t="n">
        <v>0.669868028596158</v>
      </c>
      <c r="Y76" s="15" t="n">
        <v>0.0320890917591735</v>
      </c>
      <c r="Z76" s="15" t="n">
        <v>0.3568119163836846</v>
      </c>
      <c r="AA76" s="15" t="n">
        <v>0.05630049539817816</v>
      </c>
      <c r="AB76" s="15" t="n">
        <v>0</v>
      </c>
      <c r="AC76" s="15" t="n">
        <v>0</v>
      </c>
      <c r="AD76" s="15" t="n">
        <v>20.5332077484446</v>
      </c>
      <c r="AE76" s="15" t="n">
        <v>64.54343453695546</v>
      </c>
      <c r="AF76" s="15" t="n">
        <v>106.8414934579027</v>
      </c>
      <c r="AH76" s="29">
        <f>HIPERLINK($A$1 &amp; "\Dados\Magnet_fields.txt_76.txt.txt", "Magnet_fields.txt_76.txt")</f>
        <v/>
      </c>
      <c r="AI76" t="n">
        <v>7113</v>
      </c>
      <c r="AJ76" t="n">
        <v>29</v>
      </c>
      <c r="AK76" s="29">
        <f>HIPERLINK($A$1 &amp; "\Dados\Magnet_3D_results.txt_76.txt.txt", "Magnet_3D_results.txt_76.txt")</f>
        <v/>
      </c>
      <c r="AL76" s="29">
        <f>HIPERLINK($A$1 &amp; "\Dados\Magnet_fields_2D.txt_76.txt.txt", "Magnet_fields_2D.txt_76.txt")</f>
        <v/>
      </c>
    </row>
    <row customHeight="1" ht="15.75" r="77" s="34">
      <c r="E77" s="15" t="n">
        <v>120</v>
      </c>
      <c r="F77" s="15" t="n">
        <v>170</v>
      </c>
      <c r="G77" s="15" t="n">
        <v>350</v>
      </c>
      <c r="H77" s="15" t="n">
        <v>36</v>
      </c>
      <c r="I77" s="15" t="n">
        <v>140</v>
      </c>
      <c r="J77" s="13" t="n">
        <v>25</v>
      </c>
      <c r="K77" t="n">
        <v>35</v>
      </c>
      <c r="L77" s="13" t="n">
        <v>1.4</v>
      </c>
      <c r="M77" s="12" t="n"/>
      <c r="N77" s="8" t="n">
        <v>1.073999365456096</v>
      </c>
      <c r="O77" s="15" t="n">
        <v>0.8186000193265482</v>
      </c>
      <c r="P77" s="15" t="n">
        <v>0.9976203414472385</v>
      </c>
      <c r="Q77" s="15" t="n">
        <v>0.001008258703419619</v>
      </c>
      <c r="R77" s="15" t="n">
        <v>0.02516959556022643</v>
      </c>
      <c r="S77" s="15" t="n">
        <v>0.00201142398157229</v>
      </c>
      <c r="T77" s="29">
        <f>HIPERLINK($A$1 &amp; "\Dados\Imagem_perfil_77.png", "Imagem_perfil_77")</f>
        <v/>
      </c>
      <c r="U77" s="29">
        <f>HIPERLINK($A$1 &amp; "\Dados\Results_airgap77.txt", "Results_airgap77")</f>
        <v/>
      </c>
      <c r="V77" s="19" t="n"/>
      <c r="W77" s="43" t="n">
        <v>1.363175652173913</v>
      </c>
      <c r="X77" s="15" t="n">
        <v>0.6857336048286813</v>
      </c>
      <c r="Y77" s="15" t="n">
        <v>0.08123996138488515</v>
      </c>
      <c r="Z77" s="15" t="n">
        <v>0.2225421006392745</v>
      </c>
      <c r="AA77" s="15" t="n">
        <v>0.02604356329950948</v>
      </c>
      <c r="AB77" s="15" t="n">
        <v>0</v>
      </c>
      <c r="AC77" s="15" t="n">
        <v>4.366067373226858</v>
      </c>
      <c r="AD77" s="15" t="n">
        <v>26.42851570760933</v>
      </c>
      <c r="AE77" s="15" t="n">
        <v>67.28362145540167</v>
      </c>
      <c r="AF77" s="15" t="n">
        <v>107.7307388355767</v>
      </c>
      <c r="AH77" s="29">
        <f>HIPERLINK($A$1 &amp; "\Dados\Magnet_fields.txt_77.txt.txt", "Magnet_fields.txt_77.txt")</f>
        <v/>
      </c>
      <c r="AI77" t="n">
        <v>7113</v>
      </c>
      <c r="AJ77" t="n">
        <v>29</v>
      </c>
      <c r="AK77" s="29">
        <f>HIPERLINK($A$1 &amp; "\Dados\Magnet_3D_results.txt_77.txt.txt", "Magnet_3D_results.txt_77.txt")</f>
        <v/>
      </c>
      <c r="AL77" s="29">
        <f>HIPERLINK($A$1 &amp; "\Dados\Magnet_fields_2D.txt_77.txt.txt", "Magnet_fields_2D.txt_77.txt")</f>
        <v/>
      </c>
    </row>
    <row customHeight="1" ht="15.75" r="78" s="34">
      <c r="E78" s="15" t="n">
        <v>120</v>
      </c>
      <c r="F78" s="15" t="n">
        <v>170</v>
      </c>
      <c r="G78" s="15" t="n">
        <v>350</v>
      </c>
      <c r="H78" s="15" t="n">
        <v>36</v>
      </c>
      <c r="I78" s="15" t="n">
        <v>140</v>
      </c>
      <c r="J78" s="13" t="n">
        <v>25</v>
      </c>
      <c r="K78" t="n">
        <v>35</v>
      </c>
      <c r="L78" s="13" t="n">
        <v>1.5</v>
      </c>
      <c r="M78" s="12" t="n"/>
      <c r="N78" s="8" t="n">
        <v>1.083723586236846</v>
      </c>
      <c r="O78" s="15" t="n">
        <v>0.8261684075093484</v>
      </c>
      <c r="P78" s="15" t="n">
        <v>1.006786319778837</v>
      </c>
      <c r="Q78" s="15" t="n">
        <v>0.001008151144025255</v>
      </c>
      <c r="R78" s="15" t="n">
        <v>0.02549801370272141</v>
      </c>
      <c r="S78" s="15" t="n">
        <v>0.002019531075680273</v>
      </c>
      <c r="T78" s="29">
        <f>HIPERLINK($A$1 &amp; "\Dados\Imagem_perfil_78.png", "Imagem_perfil_78")</f>
        <v/>
      </c>
      <c r="U78" s="29">
        <f>HIPERLINK($A$1 &amp; "\Dados\Results_airgap78.txt", "Results_airgap78")</f>
        <v/>
      </c>
      <c r="V78" s="19" t="n"/>
      <c r="W78" s="43" t="n">
        <v>1.378582608695652</v>
      </c>
      <c r="X78" s="15" t="n">
        <v>0.6923326296173217</v>
      </c>
      <c r="Y78" s="15" t="n">
        <v>0.1507798251408424</v>
      </c>
      <c r="Z78" s="15" t="n">
        <v>0.1883375271829854</v>
      </c>
      <c r="AA78" s="15" t="n">
        <v>0.02348185680201939</v>
      </c>
      <c r="AB78" s="15" t="n">
        <v>0.8773295201620892</v>
      </c>
      <c r="AC78" s="15" t="n">
        <v>7.491656642695755</v>
      </c>
      <c r="AD78" s="15" t="n">
        <v>28.90026558006122</v>
      </c>
      <c r="AE78" s="15" t="n">
        <v>68.44627645848944</v>
      </c>
      <c r="AF78" s="15" t="n">
        <v>107.9291649389105</v>
      </c>
      <c r="AH78" s="29">
        <f>HIPERLINK($A$1 &amp; "\Dados\Magnet_fields.txt_78.txt.txt", "Magnet_fields.txt_78.txt")</f>
        <v/>
      </c>
      <c r="AI78" t="n">
        <v>7113</v>
      </c>
      <c r="AJ78" t="n">
        <v>28</v>
      </c>
      <c r="AK78" s="29">
        <f>HIPERLINK($A$1 &amp; "\Dados\Magnet_3D_results.txt_78.txt.txt", "Magnet_3D_results.txt_78.txt")</f>
        <v/>
      </c>
      <c r="AL78" s="29">
        <f>HIPERLINK($A$1 &amp; "\Dados\Magnet_fields_2D.txt_78.txt.txt", "Magnet_fields_2D.txt_78.txt")</f>
        <v/>
      </c>
    </row>
    <row customHeight="1" ht="15.75" r="79" s="34">
      <c r="E79" s="15" t="n">
        <v>120</v>
      </c>
      <c r="F79" s="15" t="n">
        <v>170</v>
      </c>
      <c r="G79" s="15" t="n">
        <v>350</v>
      </c>
      <c r="H79" s="15" t="n">
        <v>36</v>
      </c>
      <c r="I79" s="15" t="n">
        <v>140</v>
      </c>
      <c r="J79" s="13" t="n">
        <v>25</v>
      </c>
      <c r="K79" t="n">
        <v>35</v>
      </c>
      <c r="L79" s="13" t="n">
        <v>1.6</v>
      </c>
      <c r="M79" s="12" t="n"/>
      <c r="N79" s="8" t="n">
        <v>1.091875195293769</v>
      </c>
      <c r="O79" s="15" t="n">
        <v>0.8325052367022799</v>
      </c>
      <c r="P79" s="15" t="n">
        <v>1.014400675760815</v>
      </c>
      <c r="Q79" s="15" t="n">
        <v>0.001004921349040718</v>
      </c>
      <c r="R79" s="15" t="n">
        <v>0.0258185290599519</v>
      </c>
      <c r="S79" s="15" t="n">
        <v>0.002024239466844994</v>
      </c>
      <c r="T79" s="29">
        <f>HIPERLINK($A$1 &amp; "\Dados\Imagem_perfil_79.png", "Imagem_perfil_79")</f>
        <v/>
      </c>
      <c r="U79" s="29">
        <f>HIPERLINK($A$1 &amp; "\Dados\Results_airgap79.txt", "Results_airgap79")</f>
        <v/>
      </c>
      <c r="V79" s="19" t="n"/>
      <c r="W79" s="15" t="n">
        <v>1.386488695652174</v>
      </c>
      <c r="X79" s="15" t="n">
        <v>0.6978810173202971</v>
      </c>
      <c r="Y79" s="15" t="n">
        <v>0.2333812895381542</v>
      </c>
      <c r="Z79" s="15" t="n">
        <v>0.160298022024972</v>
      </c>
      <c r="AA79" s="15" t="n">
        <v>0.01519094669561458</v>
      </c>
      <c r="AB79" s="15" t="n">
        <v>1.674203022787339</v>
      </c>
      <c r="AC79" s="15" t="n">
        <v>9.166519783057527</v>
      </c>
      <c r="AD79" s="15" t="n">
        <v>30.21970936407016</v>
      </c>
      <c r="AE79" s="15" t="n">
        <v>69.06760734819406</v>
      </c>
      <c r="AF79" s="15" t="n">
        <v>108.0392373563536</v>
      </c>
      <c r="AH79" s="29">
        <f>HIPERLINK($A$1 &amp; "\Dados\Magnet_fields.txt_79.txt.txt", "Magnet_fields.txt_79.txt")</f>
        <v/>
      </c>
      <c r="AI79" t="n">
        <v>7113</v>
      </c>
      <c r="AJ79" t="n">
        <v>28</v>
      </c>
      <c r="AK79" s="29">
        <f>HIPERLINK($A$1 &amp; "\Dados\Magnet_3D_results.txt_79.txt.txt", "Magnet_3D_results.txt_79.txt")</f>
        <v/>
      </c>
      <c r="AL79" s="29">
        <f>HIPERLINK($A$1 &amp; "\Dados\Magnet_fields_2D.txt_79.txt.txt", "Magnet_fields_2D.txt_79.txt")</f>
        <v/>
      </c>
    </row>
    <row customHeight="1" ht="15.75" r="80" s="34">
      <c r="E80" s="15" t="n">
        <v>120</v>
      </c>
      <c r="F80" s="15" t="n">
        <v>170</v>
      </c>
      <c r="G80" s="15" t="n">
        <v>350</v>
      </c>
      <c r="H80" s="15" t="n">
        <v>36</v>
      </c>
      <c r="I80" s="15" t="n">
        <v>140</v>
      </c>
      <c r="J80" s="13" t="n">
        <v>25</v>
      </c>
      <c r="K80" t="n">
        <v>35</v>
      </c>
      <c r="L80" s="13" t="n">
        <v>1.7</v>
      </c>
      <c r="M80" s="12" t="n"/>
      <c r="N80" s="8" t="n">
        <v>1.095569378832626</v>
      </c>
      <c r="O80" s="15" t="n">
        <v>0.8353627545255726</v>
      </c>
      <c r="P80" s="15" t="n">
        <v>1.017850177551826</v>
      </c>
      <c r="Q80" s="15" t="n">
        <v>0.001005038402536446</v>
      </c>
      <c r="R80" s="15" t="n">
        <v>0.02592200835146312</v>
      </c>
      <c r="S80" s="15" t="n">
        <v>0.002026768375717548</v>
      </c>
      <c r="T80" s="29">
        <f>HIPERLINK($A$1 &amp; "\Dados\Imagem_perfil_80.png", "Imagem_perfil_80")</f>
        <v/>
      </c>
      <c r="U80" s="29">
        <f>HIPERLINK($A$1 &amp; "\Dados\Results_airgap80.txt", "Results_airgap80")</f>
        <v/>
      </c>
      <c r="V80" s="19" t="n"/>
      <c r="W80" s="15" t="n">
        <v>1.391069347826087</v>
      </c>
      <c r="X80" s="15" t="n">
        <v>0.700377106990717</v>
      </c>
      <c r="Y80" s="15" t="n">
        <v>0.3234826891114616</v>
      </c>
      <c r="Z80" s="15" t="n">
        <v>0.1437891309283737</v>
      </c>
      <c r="AA80" s="15" t="n">
        <v>0.01519094669561458</v>
      </c>
      <c r="AB80" s="15" t="n">
        <v>2.142843572941239</v>
      </c>
      <c r="AC80" s="15" t="n">
        <v>10.16404406140514</v>
      </c>
      <c r="AD80" s="15" t="n">
        <v>31.03822431080361</v>
      </c>
      <c r="AE80" s="15" t="n">
        <v>69.47359666936599</v>
      </c>
      <c r="AF80" s="15" t="n">
        <v>108.1334183971528</v>
      </c>
      <c r="AH80" s="29">
        <f>HIPERLINK($A$1 &amp; "\Dados\Magnet_fields.txt_80.txt.txt", "Magnet_fields.txt_80.txt")</f>
        <v/>
      </c>
      <c r="AI80" t="n">
        <v>7113</v>
      </c>
      <c r="AJ80" t="n">
        <v>28</v>
      </c>
      <c r="AK80" s="29">
        <f>HIPERLINK($A$1 &amp; "\Dados\Magnet_3D_results.txt_80.txt.txt", "Magnet_3D_results.txt_80.txt")</f>
        <v/>
      </c>
      <c r="AL80" s="29">
        <f>HIPERLINK($A$1 &amp; "\Dados\Magnet_fields_2D.txt_80.txt.txt", "Magnet_fields_2D.txt_80.txt")</f>
        <v/>
      </c>
    </row>
    <row customHeight="1" ht="15.75" r="81" s="34">
      <c r="E81" s="15" t="n">
        <v>120</v>
      </c>
      <c r="F81" s="15" t="n">
        <v>170</v>
      </c>
      <c r="G81" s="15" t="n">
        <v>350</v>
      </c>
      <c r="H81" s="15" t="n">
        <v>36</v>
      </c>
      <c r="I81" s="15" t="n">
        <v>140</v>
      </c>
      <c r="J81" s="13" t="n">
        <v>25</v>
      </c>
      <c r="K81" t="n">
        <v>35</v>
      </c>
      <c r="L81" s="13" t="n">
        <v>1.8</v>
      </c>
      <c r="M81" s="12" t="n"/>
      <c r="N81" s="8" t="n">
        <v>1.095569378832626</v>
      </c>
      <c r="O81" s="15" t="n">
        <v>0.8353627545255725</v>
      </c>
      <c r="P81" s="15" t="n">
        <v>1.017850177551826</v>
      </c>
      <c r="Q81" s="15" t="n">
        <v>0.001005038402536445</v>
      </c>
      <c r="R81" s="15" t="n">
        <v>0.02592200835146312</v>
      </c>
      <c r="S81" s="15" t="n">
        <v>0.002026768375717548</v>
      </c>
      <c r="T81" s="29">
        <f>HIPERLINK($A$1 &amp; "\Dados\Imagem_perfil_81.png", "Imagem_perfil_81")</f>
        <v/>
      </c>
      <c r="U81" s="29">
        <f>HIPERLINK($A$1 &amp; "\Dados\Results_airgap81.txt", "Results_airgap81")</f>
        <v/>
      </c>
      <c r="V81" s="19" t="n"/>
      <c r="W81" s="15" t="n">
        <v>1.394134565217391</v>
      </c>
      <c r="X81" s="15" t="n">
        <v>0.700377106990717</v>
      </c>
      <c r="Y81" s="15" t="n">
        <v>0.4172427548516431</v>
      </c>
      <c r="Z81" s="15" t="n">
        <v>0.1437891309283737</v>
      </c>
      <c r="AA81" s="15" t="n">
        <v>0.01519094669561458</v>
      </c>
      <c r="AB81" s="15" t="n">
        <v>2.456703789393582</v>
      </c>
      <c r="AC81" s="15" t="n">
        <v>10.84644080718256</v>
      </c>
      <c r="AD81" s="15" t="n">
        <v>31.61804270000814</v>
      </c>
      <c r="AE81" s="15" t="n">
        <v>69.75200787356074</v>
      </c>
      <c r="AF81" s="15" t="n">
        <v>108.187774442371</v>
      </c>
      <c r="AH81" s="29">
        <f>HIPERLINK($A$1 &amp; "\Dados\Magnet_fields.txt_81.txt.txt", "Magnet_fields.txt_81.txt")</f>
        <v/>
      </c>
      <c r="AI81" t="n">
        <v>7113</v>
      </c>
      <c r="AJ81" t="n">
        <v>28</v>
      </c>
      <c r="AK81" s="29">
        <f>HIPERLINK($A$1 &amp; "\Dados\Magnet_3D_results.txt_81.txt.txt", "Magnet_3D_results.txt_81.txt")</f>
        <v/>
      </c>
      <c r="AL81" s="29">
        <f>HIPERLINK($A$1 &amp; "\Dados\Magnet_fields_2D.txt_81.txt.txt", "Magnet_fields_2D.txt_81.txt")</f>
        <v/>
      </c>
    </row>
    <row customHeight="1" ht="15.75" r="82" s="34">
      <c r="E82" s="15" t="n">
        <v>120</v>
      </c>
      <c r="F82" s="15" t="n">
        <v>170</v>
      </c>
      <c r="G82" s="15" t="n">
        <v>350</v>
      </c>
      <c r="H82" s="15" t="n">
        <v>36</v>
      </c>
      <c r="I82" s="15" t="n">
        <v>140</v>
      </c>
      <c r="J82" s="13" t="n">
        <v>25</v>
      </c>
      <c r="K82" t="n">
        <v>35</v>
      </c>
      <c r="L82" s="13" t="n">
        <v>1.900000000000001</v>
      </c>
      <c r="M82" s="12" t="n"/>
      <c r="N82" s="8" t="n">
        <v>1.098450547485467</v>
      </c>
      <c r="O82" s="15" t="n">
        <v>0.8376123019004222</v>
      </c>
      <c r="P82" s="15" t="n">
        <v>1.020568524599596</v>
      </c>
      <c r="Q82" s="15" t="n">
        <v>0.001004891031527985</v>
      </c>
      <c r="R82" s="15" t="n">
        <v>0.02601154539294808</v>
      </c>
      <c r="S82" s="15" t="n">
        <v>0.002028677284143214</v>
      </c>
      <c r="T82" s="29">
        <f>HIPERLINK($A$1 &amp; "\Dados\Imagem_perfil_82.png", "Imagem_perfil_82")</f>
        <v/>
      </c>
      <c r="U82" s="29">
        <f>HIPERLINK($A$1 &amp; "\Dados\Results_airgap82.txt", "Results_airgap82")</f>
        <v/>
      </c>
      <c r="V82" s="19" t="n"/>
      <c r="W82" s="15" t="n">
        <v>1.396264347826087</v>
      </c>
      <c r="X82" s="15" t="n">
        <v>0.7023563217538189</v>
      </c>
      <c r="Y82" s="15" t="n">
        <v>0.5120865095441532</v>
      </c>
      <c r="Z82" s="15" t="n">
        <v>0.1437891309283737</v>
      </c>
      <c r="AA82" s="15" t="n">
        <v>0.01297424202758499</v>
      </c>
      <c r="AB82" s="15" t="n">
        <v>2.672461580156752</v>
      </c>
      <c r="AC82" s="15" t="n">
        <v>11.34555143398646</v>
      </c>
      <c r="AD82" s="15" t="n">
        <v>32.02994960529683</v>
      </c>
      <c r="AE82" s="15" t="n">
        <v>69.93114381748481</v>
      </c>
      <c r="AF82" s="15" t="n">
        <v>108.2200565319793</v>
      </c>
      <c r="AH82" s="29">
        <f>HIPERLINK($A$1 &amp; "\Dados\Magnet_fields.txt_82.txt.txt", "Magnet_fields.txt_82.txt")</f>
        <v/>
      </c>
      <c r="AI82" t="n">
        <v>7113</v>
      </c>
      <c r="AJ82" t="n">
        <v>28</v>
      </c>
      <c r="AK82" s="29">
        <f>HIPERLINK($A$1 &amp; "\Dados\Magnet_3D_results.txt_82.txt.txt", "Magnet_3D_results.txt_82.txt")</f>
        <v/>
      </c>
      <c r="AL82" s="29">
        <f>HIPERLINK($A$1 &amp; "\Dados\Magnet_fields_2D.txt_82.txt.txt", "Magnet_fields_2D.txt_82.txt")</f>
        <v/>
      </c>
    </row>
    <row customHeight="1" ht="15.75" r="83" s="34">
      <c r="E83" s="15" t="n">
        <v>120</v>
      </c>
      <c r="F83" s="15" t="n">
        <v>170</v>
      </c>
      <c r="G83" s="15" t="n">
        <v>350</v>
      </c>
      <c r="H83" s="15" t="n">
        <v>36</v>
      </c>
      <c r="I83" s="15" t="n">
        <v>140</v>
      </c>
      <c r="J83" s="13" t="n">
        <v>25</v>
      </c>
      <c r="K83" t="n">
        <v>35</v>
      </c>
      <c r="L83" s="13" t="n">
        <v>2.000000000000001</v>
      </c>
      <c r="M83" s="12" t="n"/>
      <c r="N83" s="8" t="n">
        <v>1.09917827348075</v>
      </c>
      <c r="O83" s="15" t="n">
        <v>0.8381720996644866</v>
      </c>
      <c r="P83" s="15" t="n">
        <v>1.021222202187272</v>
      </c>
      <c r="Q83" s="15" t="n">
        <v>0.001003262668333555</v>
      </c>
      <c r="R83" s="15" t="n">
        <v>0.02607800408481397</v>
      </c>
      <c r="S83" s="15" t="n">
        <v>0.002028704261821648</v>
      </c>
      <c r="T83" s="29">
        <f>HIPERLINK($A$1 &amp; "\Dados\Imagem_perfil_83.png", "Imagem_perfil_83")</f>
        <v/>
      </c>
      <c r="U83" s="29">
        <f>HIPERLINK($A$1 &amp; "\Dados\Results_airgap83.txt", "Results_airgap83")</f>
        <v/>
      </c>
      <c r="V83" s="19" t="n"/>
      <c r="W83" s="15" t="n">
        <v>1.397820652173913</v>
      </c>
      <c r="X83" s="15" t="n">
        <v>0.7028582316496353</v>
      </c>
      <c r="Y83" s="15" t="n">
        <v>0.606312335500455</v>
      </c>
      <c r="Z83" s="15" t="n">
        <v>0.1151999540274542</v>
      </c>
      <c r="AA83" s="15" t="n">
        <v>0.01000505305435417</v>
      </c>
      <c r="AB83" s="15" t="n">
        <v>2.850405863932286</v>
      </c>
      <c r="AC83" s="15" t="n">
        <v>11.70512600447915</v>
      </c>
      <c r="AD83" s="15" t="n">
        <v>32.33147123879861</v>
      </c>
      <c r="AE83" s="15" t="n">
        <v>70.08315561943651</v>
      </c>
      <c r="AF83" s="15" t="n">
        <v>108.2600162719677</v>
      </c>
      <c r="AH83" s="29">
        <f>HIPERLINK($A$1 &amp; "\Dados\Magnet_fields.txt_83.txt.txt", "Magnet_fields.txt_83.txt")</f>
        <v/>
      </c>
      <c r="AI83" t="n">
        <v>7113</v>
      </c>
      <c r="AJ83" t="n">
        <v>28</v>
      </c>
      <c r="AK83" s="29">
        <f>HIPERLINK($A$1 &amp; "\Dados\Magnet_3D_results.txt_83.txt.txt", "Magnet_3D_results.txt_83.txt")</f>
        <v/>
      </c>
      <c r="AL83" s="29">
        <f>HIPERLINK($A$1 &amp; "\Dados\Magnet_fields_2D.txt_83.txt.txt", "Magnet_fields_2D.txt_83.txt")</f>
        <v/>
      </c>
    </row>
    <row customHeight="1" ht="15.75" r="84" s="34">
      <c r="E84" s="15" t="n">
        <v>120</v>
      </c>
      <c r="F84" s="15" t="n">
        <v>170</v>
      </c>
      <c r="G84" s="15" t="n">
        <v>350</v>
      </c>
      <c r="H84" s="15" t="n">
        <v>36</v>
      </c>
      <c r="I84" s="15" t="n">
        <v>140</v>
      </c>
      <c r="J84" s="13" t="n">
        <v>25</v>
      </c>
      <c r="K84" t="n">
        <v>35</v>
      </c>
      <c r="L84" s="13" t="n">
        <v>2.100000000000001</v>
      </c>
      <c r="M84" s="12" t="n"/>
      <c r="N84" s="8" t="n">
        <v>1.09917827348075</v>
      </c>
      <c r="O84" s="15" t="n">
        <v>0.8381720996644862</v>
      </c>
      <c r="P84" s="15" t="n">
        <v>1.021222202187272</v>
      </c>
      <c r="Q84" s="15" t="n">
        <v>0.001003262668333556</v>
      </c>
      <c r="R84" s="15" t="n">
        <v>0.02607800408481396</v>
      </c>
      <c r="S84" s="15" t="n">
        <v>0.002028704261821648</v>
      </c>
      <c r="T84" s="29">
        <f>HIPERLINK($A$1 &amp; "\Dados\Imagem_perfil_84.png", "Imagem_perfil_84")</f>
        <v/>
      </c>
      <c r="U84" s="29">
        <f>HIPERLINK($A$1 &amp; "\Dados\Results_airgap84.txt", "Results_airgap84")</f>
        <v/>
      </c>
      <c r="V84" s="19" t="n"/>
      <c r="W84" s="15" t="n">
        <v>1.398957391304348</v>
      </c>
      <c r="X84" s="15" t="n">
        <v>0.7028582316496353</v>
      </c>
      <c r="Y84" s="15" t="n">
        <v>0.6988133382660995</v>
      </c>
      <c r="Z84" s="15" t="n">
        <v>0.1151999540274542</v>
      </c>
      <c r="AA84" s="15" t="n">
        <v>0.01000505305435417</v>
      </c>
      <c r="AB84" s="15" t="n">
        <v>2.925296937659761</v>
      </c>
      <c r="AC84" s="15" t="n">
        <v>11.96857228845635</v>
      </c>
      <c r="AD84" s="15" t="n">
        <v>32.57423502418153</v>
      </c>
      <c r="AE84" s="15" t="n">
        <v>70.20594794900286</v>
      </c>
      <c r="AF84" s="15" t="n">
        <v>108.2883886771526</v>
      </c>
      <c r="AH84" s="29">
        <f>HIPERLINK($A$1 &amp; "\Dados\Magnet_fields.txt_84.txt.txt", "Magnet_fields.txt_84.txt")</f>
        <v/>
      </c>
      <c r="AI84" t="n">
        <v>7113</v>
      </c>
      <c r="AJ84" t="n">
        <v>28</v>
      </c>
      <c r="AK84" s="29">
        <f>HIPERLINK($A$1 &amp; "\Dados\Magnet_3D_results.txt_84.txt.txt", "Magnet_3D_results.txt_84.txt")</f>
        <v/>
      </c>
      <c r="AL84" s="29">
        <f>HIPERLINK($A$1 &amp; "\Dados\Magnet_fields_2D.txt_84.txt.txt", "Magnet_fields_2D.txt_84.txt")</f>
        <v/>
      </c>
    </row>
    <row customHeight="1" ht="15.75" r="85" s="34">
      <c r="E85" s="15" t="n">
        <v>120</v>
      </c>
      <c r="F85" s="15" t="n">
        <v>170</v>
      </c>
      <c r="G85" s="15" t="n">
        <v>350</v>
      </c>
      <c r="H85" s="15" t="n">
        <v>38</v>
      </c>
      <c r="I85" s="15" t="n">
        <v>140</v>
      </c>
      <c r="J85" s="13" t="n">
        <v>25</v>
      </c>
      <c r="K85" t="n">
        <v>35</v>
      </c>
      <c r="L85" s="13" t="n">
        <v>1.3</v>
      </c>
      <c r="M85" s="12" t="n"/>
      <c r="N85" s="8" t="n">
        <v>1.051336428766176</v>
      </c>
      <c r="O85" s="15" t="n">
        <v>0.801459646005933</v>
      </c>
      <c r="P85" s="15" t="n">
        <v>0.9766196289191874</v>
      </c>
      <c r="Q85" s="15" t="n">
        <v>0.001009787511944768</v>
      </c>
      <c r="R85" s="15" t="n">
        <v>0.02439970103856463</v>
      </c>
      <c r="S85" s="15" t="n">
        <v>0.001974802937798639</v>
      </c>
      <c r="T85" s="29">
        <f>HIPERLINK($A$1 &amp; "\Dados\Imagem_perfil_85.png", "Imagem_perfil_85")</f>
        <v/>
      </c>
      <c r="U85" s="29">
        <f>HIPERLINK($A$1 &amp; "\Dados\Results_airgap85.txt", "Results_airgap85")</f>
        <v/>
      </c>
      <c r="V85" s="19" t="n"/>
      <c r="W85" s="43" t="n">
        <v>1.332173043478261</v>
      </c>
      <c r="X85" s="15" t="n">
        <v>0.6736019642597229</v>
      </c>
      <c r="Y85" s="15" t="n">
        <v>0.03208616246170114</v>
      </c>
      <c r="Z85" s="15" t="n">
        <v>0.3916723481695775</v>
      </c>
      <c r="AA85" s="15" t="n">
        <v>0.06390925222254086</v>
      </c>
      <c r="AB85" s="15" t="n">
        <v>0</v>
      </c>
      <c r="AC85" s="15" t="n">
        <v>0</v>
      </c>
      <c r="AD85" s="15" t="n">
        <v>20.526533410273</v>
      </c>
      <c r="AE85" s="15" t="n">
        <v>64.53832826982944</v>
      </c>
      <c r="AF85" s="15" t="n">
        <v>106.832591046338</v>
      </c>
      <c r="AH85" s="29">
        <f>HIPERLINK($A$1 &amp; "\Dados\Magnet_fields.txt_85.txt.txt", "Magnet_fields.txt_85.txt")</f>
        <v/>
      </c>
      <c r="AI85" t="n">
        <v>6620</v>
      </c>
      <c r="AJ85" t="n">
        <v>27</v>
      </c>
      <c r="AK85" s="29">
        <f>HIPERLINK($A$1 &amp; "\Dados\Magnet_3D_results.txt_85.txt.txt", "Magnet_3D_results.txt_85.txt")</f>
        <v/>
      </c>
      <c r="AL85" s="29">
        <f>HIPERLINK($A$1 &amp; "\Dados\Magnet_fields_2D.txt_85.txt.txt", "Magnet_fields_2D.txt_85.txt")</f>
        <v/>
      </c>
    </row>
    <row customHeight="1" ht="15.75" r="86" s="34">
      <c r="E86" s="15" t="n">
        <v>120</v>
      </c>
      <c r="F86" s="15" t="n">
        <v>170</v>
      </c>
      <c r="G86" s="15" t="n">
        <v>350</v>
      </c>
      <c r="H86" s="15" t="n">
        <v>38</v>
      </c>
      <c r="I86" s="15" t="n">
        <v>140</v>
      </c>
      <c r="J86" s="13" t="n">
        <v>25</v>
      </c>
      <c r="K86" t="n">
        <v>35</v>
      </c>
      <c r="L86" s="13" t="n">
        <v>1.4</v>
      </c>
      <c r="M86" s="12" t="n"/>
      <c r="N86" s="8" t="n">
        <v>1.07456008426442</v>
      </c>
      <c r="O86" s="15" t="n">
        <v>0.8194613170394013</v>
      </c>
      <c r="P86" s="15" t="n">
        <v>0.9982295588895312</v>
      </c>
      <c r="Q86" s="15" t="n">
        <v>0.001007959686834551</v>
      </c>
      <c r="R86" s="15" t="n">
        <v>0.02527411076812466</v>
      </c>
      <c r="S86" s="15" t="n">
        <v>0.001995465398038742</v>
      </c>
      <c r="T86" s="29">
        <f>HIPERLINK($A$1 &amp; "\Dados\Imagem_perfil_86.png", "Imagem_perfil_86")</f>
        <v/>
      </c>
      <c r="U86" s="29">
        <f>HIPERLINK($A$1 &amp; "\Dados\Results_airgap86.txt", "Results_airgap86")</f>
        <v/>
      </c>
      <c r="V86" s="19" t="n"/>
      <c r="W86" s="43" t="n">
        <v>1.363191304347826</v>
      </c>
      <c r="X86" s="15" t="n">
        <v>0.6893136855382619</v>
      </c>
      <c r="Y86" s="15" t="n">
        <v>0.08123466886292277</v>
      </c>
      <c r="Z86" s="15" t="n">
        <v>0.2301500572626784</v>
      </c>
      <c r="AA86" s="15" t="n">
        <v>0.05636635479399675</v>
      </c>
      <c r="AB86" s="15" t="n">
        <v>0</v>
      </c>
      <c r="AC86" s="15" t="n">
        <v>4.367071131364822</v>
      </c>
      <c r="AD86" s="15" t="n">
        <v>26.43102987060189</v>
      </c>
      <c r="AE86" s="15" t="n">
        <v>67.281672786898</v>
      </c>
      <c r="AF86" s="15" t="n">
        <v>107.7251009066633</v>
      </c>
      <c r="AH86" s="29">
        <f>HIPERLINK($A$1 &amp; "\Dados\Magnet_fields.txt_86.txt.txt", "Magnet_fields.txt_86.txt")</f>
        <v/>
      </c>
      <c r="AI86" t="n">
        <v>6620</v>
      </c>
      <c r="AJ86" t="n">
        <v>28</v>
      </c>
      <c r="AK86" s="29">
        <f>HIPERLINK($A$1 &amp; "\Dados\Magnet_3D_results.txt_86.txt.txt", "Magnet_3D_results.txt_86.txt")</f>
        <v/>
      </c>
      <c r="AL86" s="29">
        <f>HIPERLINK($A$1 &amp; "\Dados\Magnet_fields_2D.txt_86.txt.txt", "Magnet_fields_2D.txt_86.txt")</f>
        <v/>
      </c>
    </row>
    <row customHeight="1" ht="15.75" r="87" s="34">
      <c r="E87" s="15" t="n">
        <v>120</v>
      </c>
      <c r="F87" s="15" t="n">
        <v>170</v>
      </c>
      <c r="G87" s="15" t="n">
        <v>350</v>
      </c>
      <c r="H87" s="15" t="n">
        <v>38</v>
      </c>
      <c r="I87" s="15" t="n">
        <v>140</v>
      </c>
      <c r="J87" s="13" t="n">
        <v>25</v>
      </c>
      <c r="K87" t="n">
        <v>35</v>
      </c>
      <c r="L87" s="13" t="n">
        <v>1.5</v>
      </c>
      <c r="M87" s="12" t="n"/>
      <c r="N87" s="8" t="n">
        <v>1.084199878669188</v>
      </c>
      <c r="O87" s="15" t="n">
        <v>0.8269433059199058</v>
      </c>
      <c r="P87" s="15" t="n">
        <v>1.007306943405981</v>
      </c>
      <c r="Q87" s="15" t="n">
        <v>0.00100778182708285</v>
      </c>
      <c r="R87" s="15" t="n">
        <v>0.02557590700951331</v>
      </c>
      <c r="S87" s="15" t="n">
        <v>0.002002723686112038</v>
      </c>
      <c r="T87" s="29">
        <f>HIPERLINK($A$1 &amp; "\Dados\Imagem_perfil_87.png", "Imagem_perfil_87")</f>
        <v/>
      </c>
      <c r="U87" s="29">
        <f>HIPERLINK($A$1 &amp; "\Dados\Results_airgap87.txt", "Results_airgap87")</f>
        <v/>
      </c>
      <c r="V87" s="19" t="n"/>
      <c r="W87" s="43" t="n">
        <v>1.378602826086957</v>
      </c>
      <c r="X87" s="15" t="n">
        <v>0.6958734198301718</v>
      </c>
      <c r="Y87" s="15" t="n">
        <v>0.1507728850179358</v>
      </c>
      <c r="Z87" s="15" t="n">
        <v>0.1874568031403746</v>
      </c>
      <c r="AA87" s="15" t="n">
        <v>0.05636635479399675</v>
      </c>
      <c r="AB87" s="15" t="n">
        <v>0.8757891052262786</v>
      </c>
      <c r="AC87" s="15" t="n">
        <v>7.500025010832809</v>
      </c>
      <c r="AD87" s="15" t="n">
        <v>28.89924002221669</v>
      </c>
      <c r="AE87" s="15" t="n">
        <v>68.44343894452757</v>
      </c>
      <c r="AF87" s="15" t="n">
        <v>107.9268027623869</v>
      </c>
      <c r="AH87" s="29">
        <f>HIPERLINK($A$1 &amp; "\Dados\Magnet_fields.txt_87.txt.txt", "Magnet_fields.txt_87.txt")</f>
        <v/>
      </c>
      <c r="AI87" t="n">
        <v>6620</v>
      </c>
      <c r="AJ87" t="n">
        <v>28</v>
      </c>
      <c r="AK87" s="29">
        <f>HIPERLINK($A$1 &amp; "\Dados\Magnet_3D_results.txt_87.txt.txt", "Magnet_3D_results.txt_87.txt")</f>
        <v/>
      </c>
      <c r="AL87" s="29">
        <f>HIPERLINK($A$1 &amp; "\Dados\Magnet_fields_2D.txt_87.txt.txt", "Magnet_fields_2D.txt_87.txt")</f>
        <v/>
      </c>
    </row>
    <row customHeight="1" ht="15.75" r="88" s="34">
      <c r="E88" s="15" t="n">
        <v>120</v>
      </c>
      <c r="F88" s="15" t="n">
        <v>170</v>
      </c>
      <c r="G88" s="15" t="n">
        <v>350</v>
      </c>
      <c r="H88" s="15" t="n">
        <v>38</v>
      </c>
      <c r="I88" s="15" t="n">
        <v>140</v>
      </c>
      <c r="J88" s="13" t="n">
        <v>25</v>
      </c>
      <c r="K88" t="n">
        <v>35</v>
      </c>
      <c r="L88" s="13" t="n">
        <v>1.6</v>
      </c>
      <c r="M88" s="12" t="n"/>
      <c r="N88" s="8" t="n">
        <v>1.092275891858861</v>
      </c>
      <c r="O88" s="15" t="n">
        <v>0.8332049465108305</v>
      </c>
      <c r="P88" s="15" t="n">
        <v>1.014843328481148</v>
      </c>
      <c r="Q88" s="15" t="n">
        <v>0.001004627920592158</v>
      </c>
      <c r="R88" s="15" t="n">
        <v>0.02587024990025033</v>
      </c>
      <c r="S88" s="15" t="n">
        <v>0.002006672506069983</v>
      </c>
      <c r="T88" s="29">
        <f>HIPERLINK($A$1 &amp; "\Dados\Imagem_perfil_88.png", "Imagem_perfil_88")</f>
        <v/>
      </c>
      <c r="U88" s="29">
        <f>HIPERLINK($A$1 &amp; "\Dados\Results_airgap88.txt", "Results_airgap88")</f>
        <v/>
      </c>
      <c r="V88" s="19" t="n"/>
      <c r="W88" s="15" t="n">
        <v>1.386476304347826</v>
      </c>
      <c r="X88" s="15" t="n">
        <v>0.7013802671678865</v>
      </c>
      <c r="Y88" s="15" t="n">
        <v>0.2333730369730198</v>
      </c>
      <c r="Z88" s="15" t="n">
        <v>0.1623967686797041</v>
      </c>
      <c r="AA88" s="15" t="n">
        <v>0.051650710291286</v>
      </c>
      <c r="AB88" s="15" t="n">
        <v>1.671027947011158</v>
      </c>
      <c r="AC88" s="15" t="n">
        <v>9.154773758463856</v>
      </c>
      <c r="AD88" s="15" t="n">
        <v>30.21306326937302</v>
      </c>
      <c r="AE88" s="15" t="n">
        <v>69.08748748323337</v>
      </c>
      <c r="AF88" s="15" t="n">
        <v>108.0462449434218</v>
      </c>
      <c r="AH88" s="29">
        <f>HIPERLINK($A$1 &amp; "\Dados\Magnet_fields.txt_88.txt.txt", "Magnet_fields.txt_88.txt")</f>
        <v/>
      </c>
      <c r="AI88" t="n">
        <v>6620</v>
      </c>
      <c r="AJ88" t="n">
        <v>28</v>
      </c>
      <c r="AK88" s="29">
        <f>HIPERLINK($A$1 &amp; "\Dados\Magnet_3D_results.txt_88.txt.txt", "Magnet_3D_results.txt_88.txt")</f>
        <v/>
      </c>
      <c r="AL88" s="29">
        <f>HIPERLINK($A$1 &amp; "\Dados\Magnet_fields_2D.txt_88.txt.txt", "Magnet_fields_2D.txt_88.txt")</f>
        <v/>
      </c>
    </row>
    <row customHeight="1" ht="15.75" r="89" s="34">
      <c r="E89" s="15" t="n">
        <v>120</v>
      </c>
      <c r="F89" s="15" t="n">
        <v>170</v>
      </c>
      <c r="G89" s="15" t="n">
        <v>350</v>
      </c>
      <c r="H89" s="15" t="n">
        <v>38</v>
      </c>
      <c r="I89" s="15" t="n">
        <v>140</v>
      </c>
      <c r="J89" s="13" t="n">
        <v>25</v>
      </c>
      <c r="K89" t="n">
        <v>35</v>
      </c>
      <c r="L89" s="13" t="n">
        <v>1.7</v>
      </c>
      <c r="M89" s="12" t="n"/>
      <c r="N89" s="8" t="n">
        <v>1.09594809784099</v>
      </c>
      <c r="O89" s="15" t="n">
        <v>0.8360390072967071</v>
      </c>
      <c r="P89" s="15" t="n">
        <v>1.018270332873777</v>
      </c>
      <c r="Q89" s="15" t="n">
        <v>0.001004715000078911</v>
      </c>
      <c r="R89" s="15" t="n">
        <v>0.02596671161439015</v>
      </c>
      <c r="S89" s="15" t="n">
        <v>0.002008978108911354</v>
      </c>
      <c r="T89" s="29">
        <f>HIPERLINK($A$1 &amp; "\Dados\Imagem_perfil_89.png", "Imagem_perfil_89")</f>
        <v/>
      </c>
      <c r="U89" s="29">
        <f>HIPERLINK($A$1 &amp; "\Dados\Results_airgap89.txt", "Results_airgap89")</f>
        <v/>
      </c>
      <c r="V89" s="19" t="n"/>
      <c r="W89" s="15" t="n">
        <v>1.39109152173913</v>
      </c>
      <c r="X89" s="15" t="n">
        <v>0.703865569303524</v>
      </c>
      <c r="Y89" s="15" t="n">
        <v>0.3234735817477459</v>
      </c>
      <c r="Z89" s="15" t="n">
        <v>0.140403652693657</v>
      </c>
      <c r="AA89" s="15" t="n">
        <v>0.051650710291286</v>
      </c>
      <c r="AB89" s="15" t="n">
        <v>2.126014085378979</v>
      </c>
      <c r="AC89" s="15" t="n">
        <v>10.16820549107672</v>
      </c>
      <c r="AD89" s="15" t="n">
        <v>31.04704271811071</v>
      </c>
      <c r="AE89" s="15" t="n">
        <v>69.47438079696151</v>
      </c>
      <c r="AF89" s="15" t="n">
        <v>108.1308998524368</v>
      </c>
      <c r="AH89" s="29">
        <f>HIPERLINK($A$1 &amp; "\Dados\Magnet_fields.txt_89.txt.txt", "Magnet_fields.txt_89.txt")</f>
        <v/>
      </c>
      <c r="AI89" t="n">
        <v>6620</v>
      </c>
      <c r="AJ89" t="n">
        <v>28</v>
      </c>
      <c r="AK89" s="29">
        <f>HIPERLINK($A$1 &amp; "\Dados\Magnet_3D_results.txt_89.txt.txt", "Magnet_3D_results.txt_89.txt")</f>
        <v/>
      </c>
      <c r="AL89" s="29">
        <f>HIPERLINK($A$1 &amp; "\Dados\Magnet_fields_2D.txt_89.txt.txt", "Magnet_fields_2D.txt_89.txt")</f>
        <v/>
      </c>
    </row>
    <row customHeight="1" ht="15.75" r="90" s="34">
      <c r="E90" s="15" t="n">
        <v>120</v>
      </c>
      <c r="F90" s="15" t="n">
        <v>170</v>
      </c>
      <c r="G90" s="15" t="n">
        <v>350</v>
      </c>
      <c r="H90" s="15" t="n">
        <v>38</v>
      </c>
      <c r="I90" s="15" t="n">
        <v>140</v>
      </c>
      <c r="J90" s="13" t="n">
        <v>25</v>
      </c>
      <c r="K90" t="n">
        <v>35</v>
      </c>
      <c r="L90" s="13" t="n">
        <v>1.8</v>
      </c>
      <c r="M90" s="12" t="n"/>
      <c r="N90" s="8" t="n">
        <v>1.09594809784099</v>
      </c>
      <c r="O90" s="15" t="n">
        <v>0.8360390072967071</v>
      </c>
      <c r="P90" s="15" t="n">
        <v>1.018270332873777</v>
      </c>
      <c r="Q90" s="15" t="n">
        <v>0.001004715000078911</v>
      </c>
      <c r="R90" s="15" t="n">
        <v>0.02596671161439015</v>
      </c>
      <c r="S90" s="15" t="n">
        <v>0.002008978108911354</v>
      </c>
      <c r="T90" s="29">
        <f>HIPERLINK($A$1 &amp; "\Dados\Imagem_perfil_90.png", "Imagem_perfil_90")</f>
        <v/>
      </c>
      <c r="U90" s="29">
        <f>HIPERLINK($A$1 &amp; "\Dados\Results_airgap90.txt", "Results_airgap90")</f>
        <v/>
      </c>
      <c r="V90" s="19" t="n"/>
      <c r="W90" s="15" t="n">
        <v>1.394139565217391</v>
      </c>
      <c r="X90" s="15" t="n">
        <v>0.703865569303524</v>
      </c>
      <c r="Y90" s="15" t="n">
        <v>0.417233023442672</v>
      </c>
      <c r="Z90" s="15" t="n">
        <v>0.140403652693657</v>
      </c>
      <c r="AA90" s="15" t="n">
        <v>0.051650710291286</v>
      </c>
      <c r="AB90" s="15" t="n">
        <v>2.434813381970203</v>
      </c>
      <c r="AC90" s="15" t="n">
        <v>10.85506113412068</v>
      </c>
      <c r="AD90" s="15" t="n">
        <v>31.62406194694378</v>
      </c>
      <c r="AE90" s="15" t="n">
        <v>69.73718282750423</v>
      </c>
      <c r="AF90" s="15" t="n">
        <v>108.174227283056</v>
      </c>
      <c r="AH90" s="29">
        <f>HIPERLINK($A$1 &amp; "\Dados\Magnet_fields.txt_90.txt.txt", "Magnet_fields.txt_90.txt")</f>
        <v/>
      </c>
      <c r="AI90" t="n">
        <v>6620</v>
      </c>
      <c r="AJ90" t="n">
        <v>28</v>
      </c>
      <c r="AK90" s="29">
        <f>HIPERLINK($A$1 &amp; "\Dados\Magnet_3D_results.txt_90.txt.txt", "Magnet_3D_results.txt_90.txt")</f>
        <v/>
      </c>
      <c r="AL90" s="29">
        <f>HIPERLINK($A$1 &amp; "\Dados\Magnet_fields_2D.txt_90.txt.txt", "Magnet_fields_2D.txt_90.txt")</f>
        <v/>
      </c>
    </row>
    <row customHeight="1" ht="15.75" r="91" s="34">
      <c r="E91" s="15" t="n">
        <v>120</v>
      </c>
      <c r="F91" s="15" t="n">
        <v>170</v>
      </c>
      <c r="G91" s="15" t="n">
        <v>350</v>
      </c>
      <c r="H91" s="15" t="n">
        <v>38</v>
      </c>
      <c r="I91" s="15" t="n">
        <v>140</v>
      </c>
      <c r="J91" s="13" t="n">
        <v>25</v>
      </c>
      <c r="K91" t="n">
        <v>35</v>
      </c>
      <c r="L91" s="13" t="n">
        <v>1.900000000000001</v>
      </c>
      <c r="M91" s="12" t="n"/>
      <c r="N91" s="8" t="n">
        <v>1.098806194476831</v>
      </c>
      <c r="O91" s="15" t="n">
        <v>0.8382636138221637</v>
      </c>
      <c r="P91" s="15" t="n">
        <v>1.020964203464781</v>
      </c>
      <c r="Q91" s="15" t="n">
        <v>0.001004531610607847</v>
      </c>
      <c r="R91" s="15" t="n">
        <v>0.02604906684089441</v>
      </c>
      <c r="S91" s="15" t="n">
        <v>0.002010653523514947</v>
      </c>
      <c r="T91" s="29">
        <f>HIPERLINK($A$1 &amp; "\Dados\Imagem_perfil_91.png", "Imagem_perfil_91")</f>
        <v/>
      </c>
      <c r="U91" s="29">
        <f>HIPERLINK($A$1 &amp; "\Dados\Results_airgap91.txt", "Results_airgap91")</f>
        <v/>
      </c>
      <c r="V91" s="19" t="n"/>
      <c r="W91" s="15" t="n">
        <v>1.396244347826087</v>
      </c>
      <c r="X91" s="15" t="n">
        <v>0.7058360064670197</v>
      </c>
      <c r="Y91" s="15" t="n">
        <v>0.5120762613814438</v>
      </c>
      <c r="Z91" s="15" t="n">
        <v>0.131071725603866</v>
      </c>
      <c r="AA91" s="15" t="n">
        <v>0.05097323647698254</v>
      </c>
      <c r="AB91" s="15" t="n">
        <v>2.663151967286598</v>
      </c>
      <c r="AC91" s="15" t="n">
        <v>11.33903907514646</v>
      </c>
      <c r="AD91" s="15" t="n">
        <v>32.02876595037158</v>
      </c>
      <c r="AE91" s="15" t="n">
        <v>69.9241966720565</v>
      </c>
      <c r="AF91" s="15" t="n">
        <v>108.2122148538744</v>
      </c>
      <c r="AH91" s="29">
        <f>HIPERLINK($A$1 &amp; "\Dados\Magnet_fields.txt_91.txt.txt", "Magnet_fields.txt_91.txt")</f>
        <v/>
      </c>
      <c r="AI91" t="n">
        <v>6620</v>
      </c>
      <c r="AJ91" t="n">
        <v>28</v>
      </c>
      <c r="AK91" s="29">
        <f>HIPERLINK($A$1 &amp; "\Dados\Magnet_3D_results.txt_91.txt.txt", "Magnet_3D_results.txt_91.txt")</f>
        <v/>
      </c>
      <c r="AL91" s="29">
        <f>HIPERLINK($A$1 &amp; "\Dados\Magnet_fields_2D.txt_91.txt.txt", "Magnet_fields_2D.txt_91.txt")</f>
        <v/>
      </c>
    </row>
    <row customHeight="1" ht="15.75" r="92" s="34">
      <c r="E92" s="15" t="n">
        <v>120</v>
      </c>
      <c r="F92" s="15" t="n">
        <v>170</v>
      </c>
      <c r="G92" s="15" t="n">
        <v>350</v>
      </c>
      <c r="H92" s="15" t="n">
        <v>38</v>
      </c>
      <c r="I92" s="15" t="n">
        <v>140</v>
      </c>
      <c r="J92" s="13" t="n">
        <v>25</v>
      </c>
      <c r="K92" t="n">
        <v>35</v>
      </c>
      <c r="L92" s="13" t="n">
        <v>2.000000000000001</v>
      </c>
      <c r="M92" s="12" t="n"/>
      <c r="N92" s="8" t="n">
        <v>1.099511447091807</v>
      </c>
      <c r="O92" s="15" t="n">
        <v>0.8388037481468262</v>
      </c>
      <c r="P92" s="15" t="n">
        <v>1.021594786636562</v>
      </c>
      <c r="Q92" s="15" t="n">
        <v>0.001002882810876115</v>
      </c>
      <c r="R92" s="15" t="n">
        <v>0.02610797882855677</v>
      </c>
      <c r="S92" s="15" t="n">
        <v>0.002010430976551921</v>
      </c>
      <c r="T92" s="29">
        <f>HIPERLINK($A$1 &amp; "\Dados\Imagem_perfil_92.png", "Imagem_perfil_92")</f>
        <v/>
      </c>
      <c r="U92" s="29">
        <f>HIPERLINK($A$1 &amp; "\Dados\Results_airgap92.txt", "Results_airgap92")</f>
        <v/>
      </c>
      <c r="V92" s="19" t="n"/>
      <c r="W92" s="15" t="n">
        <v>1.39777347826087</v>
      </c>
      <c r="X92" s="15" t="n">
        <v>0.7063190398787293</v>
      </c>
      <c r="Y92" s="15" t="n">
        <v>0.6063017029785864</v>
      </c>
      <c r="Z92" s="15" t="n">
        <v>0.1091598111252936</v>
      </c>
      <c r="AA92" s="15" t="n">
        <v>0.04876211131140153</v>
      </c>
      <c r="AB92" s="15" t="n">
        <v>2.805712152591651</v>
      </c>
      <c r="AC92" s="15" t="n">
        <v>11.6884156518048</v>
      </c>
      <c r="AD92" s="15" t="n">
        <v>32.33508336960652</v>
      </c>
      <c r="AE92" s="15" t="n">
        <v>70.08506088534287</v>
      </c>
      <c r="AF92" s="15" t="n">
        <v>108.2647389136546</v>
      </c>
      <c r="AH92" s="29">
        <f>HIPERLINK($A$1 &amp; "\Dados\Magnet_fields.txt_92.txt.txt", "Magnet_fields.txt_92.txt")</f>
        <v/>
      </c>
      <c r="AI92" t="n">
        <v>6620</v>
      </c>
      <c r="AJ92" t="n">
        <v>28</v>
      </c>
      <c r="AK92" s="29">
        <f>HIPERLINK($A$1 &amp; "\Dados\Magnet_3D_results.txt_92.txt.txt", "Magnet_3D_results.txt_92.txt")</f>
        <v/>
      </c>
      <c r="AL92" s="29">
        <f>HIPERLINK($A$1 &amp; "\Dados\Magnet_fields_2D.txt_92.txt.txt", "Magnet_fields_2D.txt_92.txt")</f>
        <v/>
      </c>
    </row>
    <row customHeight="1" ht="15.75" r="93" s="34">
      <c r="E93" s="15" t="n">
        <v>120</v>
      </c>
      <c r="F93" s="15" t="n">
        <v>170</v>
      </c>
      <c r="G93" s="15" t="n">
        <v>350</v>
      </c>
      <c r="H93" s="15" t="n">
        <v>38</v>
      </c>
      <c r="I93" s="15" t="n">
        <v>140</v>
      </c>
      <c r="J93" s="13" t="n">
        <v>25</v>
      </c>
      <c r="K93" t="n">
        <v>35</v>
      </c>
      <c r="L93" s="13" t="n">
        <v>2.100000000000001</v>
      </c>
      <c r="M93" s="12" t="n"/>
      <c r="N93" s="8" t="n">
        <v>1.099511447091807</v>
      </c>
      <c r="O93" s="15" t="n">
        <v>0.8388037481468266</v>
      </c>
      <c r="P93" s="15" t="n">
        <v>1.021594786636562</v>
      </c>
      <c r="Q93" s="15" t="n">
        <v>0.001002882810876114</v>
      </c>
      <c r="R93" s="15" t="n">
        <v>0.02610797882855677</v>
      </c>
      <c r="S93" s="15" t="n">
        <v>0.002010430976551921</v>
      </c>
      <c r="T93" s="29">
        <f>HIPERLINK($A$1 &amp; "\Dados\Imagem_perfil_93.png", "Imagem_perfil_93")</f>
        <v/>
      </c>
      <c r="U93" s="29">
        <f>HIPERLINK($A$1 &amp; "\Dados\Results_airgap93.txt", "Results_airgap93")</f>
        <v/>
      </c>
      <c r="V93" s="19" t="n"/>
      <c r="W93" s="15" t="n">
        <v>1.398983043478261</v>
      </c>
      <c r="X93" s="15" t="n">
        <v>0.7063190398787296</v>
      </c>
      <c r="Y93" s="15" t="n">
        <v>0.6988024825267378</v>
      </c>
      <c r="Z93" s="15" t="n">
        <v>0.1091598111252936</v>
      </c>
      <c r="AA93" s="15" t="n">
        <v>0.04876211131140153</v>
      </c>
      <c r="AB93" s="15" t="n">
        <v>2.950518872093729</v>
      </c>
      <c r="AC93" s="15" t="n">
        <v>11.96803705140941</v>
      </c>
      <c r="AD93" s="15" t="n">
        <v>32.57499263157333</v>
      </c>
      <c r="AE93" s="15" t="n">
        <v>70.20249461156692</v>
      </c>
      <c r="AF93" s="15" t="n">
        <v>108.2935229397337</v>
      </c>
      <c r="AH93" s="29">
        <f>HIPERLINK($A$1 &amp; "\Dados\Magnet_fields.txt_93.txt.txt", "Magnet_fields.txt_93.txt")</f>
        <v/>
      </c>
      <c r="AI93" t="n">
        <v>6620</v>
      </c>
      <c r="AJ93" t="n">
        <v>28</v>
      </c>
      <c r="AK93" s="29">
        <f>HIPERLINK($A$1 &amp; "\Dados\Magnet_3D_results.txt_93.txt.txt", "Magnet_3D_results.txt_93.txt")</f>
        <v/>
      </c>
      <c r="AL93" s="29">
        <f>HIPERLINK($A$1 &amp; "\Dados\Magnet_fields_2D.txt_93.txt.txt", "Magnet_fields_2D.txt_93.txt")</f>
        <v/>
      </c>
    </row>
    <row customHeight="1" ht="15.75" r="94" s="34">
      <c r="E94" s="15" t="n">
        <v>120</v>
      </c>
      <c r="F94" s="15" t="n">
        <v>170</v>
      </c>
      <c r="G94" s="15" t="n">
        <v>350</v>
      </c>
      <c r="H94" s="15" t="n">
        <v>40</v>
      </c>
      <c r="I94" s="15" t="n">
        <v>140</v>
      </c>
      <c r="J94" s="13" t="n">
        <v>25</v>
      </c>
      <c r="K94" t="n">
        <v>35</v>
      </c>
      <c r="L94" s="13" t="n">
        <v>1.3</v>
      </c>
      <c r="M94" s="12" t="n"/>
      <c r="N94" s="8" t="n">
        <v>1.052532034475629</v>
      </c>
      <c r="O94" s="15" t="n">
        <v>0.8036195093687678</v>
      </c>
      <c r="P94" s="15" t="n">
        <v>0.9779262894886821</v>
      </c>
      <c r="Q94" s="15" t="n">
        <v>0.001012983420673048</v>
      </c>
      <c r="R94" s="15" t="n">
        <v>0.02470483173144281</v>
      </c>
      <c r="S94" s="15" t="n">
        <v>0.002050291379035707</v>
      </c>
      <c r="T94" s="29">
        <f>HIPERLINK($A$1 &amp; "\Dados\Imagem_perfil_94.png", "Imagem_perfil_94")</f>
        <v/>
      </c>
      <c r="U94" s="29">
        <f>HIPERLINK($A$1 &amp; "\Dados\Results_airgap94.txt", "Results_airgap94")</f>
        <v/>
      </c>
      <c r="V94" s="19" t="n"/>
      <c r="W94" s="43" t="n">
        <v>1.332693260869565</v>
      </c>
      <c r="X94" s="15" t="n">
        <v>0.6786273680886739</v>
      </c>
      <c r="Y94" s="15" t="n">
        <v>0.0320813551184465</v>
      </c>
      <c r="Z94" s="15" t="n">
        <v>0.4165762258851043</v>
      </c>
      <c r="AA94" s="15" t="n">
        <v>0.06802074789975333</v>
      </c>
      <c r="AB94" s="15" t="n">
        <v>0</v>
      </c>
      <c r="AC94" s="15" t="n">
        <v>0</v>
      </c>
      <c r="AD94" s="15" t="n">
        <v>20.60910946837347</v>
      </c>
      <c r="AE94" s="15" t="n">
        <v>64.71852388114901</v>
      </c>
      <c r="AF94" s="15" t="n">
        <v>107.0537192773422</v>
      </c>
      <c r="AH94" s="29">
        <f>HIPERLINK($A$1 &amp; "\Dados\Magnet_fields.txt_94.txt.txt", "Magnet_fields.txt_94.txt")</f>
        <v/>
      </c>
      <c r="AI94" t="n">
        <v>6908</v>
      </c>
      <c r="AJ94" t="n">
        <v>28</v>
      </c>
      <c r="AK94" s="29">
        <f>HIPERLINK($A$1 &amp; "\Dados\Magnet_3D_results.txt_94.txt.txt", "Magnet_3D_results.txt_94.txt")</f>
        <v/>
      </c>
      <c r="AL94" s="29">
        <f>HIPERLINK($A$1 &amp; "\Dados\Magnet_fields_2D.txt_94.txt.txt", "Magnet_fields_2D.txt_94.txt")</f>
        <v/>
      </c>
    </row>
    <row customHeight="1" ht="15.75" r="95" s="34">
      <c r="E95" s="15" t="n">
        <v>120</v>
      </c>
      <c r="F95" s="15" t="n">
        <v>170</v>
      </c>
      <c r="G95" s="15" t="n">
        <v>350</v>
      </c>
      <c r="H95" s="15" t="n">
        <v>40</v>
      </c>
      <c r="I95" s="15" t="n">
        <v>140</v>
      </c>
      <c r="J95" s="13" t="n">
        <v>25</v>
      </c>
      <c r="K95" t="n">
        <v>35</v>
      </c>
      <c r="L95" s="13" t="n">
        <v>1.4</v>
      </c>
      <c r="M95" s="12" t="n"/>
      <c r="N95" s="8" t="n">
        <v>1.075295421524328</v>
      </c>
      <c r="O95" s="15" t="n">
        <v>0.8212358196414129</v>
      </c>
      <c r="P95" s="15" t="n">
        <v>0.9990954233870007</v>
      </c>
      <c r="Q95" s="15" t="n">
        <v>0.001012446598599016</v>
      </c>
      <c r="R95" s="15" t="n">
        <v>0.02546857019585131</v>
      </c>
      <c r="S95" s="15" t="n">
        <v>0.002070654172222466</v>
      </c>
      <c r="T95" s="29">
        <f>HIPERLINK($A$1 &amp; "\Dados\Imagem_perfil_95.png", "Imagem_perfil_95")</f>
        <v/>
      </c>
      <c r="U95" s="29">
        <f>HIPERLINK($A$1 &amp; "\Dados\Results_airgap95.txt", "Results_airgap95")</f>
        <v/>
      </c>
      <c r="V95" s="19" t="n"/>
      <c r="W95" s="43" t="n">
        <v>1.36322347826087</v>
      </c>
      <c r="X95" s="15" t="n">
        <v>0.6940058181952441</v>
      </c>
      <c r="Y95" s="15" t="n">
        <v>0.08122970219117658</v>
      </c>
      <c r="Z95" s="15" t="n">
        <v>0.2543168751411267</v>
      </c>
      <c r="AA95" s="15" t="n">
        <v>0.06423832491888289</v>
      </c>
      <c r="AB95" s="15" t="n">
        <v>0</v>
      </c>
      <c r="AC95" s="15" t="n">
        <v>4.366976160120815</v>
      </c>
      <c r="AD95" s="15" t="n">
        <v>26.4367580472673</v>
      </c>
      <c r="AE95" s="15" t="n">
        <v>67.29193185301277</v>
      </c>
      <c r="AF95" s="15" t="n">
        <v>107.7159776470178</v>
      </c>
      <c r="AH95" s="29">
        <f>HIPERLINK($A$1 &amp; "\Dados\Magnet_fields.txt_95.txt.txt", "Magnet_fields.txt_95.txt")</f>
        <v/>
      </c>
      <c r="AI95" t="n">
        <v>6908</v>
      </c>
      <c r="AJ95" t="n">
        <v>28</v>
      </c>
      <c r="AK95" s="29">
        <f>HIPERLINK($A$1 &amp; "\Dados\Magnet_3D_results.txt_95.txt.txt", "Magnet_3D_results.txt_95.txt")</f>
        <v/>
      </c>
      <c r="AL95" s="29">
        <f>HIPERLINK($A$1 &amp; "\Dados\Magnet_fields_2D.txt_95.txt.txt", "Magnet_fields_2D.txt_95.txt")</f>
        <v/>
      </c>
    </row>
    <row customHeight="1" ht="15.75" r="96" s="34">
      <c r="E96" s="15" t="n">
        <v>120</v>
      </c>
      <c r="F96" s="15" t="n">
        <v>170</v>
      </c>
      <c r="G96" s="15" t="n">
        <v>350</v>
      </c>
      <c r="H96" s="15" t="n">
        <v>40</v>
      </c>
      <c r="I96" s="15" t="n">
        <v>140</v>
      </c>
      <c r="J96" s="13" t="n">
        <v>25</v>
      </c>
      <c r="K96" t="n">
        <v>35</v>
      </c>
      <c r="L96" s="13" t="n">
        <v>1.5</v>
      </c>
      <c r="M96" s="12" t="n"/>
      <c r="N96" s="8" t="n">
        <v>1.084855607697589</v>
      </c>
      <c r="O96" s="15" t="n">
        <v>0.8286683292823858</v>
      </c>
      <c r="P96" s="15" t="n">
        <v>1.008099600780519</v>
      </c>
      <c r="Q96" s="15" t="n">
        <v>0.001012017915528089</v>
      </c>
      <c r="R96" s="15" t="n">
        <v>0.02575118163294966</v>
      </c>
      <c r="S96" s="15" t="n">
        <v>0.002077617754199266</v>
      </c>
      <c r="T96" s="29">
        <f>HIPERLINK($A$1 &amp; "\Dados\Imagem_perfil_96.png", "Imagem_perfil_96")</f>
        <v/>
      </c>
      <c r="U96" s="29">
        <f>HIPERLINK($A$1 &amp; "\Dados\Results_airgap96.txt", "Results_airgap96")</f>
        <v/>
      </c>
      <c r="V96" s="19" t="n"/>
      <c r="W96" s="43" t="n">
        <v>1.378581956521739</v>
      </c>
      <c r="X96" s="15" t="n">
        <v>0.7005363470405893</v>
      </c>
      <c r="Y96" s="15" t="n">
        <v>0.1507666088802376</v>
      </c>
      <c r="Z96" s="15" t="n">
        <v>0.2014609400448669</v>
      </c>
      <c r="AA96" s="15" t="n">
        <v>0.05388381103842521</v>
      </c>
      <c r="AB96" s="15" t="n">
        <v>0.8800530442941782</v>
      </c>
      <c r="AC96" s="15" t="n">
        <v>7.493622408185932</v>
      </c>
      <c r="AD96" s="15" t="n">
        <v>28.89265183347624</v>
      </c>
      <c r="AE96" s="15" t="n">
        <v>68.43493394595076</v>
      </c>
      <c r="AF96" s="15" t="n">
        <v>107.9596657479666</v>
      </c>
      <c r="AH96" s="29">
        <f>HIPERLINK($A$1 &amp; "\Dados\Magnet_fields.txt_96.txt.txt", "Magnet_fields.txt_96.txt")</f>
        <v/>
      </c>
      <c r="AI96" t="n">
        <v>6908</v>
      </c>
      <c r="AJ96" t="n">
        <v>28</v>
      </c>
      <c r="AK96" s="29">
        <f>HIPERLINK($A$1 &amp; "\Dados\Magnet_3D_results.txt_96.txt.txt", "Magnet_3D_results.txt_96.txt")</f>
        <v/>
      </c>
      <c r="AL96" s="29">
        <f>HIPERLINK($A$1 &amp; "\Dados\Magnet_fields_2D.txt_96.txt.txt", "Magnet_fields_2D.txt_96.txt")</f>
        <v/>
      </c>
    </row>
    <row customHeight="1" ht="15.75" r="97" s="34">
      <c r="E97" s="15" t="n">
        <v>120</v>
      </c>
      <c r="F97" s="15" t="n">
        <v>170</v>
      </c>
      <c r="G97" s="15" t="n">
        <v>350</v>
      </c>
      <c r="H97" s="15" t="n">
        <v>40</v>
      </c>
      <c r="I97" s="15" t="n">
        <v>140</v>
      </c>
      <c r="J97" s="13" t="n">
        <v>25</v>
      </c>
      <c r="K97" t="n">
        <v>35</v>
      </c>
      <c r="L97" s="13" t="n">
        <v>1.6</v>
      </c>
      <c r="M97" s="12" t="n"/>
      <c r="N97" s="8" t="n">
        <v>1.092827307974139</v>
      </c>
      <c r="O97" s="15" t="n">
        <v>0.834851400386003</v>
      </c>
      <c r="P97" s="15" t="n">
        <v>1.015537113627623</v>
      </c>
      <c r="Q97" s="15" t="n">
        <v>0.001008377784556289</v>
      </c>
      <c r="R97" s="15" t="n">
        <v>0.02602120804406121</v>
      </c>
      <c r="S97" s="15" t="n">
        <v>0.002080935788651436</v>
      </c>
      <c r="T97" s="29">
        <f>HIPERLINK($A$1 &amp; "\Dados\Imagem_perfil_97.png", "Imagem_perfil_97")</f>
        <v/>
      </c>
      <c r="U97" s="29">
        <f>HIPERLINK($A$1 &amp; "\Dados\Results_airgap97.txt", "Results_airgap97")</f>
        <v/>
      </c>
      <c r="V97" s="19" t="n"/>
      <c r="W97" s="15" t="n">
        <v>1.386478260869566</v>
      </c>
      <c r="X97" s="15" t="n">
        <v>0.7059864888697629</v>
      </c>
      <c r="Y97" s="15" t="n">
        <v>0.2333655101744567</v>
      </c>
      <c r="Z97" s="15" t="n">
        <v>0.1626466194719341</v>
      </c>
      <c r="AA97" s="15" t="n">
        <v>0.03041654823675045</v>
      </c>
      <c r="AB97" s="15" t="n">
        <v>1.656048315545784</v>
      </c>
      <c r="AC97" s="15" t="n">
        <v>9.161685066087125</v>
      </c>
      <c r="AD97" s="15" t="n">
        <v>30.21370912741649</v>
      </c>
      <c r="AE97" s="15" t="n">
        <v>69.07946940280407</v>
      </c>
      <c r="AF97" s="15" t="n">
        <v>108.0404036722632</v>
      </c>
      <c r="AH97" s="29">
        <f>HIPERLINK($A$1 &amp; "\Dados\Magnet_fields.txt_97.txt.txt", "Magnet_fields.txt_97.txt")</f>
        <v/>
      </c>
      <c r="AI97" t="n">
        <v>6908</v>
      </c>
      <c r="AJ97" t="n">
        <v>29</v>
      </c>
      <c r="AK97" s="29">
        <f>HIPERLINK($A$1 &amp; "\Dados\Magnet_3D_results.txt_97.txt.txt", "Magnet_3D_results.txt_97.txt")</f>
        <v/>
      </c>
      <c r="AL97" s="29">
        <f>HIPERLINK($A$1 &amp; "\Dados\Magnet_fields_2D.txt_97.txt.txt", "Magnet_fields_2D.txt_97.txt")</f>
        <v/>
      </c>
    </row>
    <row customHeight="1" ht="15.75" r="98" s="34">
      <c r="E98" s="15" t="n">
        <v>120</v>
      </c>
      <c r="F98" s="15" t="n">
        <v>170</v>
      </c>
      <c r="G98" s="15" t="n">
        <v>350</v>
      </c>
      <c r="H98" s="15" t="n">
        <v>40</v>
      </c>
      <c r="I98" s="15" t="n">
        <v>140</v>
      </c>
      <c r="J98" s="13" t="n">
        <v>25</v>
      </c>
      <c r="K98" t="n">
        <v>35</v>
      </c>
      <c r="L98" s="13" t="n">
        <v>1.7</v>
      </c>
      <c r="M98" s="12" t="n"/>
      <c r="N98" s="8" t="n">
        <v>1.094969053284367</v>
      </c>
      <c r="O98" s="15" t="n">
        <v>0.8365096409552816</v>
      </c>
      <c r="P98" s="15" t="n">
        <v>1.017572355649104</v>
      </c>
      <c r="Q98" s="15" t="n">
        <v>0.0010086958456688</v>
      </c>
      <c r="R98" s="15" t="n">
        <v>0.02606115394897622</v>
      </c>
      <c r="S98" s="15" t="n">
        <v>0.002082201251648032</v>
      </c>
      <c r="T98" s="29">
        <f>HIPERLINK($A$1 &amp; "\Dados\Imagem_perfil_98.png", "Imagem_perfil_98")</f>
        <v/>
      </c>
      <c r="U98" s="29">
        <f>HIPERLINK($A$1 &amp; "\Dados\Results_airgap98.txt", "Results_airgap98")</f>
        <v/>
      </c>
      <c r="V98" s="19" t="n"/>
      <c r="W98" s="15" t="n">
        <v>1.390809130434783</v>
      </c>
      <c r="X98" s="15" t="n">
        <v>0.7074470026282973</v>
      </c>
      <c r="Y98" s="15" t="n">
        <v>0.3234657157090429</v>
      </c>
      <c r="Z98" s="15" t="n">
        <v>0.1533771550802006</v>
      </c>
      <c r="AA98" s="15" t="n">
        <v>0.02799621663403279</v>
      </c>
      <c r="AB98" s="15" t="n">
        <v>2.116932829387384</v>
      </c>
      <c r="AC98" s="15" t="n">
        <v>10.12090928724248</v>
      </c>
      <c r="AD98" s="15" t="n">
        <v>30.98464305122725</v>
      </c>
      <c r="AE98" s="15" t="n">
        <v>69.41393381684213</v>
      </c>
      <c r="AF98" s="15" t="n">
        <v>108.133373573738</v>
      </c>
      <c r="AH98" s="29">
        <f>HIPERLINK($A$1 &amp; "\Dados\Magnet_fields.txt_98.txt.txt", "Magnet_fields.txt_98.txt")</f>
        <v/>
      </c>
      <c r="AI98" t="n">
        <v>6908</v>
      </c>
      <c r="AJ98" t="n">
        <v>28</v>
      </c>
      <c r="AK98" s="29">
        <f>HIPERLINK($A$1 &amp; "\Dados\Magnet_3D_results.txt_98.txt.txt", "Magnet_3D_results.txt_98.txt")</f>
        <v/>
      </c>
      <c r="AL98" s="29">
        <f>HIPERLINK($A$1 &amp; "\Dados\Magnet_fields_2D.txt_98.txt.txt", "Magnet_fields_2D.txt_98.txt")</f>
        <v/>
      </c>
    </row>
    <row customHeight="1" ht="15.75" r="99" s="34">
      <c r="E99" s="15" t="n">
        <v>120</v>
      </c>
      <c r="F99" s="15" t="n">
        <v>170</v>
      </c>
      <c r="G99" s="15" t="n">
        <v>350</v>
      </c>
      <c r="H99" s="15" t="n">
        <v>40</v>
      </c>
      <c r="I99" s="15" t="n">
        <v>140</v>
      </c>
      <c r="J99" s="13" t="n">
        <v>25</v>
      </c>
      <c r="K99" t="n">
        <v>35</v>
      </c>
      <c r="L99" s="13" t="n">
        <v>1.8</v>
      </c>
      <c r="M99" s="12" t="n"/>
      <c r="N99" s="8" t="n">
        <v>1.09646490013445</v>
      </c>
      <c r="O99" s="15" t="n">
        <v>0.8376621238493764</v>
      </c>
      <c r="P99" s="15" t="n">
        <v>1.018931740812317</v>
      </c>
      <c r="Q99" s="15" t="n">
        <v>0.001008373894406108</v>
      </c>
      <c r="R99" s="15" t="n">
        <v>0.02610918818331025</v>
      </c>
      <c r="S99" s="15" t="n">
        <v>0.002083049451215195</v>
      </c>
      <c r="T99" s="29">
        <f>HIPERLINK($A$1 &amp; "\Dados\Imagem_perfil_99.png", "Imagem_perfil_99")</f>
        <v/>
      </c>
      <c r="U99" s="29">
        <f>HIPERLINK($A$1 &amp; "\Dados\Results_airgap99.txt", "Results_airgap99")</f>
        <v/>
      </c>
      <c r="V99" s="19" t="n"/>
      <c r="W99" s="15" t="n">
        <v>1.394124347826087</v>
      </c>
      <c r="X99" s="15" t="n">
        <v>0.708463511689175</v>
      </c>
      <c r="Y99" s="15" t="n">
        <v>0.4172239995776315</v>
      </c>
      <c r="Z99" s="15" t="n">
        <v>0.1515719831063387</v>
      </c>
      <c r="AA99" s="15" t="n">
        <v>0.02673366270274501</v>
      </c>
      <c r="AB99" s="15" t="n">
        <v>2.433649828058621</v>
      </c>
      <c r="AC99" s="15" t="n">
        <v>10.8452748227902</v>
      </c>
      <c r="AD99" s="15" t="n">
        <v>31.62289868602252</v>
      </c>
      <c r="AE99" s="15" t="n">
        <v>69.7371182815925</v>
      </c>
      <c r="AF99" s="15" t="n">
        <v>108.1718566918942</v>
      </c>
      <c r="AH99" s="29">
        <f>HIPERLINK($A$1 &amp; "\Dados\Magnet_fields.txt_99.txt.txt", "Magnet_fields.txt_99.txt")</f>
        <v/>
      </c>
      <c r="AI99" t="n">
        <v>6908</v>
      </c>
      <c r="AJ99" t="n">
        <v>28</v>
      </c>
      <c r="AK99" s="29">
        <f>HIPERLINK($A$1 &amp; "\Dados\Magnet_3D_results.txt_99.txt.txt", "Magnet_3D_results.txt_99.txt")</f>
        <v/>
      </c>
      <c r="AL99" s="29">
        <f>HIPERLINK($A$1 &amp; "\Dados\Magnet_fields_2D.txt_99.txt.txt", "Magnet_fields_2D.txt_99.txt")</f>
        <v/>
      </c>
    </row>
    <row customHeight="1" ht="15.75" r="100" s="34">
      <c r="E100" s="15" t="n">
        <v>120</v>
      </c>
      <c r="F100" s="15" t="n">
        <v>170</v>
      </c>
      <c r="G100" s="15" t="n">
        <v>350</v>
      </c>
      <c r="H100" s="15" t="n">
        <v>40</v>
      </c>
      <c r="I100" s="15" t="n">
        <v>140</v>
      </c>
      <c r="J100" s="13" t="n">
        <v>25</v>
      </c>
      <c r="K100" t="n">
        <v>35</v>
      </c>
      <c r="L100" s="13" t="n">
        <v>1.900000000000001</v>
      </c>
      <c r="M100" s="12" t="n"/>
      <c r="N100" s="8" t="n">
        <v>1.099284502663438</v>
      </c>
      <c r="O100" s="15" t="n">
        <v>0.8398590847297329</v>
      </c>
      <c r="P100" s="15" t="n">
        <v>1.021589394938594</v>
      </c>
      <c r="Q100" s="15" t="n">
        <v>0.00100806318018707</v>
      </c>
      <c r="R100" s="15" t="n">
        <v>0.02618197312146699</v>
      </c>
      <c r="S100" s="15" t="n">
        <v>0.002084447513055232</v>
      </c>
      <c r="T100" s="29">
        <f>HIPERLINK($A$1 &amp; "\Dados\Imagem_perfil_100.png", "Imagem_perfil_100")</f>
        <v/>
      </c>
      <c r="U100" s="29">
        <f>HIPERLINK($A$1 &amp; "\Dados\Results_airgap100.txt", "Results_airgap100")</f>
        <v/>
      </c>
      <c r="V100" s="19" t="n"/>
      <c r="W100" s="15" t="n">
        <v>1.396232391304348</v>
      </c>
      <c r="X100" s="15" t="n">
        <v>0.7104138467802754</v>
      </c>
      <c r="Y100" s="15" t="n">
        <v>0.5120667794774609</v>
      </c>
      <c r="Z100" s="15" t="n">
        <v>0.1280547772876885</v>
      </c>
      <c r="AA100" s="15" t="n">
        <v>0.0261783485254981</v>
      </c>
      <c r="AB100" s="15" t="n">
        <v>2.6697583788278</v>
      </c>
      <c r="AC100" s="15" t="n">
        <v>11.32336146178796</v>
      </c>
      <c r="AD100" s="15" t="n">
        <v>32.03025880963325</v>
      </c>
      <c r="AE100" s="15" t="n">
        <v>69.927444144378</v>
      </c>
      <c r="AF100" s="15" t="n">
        <v>108.2139931606503</v>
      </c>
      <c r="AH100" s="29">
        <f>HIPERLINK($A$1 &amp; "\Dados\Magnet_fields.txt_100.txt.txt", "Magnet_fields.txt_100.txt")</f>
        <v/>
      </c>
      <c r="AI100" t="n">
        <v>6908</v>
      </c>
      <c r="AJ100" t="n">
        <v>28</v>
      </c>
      <c r="AK100" s="29">
        <f>HIPERLINK($A$1 &amp; "\Dados\Magnet_3D_results.txt_100.txt.txt", "Magnet_3D_results.txt_100.txt")</f>
        <v/>
      </c>
      <c r="AL100" s="29">
        <f>HIPERLINK($A$1 &amp; "\Dados\Magnet_fields_2D.txt_100.txt.txt", "Magnet_fields_2D.txt_100.txt")</f>
        <v/>
      </c>
    </row>
    <row customHeight="1" ht="15.75" r="101" s="34">
      <c r="E101" s="15" t="n">
        <v>120</v>
      </c>
      <c r="F101" s="15" t="n">
        <v>170</v>
      </c>
      <c r="G101" s="15" t="n">
        <v>350</v>
      </c>
      <c r="H101" s="15" t="n">
        <v>40</v>
      </c>
      <c r="I101" s="15" t="n">
        <v>140</v>
      </c>
      <c r="J101" s="13" t="n">
        <v>25</v>
      </c>
      <c r="K101" t="n">
        <v>35</v>
      </c>
      <c r="L101" s="13" t="n">
        <v>2.000000000000001</v>
      </c>
      <c r="M101" s="12" t="n"/>
      <c r="N101" s="8" t="n">
        <v>1.099946828000576</v>
      </c>
      <c r="O101" s="15" t="n">
        <v>0.8403575826921115</v>
      </c>
      <c r="P101" s="15" t="n">
        <v>1.02217692816851</v>
      </c>
      <c r="Q101" s="15" t="n">
        <v>0.001006299745140845</v>
      </c>
      <c r="R101" s="15" t="n">
        <v>0.02622925674131147</v>
      </c>
      <c r="S101" s="15" t="n">
        <v>0.002083898581406122</v>
      </c>
      <c r="T101" s="29">
        <f>HIPERLINK($A$1 &amp; "\Dados\Imagem_perfil_101.png", "Imagem_perfil_101")</f>
        <v/>
      </c>
      <c r="U101" s="29">
        <f>HIPERLINK($A$1 &amp; "\Dados\Results_airgap101.txt", "Results_airgap101")</f>
        <v/>
      </c>
      <c r="V101" s="19" t="n"/>
      <c r="W101" s="15" t="n">
        <v>1.398015</v>
      </c>
      <c r="X101" s="15" t="n">
        <v>0.7108561432989217</v>
      </c>
      <c r="Y101" s="15" t="n">
        <v>0.6062926113169148</v>
      </c>
      <c r="Z101" s="15" t="n">
        <v>0.1195723428914795</v>
      </c>
      <c r="AA101" s="15" t="n">
        <v>0.01992844462497394</v>
      </c>
      <c r="AB101" s="15" t="n">
        <v>2.900560808112218</v>
      </c>
      <c r="AC101" s="15" t="n">
        <v>11.7453442847184</v>
      </c>
      <c r="AD101" s="15" t="n">
        <v>32.37048998500688</v>
      </c>
      <c r="AE101" s="15" t="n">
        <v>70.07541698568728</v>
      </c>
      <c r="AF101" s="15" t="n">
        <v>108.2248720245056</v>
      </c>
      <c r="AH101" s="29">
        <f>HIPERLINK($A$1 &amp; "\Dados\Magnet_fields.txt_101.txt.txt", "Magnet_fields.txt_101.txt")</f>
        <v/>
      </c>
      <c r="AI101" t="n">
        <v>6908</v>
      </c>
      <c r="AJ101" t="n">
        <v>28</v>
      </c>
      <c r="AK101" s="29">
        <f>HIPERLINK($A$1 &amp; "\Dados\Magnet_3D_results.txt_101.txt.txt", "Magnet_3D_results.txt_101.txt")</f>
        <v/>
      </c>
      <c r="AL101" s="29">
        <f>HIPERLINK($A$1 &amp; "\Dados\Magnet_fields_2D.txt_101.txt.txt", "Magnet_fields_2D.txt_101.txt")</f>
        <v/>
      </c>
    </row>
    <row customHeight="1" ht="15.75" r="102" s="34">
      <c r="E102" s="15" t="n">
        <v>120</v>
      </c>
      <c r="F102" s="15" t="n">
        <v>170</v>
      </c>
      <c r="G102" s="15" t="n">
        <v>350</v>
      </c>
      <c r="H102" s="15" t="n">
        <v>40</v>
      </c>
      <c r="I102" s="15" t="n">
        <v>140</v>
      </c>
      <c r="J102" s="13" t="n">
        <v>25</v>
      </c>
      <c r="K102" t="n">
        <v>35</v>
      </c>
      <c r="L102" s="13" t="n">
        <v>2.100000000000001</v>
      </c>
      <c r="M102" s="12" t="n"/>
      <c r="N102" s="8" t="n">
        <v>1.099946828000576</v>
      </c>
      <c r="O102" s="15" t="n">
        <v>0.8403575826921116</v>
      </c>
      <c r="P102" s="15" t="n">
        <v>1.02217692816851</v>
      </c>
      <c r="Q102" s="15" t="n">
        <v>0.001006299745140845</v>
      </c>
      <c r="R102" s="15" t="n">
        <v>0.02622925674131147</v>
      </c>
      <c r="S102" s="15" t="n">
        <v>0.002083898581406123</v>
      </c>
      <c r="T102" s="29">
        <f>HIPERLINK($A$1 &amp; "\Dados\Imagem_perfil_102.png", "Imagem_perfil_102")</f>
        <v/>
      </c>
      <c r="U102" s="29">
        <f>HIPERLINK($A$1 &amp; "\Dados\Results_airgap102.txt", "Results_airgap102")</f>
        <v/>
      </c>
      <c r="V102" s="19" t="n"/>
      <c r="W102" s="15" t="n">
        <v>1.39898347826087</v>
      </c>
      <c r="X102" s="15" t="n">
        <v>0.7108561432989217</v>
      </c>
      <c r="Y102" s="15" t="n">
        <v>0.6987925053464535</v>
      </c>
      <c r="Z102" s="15" t="n">
        <v>0.1195723428914795</v>
      </c>
      <c r="AA102" s="15" t="n">
        <v>0.01992844462497394</v>
      </c>
      <c r="AB102" s="15" t="n">
        <v>2.956544751352544</v>
      </c>
      <c r="AC102" s="15" t="n">
        <v>11.96761872413636</v>
      </c>
      <c r="AD102" s="15" t="n">
        <v>32.57010235578068</v>
      </c>
      <c r="AE102" s="15" t="n">
        <v>70.2021016877444</v>
      </c>
      <c r="AF102" s="15" t="n">
        <v>108.289219775947</v>
      </c>
      <c r="AH102" s="29">
        <f>HIPERLINK($A$1 &amp; "\Dados\Magnet_fields.txt_102.txt.txt", "Magnet_fields.txt_102.txt")</f>
        <v/>
      </c>
      <c r="AI102" t="n">
        <v>6908</v>
      </c>
      <c r="AJ102" t="n">
        <v>29</v>
      </c>
      <c r="AK102" s="29">
        <f>HIPERLINK($A$1 &amp; "\Dados\Magnet_3D_results.txt_102.txt.txt", "Magnet_3D_results.txt_102.txt")</f>
        <v/>
      </c>
      <c r="AL102" s="29">
        <f>HIPERLINK($A$1 &amp; "\Dados\Magnet_fields_2D.txt_102.txt.txt", "Magnet_fields_2D.txt_102.txt")</f>
        <v/>
      </c>
    </row>
    <row customHeight="1" ht="15.75" r="103" s="34">
      <c r="E103" s="15" t="n">
        <v>120</v>
      </c>
      <c r="F103" s="15" t="n">
        <v>170</v>
      </c>
      <c r="G103" s="15" t="n">
        <v>350</v>
      </c>
      <c r="H103" s="15" t="n">
        <v>42</v>
      </c>
      <c r="I103" s="15" t="n">
        <v>140</v>
      </c>
      <c r="J103" s="13" t="n">
        <v>25</v>
      </c>
      <c r="K103" t="n">
        <v>35</v>
      </c>
      <c r="L103" s="13" t="n">
        <v>1.3</v>
      </c>
      <c r="M103" s="12" t="n"/>
      <c r="N103" s="8" t="n">
        <v>1.052820032920117</v>
      </c>
      <c r="O103" s="15" t="n">
        <v>0.8019391499834322</v>
      </c>
      <c r="P103" s="15" t="n">
        <v>0.9779305585377659</v>
      </c>
      <c r="Q103" s="15" t="n">
        <v>0.001013462322340777</v>
      </c>
      <c r="R103" s="15" t="n">
        <v>0.02469893210652768</v>
      </c>
      <c r="S103" s="15" t="n">
        <v>0.001986198116537619</v>
      </c>
      <c r="T103" s="29">
        <f>HIPERLINK($A$1 &amp; "\Dados\Imagem_perfil_103.png", "Imagem_perfil_103")</f>
        <v/>
      </c>
      <c r="U103" s="29">
        <f>HIPERLINK($A$1 &amp; "\Dados\Results_airgap103.txt", "Results_airgap103")</f>
        <v/>
      </c>
      <c r="V103" s="19" t="n"/>
      <c r="W103" s="43" t="n">
        <v>1.332171086956522</v>
      </c>
      <c r="X103" s="15" t="n">
        <v>0.6704889457077163</v>
      </c>
      <c r="Y103" s="15" t="n">
        <v>0.03208090922666793</v>
      </c>
      <c r="Z103" s="15" t="n">
        <v>0.3902731837330894</v>
      </c>
      <c r="AA103" s="15" t="n">
        <v>0.02420720565248544</v>
      </c>
      <c r="AB103" s="15" t="n">
        <v>0</v>
      </c>
      <c r="AC103" s="15" t="n">
        <v>0</v>
      </c>
      <c r="AD103" s="15" t="n">
        <v>20.52709003332167</v>
      </c>
      <c r="AE103" s="15" t="n">
        <v>64.52250484359051</v>
      </c>
      <c r="AF103" s="15" t="n">
        <v>106.8255715234353</v>
      </c>
      <c r="AH103" s="29">
        <f>HIPERLINK($A$1 &amp; "\Dados\Magnet_fields.txt_103.txt.txt", "Magnet_fields.txt_103.txt")</f>
        <v/>
      </c>
      <c r="AI103" t="n">
        <v>6693</v>
      </c>
      <c r="AJ103" t="n">
        <v>28</v>
      </c>
      <c r="AK103" s="29">
        <f>HIPERLINK($A$1 &amp; "\Dados\Magnet_3D_results.txt_103.txt.txt", "Magnet_3D_results.txt_103.txt")</f>
        <v/>
      </c>
      <c r="AL103" s="29">
        <f>HIPERLINK($A$1 &amp; "\Dados\Magnet_fields_2D.txt_103.txt.txt", "Magnet_fields_2D.txt_103.txt")</f>
        <v/>
      </c>
    </row>
    <row customHeight="1" ht="15.75" r="104" s="34">
      <c r="E104" s="15" t="n">
        <v>120</v>
      </c>
      <c r="F104" s="15" t="n">
        <v>170</v>
      </c>
      <c r="G104" s="15" t="n">
        <v>350</v>
      </c>
      <c r="H104" s="15" t="n">
        <v>42</v>
      </c>
      <c r="I104" s="15" t="n">
        <v>140</v>
      </c>
      <c r="J104" s="13" t="n">
        <v>25</v>
      </c>
      <c r="K104" t="n">
        <v>35</v>
      </c>
      <c r="L104" s="13" t="n">
        <v>1.4</v>
      </c>
      <c r="M104" s="12" t="n"/>
      <c r="N104" s="8" t="n">
        <v>1.075588534397556</v>
      </c>
      <c r="O104" s="15" t="n">
        <v>0.8194898582672834</v>
      </c>
      <c r="P104" s="15" t="n">
        <v>0.9990842587058594</v>
      </c>
      <c r="Q104" s="15" t="n">
        <v>0.001010812403841928</v>
      </c>
      <c r="R104" s="15" t="n">
        <v>0.02545475862822414</v>
      </c>
      <c r="S104" s="15" t="n">
        <v>0.002002880472260026</v>
      </c>
      <c r="T104" s="29">
        <f>HIPERLINK($A$1 &amp; "\Dados\Imagem_perfil_104.png", "Imagem_perfil_104")</f>
        <v/>
      </c>
      <c r="U104" s="29">
        <f>HIPERLINK($A$1 &amp; "\Dados\Results_airgap104.txt", "Results_airgap104")</f>
        <v/>
      </c>
      <c r="V104" s="19" t="n"/>
      <c r="W104" s="43" t="n">
        <v>1.36324</v>
      </c>
      <c r="X104" s="15" t="n">
        <v>0.6856752945505721</v>
      </c>
      <c r="Y104" s="15" t="n">
        <v>0.08122516689909394</v>
      </c>
      <c r="Z104" s="15" t="n">
        <v>0.2486702472367283</v>
      </c>
      <c r="AA104" s="15" t="n">
        <v>0.01508318872607033</v>
      </c>
      <c r="AB104" s="15" t="n">
        <v>0</v>
      </c>
      <c r="AC104" s="15" t="n">
        <v>4.363310404749543</v>
      </c>
      <c r="AD104" s="15" t="n">
        <v>26.44257495411589</v>
      </c>
      <c r="AE104" s="15" t="n">
        <v>67.29578218354531</v>
      </c>
      <c r="AF104" s="15" t="n">
        <v>107.7125875805904</v>
      </c>
      <c r="AH104" s="29">
        <f>HIPERLINK($A$1 &amp; "\Dados\Magnet_fields.txt_104.txt.txt", "Magnet_fields.txt_104.txt")</f>
        <v/>
      </c>
      <c r="AI104" t="n">
        <v>6693</v>
      </c>
      <c r="AJ104" t="n">
        <v>28</v>
      </c>
      <c r="AK104" s="29">
        <f>HIPERLINK($A$1 &amp; "\Dados\Magnet_3D_results.txt_104.txt.txt", "Magnet_3D_results.txt_104.txt")</f>
        <v/>
      </c>
      <c r="AL104" s="29">
        <f>HIPERLINK($A$1 &amp; "\Dados\Magnet_fields_2D.txt_104.txt.txt", "Magnet_fields_2D.txt_104.txt")</f>
        <v/>
      </c>
    </row>
    <row customHeight="1" ht="15.75" r="105" s="34">
      <c r="E105" s="15" t="n">
        <v>120</v>
      </c>
      <c r="F105" s="15" t="n">
        <v>170</v>
      </c>
      <c r="G105" s="15" t="n">
        <v>350</v>
      </c>
      <c r="H105" s="15" t="n">
        <v>42</v>
      </c>
      <c r="I105" s="15" t="n">
        <v>140</v>
      </c>
      <c r="J105" s="13" t="n">
        <v>25</v>
      </c>
      <c r="K105" t="n">
        <v>35</v>
      </c>
      <c r="L105" s="13" t="n">
        <v>1.5</v>
      </c>
      <c r="M105" s="12" t="n"/>
      <c r="N105" s="8" t="n">
        <v>1.085078963014832</v>
      </c>
      <c r="O105" s="15" t="n">
        <v>0.8268304243698817</v>
      </c>
      <c r="P105" s="15" t="n">
        <v>1.008011940033724</v>
      </c>
      <c r="Q105" s="15" t="n">
        <v>0.001010324671698413</v>
      </c>
      <c r="R105" s="15" t="n">
        <v>0.02571778519758895</v>
      </c>
      <c r="S105" s="15" t="n">
        <v>0.002008779161064325</v>
      </c>
      <c r="T105" s="29">
        <f>HIPERLINK($A$1 &amp; "\Dados\Imagem_perfil_105.png", "Imagem_perfil_105")</f>
        <v/>
      </c>
      <c r="U105" s="29">
        <f>HIPERLINK($A$1 &amp; "\Dados\Results_airgap105.txt", "Results_airgap105")</f>
        <v/>
      </c>
      <c r="V105" s="19" t="n"/>
      <c r="W105" s="43" t="n">
        <v>1.378568478260869</v>
      </c>
      <c r="X105" s="15" t="n">
        <v>0.6920567279204671</v>
      </c>
      <c r="Y105" s="15" t="n">
        <v>0.1507607183049716</v>
      </c>
      <c r="Z105" s="15" t="n">
        <v>0.1977756408594742</v>
      </c>
      <c r="AA105" s="15" t="n">
        <v>0.01449396146263292</v>
      </c>
      <c r="AB105" s="15" t="n">
        <v>0.8805486201287185</v>
      </c>
      <c r="AC105" s="15" t="n">
        <v>7.484050729658279</v>
      </c>
      <c r="AD105" s="15" t="n">
        <v>28.8938223904537</v>
      </c>
      <c r="AE105" s="15" t="n">
        <v>68.43189232575369</v>
      </c>
      <c r="AF105" s="15" t="n">
        <v>107.962484867882</v>
      </c>
      <c r="AH105" s="29">
        <f>HIPERLINK($A$1 &amp; "\Dados\Magnet_fields.txt_105.txt.txt", "Magnet_fields.txt_105.txt")</f>
        <v/>
      </c>
      <c r="AI105" t="n">
        <v>6693</v>
      </c>
      <c r="AJ105" t="n">
        <v>28</v>
      </c>
      <c r="AK105" s="29">
        <f>HIPERLINK($A$1 &amp; "\Dados\Magnet_3D_results.txt_105.txt.txt", "Magnet_3D_results.txt_105.txt")</f>
        <v/>
      </c>
      <c r="AL105" s="29">
        <f>HIPERLINK($A$1 &amp; "\Dados\Magnet_fields_2D.txt_105.txt.txt", "Magnet_fields_2D.txt_105.txt")</f>
        <v/>
      </c>
    </row>
    <row customHeight="1" ht="15.75" r="106" s="34">
      <c r="E106" s="15" t="n">
        <v>120</v>
      </c>
      <c r="F106" s="15" t="n">
        <v>170</v>
      </c>
      <c r="G106" s="15" t="n">
        <v>350</v>
      </c>
      <c r="H106" s="15" t="n">
        <v>42</v>
      </c>
      <c r="I106" s="15" t="n">
        <v>140</v>
      </c>
      <c r="J106" s="13" t="n">
        <v>25</v>
      </c>
      <c r="K106" t="n">
        <v>35</v>
      </c>
      <c r="L106" s="13" t="n">
        <v>1.6</v>
      </c>
      <c r="M106" s="12" t="n"/>
      <c r="N106" s="8" t="n">
        <v>1.0929325236887</v>
      </c>
      <c r="O106" s="15" t="n">
        <v>0.8328789519698941</v>
      </c>
      <c r="P106" s="15" t="n">
        <v>1.015326530909126</v>
      </c>
      <c r="Q106" s="15" t="n">
        <v>0.001006751209509205</v>
      </c>
      <c r="R106" s="15" t="n">
        <v>0.02595144113354982</v>
      </c>
      <c r="S106" s="15" t="n">
        <v>0.002010750927617712</v>
      </c>
      <c r="T106" s="29">
        <f>HIPERLINK($A$1 &amp; "\Dados\Imagem_perfil_106.png", "Imagem_perfil_106")</f>
        <v/>
      </c>
      <c r="U106" s="29">
        <f>HIPERLINK($A$1 &amp; "\Dados\Results_airgap106.txt", "Results_airgap106")</f>
        <v/>
      </c>
      <c r="V106" s="19" t="n"/>
      <c r="W106" s="15" t="n">
        <v>1.386503913043478</v>
      </c>
      <c r="X106" s="15" t="n">
        <v>0.6973358070972856</v>
      </c>
      <c r="Y106" s="15" t="n">
        <v>0.2333585109009687</v>
      </c>
      <c r="Z106" s="15" t="n">
        <v>0.1618470969367981</v>
      </c>
      <c r="AA106" s="15" t="n">
        <v>0.007629077886864299</v>
      </c>
      <c r="AB106" s="15" t="n">
        <v>1.669902128989835</v>
      </c>
      <c r="AC106" s="15" t="n">
        <v>9.158694019708035</v>
      </c>
      <c r="AD106" s="15" t="n">
        <v>30.21813232028715</v>
      </c>
      <c r="AE106" s="15" t="n">
        <v>69.08204564258337</v>
      </c>
      <c r="AF106" s="15" t="n">
        <v>108.0403454154393</v>
      </c>
      <c r="AH106" s="29">
        <f>HIPERLINK($A$1 &amp; "\Dados\Magnet_fields.txt_106.txt.txt", "Magnet_fields.txt_106.txt")</f>
        <v/>
      </c>
      <c r="AI106" t="n">
        <v>6693</v>
      </c>
      <c r="AJ106" t="n">
        <v>28</v>
      </c>
      <c r="AK106" s="29">
        <f>HIPERLINK($A$1 &amp; "\Dados\Magnet_3D_results.txt_106.txt.txt", "Magnet_3D_results.txt_106.txt")</f>
        <v/>
      </c>
      <c r="AL106" s="29">
        <f>HIPERLINK($A$1 &amp; "\Dados\Magnet_fields_2D.txt_106.txt.txt", "Magnet_fields_2D.txt_106.txt")</f>
        <v/>
      </c>
    </row>
    <row customHeight="1" ht="15.75" r="107" s="34">
      <c r="E107" s="15" t="n">
        <v>120</v>
      </c>
      <c r="F107" s="15" t="n">
        <v>170</v>
      </c>
      <c r="G107" s="15" t="n">
        <v>350</v>
      </c>
      <c r="H107" s="15" t="n">
        <v>42</v>
      </c>
      <c r="I107" s="15" t="n">
        <v>140</v>
      </c>
      <c r="J107" s="13" t="n">
        <v>25</v>
      </c>
      <c r="K107" t="n">
        <v>35</v>
      </c>
      <c r="L107" s="13" t="n">
        <v>1.7</v>
      </c>
      <c r="M107" s="12" t="n"/>
      <c r="N107" s="8" t="n">
        <v>1.095064990414254</v>
      </c>
      <c r="O107" s="15" t="n">
        <v>0.8345228189594647</v>
      </c>
      <c r="P107" s="15" t="n">
        <v>1.01735091131211</v>
      </c>
      <c r="Q107" s="15" t="n">
        <v>0.001007060131928778</v>
      </c>
      <c r="R107" s="15" t="n">
        <v>0.02598872909726991</v>
      </c>
      <c r="S107" s="15" t="n">
        <v>0.002011878543748893</v>
      </c>
      <c r="T107" s="29">
        <f>HIPERLINK($A$1 &amp; "\Dados\Imagem_perfil_107.png", "Imagem_perfil_107")</f>
        <v/>
      </c>
      <c r="U107" s="29">
        <f>HIPERLINK($A$1 &amp; "\Dados\Results_airgap107.txt", "Results_airgap107")</f>
        <v/>
      </c>
      <c r="V107" s="19" t="n"/>
      <c r="W107" s="15" t="n">
        <v>1.390798695652174</v>
      </c>
      <c r="X107" s="15" t="n">
        <v>0.698767345262566</v>
      </c>
      <c r="Y107" s="15" t="n">
        <v>0.3234579555099463</v>
      </c>
      <c r="Z107" s="15" t="n">
        <v>0.1618470969367981</v>
      </c>
      <c r="AA107" s="15" t="n">
        <v>0.007629077886864299</v>
      </c>
      <c r="AB107" s="15" t="n">
        <v>2.095514338745637</v>
      </c>
      <c r="AC107" s="15" t="n">
        <v>10.11699024412768</v>
      </c>
      <c r="AD107" s="15" t="n">
        <v>30.98741340165574</v>
      </c>
      <c r="AE107" s="15" t="n">
        <v>69.41630109695714</v>
      </c>
      <c r="AF107" s="15" t="n">
        <v>108.1325709924658</v>
      </c>
      <c r="AH107" s="29">
        <f>HIPERLINK($A$1 &amp; "\Dados\Magnet_fields.txt_107.txt.txt", "Magnet_fields.txt_107.txt")</f>
        <v/>
      </c>
      <c r="AI107" t="n">
        <v>6693</v>
      </c>
      <c r="AJ107" t="n">
        <v>28</v>
      </c>
      <c r="AK107" s="29">
        <f>HIPERLINK($A$1 &amp; "\Dados\Magnet_3D_results.txt_107.txt.txt", "Magnet_3D_results.txt_107.txt")</f>
        <v/>
      </c>
      <c r="AL107" s="29">
        <f>HIPERLINK($A$1 &amp; "\Dados\Magnet_fields_2D.txt_107.txt.txt", "Magnet_fields_2D.txt_107.txt")</f>
        <v/>
      </c>
    </row>
    <row customHeight="1" ht="15.75" r="108" s="34">
      <c r="E108" s="15" t="n">
        <v>120</v>
      </c>
      <c r="F108" s="15" t="n">
        <v>170</v>
      </c>
      <c r="G108" s="15" t="n">
        <v>350</v>
      </c>
      <c r="H108" s="15" t="n">
        <v>42</v>
      </c>
      <c r="I108" s="15" t="n">
        <v>140</v>
      </c>
      <c r="J108" s="13" t="n">
        <v>25</v>
      </c>
      <c r="K108" t="n">
        <v>35</v>
      </c>
      <c r="L108" s="13" t="n">
        <v>1.8</v>
      </c>
      <c r="M108" s="12" t="n"/>
      <c r="N108" s="8" t="n">
        <v>1.096529535238012</v>
      </c>
      <c r="O108" s="15" t="n">
        <v>0.8356428559485698</v>
      </c>
      <c r="P108" s="15" t="n">
        <v>1.018678708930691</v>
      </c>
      <c r="Q108" s="15" t="n">
        <v>0.001006697299400204</v>
      </c>
      <c r="R108" s="15" t="n">
        <v>0.02602834544418292</v>
      </c>
      <c r="S108" s="15" t="n">
        <v>0.002012388665007206</v>
      </c>
      <c r="T108" s="29">
        <f>HIPERLINK($A$1 &amp; "\Dados\Imagem_perfil_108.png", "Imagem_perfil_108")</f>
        <v/>
      </c>
      <c r="U108" s="29">
        <f>HIPERLINK($A$1 &amp; "\Dados\Results_airgap108.txt", "Results_airgap108")</f>
        <v/>
      </c>
      <c r="V108" s="19" t="n"/>
      <c r="W108" s="15" t="n">
        <v>1.394157173913044</v>
      </c>
      <c r="X108" s="15" t="n">
        <v>0.6997487042286693</v>
      </c>
      <c r="Y108" s="15" t="n">
        <v>0.417215631263897</v>
      </c>
      <c r="Z108" s="15" t="n">
        <v>0.1399414287280315</v>
      </c>
      <c r="AA108" s="15" t="n">
        <v>0.007629077886864299</v>
      </c>
      <c r="AB108" s="15" t="n">
        <v>2.454547311684424</v>
      </c>
      <c r="AC108" s="15" t="n">
        <v>10.85300342913268</v>
      </c>
      <c r="AD108" s="15" t="n">
        <v>31.61685150918226</v>
      </c>
      <c r="AE108" s="15" t="n">
        <v>69.7433012053404</v>
      </c>
      <c r="AF108" s="15" t="n">
        <v>108.1818429573</v>
      </c>
      <c r="AH108" s="29">
        <f>HIPERLINK($A$1 &amp; "\Dados\Magnet_fields.txt_108.txt.txt", "Magnet_fields.txt_108.txt")</f>
        <v/>
      </c>
      <c r="AI108" t="n">
        <v>6693</v>
      </c>
      <c r="AJ108" t="n">
        <v>27</v>
      </c>
      <c r="AK108" s="29">
        <f>HIPERLINK($A$1 &amp; "\Dados\Magnet_3D_results.txt_108.txt.txt", "Magnet_3D_results.txt_108.txt")</f>
        <v/>
      </c>
      <c r="AL108" s="29">
        <f>HIPERLINK($A$1 &amp; "\Dados\Magnet_fields_2D.txt_108.txt.txt", "Magnet_fields_2D.txt_108.txt")</f>
        <v/>
      </c>
    </row>
    <row customHeight="1" ht="15.75" r="109" s="34">
      <c r="E109" s="15" t="n">
        <v>120</v>
      </c>
      <c r="F109" s="15" t="n">
        <v>170</v>
      </c>
      <c r="G109" s="15" t="n">
        <v>350</v>
      </c>
      <c r="H109" s="15" t="n">
        <v>42</v>
      </c>
      <c r="I109" s="15" t="n">
        <v>140</v>
      </c>
      <c r="J109" s="13" t="n">
        <v>25</v>
      </c>
      <c r="K109" t="n">
        <v>35</v>
      </c>
      <c r="L109" s="13" t="n">
        <v>1.900000000000001</v>
      </c>
      <c r="M109" s="12" t="n"/>
      <c r="N109" s="8" t="n">
        <v>1.099314214974</v>
      </c>
      <c r="O109" s="15" t="n">
        <v>0.8377987104987925</v>
      </c>
      <c r="P109" s="15" t="n">
        <v>1.021299118037454</v>
      </c>
      <c r="Q109" s="15" t="n">
        <v>0.00100637067672098</v>
      </c>
      <c r="R109" s="15" t="n">
        <v>0.02609131750931154</v>
      </c>
      <c r="S109" s="15" t="n">
        <v>0.002013404627398214</v>
      </c>
      <c r="T109" s="29">
        <f>HIPERLINK($A$1 &amp; "\Dados\Imagem_perfil_109.png", "Imagem_perfil_109")</f>
        <v/>
      </c>
      <c r="U109" s="29">
        <f>HIPERLINK($A$1 &amp; "\Dados\Results_airgap109.txt", "Results_airgap109")</f>
        <v/>
      </c>
      <c r="V109" s="19" t="n"/>
      <c r="W109" s="15" t="n">
        <v>1.396241739130435</v>
      </c>
      <c r="X109" s="15" t="n">
        <v>0.7016424863210275</v>
      </c>
      <c r="Y109" s="15" t="n">
        <v>0.5120580115612809</v>
      </c>
      <c r="Z109" s="15" t="n">
        <v>0.1306907031457152</v>
      </c>
      <c r="AA109" s="15" t="n">
        <v>0.007629077886864299</v>
      </c>
      <c r="AB109" s="15" t="n">
        <v>2.678211208203504</v>
      </c>
      <c r="AC109" s="15" t="n">
        <v>11.32620229974792</v>
      </c>
      <c r="AD109" s="15" t="n">
        <v>32.02451034897394</v>
      </c>
      <c r="AE109" s="15" t="n">
        <v>69.92943279177445</v>
      </c>
      <c r="AF109" s="15" t="n">
        <v>108.2162625783635</v>
      </c>
      <c r="AH109" s="29">
        <f>HIPERLINK($A$1 &amp; "\Dados\Magnet_fields.txt_109.txt.txt", "Magnet_fields.txt_109.txt")</f>
        <v/>
      </c>
      <c r="AI109" t="n">
        <v>6693</v>
      </c>
      <c r="AJ109" t="n">
        <v>28</v>
      </c>
      <c r="AK109" s="29">
        <f>HIPERLINK($A$1 &amp; "\Dados\Magnet_3D_results.txt_109.txt.txt", "Magnet_3D_results.txt_109.txt")</f>
        <v/>
      </c>
      <c r="AL109" s="29">
        <f>HIPERLINK($A$1 &amp; "\Dados\Magnet_fields_2D.txt_109.txt.txt", "Magnet_fields_2D.txt_109.txt")</f>
        <v/>
      </c>
    </row>
    <row customHeight="1" ht="15.75" r="110" s="34">
      <c r="E110" s="15" t="n">
        <v>120</v>
      </c>
      <c r="F110" s="15" t="n">
        <v>170</v>
      </c>
      <c r="G110" s="15" t="n">
        <v>350</v>
      </c>
      <c r="H110" s="15" t="n">
        <v>42</v>
      </c>
      <c r="I110" s="15" t="n">
        <v>140</v>
      </c>
      <c r="J110" s="13" t="n">
        <v>25</v>
      </c>
      <c r="K110" t="n">
        <v>35</v>
      </c>
      <c r="L110" s="13" t="n">
        <v>2.000000000000001</v>
      </c>
      <c r="M110" s="12" t="n"/>
      <c r="N110" s="8" t="n">
        <v>1.099935004216522</v>
      </c>
      <c r="O110" s="15" t="n">
        <v>0.8382573169766827</v>
      </c>
      <c r="P110" s="15" t="n">
        <v>1.021845831001768</v>
      </c>
      <c r="Q110" s="15" t="n">
        <v>0.001004552122143621</v>
      </c>
      <c r="R110" s="15" t="n">
        <v>0.02612669073090285</v>
      </c>
      <c r="S110" s="15" t="n">
        <v>0.002012408910575364</v>
      </c>
      <c r="T110" s="29">
        <f>HIPERLINK($A$1 &amp; "\Dados\Imagem_perfil_110.png", "Imagem_perfil_110")</f>
        <v/>
      </c>
      <c r="U110" s="29">
        <f>HIPERLINK($A$1 &amp; "\Dados\Results_airgap110.txt", "Results_airgap110")</f>
        <v/>
      </c>
      <c r="V110" s="19" t="n"/>
      <c r="W110" s="15" t="n">
        <v>1.397771086956522</v>
      </c>
      <c r="X110" s="15" t="n">
        <v>0.7020478316736052</v>
      </c>
      <c r="Y110" s="15" t="n">
        <v>0.6062829212833656</v>
      </c>
      <c r="Z110" s="15" t="n">
        <v>0.1088662364444234</v>
      </c>
      <c r="AA110" s="15" t="n">
        <v>0.006978097547782794</v>
      </c>
      <c r="AB110" s="15" t="n">
        <v>2.790916024690099</v>
      </c>
      <c r="AC110" s="15" t="n">
        <v>11.68889002382229</v>
      </c>
      <c r="AD110" s="15" t="n">
        <v>32.33217154644318</v>
      </c>
      <c r="AE110" s="15" t="n">
        <v>70.08450923492043</v>
      </c>
      <c r="AF110" s="15" t="n">
        <v>108.2565599881764</v>
      </c>
      <c r="AH110" s="29">
        <f>HIPERLINK($A$1 &amp; "\Dados\Magnet_fields.txt_110.txt.txt", "Magnet_fields.txt_110.txt")</f>
        <v/>
      </c>
      <c r="AI110" t="n">
        <v>6693</v>
      </c>
      <c r="AJ110" t="n">
        <v>28</v>
      </c>
      <c r="AK110" s="29">
        <f>HIPERLINK($A$1 &amp; "\Dados\Magnet_3D_results.txt_110.txt.txt", "Magnet_3D_results.txt_110.txt")</f>
        <v/>
      </c>
      <c r="AL110" s="29">
        <f>HIPERLINK($A$1 &amp; "\Dados\Magnet_fields_2D.txt_110.txt.txt", "Magnet_fields_2D.txt_110.txt")</f>
        <v/>
      </c>
    </row>
    <row customHeight="1" ht="15.75" r="111" s="34">
      <c r="E111" s="15" t="n">
        <v>120</v>
      </c>
      <c r="F111" s="15" t="n">
        <v>170</v>
      </c>
      <c r="G111" s="15" t="n">
        <v>350</v>
      </c>
      <c r="H111" s="15" t="n">
        <v>42</v>
      </c>
      <c r="I111" s="15" t="n">
        <v>140</v>
      </c>
      <c r="J111" s="13" t="n">
        <v>25</v>
      </c>
      <c r="K111" t="n">
        <v>35</v>
      </c>
      <c r="L111" s="13" t="n">
        <v>2.100000000000001</v>
      </c>
      <c r="M111" s="12" t="n"/>
      <c r="N111" s="8" t="n">
        <v>1.099935004216522</v>
      </c>
      <c r="O111" s="15" t="n">
        <v>0.8382573169766827</v>
      </c>
      <c r="P111" s="15" t="n">
        <v>1.021845831001768</v>
      </c>
      <c r="Q111" s="15" t="n">
        <v>0.00100455212214362</v>
      </c>
      <c r="R111" s="15" t="n">
        <v>0.02612669073090285</v>
      </c>
      <c r="S111" s="15" t="n">
        <v>0.002012408910575364</v>
      </c>
      <c r="T111" s="29">
        <f>HIPERLINK($A$1 &amp; "\Dados\Imagem_perfil_111.png", "Imagem_perfil_111")</f>
        <v/>
      </c>
      <c r="U111" s="29">
        <f>HIPERLINK($A$1 &amp; "\Dados\Results_airgap111.txt", "Results_airgap111")</f>
        <v/>
      </c>
      <c r="V111" s="19" t="n"/>
      <c r="W111" s="15" t="n">
        <v>1.398977608695652</v>
      </c>
      <c r="X111" s="15" t="n">
        <v>0.7020478316736052</v>
      </c>
      <c r="Y111" s="15" t="n">
        <v>0.6987832669735007</v>
      </c>
      <c r="Z111" s="15" t="n">
        <v>0.1088662364444234</v>
      </c>
      <c r="AA111" s="15" t="n">
        <v>0.006978097547782794</v>
      </c>
      <c r="AB111" s="15" t="n">
        <v>2.933913397336853</v>
      </c>
      <c r="AC111" s="15" t="n">
        <v>11.96579719469877</v>
      </c>
      <c r="AD111" s="15" t="n">
        <v>32.57426115430423</v>
      </c>
      <c r="AE111" s="15" t="n">
        <v>70.20128725944519</v>
      </c>
      <c r="AF111" s="15" t="n">
        <v>108.2910679705818</v>
      </c>
      <c r="AH111" s="29">
        <f>HIPERLINK($A$1 &amp; "\Dados\Magnet_fields.txt_111.txt.txt", "Magnet_fields.txt_111.txt")</f>
        <v/>
      </c>
      <c r="AI111" t="n">
        <v>6693</v>
      </c>
      <c r="AJ111" t="n">
        <v>28</v>
      </c>
      <c r="AK111" s="29">
        <f>HIPERLINK($A$1 &amp; "\Dados\Magnet_3D_results.txt_111.txt.txt", "Magnet_3D_results.txt_111.txt")</f>
        <v/>
      </c>
      <c r="AL111" s="29">
        <f>HIPERLINK($A$1 &amp; "\Dados\Magnet_fields_2D.txt_111.txt.txt", "Magnet_fields_2D.txt_111.txt")</f>
        <v/>
      </c>
    </row>
    <row customHeight="1" ht="15.75" r="112" s="34">
      <c r="E112" s="15" t="n">
        <v>120</v>
      </c>
      <c r="F112" s="15" t="n">
        <v>170</v>
      </c>
      <c r="G112" s="15" t="n">
        <v>350</v>
      </c>
      <c r="H112" s="15" t="n">
        <v>44</v>
      </c>
      <c r="I112" s="15" t="n">
        <v>140</v>
      </c>
      <c r="J112" s="13" t="n">
        <v>25</v>
      </c>
      <c r="K112" t="n">
        <v>35</v>
      </c>
      <c r="L112" s="13" t="n">
        <v>1.3</v>
      </c>
      <c r="M112" s="12" t="n"/>
      <c r="N112" s="8" t="n">
        <v>1.053390731883435</v>
      </c>
      <c r="O112" s="15" t="n">
        <v>0.8066642591907416</v>
      </c>
      <c r="P112" s="15" t="n">
        <v>0.9790504341626914</v>
      </c>
      <c r="Q112" s="15" t="n">
        <v>0.001016838910673796</v>
      </c>
      <c r="R112" s="15" t="n">
        <v>0.02488893546210047</v>
      </c>
      <c r="S112" s="15" t="n">
        <v>0.002000469004024077</v>
      </c>
      <c r="T112" s="29">
        <f>HIPERLINK($A$1 &amp; "\Dados\Imagem_perfil_112.png", "Imagem_perfil_112")</f>
        <v/>
      </c>
      <c r="U112" s="29">
        <f>HIPERLINK($A$1 &amp; "\Dados\Results_airgap112.txt", "Results_airgap112")</f>
        <v/>
      </c>
      <c r="V112" s="19" t="n"/>
      <c r="W112" s="43" t="n">
        <v>1.332201086956522</v>
      </c>
      <c r="X112" s="15" t="n">
        <v>0.6840242180058094</v>
      </c>
      <c r="Y112" s="15" t="n">
        <v>0.03207835351588141</v>
      </c>
      <c r="Z112" s="15" t="n">
        <v>0.3940771620447914</v>
      </c>
      <c r="AA112" s="15" t="n">
        <v>0.06006442079142604</v>
      </c>
      <c r="AB112" s="15" t="n">
        <v>0</v>
      </c>
      <c r="AC112" s="15" t="n">
        <v>0</v>
      </c>
      <c r="AD112" s="15" t="n">
        <v>20.53190921734695</v>
      </c>
      <c r="AE112" s="15" t="n">
        <v>64.52870082525135</v>
      </c>
      <c r="AF112" s="15" t="n">
        <v>106.8315937921077</v>
      </c>
      <c r="AH112" s="29">
        <f>HIPERLINK($A$1 &amp; "\Dados\Magnet_fields.txt_112.txt.txt", "Magnet_fields.txt_112.txt")</f>
        <v/>
      </c>
      <c r="AI112" t="n">
        <v>6691</v>
      </c>
      <c r="AJ112" t="n">
        <v>29</v>
      </c>
      <c r="AK112" s="29">
        <f>HIPERLINK($A$1 &amp; "\Dados\Magnet_3D_results.txt_112.txt.txt", "Magnet_3D_results.txt_112.txt")</f>
        <v/>
      </c>
      <c r="AL112" s="29">
        <f>HIPERLINK($A$1 &amp; "\Dados\Magnet_fields_2D.txt_112.txt.txt", "Magnet_fields_2D.txt_112.txt")</f>
        <v/>
      </c>
    </row>
    <row customHeight="1" ht="15.75" r="113" s="34">
      <c r="E113" s="15" t="n">
        <v>120</v>
      </c>
      <c r="F113" s="15" t="n">
        <v>170</v>
      </c>
      <c r="G113" s="15" t="n">
        <v>350</v>
      </c>
      <c r="H113" s="15" t="n">
        <v>44</v>
      </c>
      <c r="I113" s="15" t="n">
        <v>140</v>
      </c>
      <c r="J113" s="13" t="n">
        <v>25</v>
      </c>
      <c r="K113" t="n">
        <v>35</v>
      </c>
      <c r="L113" s="13" t="n">
        <v>1.4</v>
      </c>
      <c r="M113" s="12" t="n"/>
      <c r="N113" s="8" t="n">
        <v>1.075923881601129</v>
      </c>
      <c r="O113" s="15" t="n">
        <v>0.8241570134741998</v>
      </c>
      <c r="P113" s="15" t="n">
        <v>0.9999982555082162</v>
      </c>
      <c r="Q113" s="15" t="n">
        <v>0.001013218801516137</v>
      </c>
      <c r="R113" s="15" t="n">
        <v>0.02558944005180589</v>
      </c>
      <c r="S113" s="15" t="n">
        <v>0.002015047367643251</v>
      </c>
      <c r="T113" s="29">
        <f>HIPERLINK($A$1 &amp; "\Dados\Imagem_perfil_113.png", "Imagem_perfil_113")</f>
        <v/>
      </c>
      <c r="U113" s="29">
        <f>HIPERLINK($A$1 &amp; "\Dados\Results_airgap113.txt", "Results_airgap113")</f>
        <v/>
      </c>
      <c r="V113" s="19" t="n"/>
      <c r="W113" s="43" t="n">
        <v>1.363189130434783</v>
      </c>
      <c r="X113" s="15" t="n">
        <v>0.6994859846569836</v>
      </c>
      <c r="Y113" s="15" t="n">
        <v>0.08122121553482529</v>
      </c>
      <c r="Z113" s="15" t="n">
        <v>0.2384763349137438</v>
      </c>
      <c r="AA113" s="15" t="n">
        <v>0.02621356030078272</v>
      </c>
      <c r="AB113" s="15" t="n">
        <v>0</v>
      </c>
      <c r="AC113" s="15" t="n">
        <v>4.365142835256741</v>
      </c>
      <c r="AD113" s="15" t="n">
        <v>26.42471262352421</v>
      </c>
      <c r="AE113" s="15" t="n">
        <v>67.27631369849715</v>
      </c>
      <c r="AF113" s="15" t="n">
        <v>107.726032874035</v>
      </c>
      <c r="AH113" s="29">
        <f>HIPERLINK($A$1 &amp; "\Dados\Magnet_fields.txt_113.txt.txt", "Magnet_fields.txt_113.txt")</f>
        <v/>
      </c>
      <c r="AI113" t="n">
        <v>6691</v>
      </c>
      <c r="AJ113" t="n">
        <v>28</v>
      </c>
      <c r="AK113" s="29">
        <f>HIPERLINK($A$1 &amp; "\Dados\Magnet_3D_results.txt_113.txt.txt", "Magnet_3D_results.txt_113.txt")</f>
        <v/>
      </c>
      <c r="AL113" s="29">
        <f>HIPERLINK($A$1 &amp; "\Dados\Magnet_fields_2D.txt_113.txt.txt", "Magnet_fields_2D.txt_113.txt")</f>
        <v/>
      </c>
    </row>
    <row customHeight="1" ht="15.75" r="114" s="34">
      <c r="E114" s="15" t="n">
        <v>120</v>
      </c>
      <c r="F114" s="15" t="n">
        <v>170</v>
      </c>
      <c r="G114" s="15" t="n">
        <v>350</v>
      </c>
      <c r="H114" s="15" t="n">
        <v>44</v>
      </c>
      <c r="I114" s="15" t="n">
        <v>140</v>
      </c>
      <c r="J114" s="13" t="n">
        <v>25</v>
      </c>
      <c r="K114" t="n">
        <v>35</v>
      </c>
      <c r="L114" s="13" t="n">
        <v>1.5</v>
      </c>
      <c r="M114" s="12" t="n"/>
      <c r="N114" s="8" t="n">
        <v>1.085293398367617</v>
      </c>
      <c r="O114" s="15" t="n">
        <v>0.8314537071994113</v>
      </c>
      <c r="P114" s="15" t="n">
        <v>1.008815176491799</v>
      </c>
      <c r="Q114" s="15" t="n">
        <v>0.001012382542999039</v>
      </c>
      <c r="R114" s="15" t="n">
        <v>0.02582162640418029</v>
      </c>
      <c r="S114" s="15" t="n">
        <v>0.002019894732670397</v>
      </c>
      <c r="T114" s="29">
        <f>HIPERLINK($A$1 &amp; "\Dados\Imagem_perfil_114.png", "Imagem_perfil_114")</f>
        <v/>
      </c>
      <c r="U114" s="29">
        <f>HIPERLINK($A$1 &amp; "\Dados\Results_airgap114.txt", "Results_airgap114")</f>
        <v/>
      </c>
      <c r="V114" s="19" t="n"/>
      <c r="W114" s="43" t="n">
        <v>1.378617826086957</v>
      </c>
      <c r="X114" s="15" t="n">
        <v>0.7059864977784313</v>
      </c>
      <c r="Y114" s="15" t="n">
        <v>0.1507551350991933</v>
      </c>
      <c r="Z114" s="15" t="n">
        <v>0.2072200008057688</v>
      </c>
      <c r="AA114" s="15" t="n">
        <v>0.02569530590193418</v>
      </c>
      <c r="AB114" s="15" t="n">
        <v>0.8844987317982486</v>
      </c>
      <c r="AC114" s="15" t="n">
        <v>7.503736793530186</v>
      </c>
      <c r="AD114" s="15" t="n">
        <v>28.8886961957961</v>
      </c>
      <c r="AE114" s="15" t="n">
        <v>68.43890765108085</v>
      </c>
      <c r="AF114" s="15" t="n">
        <v>107.9515143449747</v>
      </c>
      <c r="AH114" s="29">
        <f>HIPERLINK($A$1 &amp; "\Dados\Magnet_fields.txt_114.txt.txt", "Magnet_fields.txt_114.txt")</f>
        <v/>
      </c>
      <c r="AI114" t="n">
        <v>6691</v>
      </c>
      <c r="AJ114" t="n">
        <v>28</v>
      </c>
      <c r="AK114" s="29">
        <f>HIPERLINK($A$1 &amp; "\Dados\Magnet_3D_results.txt_114.txt.txt", "Magnet_3D_results.txt_114.txt")</f>
        <v/>
      </c>
      <c r="AL114" s="29">
        <f>HIPERLINK($A$1 &amp; "\Dados\Magnet_fields_2D.txt_114.txt.txt", "Magnet_fields_2D.txt_114.txt")</f>
        <v/>
      </c>
    </row>
    <row customHeight="1" ht="15.75" r="115" s="34">
      <c r="E115" s="15" t="n">
        <v>120</v>
      </c>
      <c r="F115" s="15" t="n">
        <v>170</v>
      </c>
      <c r="G115" s="15" t="n">
        <v>350</v>
      </c>
      <c r="H115" s="15" t="n">
        <v>44</v>
      </c>
      <c r="I115" s="15" t="n">
        <v>140</v>
      </c>
      <c r="J115" s="13" t="n">
        <v>25</v>
      </c>
      <c r="K115" t="n">
        <v>35</v>
      </c>
      <c r="L115" s="13" t="n">
        <v>1.6</v>
      </c>
      <c r="M115" s="12" t="n"/>
      <c r="N115" s="8" t="n">
        <v>1.093008318145487</v>
      </c>
      <c r="O115" s="15" t="n">
        <v>0.8374351949566823</v>
      </c>
      <c r="P115" s="15" t="n">
        <v>1.016002225376293</v>
      </c>
      <c r="Q115" s="15" t="n">
        <v>0.001008223369097427</v>
      </c>
      <c r="R115" s="15" t="n">
        <v>0.026021330565436</v>
      </c>
      <c r="S115" s="15" t="n">
        <v>0.002020494280957568</v>
      </c>
      <c r="T115" s="29">
        <f>HIPERLINK($A$1 &amp; "\Dados\Imagem_perfil_115.png", "Imagem_perfil_115")</f>
        <v/>
      </c>
      <c r="U115" s="29">
        <f>HIPERLINK($A$1 &amp; "\Dados\Results_airgap115.txt", "Results_airgap115")</f>
        <v/>
      </c>
      <c r="V115" s="19" t="n"/>
      <c r="W115" s="15" t="n">
        <v>1.386181956521739</v>
      </c>
      <c r="X115" s="15" t="n">
        <v>0.711324073148959</v>
      </c>
      <c r="Y115" s="15" t="n">
        <v>0.2333527619949393</v>
      </c>
      <c r="Z115" s="15" t="n">
        <v>0.1604042086116697</v>
      </c>
      <c r="AA115" s="15" t="n">
        <v>0.01528218459043606</v>
      </c>
      <c r="AB115" s="15" t="n">
        <v>1.696205868451156</v>
      </c>
      <c r="AC115" s="15" t="n">
        <v>9.109636374907636</v>
      </c>
      <c r="AD115" s="15" t="n">
        <v>30.1382900850814</v>
      </c>
      <c r="AE115" s="15" t="n">
        <v>69.00590180879286</v>
      </c>
      <c r="AF115" s="15" t="n">
        <v>108.0253730979382</v>
      </c>
      <c r="AH115" s="29">
        <f>HIPERLINK($A$1 &amp; "\Dados\Magnet_fields.txt_115.txt.txt", "Magnet_fields.txt_115.txt")</f>
        <v/>
      </c>
      <c r="AI115" t="n">
        <v>6691</v>
      </c>
      <c r="AJ115" t="n">
        <v>28</v>
      </c>
      <c r="AK115" s="29">
        <f>HIPERLINK($A$1 &amp; "\Dados\Magnet_3D_results.txt_115.txt.txt", "Magnet_3D_results.txt_115.txt")</f>
        <v/>
      </c>
      <c r="AL115" s="29">
        <f>HIPERLINK($A$1 &amp; "\Dados\Magnet_fields_2D.txt_115.txt.txt", "Magnet_fields_2D.txt_115.txt")</f>
        <v/>
      </c>
    </row>
    <row customHeight="1" ht="15.75" r="116" s="34">
      <c r="E116" s="15" t="n">
        <v>120</v>
      </c>
      <c r="F116" s="15" t="n">
        <v>170</v>
      </c>
      <c r="G116" s="15" t="n">
        <v>350</v>
      </c>
      <c r="H116" s="15" t="n">
        <v>44</v>
      </c>
      <c r="I116" s="15" t="n">
        <v>140</v>
      </c>
      <c r="J116" s="13" t="n">
        <v>25</v>
      </c>
      <c r="K116" t="n">
        <v>35</v>
      </c>
      <c r="L116" s="13" t="n">
        <v>1.7</v>
      </c>
      <c r="M116" s="12" t="n"/>
      <c r="N116" s="8" t="n">
        <v>1.096576572219218</v>
      </c>
      <c r="O116" s="15" t="n">
        <v>0.8401983175526259</v>
      </c>
      <c r="P116" s="15" t="n">
        <v>1.019329855661742</v>
      </c>
      <c r="Q116" s="15" t="n">
        <v>0.001008080549060383</v>
      </c>
      <c r="R116" s="15" t="n">
        <v>0.02609107566423516</v>
      </c>
      <c r="S116" s="15" t="n">
        <v>0.002021884656404842</v>
      </c>
      <c r="T116" s="29">
        <f>HIPERLINK($A$1 &amp; "\Dados\Imagem_perfil_116.png", "Imagem_perfil_116")</f>
        <v/>
      </c>
      <c r="U116" s="29">
        <f>HIPERLINK($A$1 &amp; "\Dados\Results_airgap116.txt", "Results_airgap116")</f>
        <v/>
      </c>
      <c r="V116" s="19" t="n"/>
      <c r="W116" s="15" t="n">
        <v>1.391130217391304</v>
      </c>
      <c r="X116" s="15" t="n">
        <v>0.7137866572495095</v>
      </c>
      <c r="Y116" s="15" t="n">
        <v>0.3234502445832461</v>
      </c>
      <c r="Z116" s="15" t="n">
        <v>0.1519280204852665</v>
      </c>
      <c r="AA116" s="15" t="n">
        <v>0.01269849680690824</v>
      </c>
      <c r="AB116" s="15" t="n">
        <v>2.174421955578807</v>
      </c>
      <c r="AC116" s="15" t="n">
        <v>10.14616051811719</v>
      </c>
      <c r="AD116" s="15" t="n">
        <v>31.0532912994883</v>
      </c>
      <c r="AE116" s="15" t="n">
        <v>69.48464566211538</v>
      </c>
      <c r="AF116" s="15" t="n">
        <v>108.1255404764527</v>
      </c>
      <c r="AH116" s="29">
        <f>HIPERLINK($A$1 &amp; "\Dados\Magnet_fields.txt_116.txt.txt", "Magnet_fields.txt_116.txt")</f>
        <v/>
      </c>
      <c r="AI116" t="n">
        <v>6691</v>
      </c>
      <c r="AJ116" t="n">
        <v>28</v>
      </c>
      <c r="AK116" s="29">
        <f>HIPERLINK($A$1 &amp; "\Dados\Magnet_3D_results.txt_116.txt.txt", "Magnet_3D_results.txt_116.txt")</f>
        <v/>
      </c>
      <c r="AL116" s="29">
        <f>HIPERLINK($A$1 &amp; "\Dados\Magnet_fields_2D.txt_116.txt.txt", "Magnet_fields_2D.txt_116.txt")</f>
        <v/>
      </c>
    </row>
    <row customHeight="1" ht="15.75" r="117" s="34">
      <c r="E117" s="15" t="n">
        <v>120</v>
      </c>
      <c r="F117" s="15" t="n">
        <v>170</v>
      </c>
      <c r="G117" s="15" t="n">
        <v>350</v>
      </c>
      <c r="H117" s="15" t="n">
        <v>44</v>
      </c>
      <c r="I117" s="15" t="n">
        <v>140</v>
      </c>
      <c r="J117" s="13" t="n">
        <v>25</v>
      </c>
      <c r="K117" t="n">
        <v>35</v>
      </c>
      <c r="L117" s="13" t="n">
        <v>1.8</v>
      </c>
      <c r="M117" s="12" t="n"/>
      <c r="N117" s="8" t="n">
        <v>1.096576572219218</v>
      </c>
      <c r="O117" s="15" t="n">
        <v>0.8401983175526259</v>
      </c>
      <c r="P117" s="15" t="n">
        <v>1.019329855661742</v>
      </c>
      <c r="Q117" s="15" t="n">
        <v>0.001008080549060383</v>
      </c>
      <c r="R117" s="15" t="n">
        <v>0.02609107566423517</v>
      </c>
      <c r="S117" s="15" t="n">
        <v>0.002021884656404842</v>
      </c>
      <c r="T117" s="29">
        <f>HIPERLINK($A$1 &amp; "\Dados\Imagem_perfil_117.png", "Imagem_perfil_117")</f>
        <v/>
      </c>
      <c r="U117" s="29">
        <f>HIPERLINK($A$1 &amp; "\Dados\Results_airgap117.txt", "Results_airgap117")</f>
        <v/>
      </c>
      <c r="V117" s="19" t="n"/>
      <c r="W117" s="15" t="n">
        <v>1.394120652173913</v>
      </c>
      <c r="X117" s="15" t="n">
        <v>0.7137866572495093</v>
      </c>
      <c r="Y117" s="15" t="n">
        <v>0.4172079024540842</v>
      </c>
      <c r="Z117" s="15" t="n">
        <v>0.1519280204852665</v>
      </c>
      <c r="AA117" s="15" t="n">
        <v>0.01269849680690824</v>
      </c>
      <c r="AB117" s="15" t="n">
        <v>2.421935978414457</v>
      </c>
      <c r="AC117" s="15" t="n">
        <v>10.84090418367598</v>
      </c>
      <c r="AD117" s="15" t="n">
        <v>31.62313222858435</v>
      </c>
      <c r="AE117" s="15" t="n">
        <v>69.73725758774546</v>
      </c>
      <c r="AF117" s="15" t="n">
        <v>108.1690189814694</v>
      </c>
      <c r="AH117" s="29">
        <f>HIPERLINK($A$1 &amp; "\Dados\Magnet_fields.txt_117.txt.txt", "Magnet_fields.txt_117.txt")</f>
        <v/>
      </c>
      <c r="AI117" t="n">
        <v>6691</v>
      </c>
      <c r="AJ117" t="n">
        <v>28</v>
      </c>
      <c r="AK117" s="29">
        <f>HIPERLINK($A$1 &amp; "\Dados\Magnet_3D_results.txt_117.txt.txt", "Magnet_3D_results.txt_117.txt")</f>
        <v/>
      </c>
      <c r="AL117" s="29">
        <f>HIPERLINK($A$1 &amp; "\Dados\Magnet_fields_2D.txt_117.txt.txt", "Magnet_fields_2D.txt_117.txt")</f>
        <v/>
      </c>
    </row>
    <row customHeight="1" ht="15.75" r="118" s="34">
      <c r="E118" s="15" t="n">
        <v>120</v>
      </c>
      <c r="F118" s="15" t="n">
        <v>170</v>
      </c>
      <c r="G118" s="15" t="n">
        <v>350</v>
      </c>
      <c r="H118" s="15" t="n">
        <v>44</v>
      </c>
      <c r="I118" s="15" t="n">
        <v>140</v>
      </c>
      <c r="J118" s="13" t="n">
        <v>25</v>
      </c>
      <c r="K118" t="n">
        <v>35</v>
      </c>
      <c r="L118" s="13" t="n">
        <v>1.900000000000001</v>
      </c>
      <c r="M118" s="12" t="n"/>
      <c r="N118" s="8" t="n">
        <v>1.099337233096885</v>
      </c>
      <c r="O118" s="15" t="n">
        <v>0.8423527777502124</v>
      </c>
      <c r="P118" s="15" t="n">
        <v>1.02192946060742</v>
      </c>
      <c r="Q118" s="15" t="n">
        <v>0.001007673911899301</v>
      </c>
      <c r="R118" s="15" t="n">
        <v>0.02614805055836964</v>
      </c>
      <c r="S118" s="15" t="n">
        <v>0.002022685920532419</v>
      </c>
      <c r="T118" s="29">
        <f>HIPERLINK($A$1 &amp; "\Dados\Imagem_perfil_118.png", "Imagem_perfil_118")</f>
        <v/>
      </c>
      <c r="U118" s="29">
        <f>HIPERLINK($A$1 &amp; "\Dados\Results_airgap118.txt", "Results_airgap118")</f>
        <v/>
      </c>
      <c r="V118" s="19" t="n"/>
      <c r="W118" s="15" t="n">
        <v>1.396240652173913</v>
      </c>
      <c r="X118" s="15" t="n">
        <v>0.7157274726838583</v>
      </c>
      <c r="Y118" s="15" t="n">
        <v>0.5120498982289886</v>
      </c>
      <c r="Z118" s="15" t="n">
        <v>0.147461937574155</v>
      </c>
      <c r="AA118" s="15" t="n">
        <v>0.01216507398662999</v>
      </c>
      <c r="AB118" s="15" t="n">
        <v>2.670394697033844</v>
      </c>
      <c r="AC118" s="15" t="n">
        <v>11.3279261992198</v>
      </c>
      <c r="AD118" s="15" t="n">
        <v>32.02628659955108</v>
      </c>
      <c r="AE118" s="15" t="n">
        <v>69.92155815215145</v>
      </c>
      <c r="AF118" s="15" t="n">
        <v>108.2059438299001</v>
      </c>
      <c r="AH118" s="29">
        <f>HIPERLINK($A$1 &amp; "\Dados\Magnet_fields.txt_118.txt.txt", "Magnet_fields.txt_118.txt")</f>
        <v/>
      </c>
      <c r="AI118" t="n">
        <v>6691</v>
      </c>
      <c r="AJ118" t="n">
        <v>27</v>
      </c>
      <c r="AK118" s="29">
        <f>HIPERLINK($A$1 &amp; "\Dados\Magnet_3D_results.txt_118.txt.txt", "Magnet_3D_results.txt_118.txt")</f>
        <v/>
      </c>
      <c r="AL118" s="29">
        <f>HIPERLINK($A$1 &amp; "\Dados\Magnet_fields_2D.txt_118.txt.txt", "Magnet_fields_2D.txt_118.txt")</f>
        <v/>
      </c>
    </row>
    <row customHeight="1" ht="15.75" r="119" s="34">
      <c r="E119" s="15" t="n">
        <v>120</v>
      </c>
      <c r="F119" s="15" t="n">
        <v>170</v>
      </c>
      <c r="G119" s="15" t="n">
        <v>350</v>
      </c>
      <c r="H119" s="15" t="n">
        <v>44</v>
      </c>
      <c r="I119" s="15" t="n">
        <v>140</v>
      </c>
      <c r="J119" s="13" t="n">
        <v>25</v>
      </c>
      <c r="K119" t="n">
        <v>35</v>
      </c>
      <c r="L119" s="13" t="n">
        <v>2.000000000000001</v>
      </c>
      <c r="M119" s="12" t="n"/>
      <c r="N119" s="8" t="n">
        <v>1.099933493610439</v>
      </c>
      <c r="O119" s="15" t="n">
        <v>0.8427958263285553</v>
      </c>
      <c r="P119" s="15" t="n">
        <v>1.022453428944791</v>
      </c>
      <c r="Q119" s="15" t="n">
        <v>0.00100575084107557</v>
      </c>
      <c r="R119" s="15" t="n">
        <v>0.02617758892761895</v>
      </c>
      <c r="S119" s="15" t="n">
        <v>0.002021445783933168</v>
      </c>
      <c r="T119" s="29">
        <f>HIPERLINK($A$1 &amp; "\Dados\Imagem_perfil_119.png", "Imagem_perfil_119")</f>
        <v/>
      </c>
      <c r="U119" s="29">
        <f>HIPERLINK($A$1 &amp; "\Dados\Results_airgap119.txt", "Results_airgap119")</f>
        <v/>
      </c>
      <c r="V119" s="19" t="n"/>
      <c r="W119" s="15" t="n">
        <v>1.397820217391304</v>
      </c>
      <c r="X119" s="15" t="n">
        <v>0.7161281937185034</v>
      </c>
      <c r="Y119" s="15" t="n">
        <v>0.6062744754932335</v>
      </c>
      <c r="Z119" s="15" t="n">
        <v>0.1096095425513076</v>
      </c>
      <c r="AA119" s="15" t="n">
        <v>0.009389252864992478</v>
      </c>
      <c r="AB119" s="15" t="n">
        <v>2.841307214759359</v>
      </c>
      <c r="AC119" s="15" t="n">
        <v>11.69484544749432</v>
      </c>
      <c r="AD119" s="15" t="n">
        <v>32.33287205563281</v>
      </c>
      <c r="AE119" s="15" t="n">
        <v>70.07604016531755</v>
      </c>
      <c r="AF119" s="15" t="n">
        <v>108.2591338150616</v>
      </c>
      <c r="AH119" s="29">
        <f>HIPERLINK($A$1 &amp; "\Dados\Magnet_fields.txt_119.txt.txt", "Magnet_fields.txt_119.txt")</f>
        <v/>
      </c>
      <c r="AI119" t="n">
        <v>6691</v>
      </c>
      <c r="AJ119" t="n">
        <v>28</v>
      </c>
      <c r="AK119" s="29">
        <f>HIPERLINK($A$1 &amp; "\Dados\Magnet_3D_results.txt_119.txt.txt", "Magnet_3D_results.txt_119.txt")</f>
        <v/>
      </c>
      <c r="AL119" s="29">
        <f>HIPERLINK($A$1 &amp; "\Dados\Magnet_fields_2D.txt_119.txt.txt", "Magnet_fields_2D.txt_119.txt")</f>
        <v/>
      </c>
    </row>
    <row customHeight="1" ht="15.75" r="120" s="34">
      <c r="E120" s="15" t="n">
        <v>120</v>
      </c>
      <c r="F120" s="15" t="n">
        <v>170</v>
      </c>
      <c r="G120" s="15" t="n">
        <v>350</v>
      </c>
      <c r="H120" s="15" t="n">
        <v>44</v>
      </c>
      <c r="I120" s="15" t="n">
        <v>140</v>
      </c>
      <c r="J120" s="13" t="n">
        <v>25</v>
      </c>
      <c r="K120" t="n">
        <v>35</v>
      </c>
      <c r="L120" s="13" t="n">
        <v>2.100000000000001</v>
      </c>
      <c r="M120" s="12" t="n"/>
      <c r="N120" s="8" t="n">
        <v>1.101241647916221</v>
      </c>
      <c r="O120" s="15" t="n">
        <v>0.843831293627443</v>
      </c>
      <c r="P120" s="15" t="n">
        <v>1.023734411442612</v>
      </c>
      <c r="Q120" s="15" t="n">
        <v>0.001005782638107121</v>
      </c>
      <c r="R120" s="15" t="n">
        <v>0.02620028164327075</v>
      </c>
      <c r="S120" s="15" t="n">
        <v>0.002021938720497423</v>
      </c>
      <c r="T120" s="29">
        <f>HIPERLINK($A$1 &amp; "\Dados\Imagem_perfil_120.png", "Imagem_perfil_120")</f>
        <v/>
      </c>
      <c r="U120" s="29">
        <f>HIPERLINK($A$1 &amp; "\Dados\Results_airgap120.txt", "Results_airgap120")</f>
        <v/>
      </c>
      <c r="V120" s="19" t="n"/>
      <c r="W120" s="15" t="n">
        <v>1.399131304347826</v>
      </c>
      <c r="X120" s="15" t="n">
        <v>0.7170715885062074</v>
      </c>
      <c r="Y120" s="15" t="n">
        <v>0.6987749234168519</v>
      </c>
      <c r="Z120" s="15" t="n">
        <v>0.1011458469645159</v>
      </c>
      <c r="AA120" s="15" t="n">
        <v>0.009389252864992478</v>
      </c>
      <c r="AB120" s="15" t="n">
        <v>2.969283040534041</v>
      </c>
      <c r="AC120" s="15" t="n">
        <v>12.03489597941605</v>
      </c>
      <c r="AD120" s="15" t="n">
        <v>32.56937383715827</v>
      </c>
      <c r="AE120" s="15" t="n">
        <v>70.20407625473116</v>
      </c>
      <c r="AF120" s="15" t="n">
        <v>108.2948547166388</v>
      </c>
      <c r="AH120" s="29">
        <f>HIPERLINK($A$1 &amp; "\Dados\Magnet_fields.txt_120.txt.txt", "Magnet_fields.txt_120.txt")</f>
        <v/>
      </c>
      <c r="AI120" t="n">
        <v>6691</v>
      </c>
      <c r="AJ120" t="n">
        <v>28</v>
      </c>
      <c r="AK120" s="29">
        <f>HIPERLINK($A$1 &amp; "\Dados\Magnet_3D_results.txt_120.txt.txt", "Magnet_3D_results.txt_120.txt")</f>
        <v/>
      </c>
      <c r="AL120" s="29">
        <f>HIPERLINK($A$1 &amp; "\Dados\Magnet_fields_2D.txt_120.txt.txt", "Magnet_fields_2D.txt_120.txt")</f>
        <v/>
      </c>
    </row>
    <row customHeight="1" ht="15.75" r="121" s="34">
      <c r="E121" s="15" t="n">
        <v>120</v>
      </c>
      <c r="F121" s="15" t="n">
        <v>170</v>
      </c>
      <c r="G121" s="15" t="n">
        <v>350</v>
      </c>
      <c r="H121" s="15" t="n">
        <v>20</v>
      </c>
      <c r="I121" s="15" t="n">
        <v>142</v>
      </c>
      <c r="J121" s="13" t="n">
        <v>25</v>
      </c>
      <c r="K121" t="n">
        <v>35</v>
      </c>
      <c r="L121" s="13" t="n">
        <v>2.000000000000001</v>
      </c>
      <c r="M121" s="12" t="n"/>
      <c r="N121" s="8" t="n">
        <v>1.092915794770081</v>
      </c>
      <c r="O121" s="15" t="n">
        <v>0.8373722903314266</v>
      </c>
      <c r="P121" s="15" t="n">
        <v>1.009665832710503</v>
      </c>
      <c r="Q121" s="15" t="n">
        <v>0.0009654044511311867</v>
      </c>
      <c r="R121" s="15" t="n">
        <v>0.0233427042345607</v>
      </c>
      <c r="S121" s="15" t="n">
        <v>0.001814735017118818</v>
      </c>
      <c r="T121" s="29">
        <f>HIPERLINK($A$1 &amp; "\Dados\Imagem_perfil_121.png", "Imagem_perfil_121")</f>
        <v/>
      </c>
      <c r="U121" s="29">
        <f>HIPERLINK($A$1 &amp; "\Dados\Results_airgap121.txt", "Results_airgap121")</f>
        <v/>
      </c>
      <c r="V121" s="19" t="n"/>
      <c r="W121" s="15" t="n">
        <v>1.397780652173913</v>
      </c>
      <c r="X121" s="15" t="n">
        <v>0.696071908885028</v>
      </c>
      <c r="Y121" s="15" t="n">
        <v>0.6064529541883315</v>
      </c>
      <c r="Z121" s="15" t="n">
        <v>0.08391905884532253</v>
      </c>
      <c r="AA121" s="15" t="n">
        <v>2.712101717519259</v>
      </c>
      <c r="AB121" s="15" t="n">
        <v>2.855505269776826</v>
      </c>
      <c r="AC121" s="15" t="n">
        <v>11.71764470198493</v>
      </c>
      <c r="AD121" s="15" t="n">
        <v>32.34784168480185</v>
      </c>
      <c r="AE121" s="15" t="n">
        <v>70.09615716345061</v>
      </c>
      <c r="AF121" s="15" t="n">
        <v>108.2712275499385</v>
      </c>
      <c r="AH121" s="29">
        <f>HIPERLINK($A$1 &amp; "\Dados\Magnet_fields.txt_121.txt.txt", "Magnet_fields.txt_121.txt")</f>
        <v/>
      </c>
      <c r="AI121" t="n">
        <v>9170</v>
      </c>
      <c r="AJ121" t="n">
        <v>29</v>
      </c>
      <c r="AK121" s="29">
        <f>HIPERLINK($A$1 &amp; "\Dados\Magnet_3D_results.txt_121.txt.txt", "Magnet_3D_results.txt_121.txt")</f>
        <v/>
      </c>
      <c r="AL121" s="29">
        <f>HIPERLINK($A$1 &amp; "\Dados\Magnet_fields_2D.txt_121.txt.txt", "Magnet_fields_2D.txt_121.txt")</f>
        <v/>
      </c>
    </row>
    <row customHeight="1" ht="15.75" r="122" s="34">
      <c r="E122" s="15" t="n">
        <v>120</v>
      </c>
      <c r="F122" s="15" t="n">
        <v>170</v>
      </c>
      <c r="G122" s="15" t="n">
        <v>350</v>
      </c>
      <c r="H122" s="15" t="n">
        <v>20</v>
      </c>
      <c r="I122" s="15" t="n">
        <v>142</v>
      </c>
      <c r="J122" s="13" t="n">
        <v>25</v>
      </c>
      <c r="K122" t="n">
        <v>35</v>
      </c>
      <c r="L122" s="13" t="n">
        <v>2.100000000000001</v>
      </c>
      <c r="M122" s="12" t="n"/>
      <c r="N122" s="8" t="n">
        <v>1.094960155648656</v>
      </c>
      <c r="O122" s="15" t="n">
        <v>0.83897750031442</v>
      </c>
      <c r="P122" s="15" t="n">
        <v>1.011616341016891</v>
      </c>
      <c r="Q122" s="15" t="n">
        <v>0.0009657565468201311</v>
      </c>
      <c r="R122" s="15" t="n">
        <v>0.02340735266762687</v>
      </c>
      <c r="S122" s="15" t="n">
        <v>0.00181647886315117</v>
      </c>
      <c r="T122" s="29">
        <f>HIPERLINK($A$1 &amp; "\Dados\Imagem_perfil_122.png", "Imagem_perfil_122")</f>
        <v/>
      </c>
      <c r="U122" s="29">
        <f>HIPERLINK($A$1 &amp; "\Dados\Results_airgap122.txt", "Results_airgap122")</f>
        <v/>
      </c>
      <c r="V122" s="19" t="n"/>
      <c r="W122" s="15" t="n">
        <v>1.399045217391304</v>
      </c>
      <c r="X122" s="15" t="n">
        <v>0.6974383367381332</v>
      </c>
      <c r="Y122" s="15" t="n">
        <v>0.698957110800409</v>
      </c>
      <c r="Z122" s="15" t="n">
        <v>0.08391905884532253</v>
      </c>
      <c r="AA122" s="15" t="n">
        <v>2.671859075741041</v>
      </c>
      <c r="AB122" s="15" t="n">
        <v>3.003796990634572</v>
      </c>
      <c r="AC122" s="15" t="n">
        <v>12.01850129048322</v>
      </c>
      <c r="AD122" s="15" t="n">
        <v>32.58774749813393</v>
      </c>
      <c r="AE122" s="15" t="n">
        <v>70.23057294609468</v>
      </c>
      <c r="AF122" s="15" t="n">
        <v>108.3013523830111</v>
      </c>
      <c r="AH122" s="29">
        <f>HIPERLINK($A$1 &amp; "\Dados\Magnet_fields.txt_122.txt.txt", "Magnet_fields.txt_122.txt")</f>
        <v/>
      </c>
      <c r="AI122" t="n">
        <v>9170</v>
      </c>
      <c r="AJ122" t="n">
        <v>29</v>
      </c>
      <c r="AK122" s="29">
        <f>HIPERLINK($A$1 &amp; "\Dados\Magnet_3D_results.txt_122.txt.txt", "Magnet_3D_results.txt_122.txt")</f>
        <v/>
      </c>
      <c r="AL122" s="29">
        <f>HIPERLINK($A$1 &amp; "\Dados\Magnet_fields_2D.txt_122.txt.txt", "Magnet_fields_2D.txt_122.txt")</f>
        <v/>
      </c>
    </row>
    <row customHeight="1" ht="15.75" r="123" s="34">
      <c r="E123" s="15" t="n">
        <v>120</v>
      </c>
      <c r="F123" s="15" t="n">
        <v>170</v>
      </c>
      <c r="G123" s="15" t="n">
        <v>350</v>
      </c>
      <c r="H123" s="15" t="n">
        <v>22</v>
      </c>
      <c r="I123" s="15" t="n">
        <v>142</v>
      </c>
      <c r="J123" s="13" t="n">
        <v>25</v>
      </c>
      <c r="K123" t="n">
        <v>35</v>
      </c>
      <c r="L123" s="13" t="n">
        <v>1.3</v>
      </c>
      <c r="M123" s="12" t="n"/>
      <c r="N123" s="8" t="n">
        <v>1.041873651017422</v>
      </c>
      <c r="O123" s="15" t="n">
        <v>0.7965228587730886</v>
      </c>
      <c r="P123" s="15" t="n">
        <v>0.9601136936164419</v>
      </c>
      <c r="Q123" s="15" t="n">
        <v>0.0009652162668946387</v>
      </c>
      <c r="R123" s="15" t="n">
        <v>0.02092444517153169</v>
      </c>
      <c r="S123" s="15" t="n">
        <v>0.00173358883725158</v>
      </c>
      <c r="T123" s="29">
        <f>HIPERLINK($A$1 &amp; "\Dados\Imagem_perfil_123.png", "Imagem_perfil_123")</f>
        <v/>
      </c>
      <c r="U123" s="29">
        <f>HIPERLINK($A$1 &amp; "\Dados\Results_airgap123.txt", "Results_airgap123")</f>
        <v/>
      </c>
      <c r="V123" s="19" t="n"/>
      <c r="W123" s="43" t="n">
        <v>1.332250869565218</v>
      </c>
      <c r="X123" s="15" t="n">
        <v>0.6590476540785002</v>
      </c>
      <c r="Y123" s="15" t="n">
        <v>0.03212186316253265</v>
      </c>
      <c r="Z123" s="15" t="n">
        <v>0.3494092287932714</v>
      </c>
      <c r="AA123" s="15" t="n">
        <v>4.396314430358875</v>
      </c>
      <c r="AB123" s="15" t="n">
        <v>0</v>
      </c>
      <c r="AC123" s="15" t="n">
        <v>0</v>
      </c>
      <c r="AD123" s="15" t="n">
        <v>20.57917916920549</v>
      </c>
      <c r="AE123" s="15" t="n">
        <v>64.56935297144305</v>
      </c>
      <c r="AF123" s="15" t="n">
        <v>106.8790163540904</v>
      </c>
      <c r="AH123" s="29">
        <f>HIPERLINK($A$1 &amp; "\Dados\Magnet_fields.txt_123.txt.txt", "Magnet_fields.txt_123.txt")</f>
        <v/>
      </c>
      <c r="AI123" t="n">
        <v>9266</v>
      </c>
      <c r="AJ123" t="n">
        <v>29</v>
      </c>
      <c r="AK123" s="29">
        <f>HIPERLINK($A$1 &amp; "\Dados\Magnet_3D_results.txt_123.txt.txt", "Magnet_3D_results.txt_123.txt")</f>
        <v/>
      </c>
      <c r="AL123" s="29">
        <f>HIPERLINK($A$1 &amp; "\Dados\Magnet_fields_2D.txt_123.txt.txt", "Magnet_fields_2D.txt_123.txt")</f>
        <v/>
      </c>
    </row>
    <row customHeight="1" ht="15.75" r="124" s="34">
      <c r="E124" s="15" t="n">
        <v>120</v>
      </c>
      <c r="F124" s="15" t="n">
        <v>170</v>
      </c>
      <c r="G124" s="15" t="n">
        <v>350</v>
      </c>
      <c r="H124" s="15" t="n">
        <v>22</v>
      </c>
      <c r="I124" s="15" t="n">
        <v>142</v>
      </c>
      <c r="J124" s="13" t="n">
        <v>25</v>
      </c>
      <c r="K124" t="n">
        <v>35</v>
      </c>
      <c r="L124" s="13" t="n">
        <v>1.4</v>
      </c>
      <c r="M124" s="12" t="n"/>
      <c r="N124" s="8" t="n">
        <v>1.06740892569626</v>
      </c>
      <c r="O124" s="15" t="n">
        <v>0.8168766321658874</v>
      </c>
      <c r="P124" s="15" t="n">
        <v>0.9847173027162638</v>
      </c>
      <c r="Q124" s="15" t="n">
        <v>0.0009674841010921491</v>
      </c>
      <c r="R124" s="15" t="n">
        <v>0.02232522887479547</v>
      </c>
      <c r="S124" s="15" t="n">
        <v>0.001768364146183087</v>
      </c>
      <c r="T124" s="29">
        <f>HIPERLINK($A$1 &amp; "\Dados\Imagem_perfil_124.png", "Imagem_perfil_124")</f>
        <v/>
      </c>
      <c r="U124" s="29">
        <f>HIPERLINK($A$1 &amp; "\Dados\Results_airgap124.txt", "Results_airgap124")</f>
        <v/>
      </c>
      <c r="V124" s="19" t="n"/>
      <c r="W124" s="43" t="n">
        <v>1.363175</v>
      </c>
      <c r="X124" s="15" t="n">
        <v>0.6763766858868441</v>
      </c>
      <c r="Y124" s="15" t="n">
        <v>0.08129694029414214</v>
      </c>
      <c r="Z124" s="15" t="n">
        <v>0.1918369855500581</v>
      </c>
      <c r="AA124" s="15" t="n">
        <v>3.356305061971709</v>
      </c>
      <c r="AB124" s="15" t="n">
        <v>0</v>
      </c>
      <c r="AC124" s="15" t="n">
        <v>4.374041267383848</v>
      </c>
      <c r="AD124" s="15" t="n">
        <v>26.45170835651564</v>
      </c>
      <c r="AE124" s="15" t="n">
        <v>67.30879294809878</v>
      </c>
      <c r="AF124" s="15" t="n">
        <v>107.7198578763165</v>
      </c>
      <c r="AH124" s="29">
        <f>HIPERLINK($A$1 &amp; "\Dados\Magnet_fields.txt_124.txt.txt", "Magnet_fields.txt_124.txt")</f>
        <v/>
      </c>
      <c r="AI124" t="n">
        <v>9266</v>
      </c>
      <c r="AJ124" t="n">
        <v>29</v>
      </c>
      <c r="AK124" s="29">
        <f>HIPERLINK($A$1 &amp; "\Dados\Magnet_3D_results.txt_124.txt.txt", "Magnet_3D_results.txt_124.txt")</f>
        <v/>
      </c>
      <c r="AL124" s="29">
        <f>HIPERLINK($A$1 &amp; "\Dados\Magnet_fields_2D.txt_124.txt.txt", "Magnet_fields_2D.txt_124.txt")</f>
        <v/>
      </c>
    </row>
    <row customHeight="1" ht="15.75" r="125" s="34">
      <c r="E125" s="15" t="n">
        <v>120</v>
      </c>
      <c r="F125" s="15" t="n">
        <v>170</v>
      </c>
      <c r="G125" s="15" t="n">
        <v>350</v>
      </c>
      <c r="H125" s="15" t="n">
        <v>22</v>
      </c>
      <c r="I125" s="15" t="n">
        <v>142</v>
      </c>
      <c r="J125" s="13" t="n">
        <v>25</v>
      </c>
      <c r="K125" t="n">
        <v>35</v>
      </c>
      <c r="L125" s="13" t="n">
        <v>1.5</v>
      </c>
      <c r="M125" s="12" t="n"/>
      <c r="N125" s="8" t="n">
        <v>1.077962862583035</v>
      </c>
      <c r="O125" s="15" t="n">
        <v>0.8253301523672895</v>
      </c>
      <c r="P125" s="15" t="n">
        <v>0.9949650069209675</v>
      </c>
      <c r="Q125" s="15" t="n">
        <v>0.0009688721232919655</v>
      </c>
      <c r="R125" s="15" t="n">
        <v>0.02283934364134533</v>
      </c>
      <c r="S125" s="15" t="n">
        <v>0.001781407240435924</v>
      </c>
      <c r="T125" s="29">
        <f>HIPERLINK($A$1 &amp; "\Dados\Imagem_perfil_125.png", "Imagem_perfil_125")</f>
        <v/>
      </c>
      <c r="U125" s="29">
        <f>HIPERLINK($A$1 &amp; "\Dados\Results_airgap125.txt", "Results_airgap125")</f>
        <v/>
      </c>
      <c r="V125" s="19" t="n"/>
      <c r="W125" s="43" t="n">
        <v>1.378538695652174</v>
      </c>
      <c r="X125" s="15" t="n">
        <v>0.6835730198184129</v>
      </c>
      <c r="Y125" s="15" t="n">
        <v>0.1508550851647954</v>
      </c>
      <c r="Z125" s="15" t="n">
        <v>0.1472632607447125</v>
      </c>
      <c r="AA125" s="15" t="n">
        <v>2.987679393081625</v>
      </c>
      <c r="AB125" s="15" t="n">
        <v>0.875898876476111</v>
      </c>
      <c r="AC125" s="15" t="n">
        <v>7.501996055625177</v>
      </c>
      <c r="AD125" s="15" t="n">
        <v>28.90974238236853</v>
      </c>
      <c r="AE125" s="15" t="n">
        <v>68.45694474394624</v>
      </c>
      <c r="AF125" s="15" t="n">
        <v>107.9358656868065</v>
      </c>
      <c r="AH125" s="29">
        <f>HIPERLINK($A$1 &amp; "\Dados\Magnet_fields.txt_125.txt.txt", "Magnet_fields.txt_125.txt")</f>
        <v/>
      </c>
      <c r="AI125" t="n">
        <v>9266</v>
      </c>
      <c r="AJ125" t="n">
        <v>30</v>
      </c>
      <c r="AK125" s="29">
        <f>HIPERLINK($A$1 &amp; "\Dados\Magnet_3D_results.txt_125.txt.txt", "Magnet_3D_results.txt_125.txt")</f>
        <v/>
      </c>
      <c r="AL125" s="29">
        <f>HIPERLINK($A$1 &amp; "\Dados\Magnet_fields_2D.txt_125.txt.txt", "Magnet_fields_2D.txt_125.txt")</f>
        <v/>
      </c>
    </row>
    <row customHeight="1" ht="15.75" r="126" s="34">
      <c r="E126" s="15" t="n">
        <v>120</v>
      </c>
      <c r="F126" s="15" t="n">
        <v>170</v>
      </c>
      <c r="G126" s="15" t="n">
        <v>350</v>
      </c>
      <c r="H126" s="15" t="n">
        <v>22</v>
      </c>
      <c r="I126" s="15" t="n">
        <v>142</v>
      </c>
      <c r="J126" s="13" t="n">
        <v>25</v>
      </c>
      <c r="K126" t="n">
        <v>35</v>
      </c>
      <c r="L126" s="13" t="n">
        <v>1.6</v>
      </c>
      <c r="M126" s="12" t="n"/>
      <c r="N126" s="8" t="n">
        <v>1.087125623494798</v>
      </c>
      <c r="O126" s="15" t="n">
        <v>0.8326722227245811</v>
      </c>
      <c r="P126" s="15" t="n">
        <v>1.003809316176254</v>
      </c>
      <c r="Q126" s="15" t="n">
        <v>0.0009680447681839816</v>
      </c>
      <c r="R126" s="15" t="n">
        <v>0.02339721763592697</v>
      </c>
      <c r="S126" s="15" t="n">
        <v>0.00179320019457678</v>
      </c>
      <c r="T126" s="29">
        <f>HIPERLINK($A$1 &amp; "\Dados\Imagem_perfil_126.png", "Imagem_perfil_126")</f>
        <v/>
      </c>
      <c r="U126" s="29">
        <f>HIPERLINK($A$1 &amp; "\Dados\Results_airgap126.txt", "Results_airgap126")</f>
        <v/>
      </c>
      <c r="V126" s="19" t="n"/>
      <c r="W126" s="15" t="n">
        <v>1.38643847826087</v>
      </c>
      <c r="X126" s="15" t="n">
        <v>0.6898605643174682</v>
      </c>
      <c r="Y126" s="15" t="n">
        <v>0.2334699384432676</v>
      </c>
      <c r="Z126" s="15" t="n">
        <v>0.1007373570552422</v>
      </c>
      <c r="AA126" s="15" t="n">
        <v>2.484751220000549</v>
      </c>
      <c r="AB126" s="15" t="n">
        <v>1.676953572878381</v>
      </c>
      <c r="AC126" s="15" t="n">
        <v>9.162579132100568</v>
      </c>
      <c r="AD126" s="15" t="n">
        <v>30.23481526879831</v>
      </c>
      <c r="AE126" s="15" t="n">
        <v>69.08649427970704</v>
      </c>
      <c r="AF126" s="15" t="n">
        <v>108.0457418273556</v>
      </c>
      <c r="AH126" s="29">
        <f>HIPERLINK($A$1 &amp; "\Dados\Magnet_fields.txt_126.txt.txt", "Magnet_fields.txt_126.txt")</f>
        <v/>
      </c>
      <c r="AI126" t="n">
        <v>9266</v>
      </c>
      <c r="AJ126" t="n">
        <v>29</v>
      </c>
      <c r="AK126" s="29">
        <f>HIPERLINK($A$1 &amp; "\Dados\Magnet_3D_results.txt_126.txt.txt", "Magnet_3D_results.txt_126.txt")</f>
        <v/>
      </c>
      <c r="AL126" s="29">
        <f>HIPERLINK($A$1 &amp; "\Dados\Magnet_fields_2D.txt_126.txt.txt", "Magnet_fields_2D.txt_126.txt")</f>
        <v/>
      </c>
    </row>
    <row customHeight="1" ht="15.75" r="127" s="34">
      <c r="E127" s="15" t="n">
        <v>120</v>
      </c>
      <c r="F127" s="15" t="n">
        <v>170</v>
      </c>
      <c r="G127" s="15" t="n">
        <v>350</v>
      </c>
      <c r="H127" s="15" t="n">
        <v>22</v>
      </c>
      <c r="I127" s="15" t="n">
        <v>142</v>
      </c>
      <c r="J127" s="13" t="n">
        <v>25</v>
      </c>
      <c r="K127" t="n">
        <v>35</v>
      </c>
      <c r="L127" s="13" t="n">
        <v>1.7</v>
      </c>
      <c r="M127" s="12" t="n"/>
      <c r="N127" s="8" t="n">
        <v>1.091147877639416</v>
      </c>
      <c r="O127" s="15" t="n">
        <v>0.8358773916759183</v>
      </c>
      <c r="P127" s="15" t="n">
        <v>1.00772063815246</v>
      </c>
      <c r="Q127" s="15" t="n">
        <v>0.0009686952868798168</v>
      </c>
      <c r="R127" s="15" t="n">
        <v>0.02356923678335105</v>
      </c>
      <c r="S127" s="15" t="n">
        <v>0.001797623209118469</v>
      </c>
      <c r="T127" s="29">
        <f>HIPERLINK($A$1 &amp; "\Dados\Imagem_perfil_127.png", "Imagem_perfil_127")</f>
        <v/>
      </c>
      <c r="U127" s="29">
        <f>HIPERLINK($A$1 &amp; "\Dados\Results_airgap127.txt", "Results_airgap127")</f>
        <v/>
      </c>
      <c r="V127" s="19" t="n"/>
      <c r="W127" s="15" t="n">
        <v>1.391066304347826</v>
      </c>
      <c r="X127" s="15" t="n">
        <v>0.6925758007218772</v>
      </c>
      <c r="Y127" s="15" t="n">
        <v>0.3235812162875366</v>
      </c>
      <c r="Z127" s="15" t="n">
        <v>0.09427730768790214</v>
      </c>
      <c r="AA127" s="15" t="n">
        <v>2.394892118776819</v>
      </c>
      <c r="AB127" s="15" t="n">
        <v>2.146144478709454</v>
      </c>
      <c r="AC127" s="15" t="n">
        <v>10.17364401402412</v>
      </c>
      <c r="AD127" s="15" t="n">
        <v>31.0626255426723</v>
      </c>
      <c r="AE127" s="15" t="n">
        <v>69.49346831034444</v>
      </c>
      <c r="AF127" s="15" t="n">
        <v>108.1328125720059</v>
      </c>
      <c r="AH127" s="29">
        <f>HIPERLINK($A$1 &amp; "\Dados\Magnet_fields.txt_127.txt.txt", "Magnet_fields.txt_127.txt")</f>
        <v/>
      </c>
      <c r="AI127" t="n">
        <v>9266</v>
      </c>
      <c r="AJ127" t="n">
        <v>29</v>
      </c>
      <c r="AK127" s="29">
        <f>HIPERLINK($A$1 &amp; "\Dados\Magnet_3D_results.txt_127.txt.txt", "Magnet_3D_results.txt_127.txt")</f>
        <v/>
      </c>
      <c r="AL127" s="29">
        <f>HIPERLINK($A$1 &amp; "\Dados\Magnet_fields_2D.txt_127.txt.txt", "Magnet_fields_2D.txt_127.txt")</f>
        <v/>
      </c>
    </row>
    <row customHeight="1" ht="15.75" r="128" s="34">
      <c r="E128" s="15" t="n">
        <v>120</v>
      </c>
      <c r="F128" s="15" t="n">
        <v>170</v>
      </c>
      <c r="G128" s="15" t="n">
        <v>350</v>
      </c>
      <c r="H128" s="15" t="n">
        <v>22</v>
      </c>
      <c r="I128" s="15" t="n">
        <v>142</v>
      </c>
      <c r="J128" s="13" t="n">
        <v>25</v>
      </c>
      <c r="K128" t="n">
        <v>35</v>
      </c>
      <c r="L128" s="13" t="n">
        <v>1.8</v>
      </c>
      <c r="M128" s="12" t="n"/>
      <c r="N128" s="8" t="n">
        <v>1.091147877639416</v>
      </c>
      <c r="O128" s="15" t="n">
        <v>0.8358773916759182</v>
      </c>
      <c r="P128" s="15" t="n">
        <v>1.00772063815246</v>
      </c>
      <c r="Q128" s="15" t="n">
        <v>0.0009686952868798168</v>
      </c>
      <c r="R128" s="15" t="n">
        <v>0.02356923678335104</v>
      </c>
      <c r="S128" s="15" t="n">
        <v>0.001797623209118469</v>
      </c>
      <c r="T128" s="29">
        <f>HIPERLINK($A$1 &amp; "\Dados\Imagem_perfil_128.png", "Imagem_perfil_128")</f>
        <v/>
      </c>
      <c r="U128" s="29">
        <f>HIPERLINK($A$1 &amp; "\Dados\Results_airgap128.txt", "Results_airgap128")</f>
        <v/>
      </c>
      <c r="V128" s="19" t="n"/>
      <c r="W128" s="15" t="n">
        <v>1.394092391304348</v>
      </c>
      <c r="X128" s="15" t="n">
        <v>0.6925758007218772</v>
      </c>
      <c r="Y128" s="15" t="n">
        <v>0.4173484715383807</v>
      </c>
      <c r="Z128" s="15" t="n">
        <v>0.09427730768790214</v>
      </c>
      <c r="AA128" s="15" t="n">
        <v>2.394892118776819</v>
      </c>
      <c r="AB128" s="15" t="n">
        <v>2.457760915153631</v>
      </c>
      <c r="AC128" s="15" t="n">
        <v>10.85648018879264</v>
      </c>
      <c r="AD128" s="15" t="n">
        <v>31.63218582622873</v>
      </c>
      <c r="AE128" s="15" t="n">
        <v>69.7541482816205</v>
      </c>
      <c r="AF128" s="15" t="n">
        <v>108.1883820745166</v>
      </c>
      <c r="AH128" s="29">
        <f>HIPERLINK($A$1 &amp; "\Dados\Magnet_fields.txt_128.txt.txt", "Magnet_fields.txt_128.txt")</f>
        <v/>
      </c>
      <c r="AI128" t="n">
        <v>9266</v>
      </c>
      <c r="AJ128" t="n">
        <v>29</v>
      </c>
      <c r="AK128" s="29">
        <f>HIPERLINK($A$1 &amp; "\Dados\Magnet_3D_results.txt_128.txt.txt", "Magnet_3D_results.txt_128.txt")</f>
        <v/>
      </c>
      <c r="AL128" s="29">
        <f>HIPERLINK($A$1 &amp; "\Dados\Magnet_fields_2D.txt_128.txt.txt", "Magnet_fields_2D.txt_128.txt")</f>
        <v/>
      </c>
    </row>
    <row customHeight="1" ht="15.75" r="129" s="34">
      <c r="E129" s="15" t="n">
        <v>120</v>
      </c>
      <c r="F129" s="15" t="n">
        <v>170</v>
      </c>
      <c r="G129" s="15" t="n">
        <v>350</v>
      </c>
      <c r="H129" s="15" t="n">
        <v>22</v>
      </c>
      <c r="I129" s="15" t="n">
        <v>142</v>
      </c>
      <c r="J129" s="13" t="n">
        <v>25</v>
      </c>
      <c r="K129" t="n">
        <v>35</v>
      </c>
      <c r="L129" s="13" t="n">
        <v>1.900000000000001</v>
      </c>
      <c r="M129" s="12" t="n"/>
      <c r="N129" s="8" t="n">
        <v>1.094336191217797</v>
      </c>
      <c r="O129" s="15" t="n">
        <v>0.8384678465834488</v>
      </c>
      <c r="P129" s="15" t="n">
        <v>1.010882510448536</v>
      </c>
      <c r="Q129" s="15" t="n">
        <v>0.0009690854086740555</v>
      </c>
      <c r="R129" s="15" t="n">
        <v>0.02372682557011076</v>
      </c>
      <c r="S129" s="15" t="n">
        <v>0.001801448856427729</v>
      </c>
      <c r="T129" s="29">
        <f>HIPERLINK($A$1 &amp; "\Dados\Imagem_perfil_129.png", "Imagem_perfil_129")</f>
        <v/>
      </c>
      <c r="U129" s="29">
        <f>HIPERLINK($A$1 &amp; "\Dados\Results_airgap129.txt", "Results_airgap129")</f>
        <v/>
      </c>
      <c r="V129" s="19" t="n"/>
      <c r="W129" s="15" t="n">
        <v>1.396199782608696</v>
      </c>
      <c r="X129" s="15" t="n">
        <v>0.6947771223105694</v>
      </c>
      <c r="Y129" s="15" t="n">
        <v>0.5121973659008527</v>
      </c>
      <c r="Z129" s="15" t="n">
        <v>0.08592666236653594</v>
      </c>
      <c r="AA129" s="15" t="n">
        <v>2.237493767495181</v>
      </c>
      <c r="AB129" s="15" t="n">
        <v>2.670537008118149</v>
      </c>
      <c r="AC129" s="15" t="n">
        <v>11.34905491720192</v>
      </c>
      <c r="AD129" s="15" t="n">
        <v>32.03848077535348</v>
      </c>
      <c r="AE129" s="15" t="n">
        <v>69.93779698338086</v>
      </c>
      <c r="AF129" s="15" t="n">
        <v>108.2194380312209</v>
      </c>
      <c r="AH129" s="29">
        <f>HIPERLINK($A$1 &amp; "\Dados\Magnet_fields.txt_129.txt.txt", "Magnet_fields.txt_129.txt")</f>
        <v/>
      </c>
      <c r="AI129" t="n">
        <v>9266</v>
      </c>
      <c r="AJ129" t="n">
        <v>29</v>
      </c>
      <c r="AK129" s="29">
        <f>HIPERLINK($A$1 &amp; "\Dados\Magnet_3D_results.txt_129.txt.txt", "Magnet_3D_results.txt_129.txt")</f>
        <v/>
      </c>
      <c r="AL129" s="29">
        <f>HIPERLINK($A$1 &amp; "\Dados\Magnet_fields_2D.txt_129.txt.txt", "Magnet_fields_2D.txt_129.txt")</f>
        <v/>
      </c>
    </row>
    <row customHeight="1" ht="15.75" r="130" s="34">
      <c r="E130" s="15" t="n">
        <v>120</v>
      </c>
      <c r="F130" s="15" t="n">
        <v>170</v>
      </c>
      <c r="G130" s="15" t="n">
        <v>350</v>
      </c>
      <c r="H130" s="15" t="n">
        <v>22</v>
      </c>
      <c r="I130" s="15" t="n">
        <v>142</v>
      </c>
      <c r="J130" s="13" t="n">
        <v>25</v>
      </c>
      <c r="K130" t="n">
        <v>35</v>
      </c>
      <c r="L130" s="13" t="n">
        <v>2.000000000000001</v>
      </c>
      <c r="M130" s="12" t="n"/>
      <c r="N130" s="8" t="n">
        <v>1.095352871565024</v>
      </c>
      <c r="O130" s="15" t="n">
        <v>0.8392667941739486</v>
      </c>
      <c r="P130" s="15" t="n">
        <v>1.011794013050748</v>
      </c>
      <c r="Q130" s="15" t="n">
        <v>0.000968114288371958</v>
      </c>
      <c r="R130" s="15" t="n">
        <v>0.02386972390400112</v>
      </c>
      <c r="S130" s="15" t="n">
        <v>0.001803705986255144</v>
      </c>
      <c r="T130" s="29">
        <f>HIPERLINK($A$1 &amp; "\Dados\Imagem_perfil_130.png", "Imagem_perfil_130")</f>
        <v/>
      </c>
      <c r="U130" s="29">
        <f>HIPERLINK($A$1 &amp; "\Dados\Results_airgap130.txt", "Results_airgap130")</f>
        <v/>
      </c>
      <c r="V130" s="19" t="n"/>
      <c r="W130" s="15" t="n">
        <v>1.397759782608696</v>
      </c>
      <c r="X130" s="15" t="n">
        <v>0.6955113508339812</v>
      </c>
      <c r="Y130" s="15" t="n">
        <v>0.6064267758912547</v>
      </c>
      <c r="Z130" s="15" t="n">
        <v>0.08592666236653594</v>
      </c>
      <c r="AA130" s="15" t="n">
        <v>2.072467345600735</v>
      </c>
      <c r="AB130" s="15" t="n">
        <v>2.853203167028928</v>
      </c>
      <c r="AC130" s="15" t="n">
        <v>11.70612864467126</v>
      </c>
      <c r="AD130" s="15" t="n">
        <v>32.33937966514841</v>
      </c>
      <c r="AE130" s="15" t="n">
        <v>70.09493586795155</v>
      </c>
      <c r="AF130" s="15" t="n">
        <v>108.267173361166</v>
      </c>
      <c r="AH130" s="29">
        <f>HIPERLINK($A$1 &amp; "\Dados\Magnet_fields.txt_130.txt.txt", "Magnet_fields.txt_130.txt")</f>
        <v/>
      </c>
      <c r="AI130" t="n">
        <v>9266</v>
      </c>
      <c r="AJ130" t="n">
        <v>29</v>
      </c>
      <c r="AK130" s="29">
        <f>HIPERLINK($A$1 &amp; "\Dados\Magnet_3D_results.txt_130.txt.txt", "Magnet_3D_results.txt_130.txt")</f>
        <v/>
      </c>
      <c r="AL130" s="29">
        <f>HIPERLINK($A$1 &amp; "\Dados\Magnet_fields_2D.txt_130.txt.txt", "Magnet_fields_2D.txt_130.txt")</f>
        <v/>
      </c>
    </row>
    <row customHeight="1" ht="15.75" r="131" s="34">
      <c r="E131" s="15" t="n">
        <v>120</v>
      </c>
      <c r="F131" s="15" t="n">
        <v>170</v>
      </c>
      <c r="G131" s="15" t="n">
        <v>350</v>
      </c>
      <c r="H131" s="15" t="n">
        <v>22</v>
      </c>
      <c r="I131" s="15" t="n">
        <v>142</v>
      </c>
      <c r="J131" s="13" t="n">
        <v>25</v>
      </c>
      <c r="K131" t="n">
        <v>35</v>
      </c>
      <c r="L131" s="13" t="n">
        <v>2.100000000000001</v>
      </c>
      <c r="M131" s="12" t="n"/>
      <c r="N131" s="8" t="n">
        <v>1.095352871565024</v>
      </c>
      <c r="O131" s="15" t="n">
        <v>0.8392667941739487</v>
      </c>
      <c r="P131" s="15" t="n">
        <v>1.011794013050748</v>
      </c>
      <c r="Q131" s="15" t="n">
        <v>0.000968114288371958</v>
      </c>
      <c r="R131" s="15" t="n">
        <v>0.02386972390400112</v>
      </c>
      <c r="S131" s="15" t="n">
        <v>0.001803705986255144</v>
      </c>
      <c r="T131" s="29">
        <f>HIPERLINK($A$1 &amp; "\Dados\Imagem_perfil_131.png", "Imagem_perfil_131")</f>
        <v/>
      </c>
      <c r="U131" s="29">
        <f>HIPERLINK($A$1 &amp; "\Dados\Results_airgap131.txt", "Results_airgap131")</f>
        <v/>
      </c>
      <c r="V131" s="19" t="n"/>
      <c r="W131" s="15" t="n">
        <v>1.398910434782608</v>
      </c>
      <c r="X131" s="15" t="n">
        <v>0.6955113508339814</v>
      </c>
      <c r="Y131" s="15" t="n">
        <v>0.6989301899614913</v>
      </c>
      <c r="Z131" s="15" t="n">
        <v>0.08592666236653594</v>
      </c>
      <c r="AA131" s="15" t="n">
        <v>2.072467345600735</v>
      </c>
      <c r="AB131" s="15" t="n">
        <v>2.940346453292363</v>
      </c>
      <c r="AC131" s="15" t="n">
        <v>11.97431357311363</v>
      </c>
      <c r="AD131" s="15" t="n">
        <v>32.58214054133901</v>
      </c>
      <c r="AE131" s="15" t="n">
        <v>70.21357515492494</v>
      </c>
      <c r="AF131" s="15" t="n">
        <v>108.2951234281116</v>
      </c>
      <c r="AH131" s="29">
        <f>HIPERLINK($A$1 &amp; "\Dados\Magnet_fields.txt_131.txt.txt", "Magnet_fields.txt_131.txt")</f>
        <v/>
      </c>
      <c r="AI131" t="n">
        <v>9266</v>
      </c>
      <c r="AJ131" t="n">
        <v>29</v>
      </c>
      <c r="AK131" s="29">
        <f>HIPERLINK($A$1 &amp; "\Dados\Magnet_3D_results.txt_131.txt.txt", "Magnet_3D_results.txt_131.txt")</f>
        <v/>
      </c>
      <c r="AL131" s="29">
        <f>HIPERLINK($A$1 &amp; "\Dados\Magnet_fields_2D.txt_131.txt.txt", "Magnet_fields_2D.txt_131.txt")</f>
        <v/>
      </c>
    </row>
    <row customHeight="1" ht="15.75" r="132" s="34">
      <c r="E132" s="15" t="n">
        <v>120</v>
      </c>
      <c r="F132" s="15" t="n">
        <v>170</v>
      </c>
      <c r="G132" s="15" t="n">
        <v>350</v>
      </c>
      <c r="H132" s="15" t="n">
        <v>24</v>
      </c>
      <c r="I132" s="15" t="n">
        <v>142</v>
      </c>
      <c r="J132" s="13" t="n">
        <v>25</v>
      </c>
      <c r="K132" t="n">
        <v>35</v>
      </c>
      <c r="L132" s="13" t="n">
        <v>1.3</v>
      </c>
      <c r="M132" s="12" t="n"/>
      <c r="N132" s="8" t="n">
        <v>1.043845979467642</v>
      </c>
      <c r="O132" s="15" t="n">
        <v>0.8002899624381833</v>
      </c>
      <c r="P132" s="15" t="n">
        <v>0.9662900453541091</v>
      </c>
      <c r="Q132" s="15" t="n">
        <v>0.001000536360012356</v>
      </c>
      <c r="R132" s="15" t="n">
        <v>0.02143605219039321</v>
      </c>
      <c r="S132" s="15" t="n">
        <v>0.001844836370203128</v>
      </c>
      <c r="T132" s="29">
        <f>HIPERLINK($A$1 &amp; "\Dados\Imagem_perfil_132.png", "Imagem_perfil_132")</f>
        <v/>
      </c>
      <c r="U132" s="29">
        <f>HIPERLINK($A$1 &amp; "\Dados\Results_airgap132.txt", "Results_airgap132")</f>
        <v/>
      </c>
      <c r="V132" s="19" t="n"/>
      <c r="W132" s="43" t="n">
        <v>1.332192173913043</v>
      </c>
      <c r="X132" s="15" t="n">
        <v>0.6549559513101173</v>
      </c>
      <c r="Y132" s="15" t="n">
        <v>0.03211536239681034</v>
      </c>
      <c r="Z132" s="15" t="n">
        <v>0.3476910650435213</v>
      </c>
      <c r="AA132" s="15" t="n">
        <v>3.94323076034281</v>
      </c>
      <c r="AB132" s="15" t="n">
        <v>0</v>
      </c>
      <c r="AC132" s="15" t="n">
        <v>0</v>
      </c>
      <c r="AD132" s="15" t="n">
        <v>20.55439248640094</v>
      </c>
      <c r="AE132" s="15" t="n">
        <v>64.56516420324296</v>
      </c>
      <c r="AF132" s="15" t="n">
        <v>106.8556825666553</v>
      </c>
      <c r="AH132" s="29">
        <f>HIPERLINK($A$1 &amp; "\Dados\Magnet_fields.txt_132.txt.txt", "Magnet_fields.txt_132.txt")</f>
        <v/>
      </c>
      <c r="AI132" t="n">
        <v>9743</v>
      </c>
      <c r="AJ132" t="n">
        <v>29</v>
      </c>
      <c r="AK132" s="29">
        <f>HIPERLINK($A$1 &amp; "\Dados\Magnet_3D_results.txt_132.txt.txt", "Magnet_3D_results.txt_132.txt")</f>
        <v/>
      </c>
      <c r="AL132" s="29">
        <f>HIPERLINK($A$1 &amp; "\Dados\Magnet_fields_2D.txt_132.txt.txt", "Magnet_fields_2D.txt_132.txt")</f>
        <v/>
      </c>
    </row>
    <row customHeight="1" ht="15.75" r="133" s="34">
      <c r="E133" s="15" t="n">
        <v>120</v>
      </c>
      <c r="F133" s="15" t="n">
        <v>170</v>
      </c>
      <c r="G133" s="15" t="n">
        <v>350</v>
      </c>
      <c r="H133" s="15" t="n">
        <v>24</v>
      </c>
      <c r="I133" s="15" t="n">
        <v>142</v>
      </c>
      <c r="J133" s="13" t="n">
        <v>25</v>
      </c>
      <c r="K133" t="n">
        <v>35</v>
      </c>
      <c r="L133" s="13" t="n">
        <v>1.4</v>
      </c>
      <c r="M133" s="12" t="n"/>
      <c r="N133" s="8" t="n">
        <v>1.069284007076944</v>
      </c>
      <c r="O133" s="15" t="n">
        <v>0.8202960831036618</v>
      </c>
      <c r="P133" s="15" t="n">
        <v>0.9898222975395393</v>
      </c>
      <c r="Q133" s="15" t="n">
        <v>0.001002215687461235</v>
      </c>
      <c r="R133" s="15" t="n">
        <v>0.02280535513315456</v>
      </c>
      <c r="S133" s="15" t="n">
        <v>0.001881013599750046</v>
      </c>
      <c r="T133" s="29">
        <f>HIPERLINK($A$1 &amp; "\Dados\Imagem_perfil_133.png", "Imagem_perfil_133")</f>
        <v/>
      </c>
      <c r="U133" s="29">
        <f>HIPERLINK($A$1 &amp; "\Dados\Results_airgap133.txt", "Results_airgap133")</f>
        <v/>
      </c>
      <c r="V133" s="19" t="n"/>
      <c r="W133" s="43" t="n">
        <v>1.363184347826087</v>
      </c>
      <c r="X133" s="15" t="n">
        <v>0.6721010346504243</v>
      </c>
      <c r="Y133" s="15" t="n">
        <v>0.0812853896647332</v>
      </c>
      <c r="Z133" s="15" t="n">
        <v>0.2078115976176274</v>
      </c>
      <c r="AA133" s="15" t="n">
        <v>2.768844332577411</v>
      </c>
      <c r="AB133" s="15" t="n">
        <v>0</v>
      </c>
      <c r="AC133" s="15" t="n">
        <v>4.372845502776513</v>
      </c>
      <c r="AD133" s="15" t="n">
        <v>26.44935858277083</v>
      </c>
      <c r="AE133" s="15" t="n">
        <v>67.3056842330582</v>
      </c>
      <c r="AF133" s="15" t="n">
        <v>107.7247302499969</v>
      </c>
      <c r="AH133" s="29">
        <f>HIPERLINK($A$1 &amp; "\Dados\Magnet_fields.txt_133.txt.txt", "Magnet_fields.txt_133.txt")</f>
        <v/>
      </c>
      <c r="AI133" t="n">
        <v>9743</v>
      </c>
      <c r="AJ133" t="n">
        <v>30</v>
      </c>
      <c r="AK133" s="29">
        <f>HIPERLINK($A$1 &amp; "\Dados\Magnet_3D_results.txt_133.txt.txt", "Magnet_3D_results.txt_133.txt")</f>
        <v/>
      </c>
      <c r="AL133" s="29">
        <f>HIPERLINK($A$1 &amp; "\Dados\Magnet_fields_2D.txt_133.txt.txt", "Magnet_fields_2D.txt_133.txt")</f>
        <v/>
      </c>
    </row>
    <row customHeight="1" ht="15.75" r="134" s="34">
      <c r="E134" s="15" t="n">
        <v>120</v>
      </c>
      <c r="F134" s="15" t="n">
        <v>170</v>
      </c>
      <c r="G134" s="15" t="n">
        <v>350</v>
      </c>
      <c r="H134" s="15" t="n">
        <v>24</v>
      </c>
      <c r="I134" s="15" t="n">
        <v>142</v>
      </c>
      <c r="J134" s="13" t="n">
        <v>25</v>
      </c>
      <c r="K134" t="n">
        <v>35</v>
      </c>
      <c r="L134" s="13" t="n">
        <v>1.5</v>
      </c>
      <c r="M134" s="12" t="n"/>
      <c r="N134" s="8" t="n">
        <v>1.079807924586918</v>
      </c>
      <c r="O134" s="15" t="n">
        <v>0.8285926937344749</v>
      </c>
      <c r="P134" s="15" t="n">
        <v>0.9997873933989649</v>
      </c>
      <c r="Q134" s="15" t="n">
        <v>0.001003412106999045</v>
      </c>
      <c r="R134" s="15" t="n">
        <v>0.02330506595034583</v>
      </c>
      <c r="S134" s="15" t="n">
        <v>0.00189452200434566</v>
      </c>
      <c r="T134" s="29">
        <f>HIPERLINK($A$1 &amp; "\Dados\Imagem_perfil_134.png", "Imagem_perfil_134")</f>
        <v/>
      </c>
      <c r="U134" s="29">
        <f>HIPERLINK($A$1 &amp; "\Dados\Results_airgap134.txt", "Results_airgap134")</f>
        <v/>
      </c>
      <c r="V134" s="19" t="n"/>
      <c r="W134" s="43" t="n">
        <v>1.37855347826087</v>
      </c>
      <c r="X134" s="15" t="n">
        <v>0.6792077640928467</v>
      </c>
      <c r="Y134" s="15" t="n">
        <v>0.1508399465923088</v>
      </c>
      <c r="Z134" s="15" t="n">
        <v>0.1635950538068535</v>
      </c>
      <c r="AA134" s="15" t="n">
        <v>2.391028584025507</v>
      </c>
      <c r="AB134" s="15" t="n">
        <v>0.8831730333930129</v>
      </c>
      <c r="AC134" s="15" t="n">
        <v>7.504269862223697</v>
      </c>
      <c r="AD134" s="15" t="n">
        <v>28.90300621464157</v>
      </c>
      <c r="AE134" s="15" t="n">
        <v>68.45152105854635</v>
      </c>
      <c r="AF134" s="15" t="n">
        <v>107.9625026184265</v>
      </c>
      <c r="AH134" s="29">
        <f>HIPERLINK($A$1 &amp; "\Dados\Magnet_fields.txt_134.txt.txt", "Magnet_fields.txt_134.txt")</f>
        <v/>
      </c>
      <c r="AI134" t="n">
        <v>9743</v>
      </c>
      <c r="AJ134" t="n">
        <v>30</v>
      </c>
      <c r="AK134" s="29">
        <f>HIPERLINK($A$1 &amp; "\Dados\Magnet_3D_results.txt_134.txt.txt", "Magnet_3D_results.txt_134.txt")</f>
        <v/>
      </c>
      <c r="AL134" s="29">
        <f>HIPERLINK($A$1 &amp; "\Dados\Magnet_fields_2D.txt_134.txt.txt", "Magnet_fields_2D.txt_134.txt")</f>
        <v/>
      </c>
    </row>
    <row customHeight="1" ht="15.75" r="135" s="34">
      <c r="E135" s="15" t="n">
        <v>120</v>
      </c>
      <c r="F135" s="15" t="n">
        <v>170</v>
      </c>
      <c r="G135" s="15" t="n">
        <v>350</v>
      </c>
      <c r="H135" s="15" t="n">
        <v>24</v>
      </c>
      <c r="I135" s="15" t="n">
        <v>142</v>
      </c>
      <c r="J135" s="13" t="n">
        <v>25</v>
      </c>
      <c r="K135" t="n">
        <v>35</v>
      </c>
      <c r="L135" s="13" t="n">
        <v>1.6</v>
      </c>
      <c r="M135" s="12" t="n"/>
      <c r="N135" s="8" t="n">
        <v>1.088905378991575</v>
      </c>
      <c r="O135" s="15" t="n">
        <v>0.8357808113572404</v>
      </c>
      <c r="P135" s="15" t="n">
        <v>1.008310547046456</v>
      </c>
      <c r="Q135" s="15" t="n">
        <v>0.00100219369005649</v>
      </c>
      <c r="R135" s="15" t="n">
        <v>0.02384367947822718</v>
      </c>
      <c r="S135" s="15" t="n">
        <v>0.001906507655624611</v>
      </c>
      <c r="T135" s="29">
        <f>HIPERLINK($A$1 &amp; "\Dados\Imagem_perfil_135.png", "Imagem_perfil_135")</f>
        <v/>
      </c>
      <c r="U135" s="29">
        <f>HIPERLINK($A$1 &amp; "\Dados\Results_airgap135.txt", "Results_airgap135")</f>
        <v/>
      </c>
      <c r="V135" s="19" t="n"/>
      <c r="W135" s="15" t="n">
        <v>1.38644</v>
      </c>
      <c r="X135" s="15" t="n">
        <v>0.6854027942453265</v>
      </c>
      <c r="Y135" s="15" t="n">
        <v>0.2334520034587728</v>
      </c>
      <c r="Z135" s="15" t="n">
        <v>0.1152462953864655</v>
      </c>
      <c r="AA135" s="15" t="n">
        <v>1.956962038557255</v>
      </c>
      <c r="AB135" s="15" t="n">
        <v>1.664362918425981</v>
      </c>
      <c r="AC135" s="15" t="n">
        <v>9.164806615451607</v>
      </c>
      <c r="AD135" s="15" t="n">
        <v>30.2277335248119</v>
      </c>
      <c r="AE135" s="15" t="n">
        <v>69.09128360855853</v>
      </c>
      <c r="AF135" s="15" t="n">
        <v>108.0435214914548</v>
      </c>
      <c r="AH135" s="29">
        <f>HIPERLINK($A$1 &amp; "\Dados\Magnet_fields.txt_135.txt.txt", "Magnet_fields.txt_135.txt")</f>
        <v/>
      </c>
      <c r="AI135" t="n">
        <v>9743</v>
      </c>
      <c r="AJ135" t="n">
        <v>29</v>
      </c>
      <c r="AK135" s="29">
        <f>HIPERLINK($A$1 &amp; "\Dados\Magnet_3D_results.txt_135.txt.txt", "Magnet_3D_results.txt_135.txt")</f>
        <v/>
      </c>
      <c r="AL135" s="29">
        <f>HIPERLINK($A$1 &amp; "\Dados\Magnet_fields_2D.txt_135.txt.txt", "Magnet_fields_2D.txt_135.txt")</f>
        <v/>
      </c>
    </row>
    <row customHeight="1" ht="15.75" r="136" s="34">
      <c r="E136" s="15" t="n">
        <v>120</v>
      </c>
      <c r="F136" s="15" t="n">
        <v>170</v>
      </c>
      <c r="G136" s="15" t="n">
        <v>350</v>
      </c>
      <c r="H136" s="15" t="n">
        <v>24</v>
      </c>
      <c r="I136" s="15" t="n">
        <v>142</v>
      </c>
      <c r="J136" s="13" t="n">
        <v>25</v>
      </c>
      <c r="K136" t="n">
        <v>35</v>
      </c>
      <c r="L136" s="13" t="n">
        <v>1.7</v>
      </c>
      <c r="M136" s="12" t="n"/>
      <c r="N136" s="8" t="n">
        <v>1.092899348588947</v>
      </c>
      <c r="O136" s="15" t="n">
        <v>0.8389022224689604</v>
      </c>
      <c r="P136" s="15" t="n">
        <v>1.012054746748087</v>
      </c>
      <c r="Q136" s="15" t="n">
        <v>0.001002808338884038</v>
      </c>
      <c r="R136" s="15" t="n">
        <v>0.02400956633319858</v>
      </c>
      <c r="S136" s="15" t="n">
        <v>0.001911073640262945</v>
      </c>
      <c r="T136" s="29">
        <f>HIPERLINK($A$1 &amp; "\Dados\Imagem_perfil_136.png", "Imagem_perfil_136")</f>
        <v/>
      </c>
      <c r="U136" s="29">
        <f>HIPERLINK($A$1 &amp; "\Dados\Results_airgap136.txt", "Results_airgap136")</f>
        <v/>
      </c>
      <c r="V136" s="19" t="n"/>
      <c r="W136" s="15" t="n">
        <v>1.391249782608696</v>
      </c>
      <c r="X136" s="15" t="n">
        <v>0.6880855269934828</v>
      </c>
      <c r="Y136" s="15" t="n">
        <v>0.3235616498143405</v>
      </c>
      <c r="Z136" s="15" t="n">
        <v>0.1004356006977592</v>
      </c>
      <c r="AA136" s="15" t="n">
        <v>1.817113552005476</v>
      </c>
      <c r="AB136" s="15" t="n">
        <v>2.151751463472078</v>
      </c>
      <c r="AC136" s="15" t="n">
        <v>10.18183907754379</v>
      </c>
      <c r="AD136" s="15" t="n">
        <v>31.11113244729862</v>
      </c>
      <c r="AE136" s="15" t="n">
        <v>69.54056411825245</v>
      </c>
      <c r="AF136" s="15" t="n">
        <v>108.1214985568626</v>
      </c>
      <c r="AH136" s="29">
        <f>HIPERLINK($A$1 &amp; "\Dados\Magnet_fields.txt_136.txt.txt", "Magnet_fields.txt_136.txt")</f>
        <v/>
      </c>
      <c r="AI136" t="n">
        <v>9743</v>
      </c>
      <c r="AJ136" t="n">
        <v>29</v>
      </c>
      <c r="AK136" s="29">
        <f>HIPERLINK($A$1 &amp; "\Dados\Magnet_3D_results.txt_136.txt.txt", "Magnet_3D_results.txt_136.txt")</f>
        <v/>
      </c>
      <c r="AL136" s="29">
        <f>HIPERLINK($A$1 &amp; "\Dados\Magnet_fields_2D.txt_136.txt.txt", "Magnet_fields_2D.txt_136.txt")</f>
        <v/>
      </c>
    </row>
    <row customHeight="1" ht="15.75" r="137" s="34">
      <c r="E137" s="15" t="n">
        <v>120</v>
      </c>
      <c r="F137" s="15" t="n">
        <v>170</v>
      </c>
      <c r="G137" s="15" t="n">
        <v>350</v>
      </c>
      <c r="H137" s="15" t="n">
        <v>24</v>
      </c>
      <c r="I137" s="15" t="n">
        <v>142</v>
      </c>
      <c r="J137" s="13" t="n">
        <v>25</v>
      </c>
      <c r="K137" t="n">
        <v>35</v>
      </c>
      <c r="L137" s="13" t="n">
        <v>1.8</v>
      </c>
      <c r="M137" s="12" t="n"/>
      <c r="N137" s="8" t="n">
        <v>1.092899348588947</v>
      </c>
      <c r="O137" s="15" t="n">
        <v>0.8389022224689604</v>
      </c>
      <c r="P137" s="15" t="n">
        <v>1.012054746748087</v>
      </c>
      <c r="Q137" s="15" t="n">
        <v>0.001002808338884038</v>
      </c>
      <c r="R137" s="15" t="n">
        <v>0.02400956633319857</v>
      </c>
      <c r="S137" s="15" t="n">
        <v>0.001911073640262945</v>
      </c>
      <c r="T137" s="29">
        <f>HIPERLINK($A$1 &amp; "\Dados\Imagem_perfil_137.png", "Imagem_perfil_137")</f>
        <v/>
      </c>
      <c r="U137" s="29">
        <f>HIPERLINK($A$1 &amp; "\Dados\Results_airgap137.txt", "Results_airgap137")</f>
        <v/>
      </c>
      <c r="V137" s="19" t="n"/>
      <c r="W137" s="15" t="n">
        <v>1.394102173913044</v>
      </c>
      <c r="X137" s="15" t="n">
        <v>0.6880855269934828</v>
      </c>
      <c r="Y137" s="15" t="n">
        <v>0.4173271382268315</v>
      </c>
      <c r="Z137" s="15" t="n">
        <v>0.1004356006977592</v>
      </c>
      <c r="AA137" s="15" t="n">
        <v>1.817113552005476</v>
      </c>
      <c r="AB137" s="15" t="n">
        <v>2.463491155668055</v>
      </c>
      <c r="AC137" s="15" t="n">
        <v>10.85292412365011</v>
      </c>
      <c r="AD137" s="15" t="n">
        <v>31.62856162239989</v>
      </c>
      <c r="AE137" s="15" t="n">
        <v>69.7551473000035</v>
      </c>
      <c r="AF137" s="15" t="n">
        <v>108.1886921211046</v>
      </c>
      <c r="AH137" s="29">
        <f>HIPERLINK($A$1 &amp; "\Dados\Magnet_fields.txt_137.txt.txt", "Magnet_fields.txt_137.txt")</f>
        <v/>
      </c>
      <c r="AI137" t="n">
        <v>9743</v>
      </c>
      <c r="AJ137" t="n">
        <v>29</v>
      </c>
      <c r="AK137" s="29">
        <f>HIPERLINK($A$1 &amp; "\Dados\Magnet_3D_results.txt_137.txt.txt", "Magnet_3D_results.txt_137.txt")</f>
        <v/>
      </c>
      <c r="AL137" s="29">
        <f>HIPERLINK($A$1 &amp; "\Dados\Magnet_fields_2D.txt_137.txt.txt", "Magnet_fields_2D.txt_137.txt")</f>
        <v/>
      </c>
    </row>
    <row customHeight="1" ht="15.75" r="138" s="34">
      <c r="E138" s="15" t="n">
        <v>120</v>
      </c>
      <c r="F138" s="15" t="n">
        <v>170</v>
      </c>
      <c r="G138" s="15" t="n">
        <v>350</v>
      </c>
      <c r="H138" s="15" t="n">
        <v>24</v>
      </c>
      <c r="I138" s="15" t="n">
        <v>142</v>
      </c>
      <c r="J138" s="13" t="n">
        <v>25</v>
      </c>
      <c r="K138" t="n">
        <v>35</v>
      </c>
      <c r="L138" s="13" t="n">
        <v>1.900000000000001</v>
      </c>
      <c r="M138" s="12" t="n"/>
      <c r="N138" s="8" t="n">
        <v>1.096067190884368</v>
      </c>
      <c r="O138" s="15" t="n">
        <v>0.8414094302180614</v>
      </c>
      <c r="P138" s="15" t="n">
        <v>1.015046115825523</v>
      </c>
      <c r="Q138" s="15" t="n">
        <v>0.001003164724616895</v>
      </c>
      <c r="R138" s="15" t="n">
        <v>0.02416120555181715</v>
      </c>
      <c r="S138" s="15" t="n">
        <v>0.001915011708336335</v>
      </c>
      <c r="T138" s="29">
        <f>HIPERLINK($A$1 &amp; "\Dados\Imagem_perfil_138.png", "Imagem_perfil_138")</f>
        <v/>
      </c>
      <c r="U138" s="29">
        <f>HIPERLINK($A$1 &amp; "\Dados\Results_airgap138.txt", "Results_airgap138")</f>
        <v/>
      </c>
      <c r="V138" s="19" t="n"/>
      <c r="W138" s="15" t="n">
        <v>1.396167608695652</v>
      </c>
      <c r="X138" s="15" t="n">
        <v>0.6902575697642499</v>
      </c>
      <c r="Y138" s="15" t="n">
        <v>0.5121749925927924</v>
      </c>
      <c r="Z138" s="15" t="n">
        <v>0.1004356006977592</v>
      </c>
      <c r="AA138" s="15" t="n">
        <v>1.650197713405406</v>
      </c>
      <c r="AB138" s="15" t="n">
        <v>2.665576172197115</v>
      </c>
      <c r="AC138" s="15" t="n">
        <v>11.32716291166794</v>
      </c>
      <c r="AD138" s="15" t="n">
        <v>32.03758365388985</v>
      </c>
      <c r="AE138" s="15" t="n">
        <v>69.93488028072677</v>
      </c>
      <c r="AF138" s="15" t="n">
        <v>108.2134426798018</v>
      </c>
      <c r="AH138" s="29">
        <f>HIPERLINK($A$1 &amp; "\Dados\Magnet_fields.txt_138.txt.txt", "Magnet_fields.txt_138.txt")</f>
        <v/>
      </c>
      <c r="AI138" t="n">
        <v>9743</v>
      </c>
      <c r="AJ138" t="n">
        <v>29</v>
      </c>
      <c r="AK138" s="29">
        <f>HIPERLINK($A$1 &amp; "\Dados\Magnet_3D_results.txt_138.txt.txt", "Magnet_3D_results.txt_138.txt")</f>
        <v/>
      </c>
      <c r="AL138" s="29">
        <f>HIPERLINK($A$1 &amp; "\Dados\Magnet_fields_2D.txt_138.txt.txt", "Magnet_fields_2D.txt_138.txt")</f>
        <v/>
      </c>
    </row>
    <row customHeight="1" ht="15.75" r="139" s="34">
      <c r="E139" s="15" t="n">
        <v>120</v>
      </c>
      <c r="F139" s="15" t="n">
        <v>170</v>
      </c>
      <c r="G139" s="15" t="n">
        <v>350</v>
      </c>
      <c r="H139" s="15" t="n">
        <v>24</v>
      </c>
      <c r="I139" s="15" t="n">
        <v>142</v>
      </c>
      <c r="J139" s="13" t="n">
        <v>25</v>
      </c>
      <c r="K139" t="n">
        <v>35</v>
      </c>
      <c r="L139" s="13" t="n">
        <v>2.000000000000001</v>
      </c>
      <c r="M139" s="12" t="n"/>
      <c r="N139" s="8" t="n">
        <v>1.097073605505366</v>
      </c>
      <c r="O139" s="15" t="n">
        <v>0.8422192530420195</v>
      </c>
      <c r="P139" s="15" t="n">
        <v>1.015965223175561</v>
      </c>
      <c r="Q139" s="15" t="n">
        <v>0.001002095215607534</v>
      </c>
      <c r="R139" s="15" t="n">
        <v>0.02429856755107379</v>
      </c>
      <c r="S139" s="15" t="n">
        <v>0.001917285543045502</v>
      </c>
      <c r="T139" s="29">
        <f>HIPERLINK($A$1 &amp; "\Dados\Imagem_perfil_139.png", "Imagem_perfil_139")</f>
        <v/>
      </c>
      <c r="U139" s="29">
        <f>HIPERLINK($A$1 &amp; "\Dados\Results_airgap139.txt", "Results_airgap139")</f>
        <v/>
      </c>
      <c r="V139" s="19" t="n"/>
      <c r="W139" s="15" t="n">
        <v>1.397733260869565</v>
      </c>
      <c r="X139" s="15" t="n">
        <v>0.6909703013957393</v>
      </c>
      <c r="Y139" s="15" t="n">
        <v>0.6064037010727722</v>
      </c>
      <c r="Z139" s="15" t="n">
        <v>0.09686994904505199</v>
      </c>
      <c r="AA139" s="15" t="n">
        <v>1.533845672268562</v>
      </c>
      <c r="AB139" s="15" t="n">
        <v>2.79664808682465</v>
      </c>
      <c r="AC139" s="15" t="n">
        <v>11.7046464779722</v>
      </c>
      <c r="AD139" s="15" t="n">
        <v>32.3404737788002</v>
      </c>
      <c r="AE139" s="15" t="n">
        <v>70.09357733001636</v>
      </c>
      <c r="AF139" s="15" t="n">
        <v>108.2629911144974</v>
      </c>
      <c r="AH139" s="29">
        <f>HIPERLINK($A$1 &amp; "\Dados\Magnet_fields.txt_139.txt.txt", "Magnet_fields.txt_139.txt")</f>
        <v/>
      </c>
      <c r="AI139" t="n">
        <v>9743</v>
      </c>
      <c r="AJ139" t="n">
        <v>29</v>
      </c>
      <c r="AK139" s="29">
        <f>HIPERLINK($A$1 &amp; "\Dados\Magnet_3D_results.txt_139.txt.txt", "Magnet_3D_results.txt_139.txt")</f>
        <v/>
      </c>
      <c r="AL139" s="29">
        <f>HIPERLINK($A$1 &amp; "\Dados\Magnet_fields_2D.txt_139.txt.txt", "Magnet_fields_2D.txt_139.txt")</f>
        <v/>
      </c>
    </row>
    <row customHeight="1" ht="15.75" r="140" s="34">
      <c r="E140" s="15" t="n">
        <v>120</v>
      </c>
      <c r="F140" s="15" t="n">
        <v>170</v>
      </c>
      <c r="G140" s="15" t="n">
        <v>350</v>
      </c>
      <c r="H140" s="15" t="n">
        <v>24</v>
      </c>
      <c r="I140" s="15" t="n">
        <v>142</v>
      </c>
      <c r="J140" s="13" t="n">
        <v>25</v>
      </c>
      <c r="K140" t="n">
        <v>35</v>
      </c>
      <c r="L140" s="13" t="n">
        <v>2.100000000000001</v>
      </c>
      <c r="M140" s="12" t="n"/>
      <c r="N140" s="8" t="n">
        <v>1.097073605505366</v>
      </c>
      <c r="O140" s="15" t="n">
        <v>0.8422192530420193</v>
      </c>
      <c r="P140" s="15" t="n">
        <v>1.015965223175561</v>
      </c>
      <c r="Q140" s="15" t="n">
        <v>0.001002095215607534</v>
      </c>
      <c r="R140" s="15" t="n">
        <v>0.02429856755107378</v>
      </c>
      <c r="S140" s="15" t="n">
        <v>0.001917285543045502</v>
      </c>
      <c r="T140" s="29">
        <f>HIPERLINK($A$1 &amp; "\Dados\Imagem_perfil_140.png", "Imagem_perfil_140")</f>
        <v/>
      </c>
      <c r="U140" s="29">
        <f>HIPERLINK($A$1 &amp; "\Dados\Results_airgap140.txt", "Results_airgap140")</f>
        <v/>
      </c>
      <c r="V140" s="19" t="n"/>
      <c r="W140" s="15" t="n">
        <v>1.398931304347826</v>
      </c>
      <c r="X140" s="15" t="n">
        <v>0.6909703013957393</v>
      </c>
      <c r="Y140" s="15" t="n">
        <v>0.6989066768769936</v>
      </c>
      <c r="Z140" s="15" t="n">
        <v>0.09686994904505199</v>
      </c>
      <c r="AA140" s="15" t="n">
        <v>1.533845672268562</v>
      </c>
      <c r="AB140" s="15" t="n">
        <v>2.975597101558327</v>
      </c>
      <c r="AC140" s="15" t="n">
        <v>11.95779450287832</v>
      </c>
      <c r="AD140" s="15" t="n">
        <v>32.58042687392372</v>
      </c>
      <c r="AE140" s="15" t="n">
        <v>70.22595951161706</v>
      </c>
      <c r="AF140" s="15" t="n">
        <v>108.2843928772132</v>
      </c>
      <c r="AH140" s="29">
        <f>HIPERLINK($A$1 &amp; "\Dados\Magnet_fields.txt_140.txt.txt", "Magnet_fields.txt_140.txt")</f>
        <v/>
      </c>
      <c r="AI140" t="n">
        <v>9743</v>
      </c>
      <c r="AJ140" t="n">
        <v>30</v>
      </c>
      <c r="AK140" s="29">
        <f>HIPERLINK($A$1 &amp; "\Dados\Magnet_3D_results.txt_140.txt.txt", "Magnet_3D_results.txt_140.txt")</f>
        <v/>
      </c>
      <c r="AL140" s="29">
        <f>HIPERLINK($A$1 &amp; "\Dados\Magnet_fields_2D.txt_140.txt.txt", "Magnet_fields_2D.txt_140.txt")</f>
        <v/>
      </c>
    </row>
    <row customHeight="1" ht="15.75" r="141" s="34">
      <c r="E141" s="15" t="n">
        <v>120</v>
      </c>
      <c r="F141" s="15" t="n">
        <v>170</v>
      </c>
      <c r="G141" s="15" t="n">
        <v>350</v>
      </c>
      <c r="H141" s="15" t="n">
        <v>26</v>
      </c>
      <c r="I141" s="15" t="n">
        <v>142</v>
      </c>
      <c r="J141" s="13" t="n">
        <v>25</v>
      </c>
      <c r="K141" t="n">
        <v>35</v>
      </c>
      <c r="L141" s="13" t="n">
        <v>1.3</v>
      </c>
      <c r="M141" s="12" t="n"/>
      <c r="N141" s="8" t="n">
        <v>1.04591739184431</v>
      </c>
      <c r="O141" s="15" t="n">
        <v>0.8051126702932497</v>
      </c>
      <c r="P141" s="15" t="n">
        <v>0.9688311822714869</v>
      </c>
      <c r="Q141" s="15" t="n">
        <v>0.001002391666687891</v>
      </c>
      <c r="R141" s="15" t="n">
        <v>0.02193615019040375</v>
      </c>
      <c r="S141" s="15" t="n">
        <v>0.001856597521293839</v>
      </c>
      <c r="T141" s="29">
        <f>HIPERLINK($A$1 &amp; "\Dados\Imagem_perfil_141.png", "Imagem_perfil_141")</f>
        <v/>
      </c>
      <c r="U141" s="29">
        <f>HIPERLINK($A$1 &amp; "\Dados\Results_airgap141.txt", "Results_airgap141")</f>
        <v/>
      </c>
      <c r="V141" s="19" t="n"/>
      <c r="W141" s="43" t="n">
        <v>1.332156956521739</v>
      </c>
      <c r="X141" s="15" t="n">
        <v>0.662695860047249</v>
      </c>
      <c r="Y141" s="15" t="n">
        <v>0.03210995392401214</v>
      </c>
      <c r="Z141" s="15" t="n">
        <v>0.3503391310377598</v>
      </c>
      <c r="AA141" s="15" t="n">
        <v>3.385946707780055</v>
      </c>
      <c r="AB141" s="15" t="n">
        <v>0</v>
      </c>
      <c r="AC141" s="15" t="n">
        <v>0</v>
      </c>
      <c r="AD141" s="15" t="n">
        <v>20.55086916396813</v>
      </c>
      <c r="AE141" s="15" t="n">
        <v>64.53430220816459</v>
      </c>
      <c r="AF141" s="15" t="n">
        <v>106.8339062909313</v>
      </c>
      <c r="AH141" s="29">
        <f>HIPERLINK($A$1 &amp; "\Dados\Magnet_fields.txt_141.txt.txt", "Magnet_fields.txt_141.txt")</f>
        <v/>
      </c>
      <c r="AI141" t="n">
        <v>8734</v>
      </c>
      <c r="AJ141" t="n">
        <v>29</v>
      </c>
      <c r="AK141" s="29">
        <f>HIPERLINK($A$1 &amp; "\Dados\Magnet_3D_results.txt_141.txt.txt", "Magnet_3D_results.txt_141.txt")</f>
        <v/>
      </c>
      <c r="AL141" s="29">
        <f>HIPERLINK($A$1 &amp; "\Dados\Magnet_fields_2D.txt_141.txt.txt", "Magnet_fields_2D.txt_141.txt")</f>
        <v/>
      </c>
    </row>
    <row customHeight="1" ht="15.75" r="142" s="34">
      <c r="E142" s="15" t="n">
        <v>120</v>
      </c>
      <c r="F142" s="15" t="n">
        <v>170</v>
      </c>
      <c r="G142" s="15" t="n">
        <v>350</v>
      </c>
      <c r="H142" s="15" t="n">
        <v>26</v>
      </c>
      <c r="I142" s="15" t="n">
        <v>142</v>
      </c>
      <c r="J142" s="13" t="n">
        <v>25</v>
      </c>
      <c r="K142" t="n">
        <v>35</v>
      </c>
      <c r="L142" s="13" t="n">
        <v>1.4</v>
      </c>
      <c r="M142" s="12" t="n"/>
      <c r="N142" s="8" t="n">
        <v>1.071207347408524</v>
      </c>
      <c r="O142" s="15" t="n">
        <v>0.8250423078947806</v>
      </c>
      <c r="P142" s="15" t="n">
        <v>0.9922109292653056</v>
      </c>
      <c r="Q142" s="15" t="n">
        <v>0.001004124146119925</v>
      </c>
      <c r="R142" s="15" t="n">
        <v>0.0232685889819948</v>
      </c>
      <c r="S142" s="15" t="n">
        <v>0.001892107038350672</v>
      </c>
      <c r="T142" s="29">
        <f>HIPERLINK($A$1 &amp; "\Dados\Imagem_perfil_142.png", "Imagem_perfil_142")</f>
        <v/>
      </c>
      <c r="U142" s="29">
        <f>HIPERLINK($A$1 &amp; "\Dados\Results_airgap142.txt", "Results_airgap142")</f>
        <v/>
      </c>
      <c r="V142" s="19" t="n"/>
      <c r="W142" s="43" t="n">
        <v>1.363178913043478</v>
      </c>
      <c r="X142" s="15" t="n">
        <v>0.6798573513270081</v>
      </c>
      <c r="Y142" s="15" t="n">
        <v>0.08127546835637166</v>
      </c>
      <c r="Z142" s="15" t="n">
        <v>0.2285034621307472</v>
      </c>
      <c r="AA142" s="15" t="n">
        <v>2.221573850583823</v>
      </c>
      <c r="AB142" s="15" t="n">
        <v>0</v>
      </c>
      <c r="AC142" s="15" t="n">
        <v>4.370051976303168</v>
      </c>
      <c r="AD142" s="15" t="n">
        <v>26.44448092959713</v>
      </c>
      <c r="AE142" s="15" t="n">
        <v>67.29991842933828</v>
      </c>
      <c r="AF142" s="15" t="n">
        <v>107.7314992141186</v>
      </c>
      <c r="AH142" s="29">
        <f>HIPERLINK($A$1 &amp; "\Dados\Magnet_fields.txt_142.txt.txt", "Magnet_fields.txt_142.txt")</f>
        <v/>
      </c>
      <c r="AI142" t="n">
        <v>8734</v>
      </c>
      <c r="AJ142" t="n">
        <v>29</v>
      </c>
      <c r="AK142" s="29">
        <f>HIPERLINK($A$1 &amp; "\Dados\Magnet_3D_results.txt_142.txt.txt", "Magnet_3D_results.txt_142.txt")</f>
        <v/>
      </c>
      <c r="AL142" s="29">
        <f>HIPERLINK($A$1 &amp; "\Dados\Magnet_fields_2D.txt_142.txt.txt", "Magnet_fields_2D.txt_142.txt")</f>
        <v/>
      </c>
    </row>
    <row customHeight="1" ht="15.75" r="143" s="34">
      <c r="E143" s="15" t="n">
        <v>120</v>
      </c>
      <c r="F143" s="15" t="n">
        <v>170</v>
      </c>
      <c r="G143" s="15" t="n">
        <v>350</v>
      </c>
      <c r="H143" s="15" t="n">
        <v>26</v>
      </c>
      <c r="I143" s="15" t="n">
        <v>142</v>
      </c>
      <c r="J143" s="13" t="n">
        <v>25</v>
      </c>
      <c r="K143" t="n">
        <v>35</v>
      </c>
      <c r="L143" s="13" t="n">
        <v>1.5</v>
      </c>
      <c r="M143" s="12" t="n"/>
      <c r="N143" s="8" t="n">
        <v>1.081663726694361</v>
      </c>
      <c r="O143" s="15" t="n">
        <v>0.8333036335233781</v>
      </c>
      <c r="P143" s="15" t="n">
        <v>1.002108961852541</v>
      </c>
      <c r="Q143" s="15" t="n">
        <v>0.001005309142572246</v>
      </c>
      <c r="R143" s="15" t="n">
        <v>0.02375301554434692</v>
      </c>
      <c r="S143" s="15" t="n">
        <v>0.001905294340770409</v>
      </c>
      <c r="T143" s="29">
        <f>HIPERLINK($A$1 &amp; "\Dados\Imagem_perfil_143.png", "Imagem_perfil_143")</f>
        <v/>
      </c>
      <c r="U143" s="29">
        <f>HIPERLINK($A$1 &amp; "\Dados\Results_airgap143.txt", "Results_airgap143")</f>
        <v/>
      </c>
      <c r="V143" s="19" t="n"/>
      <c r="W143" s="43" t="n">
        <v>1.378558478260869</v>
      </c>
      <c r="X143" s="15" t="n">
        <v>0.6869650420747097</v>
      </c>
      <c r="Y143" s="15" t="n">
        <v>0.1508267896436324</v>
      </c>
      <c r="Z143" s="15" t="n">
        <v>0.1860481901207925</v>
      </c>
      <c r="AA143" s="15" t="n">
        <v>1.784948393559411</v>
      </c>
      <c r="AB143" s="15" t="n">
        <v>0.881826594747719</v>
      </c>
      <c r="AC143" s="15" t="n">
        <v>7.502069194533066</v>
      </c>
      <c r="AD143" s="15" t="n">
        <v>28.89986327274518</v>
      </c>
      <c r="AE143" s="15" t="n">
        <v>68.45296028687601</v>
      </c>
      <c r="AF143" s="15" t="n">
        <v>107.9590316069323</v>
      </c>
      <c r="AH143" s="29">
        <f>HIPERLINK($A$1 &amp; "\Dados\Magnet_fields.txt_143.txt.txt", "Magnet_fields.txt_143.txt")</f>
        <v/>
      </c>
      <c r="AI143" t="n">
        <v>8734</v>
      </c>
      <c r="AJ143" t="n">
        <v>29</v>
      </c>
      <c r="AK143" s="29">
        <f>HIPERLINK($A$1 &amp; "\Dados\Magnet_3D_results.txt_143.txt.txt", "Magnet_3D_results.txt_143.txt")</f>
        <v/>
      </c>
      <c r="AL143" s="29">
        <f>HIPERLINK($A$1 &amp; "\Dados\Magnet_fields_2D.txt_143.txt.txt", "Magnet_fields_2D.txt_143.txt")</f>
        <v/>
      </c>
    </row>
    <row customHeight="1" ht="15.75" r="144" s="34">
      <c r="E144" s="15" t="n">
        <v>120</v>
      </c>
      <c r="F144" s="15" t="n">
        <v>170</v>
      </c>
      <c r="G144" s="15" t="n">
        <v>350</v>
      </c>
      <c r="H144" s="15" t="n">
        <v>26</v>
      </c>
      <c r="I144" s="15" t="n">
        <v>142</v>
      </c>
      <c r="J144" s="13" t="n">
        <v>25</v>
      </c>
      <c r="K144" t="n">
        <v>35</v>
      </c>
      <c r="L144" s="13" t="n">
        <v>1.6</v>
      </c>
      <c r="M144" s="12" t="n"/>
      <c r="N144" s="8" t="n">
        <v>1.090676386817518</v>
      </c>
      <c r="O144" s="15" t="n">
        <v>0.840434399279231</v>
      </c>
      <c r="P144" s="15" t="n">
        <v>1.010548742222948</v>
      </c>
      <c r="Q144" s="15" t="n">
        <v>0.001004054211284917</v>
      </c>
      <c r="R144" s="15" t="n">
        <v>0.02426906425372971</v>
      </c>
      <c r="S144" s="15" t="n">
        <v>0.001916741326460796</v>
      </c>
      <c r="T144" s="29">
        <f>HIPERLINK($A$1 &amp; "\Dados\Imagem_perfil_144.png", "Imagem_perfil_144")</f>
        <v/>
      </c>
      <c r="U144" s="29">
        <f>HIPERLINK($A$1 &amp; "\Dados\Results_airgap144.txt", "Results_airgap144")</f>
        <v/>
      </c>
      <c r="V144" s="19" t="n"/>
      <c r="W144" s="15" t="n">
        <v>1.386414347826087</v>
      </c>
      <c r="X144" s="15" t="n">
        <v>0.6931318123213022</v>
      </c>
      <c r="Y144" s="15" t="n">
        <v>0.2334365202344984</v>
      </c>
      <c r="Z144" s="15" t="n">
        <v>0.1533353376524316</v>
      </c>
      <c r="AA144" s="15" t="n">
        <v>1.282444004086038</v>
      </c>
      <c r="AB144" s="15" t="n">
        <v>1.66019424218651</v>
      </c>
      <c r="AC144" s="15" t="n">
        <v>9.147364378914881</v>
      </c>
      <c r="AD144" s="15" t="n">
        <v>30.22520978808965</v>
      </c>
      <c r="AE144" s="15" t="n">
        <v>69.09342874235782</v>
      </c>
      <c r="AF144" s="15" t="n">
        <v>108.0519755593364</v>
      </c>
      <c r="AH144" s="29">
        <f>HIPERLINK($A$1 &amp; "\Dados\Magnet_fields.txt_144.txt.txt", "Magnet_fields.txt_144.txt")</f>
        <v/>
      </c>
      <c r="AI144" t="n">
        <v>8734</v>
      </c>
      <c r="AJ144" t="n">
        <v>30</v>
      </c>
      <c r="AK144" s="29">
        <f>HIPERLINK($A$1 &amp; "\Dados\Magnet_3D_results.txt_144.txt.txt", "Magnet_3D_results.txt_144.txt")</f>
        <v/>
      </c>
      <c r="AL144" s="29">
        <f>HIPERLINK($A$1 &amp; "\Dados\Magnet_fields_2D.txt_144.txt.txt", "Magnet_fields_2D.txt_144.txt")</f>
        <v/>
      </c>
    </row>
    <row customHeight="1" ht="15.75" r="145" s="34">
      <c r="E145" s="15" t="n">
        <v>120</v>
      </c>
      <c r="F145" s="15" t="n">
        <v>170</v>
      </c>
      <c r="G145" s="15" t="n">
        <v>350</v>
      </c>
      <c r="H145" s="15" t="n">
        <v>26</v>
      </c>
      <c r="I145" s="15" t="n">
        <v>142</v>
      </c>
      <c r="J145" s="13" t="n">
        <v>25</v>
      </c>
      <c r="K145" t="n">
        <v>35</v>
      </c>
      <c r="L145" s="13" t="n">
        <v>1.7</v>
      </c>
      <c r="M145" s="12" t="n"/>
      <c r="N145" s="8" t="n">
        <v>1.094640201929669</v>
      </c>
      <c r="O145" s="15" t="n">
        <v>0.8435392157575738</v>
      </c>
      <c r="P145" s="15" t="n">
        <v>1.014265368255251</v>
      </c>
      <c r="Q145" s="15" t="n">
        <v>0.001004651885901124</v>
      </c>
      <c r="R145" s="15" t="n">
        <v>0.0244287321303467</v>
      </c>
      <c r="S145" s="15" t="n">
        <v>0.001921155658602744</v>
      </c>
      <c r="T145" s="29">
        <f>HIPERLINK($A$1 &amp; "\Dados\Imagem_perfil_145.png", "Imagem_perfil_145")</f>
        <v/>
      </c>
      <c r="U145" s="29">
        <f>HIPERLINK($A$1 &amp; "\Dados\Results_airgap145.txt", "Results_airgap145")</f>
        <v/>
      </c>
      <c r="V145" s="19" t="n"/>
      <c r="W145" s="15" t="n">
        <v>1.390901304347826</v>
      </c>
      <c r="X145" s="15" t="n">
        <v>0.6958043972245299</v>
      </c>
      <c r="Y145" s="15" t="n">
        <v>0.3235450307905256</v>
      </c>
      <c r="Z145" s="15" t="n">
        <v>0.1422750434067283</v>
      </c>
      <c r="AA145" s="15" t="n">
        <v>1.00060663541518</v>
      </c>
      <c r="AB145" s="15" t="n">
        <v>2.082645106076807</v>
      </c>
      <c r="AC145" s="15" t="n">
        <v>10.06455738718493</v>
      </c>
      <c r="AD145" s="15" t="n">
        <v>31.06047466895212</v>
      </c>
      <c r="AE145" s="15" t="n">
        <v>69.57523227772457</v>
      </c>
      <c r="AF145" s="15" t="n">
        <v>108.1329049276339</v>
      </c>
      <c r="AH145" s="29">
        <f>HIPERLINK($A$1 &amp; "\Dados\Magnet_fields.txt_145.txt.txt", "Magnet_fields.txt_145.txt")</f>
        <v/>
      </c>
      <c r="AI145" t="n">
        <v>8734</v>
      </c>
      <c r="AJ145" t="n">
        <v>29</v>
      </c>
      <c r="AK145" s="29">
        <f>HIPERLINK($A$1 &amp; "\Dados\Magnet_3D_results.txt_145.txt.txt", "Magnet_3D_results.txt_145.txt")</f>
        <v/>
      </c>
      <c r="AL145" s="29">
        <f>HIPERLINK($A$1 &amp; "\Dados\Magnet_fields_2D.txt_145.txt.txt", "Magnet_fields_2D.txt_145.txt")</f>
        <v/>
      </c>
    </row>
    <row customHeight="1" ht="15.75" r="146" s="34">
      <c r="E146" s="15" t="n">
        <v>120</v>
      </c>
      <c r="F146" s="15" t="n">
        <v>170</v>
      </c>
      <c r="G146" s="15" t="n">
        <v>350</v>
      </c>
      <c r="H146" s="15" t="n">
        <v>26</v>
      </c>
      <c r="I146" s="15" t="n">
        <v>142</v>
      </c>
      <c r="J146" s="13" t="n">
        <v>25</v>
      </c>
      <c r="K146" t="n">
        <v>35</v>
      </c>
      <c r="L146" s="13" t="n">
        <v>1.8</v>
      </c>
      <c r="M146" s="12" t="n"/>
      <c r="N146" s="8" t="n">
        <v>1.094640201929669</v>
      </c>
      <c r="O146" s="15" t="n">
        <v>0.8435392157575737</v>
      </c>
      <c r="P146" s="15" t="n">
        <v>1.014265368255251</v>
      </c>
      <c r="Q146" s="15" t="n">
        <v>0.001004651885901124</v>
      </c>
      <c r="R146" s="15" t="n">
        <v>0.0244287321303467</v>
      </c>
      <c r="S146" s="15" t="n">
        <v>0.001921155658602744</v>
      </c>
      <c r="T146" s="29">
        <f>HIPERLINK($A$1 &amp; "\Dados\Imagem_perfil_146.png", "Imagem_perfil_146")</f>
        <v/>
      </c>
      <c r="U146" s="29">
        <f>HIPERLINK($A$1 &amp; "\Dados\Results_airgap146.txt", "Results_airgap146")</f>
        <v/>
      </c>
      <c r="V146" s="19" t="n"/>
      <c r="W146" s="15" t="n">
        <v>1.394093478260869</v>
      </c>
      <c r="X146" s="15" t="n">
        <v>0.6958043972245299</v>
      </c>
      <c r="Y146" s="15" t="n">
        <v>0.4173087155745006</v>
      </c>
      <c r="Z146" s="15" t="n">
        <v>0.1422750434067283</v>
      </c>
      <c r="AA146" s="15" t="n">
        <v>1.00060663541518</v>
      </c>
      <c r="AB146" s="15" t="n">
        <v>2.441942302992635</v>
      </c>
      <c r="AC146" s="15" t="n">
        <v>10.85365799983327</v>
      </c>
      <c r="AD146" s="15" t="n">
        <v>31.62852780631304</v>
      </c>
      <c r="AE146" s="15" t="n">
        <v>69.74601681269823</v>
      </c>
      <c r="AF146" s="15" t="n">
        <v>108.1795605947885</v>
      </c>
      <c r="AH146" s="29">
        <f>HIPERLINK($A$1 &amp; "\Dados\Magnet_fields.txt_146.txt.txt", "Magnet_fields.txt_146.txt")</f>
        <v/>
      </c>
      <c r="AI146" t="n">
        <v>8734</v>
      </c>
      <c r="AJ146" t="n">
        <v>30</v>
      </c>
      <c r="AK146" s="29">
        <f>HIPERLINK($A$1 &amp; "\Dados\Magnet_3D_results.txt_146.txt.txt", "Magnet_3D_results.txt_146.txt")</f>
        <v/>
      </c>
      <c r="AL146" s="29">
        <f>HIPERLINK($A$1 &amp; "\Dados\Magnet_fields_2D.txt_146.txt.txt", "Magnet_fields_2D.txt_146.txt")</f>
        <v/>
      </c>
    </row>
    <row customHeight="1" ht="15.75" r="147" s="34">
      <c r="E147" s="15" t="n">
        <v>120</v>
      </c>
      <c r="F147" s="15" t="n">
        <v>170</v>
      </c>
      <c r="G147" s="15" t="n">
        <v>350</v>
      </c>
      <c r="H147" s="15" t="n">
        <v>26</v>
      </c>
      <c r="I147" s="15" t="n">
        <v>142</v>
      </c>
      <c r="J147" s="13" t="n">
        <v>25</v>
      </c>
      <c r="K147" t="n">
        <v>35</v>
      </c>
      <c r="L147" s="13" t="n">
        <v>1.900000000000001</v>
      </c>
      <c r="M147" s="12" t="n"/>
      <c r="N147" s="8" t="n">
        <v>1.097777879854234</v>
      </c>
      <c r="O147" s="15" t="n">
        <v>0.8460281257928197</v>
      </c>
      <c r="P147" s="15" t="n">
        <v>1.017226978809378</v>
      </c>
      <c r="Q147" s="15" t="n">
        <v>0.001004970945106134</v>
      </c>
      <c r="R147" s="15" t="n">
        <v>0.02457383767539831</v>
      </c>
      <c r="S147" s="15" t="n">
        <v>0.001924916220427883</v>
      </c>
      <c r="T147" s="29">
        <f>HIPERLINK($A$1 &amp; "\Dados\Imagem_perfil_147.png", "Imagem_perfil_147")</f>
        <v/>
      </c>
      <c r="U147" s="29">
        <f>HIPERLINK($A$1 &amp; "\Dados\Results_airgap147.txt", "Results_airgap147")</f>
        <v/>
      </c>
      <c r="V147" s="19" t="n"/>
      <c r="W147" s="15" t="n">
        <v>1.396198043478261</v>
      </c>
      <c r="X147" s="15" t="n">
        <v>0.6979690580245164</v>
      </c>
      <c r="Y147" s="15" t="n">
        <v>0.5121556166518486</v>
      </c>
      <c r="Z147" s="15" t="n">
        <v>0.1120932493654187</v>
      </c>
      <c r="AA147" s="15" t="n">
        <v>0.865401308715431</v>
      </c>
      <c r="AB147" s="15" t="n">
        <v>2.66382535995087</v>
      </c>
      <c r="AC147" s="15" t="n">
        <v>11.33442509938164</v>
      </c>
      <c r="AD147" s="15" t="n">
        <v>32.03389173418376</v>
      </c>
      <c r="AE147" s="15" t="n">
        <v>69.94184435704317</v>
      </c>
      <c r="AF147" s="15" t="n">
        <v>108.2301045719823</v>
      </c>
      <c r="AH147" s="29">
        <f>HIPERLINK($A$1 &amp; "\Dados\Magnet_fields.txt_147.txt.txt", "Magnet_fields.txt_147.txt")</f>
        <v/>
      </c>
      <c r="AI147" t="n">
        <v>8734</v>
      </c>
      <c r="AJ147" t="n">
        <v>29</v>
      </c>
      <c r="AK147" s="29">
        <f>HIPERLINK($A$1 &amp; "\Dados\Magnet_3D_results.txt_147.txt.txt", "Magnet_3D_results.txt_147.txt")</f>
        <v/>
      </c>
      <c r="AL147" s="29">
        <f>HIPERLINK($A$1 &amp; "\Dados\Magnet_fields_2D.txt_147.txt.txt", "Magnet_fields_2D.txt_147.txt")</f>
        <v/>
      </c>
    </row>
    <row customHeight="1" ht="15.75" r="148" s="34">
      <c r="E148" s="15" t="n">
        <v>120</v>
      </c>
      <c r="F148" s="15" t="n">
        <v>170</v>
      </c>
      <c r="G148" s="15" t="n">
        <v>350</v>
      </c>
      <c r="H148" s="15" t="n">
        <v>26</v>
      </c>
      <c r="I148" s="15" t="n">
        <v>142</v>
      </c>
      <c r="J148" s="13" t="n">
        <v>25</v>
      </c>
      <c r="K148" t="n">
        <v>35</v>
      </c>
      <c r="L148" s="13" t="n">
        <v>2.000000000000001</v>
      </c>
      <c r="M148" s="12" t="n"/>
      <c r="N148" s="8" t="n">
        <v>1.098758341822534</v>
      </c>
      <c r="O148" s="15" t="n">
        <v>0.8468138941349815</v>
      </c>
      <c r="P148" s="15" t="n">
        <v>1.018119090593901</v>
      </c>
      <c r="Q148" s="15" t="n">
        <v>0.001003866338973622</v>
      </c>
      <c r="R148" s="15" t="n">
        <v>0.02470324366626956</v>
      </c>
      <c r="S148" s="15" t="n">
        <v>0.001926995291380638</v>
      </c>
      <c r="T148" s="29">
        <f>HIPERLINK($A$1 &amp; "\Dados\Imagem_perfil_148.png", "Imagem_perfil_148")</f>
        <v/>
      </c>
      <c r="U148" s="29">
        <f>HIPERLINK($A$1 &amp; "\Dados\Results_airgap148.txt", "Results_airgap148")</f>
        <v/>
      </c>
      <c r="V148" s="19" t="n"/>
      <c r="W148" s="15" t="n">
        <v>1.397731304347826</v>
      </c>
      <c r="X148" s="15" t="n">
        <v>0.6986670216803459</v>
      </c>
      <c r="Y148" s="15" t="n">
        <v>0.6063837019223748</v>
      </c>
      <c r="Z148" s="15" t="n">
        <v>0.1056455165840983</v>
      </c>
      <c r="AA148" s="15" t="n">
        <v>0.640553135522493</v>
      </c>
      <c r="AB148" s="15" t="n">
        <v>2.816548007172492</v>
      </c>
      <c r="AC148" s="15" t="n">
        <v>11.69035618950228</v>
      </c>
      <c r="AD148" s="15" t="n">
        <v>32.33856567969871</v>
      </c>
      <c r="AE148" s="15" t="n">
        <v>70.09048250443961</v>
      </c>
      <c r="AF148" s="15" t="n">
        <v>108.2622315953609</v>
      </c>
      <c r="AH148" s="29">
        <f>HIPERLINK($A$1 &amp; "\Dados\Magnet_fields.txt_148.txt.txt", "Magnet_fields.txt_148.txt")</f>
        <v/>
      </c>
      <c r="AI148" t="n">
        <v>8734</v>
      </c>
      <c r="AJ148" t="n">
        <v>29</v>
      </c>
      <c r="AK148" s="29">
        <f>HIPERLINK($A$1 &amp; "\Dados\Magnet_3D_results.txt_148.txt.txt", "Magnet_3D_results.txt_148.txt")</f>
        <v/>
      </c>
      <c r="AL148" s="29">
        <f>HIPERLINK($A$1 &amp; "\Dados\Magnet_fields_2D.txt_148.txt.txt", "Magnet_fields_2D.txt_148.txt")</f>
        <v/>
      </c>
    </row>
    <row customHeight="1" ht="15.75" r="149" s="34">
      <c r="E149" s="15" t="n">
        <v>120</v>
      </c>
      <c r="F149" s="15" t="n">
        <v>170</v>
      </c>
      <c r="G149" s="15" t="n">
        <v>350</v>
      </c>
      <c r="H149" s="15" t="n">
        <v>26</v>
      </c>
      <c r="I149" s="15" t="n">
        <v>142</v>
      </c>
      <c r="J149" s="13" t="n">
        <v>25</v>
      </c>
      <c r="K149" t="n">
        <v>35</v>
      </c>
      <c r="L149" s="13" t="n">
        <v>2.100000000000001</v>
      </c>
      <c r="M149" s="12" t="n"/>
      <c r="N149" s="8" t="n">
        <v>1.10077326288891</v>
      </c>
      <c r="O149" s="15" t="n">
        <v>0.8483899130671871</v>
      </c>
      <c r="P149" s="15" t="n">
        <v>1.020112867711002</v>
      </c>
      <c r="Q149" s="15" t="n">
        <v>0.001004191987071968</v>
      </c>
      <c r="R149" s="15" t="n">
        <v>0.02476175728254204</v>
      </c>
      <c r="S149" s="15" t="n">
        <v>0.001928661925976605</v>
      </c>
      <c r="T149" s="29">
        <f>HIPERLINK($A$1 &amp; "\Dados\Imagem_perfil_149.png", "Imagem_perfil_149")</f>
        <v/>
      </c>
      <c r="U149" s="29">
        <f>HIPERLINK($A$1 &amp; "\Dados\Results_airgap149.txt", "Results_airgap149")</f>
        <v/>
      </c>
      <c r="V149" s="19" t="n"/>
      <c r="W149" s="15" t="n">
        <v>1.39912152173913</v>
      </c>
      <c r="X149" s="15" t="n">
        <v>0.7000055990955755</v>
      </c>
      <c r="Y149" s="15" t="n">
        <v>0.6988867040991414</v>
      </c>
      <c r="Z149" s="15" t="n">
        <v>0.09350752106167001</v>
      </c>
      <c r="AA149" s="15" t="n">
        <v>0.5933052295461502</v>
      </c>
      <c r="AB149" s="15" t="n">
        <v>3.014378993268202</v>
      </c>
      <c r="AC149" s="15" t="n">
        <v>12.04312968343754</v>
      </c>
      <c r="AD149" s="15" t="n">
        <v>32.58083218756824</v>
      </c>
      <c r="AE149" s="15" t="n">
        <v>70.20938843000903</v>
      </c>
      <c r="AF149" s="15" t="n">
        <v>108.3001285813895</v>
      </c>
      <c r="AH149" s="29">
        <f>HIPERLINK($A$1 &amp; "\Dados\Magnet_fields.txt_149.txt.txt", "Magnet_fields.txt_149.txt")</f>
        <v/>
      </c>
      <c r="AI149" t="n">
        <v>8734</v>
      </c>
      <c r="AJ149" t="n">
        <v>29</v>
      </c>
      <c r="AK149" s="29">
        <f>HIPERLINK($A$1 &amp; "\Dados\Magnet_3D_results.txt_149.txt.txt", "Magnet_3D_results.txt_149.txt")</f>
        <v/>
      </c>
      <c r="AL149" s="29">
        <f>HIPERLINK($A$1 &amp; "\Dados\Magnet_fields_2D.txt_149.txt.txt", "Magnet_fields_2D.txt_149.txt")</f>
        <v/>
      </c>
    </row>
    <row customHeight="1" ht="15.75" r="150" s="34">
      <c r="E150" s="15" t="n">
        <v>120</v>
      </c>
      <c r="F150" s="15" t="n">
        <v>170</v>
      </c>
      <c r="G150" s="15" t="n">
        <v>350</v>
      </c>
      <c r="H150" s="15" t="n">
        <v>28</v>
      </c>
      <c r="I150" s="15" t="n">
        <v>142</v>
      </c>
      <c r="J150" s="13" t="n">
        <v>25</v>
      </c>
      <c r="K150" t="n">
        <v>35</v>
      </c>
      <c r="L150" s="13" t="n">
        <v>1.3</v>
      </c>
      <c r="M150" s="12" t="n"/>
      <c r="N150" s="8" t="n">
        <v>1.048279830224077</v>
      </c>
      <c r="O150" s="15" t="n">
        <v>0.8052557164009022</v>
      </c>
      <c r="P150" s="15" t="n">
        <v>0.9708134516773271</v>
      </c>
      <c r="Q150" s="15" t="n">
        <v>0.001007195291973775</v>
      </c>
      <c r="R150" s="15" t="n">
        <v>0.02259773761226577</v>
      </c>
      <c r="S150" s="15" t="n">
        <v>0.001866500518666736</v>
      </c>
      <c r="T150" s="29">
        <f>HIPERLINK($A$1 &amp; "\Dados\Imagem_perfil_150.png", "Imagem_perfil_150")</f>
        <v/>
      </c>
      <c r="U150" s="29">
        <f>HIPERLINK($A$1 &amp; "\Dados\Results_airgap150.txt", "Results_airgap150")</f>
        <v/>
      </c>
      <c r="V150" s="19" t="n"/>
      <c r="W150" s="43" t="n">
        <v>1.332226739130435</v>
      </c>
      <c r="X150" s="15" t="n">
        <v>0.6597693542560061</v>
      </c>
      <c r="Y150" s="15" t="n">
        <v>0.03210420197255624</v>
      </c>
      <c r="Z150" s="15" t="n">
        <v>0.3788458693803883</v>
      </c>
      <c r="AA150" s="15" t="n">
        <v>2.589970777277272</v>
      </c>
      <c r="AB150" s="15" t="n">
        <v>0</v>
      </c>
      <c r="AC150" s="15" t="n">
        <v>0</v>
      </c>
      <c r="AD150" s="15" t="n">
        <v>20.5432710626755</v>
      </c>
      <c r="AE150" s="15" t="n">
        <v>64.58367608006932</v>
      </c>
      <c r="AF150" s="15" t="n">
        <v>106.8812067425517</v>
      </c>
      <c r="AH150" s="29">
        <f>HIPERLINK($A$1 &amp; "\Dados\Magnet_fields.txt_150.txt.txt", "Magnet_fields.txt_150.txt")</f>
        <v/>
      </c>
      <c r="AI150" t="n">
        <v>8363</v>
      </c>
      <c r="AJ150" t="n">
        <v>29</v>
      </c>
      <c r="AK150" s="29">
        <f>HIPERLINK($A$1 &amp; "\Dados\Magnet_3D_results.txt_150.txt.txt", "Magnet_3D_results.txt_150.txt")</f>
        <v/>
      </c>
      <c r="AL150" s="29">
        <f>HIPERLINK($A$1 &amp; "\Dados\Magnet_fields_2D.txt_150.txt.txt", "Magnet_fields_2D.txt_150.txt")</f>
        <v/>
      </c>
    </row>
    <row customHeight="1" ht="15.75" r="151" s="34">
      <c r="E151" s="15" t="n">
        <v>120</v>
      </c>
      <c r="F151" s="15" t="n">
        <v>170</v>
      </c>
      <c r="G151" s="15" t="n">
        <v>350</v>
      </c>
      <c r="H151" s="15" t="n">
        <v>28</v>
      </c>
      <c r="I151" s="15" t="n">
        <v>142</v>
      </c>
      <c r="J151" s="13" t="n">
        <v>25</v>
      </c>
      <c r="K151" t="n">
        <v>35</v>
      </c>
      <c r="L151" s="13" t="n">
        <v>1.4</v>
      </c>
      <c r="M151" s="12" t="n"/>
      <c r="N151" s="8" t="n">
        <v>1.073398061571822</v>
      </c>
      <c r="O151" s="15" t="n">
        <v>0.8249665129975885</v>
      </c>
      <c r="P151" s="15" t="n">
        <v>0.9940099572292406</v>
      </c>
      <c r="Q151" s="15" t="n">
        <v>0.001008776507979364</v>
      </c>
      <c r="R151" s="15" t="n">
        <v>0.02388995111225749</v>
      </c>
      <c r="S151" s="15" t="n">
        <v>0.001900137177578031</v>
      </c>
      <c r="T151" s="29">
        <f>HIPERLINK($A$1 &amp; "\Dados\Imagem_perfil_151.png", "Imagem_perfil_151")</f>
        <v/>
      </c>
      <c r="U151" s="29">
        <f>HIPERLINK($A$1 &amp; "\Dados\Results_airgap151.txt", "Results_airgap151")</f>
        <v/>
      </c>
      <c r="V151" s="19" t="n"/>
      <c r="W151" s="43" t="n">
        <v>1.363184565217391</v>
      </c>
      <c r="X151" s="15" t="n">
        <v>0.6766933038587798</v>
      </c>
      <c r="Y151" s="15" t="n">
        <v>0.08126678135780087</v>
      </c>
      <c r="Z151" s="15" t="n">
        <v>0.2167411224819202</v>
      </c>
      <c r="AA151" s="15" t="n">
        <v>1.495010016833504</v>
      </c>
      <c r="AB151" s="15" t="n">
        <v>0</v>
      </c>
      <c r="AC151" s="15" t="n">
        <v>4.36853924452374</v>
      </c>
      <c r="AD151" s="15" t="n">
        <v>26.44175546304126</v>
      </c>
      <c r="AE151" s="15" t="n">
        <v>67.30031440585626</v>
      </c>
      <c r="AF151" s="15" t="n">
        <v>107.73169187677</v>
      </c>
      <c r="AH151" s="29">
        <f>HIPERLINK($A$1 &amp; "\Dados\Magnet_fields.txt_151.txt.txt", "Magnet_fields.txt_151.txt")</f>
        <v/>
      </c>
      <c r="AI151" t="n">
        <v>8363</v>
      </c>
      <c r="AJ151" t="n">
        <v>29</v>
      </c>
      <c r="AK151" s="29">
        <f>HIPERLINK($A$1 &amp; "\Dados\Magnet_3D_results.txt_151.txt.txt", "Magnet_3D_results.txt_151.txt")</f>
        <v/>
      </c>
      <c r="AL151" s="29">
        <f>HIPERLINK($A$1 &amp; "\Dados\Magnet_fields_2D.txt_151.txt.txt", "Magnet_fields_2D.txt_151.txt")</f>
        <v/>
      </c>
    </row>
    <row customHeight="1" ht="15.75" r="152" s="34">
      <c r="E152" s="15" t="n">
        <v>120</v>
      </c>
      <c r="F152" s="15" t="n">
        <v>170</v>
      </c>
      <c r="G152" s="15" t="n">
        <v>350</v>
      </c>
      <c r="H152" s="15" t="n">
        <v>28</v>
      </c>
      <c r="I152" s="15" t="n">
        <v>142</v>
      </c>
      <c r="J152" s="13" t="n">
        <v>25</v>
      </c>
      <c r="K152" t="n">
        <v>35</v>
      </c>
      <c r="L152" s="13" t="n">
        <v>1.5</v>
      </c>
      <c r="M152" s="12" t="n"/>
      <c r="N152" s="8" t="n">
        <v>1.083772964339816</v>
      </c>
      <c r="O152" s="15" t="n">
        <v>0.8331311147174267</v>
      </c>
      <c r="P152" s="15" t="n">
        <v>1.003821061285554</v>
      </c>
      <c r="Q152" s="15" t="n">
        <v>0.001009848570850678</v>
      </c>
      <c r="R152" s="15" t="n">
        <v>0.02435592165745076</v>
      </c>
      <c r="S152" s="15" t="n">
        <v>0.001912495139132741</v>
      </c>
      <c r="T152" s="29">
        <f>HIPERLINK($A$1 &amp; "\Dados\Imagem_perfil_152.png", "Imagem_perfil_152")</f>
        <v/>
      </c>
      <c r="U152" s="29">
        <f>HIPERLINK($A$1 &amp; "\Dados\Results_airgap152.txt", "Results_airgap152")</f>
        <v/>
      </c>
      <c r="V152" s="19" t="n"/>
      <c r="W152" s="43" t="n">
        <v>1.378583260869565</v>
      </c>
      <c r="X152" s="15" t="n">
        <v>0.6837099116450176</v>
      </c>
      <c r="Y152" s="15" t="n">
        <v>0.1508153298602514</v>
      </c>
      <c r="Z152" s="15" t="n">
        <v>0.17322662407427</v>
      </c>
      <c r="AA152" s="15" t="n">
        <v>0.8506088486180214</v>
      </c>
      <c r="AB152" s="15" t="n">
        <v>0.8806381391803229</v>
      </c>
      <c r="AC152" s="15" t="n">
        <v>7.5072500414855</v>
      </c>
      <c r="AD152" s="15" t="n">
        <v>28.89671102102035</v>
      </c>
      <c r="AE152" s="15" t="n">
        <v>68.45878483076697</v>
      </c>
      <c r="AF152" s="15" t="n">
        <v>107.9560719090798</v>
      </c>
      <c r="AH152" s="29">
        <f>HIPERLINK($A$1 &amp; "\Dados\Magnet_fields.txt_152.txt.txt", "Magnet_fields.txt_152.txt")</f>
        <v/>
      </c>
      <c r="AI152" t="n">
        <v>8363</v>
      </c>
      <c r="AJ152" t="n">
        <v>28</v>
      </c>
      <c r="AK152" s="29">
        <f>HIPERLINK($A$1 &amp; "\Dados\Magnet_3D_results.txt_152.txt.txt", "Magnet_3D_results.txt_152.txt")</f>
        <v/>
      </c>
      <c r="AL152" s="29">
        <f>HIPERLINK($A$1 &amp; "\Dados\Magnet_fields_2D.txt_152.txt.txt", "Magnet_fields_2D.txt_152.txt")</f>
        <v/>
      </c>
    </row>
    <row customHeight="1" ht="15.75" r="153" s="34">
      <c r="E153" s="15" t="n">
        <v>120</v>
      </c>
      <c r="F153" s="15" t="n">
        <v>170</v>
      </c>
      <c r="G153" s="15" t="n">
        <v>350</v>
      </c>
      <c r="H153" s="15" t="n">
        <v>28</v>
      </c>
      <c r="I153" s="15" t="n">
        <v>142</v>
      </c>
      <c r="J153" s="13" t="n">
        <v>25</v>
      </c>
      <c r="K153" t="n">
        <v>35</v>
      </c>
      <c r="L153" s="13" t="n">
        <v>1.6</v>
      </c>
      <c r="M153" s="12" t="n"/>
      <c r="N153" s="8" t="n">
        <v>1.092678670781094</v>
      </c>
      <c r="O153" s="15" t="n">
        <v>0.8401406480586183</v>
      </c>
      <c r="P153" s="15" t="n">
        <v>1.012147388076588</v>
      </c>
      <c r="Q153" s="15" t="n">
        <v>0.001008478793139644</v>
      </c>
      <c r="R153" s="15" t="n">
        <v>0.02484430341962236</v>
      </c>
      <c r="S153" s="15" t="n">
        <v>0.001922864991612907</v>
      </c>
      <c r="T153" s="29">
        <f>HIPERLINK($A$1 &amp; "\Dados\Imagem_perfil_153.png", "Imagem_perfil_153")</f>
        <v/>
      </c>
      <c r="U153" s="29">
        <f>HIPERLINK($A$1 &amp; "\Dados\Results_airgap153.txt", "Results_airgap153")</f>
        <v/>
      </c>
      <c r="V153" s="19" t="n"/>
      <c r="W153" s="15" t="n">
        <v>1.38642847826087</v>
      </c>
      <c r="X153" s="15" t="n">
        <v>0.6897667585567718</v>
      </c>
      <c r="Y153" s="15" t="n">
        <v>0.2334230573478264</v>
      </c>
      <c r="Z153" s="15" t="n">
        <v>0.1339182397923522</v>
      </c>
      <c r="AA153" s="15" t="n">
        <v>0.3693506911063267</v>
      </c>
      <c r="AB153" s="15" t="n">
        <v>1.664773596868191</v>
      </c>
      <c r="AC153" s="15" t="n">
        <v>9.149244615859086</v>
      </c>
      <c r="AD153" s="15" t="n">
        <v>30.22312898019191</v>
      </c>
      <c r="AE153" s="15" t="n">
        <v>69.08911408815216</v>
      </c>
      <c r="AF153" s="15" t="n">
        <v>108.0500345836206</v>
      </c>
      <c r="AH153" s="29">
        <f>HIPERLINK($A$1 &amp; "\Dados\Magnet_fields.txt_153.txt.txt", "Magnet_fields.txt_153.txt")</f>
        <v/>
      </c>
      <c r="AI153" t="n">
        <v>8363</v>
      </c>
      <c r="AJ153" t="n">
        <v>29</v>
      </c>
      <c r="AK153" s="29">
        <f>HIPERLINK($A$1 &amp; "\Dados\Magnet_3D_results.txt_153.txt.txt", "Magnet_3D_results.txt_153.txt")</f>
        <v/>
      </c>
      <c r="AL153" s="29">
        <f>HIPERLINK($A$1 &amp; "\Dados\Magnet_fields_2D.txt_153.txt.txt", "Magnet_fields_2D.txt_153.txt")</f>
        <v/>
      </c>
    </row>
    <row customHeight="1" ht="15.75" r="154" s="34">
      <c r="E154" s="15" t="n">
        <v>120</v>
      </c>
      <c r="F154" s="15" t="n">
        <v>170</v>
      </c>
      <c r="G154" s="15" t="n">
        <v>350</v>
      </c>
      <c r="H154" s="15" t="n">
        <v>28</v>
      </c>
      <c r="I154" s="15" t="n">
        <v>142</v>
      </c>
      <c r="J154" s="13" t="n">
        <v>25</v>
      </c>
      <c r="K154" t="n">
        <v>35</v>
      </c>
      <c r="L154" s="13" t="n">
        <v>1.7</v>
      </c>
      <c r="M154" s="12" t="n"/>
      <c r="N154" s="8" t="n">
        <v>1.0966069759506</v>
      </c>
      <c r="O154" s="15" t="n">
        <v>0.8432019165596981</v>
      </c>
      <c r="P154" s="15" t="n">
        <v>1.015823390127728</v>
      </c>
      <c r="Q154" s="15" t="n">
        <v>0.001009014344430236</v>
      </c>
      <c r="R154" s="15" t="n">
        <v>0.0249959428740252</v>
      </c>
      <c r="S154" s="15" t="n">
        <v>0.001926935759523988</v>
      </c>
      <c r="T154" s="29">
        <f>HIPERLINK($A$1 &amp; "\Dados\Imagem_perfil_154.png", "Imagem_perfil_154")</f>
        <v/>
      </c>
      <c r="U154" s="29">
        <f>HIPERLINK($A$1 &amp; "\Dados\Results_airgap154.txt", "Results_airgap154")</f>
        <v/>
      </c>
      <c r="V154" s="19" t="n"/>
      <c r="W154" s="15" t="n">
        <v>1.391037826086956</v>
      </c>
      <c r="X154" s="15" t="n">
        <v>0.6924089867733038</v>
      </c>
      <c r="Y154" s="15" t="n">
        <v>0.3235291772423105</v>
      </c>
      <c r="Z154" s="15" t="n">
        <v>0.1248593907748524</v>
      </c>
      <c r="AA154" s="15" t="n">
        <v>0.2624358948948156</v>
      </c>
      <c r="AB154" s="15" t="n">
        <v>2.126303296744101</v>
      </c>
      <c r="AC154" s="15" t="n">
        <v>10.16595442613012</v>
      </c>
      <c r="AD154" s="15" t="n">
        <v>31.04616002541645</v>
      </c>
      <c r="AE154" s="15" t="n">
        <v>69.47957845274712</v>
      </c>
      <c r="AF154" s="15" t="n">
        <v>108.1380737107501</v>
      </c>
      <c r="AH154" s="29">
        <f>HIPERLINK($A$1 &amp; "\Dados\Magnet_fields.txt_154.txt.txt", "Magnet_fields.txt_154.txt")</f>
        <v/>
      </c>
      <c r="AI154" t="n">
        <v>8363</v>
      </c>
      <c r="AJ154" t="n">
        <v>28</v>
      </c>
      <c r="AK154" s="29">
        <f>HIPERLINK($A$1 &amp; "\Dados\Magnet_3D_results.txt_154.txt.txt", "Magnet_3D_results.txt_154.txt")</f>
        <v/>
      </c>
      <c r="AL154" s="29">
        <f>HIPERLINK($A$1 &amp; "\Dados\Magnet_fields_2D.txt_154.txt.txt", "Magnet_fields_2D.txt_154.txt")</f>
        <v/>
      </c>
    </row>
    <row customHeight="1" ht="15.75" r="155" s="34">
      <c r="E155" s="15" t="n">
        <v>120</v>
      </c>
      <c r="F155" s="15" t="n">
        <v>170</v>
      </c>
      <c r="G155" s="15" t="n">
        <v>350</v>
      </c>
      <c r="H155" s="15" t="n">
        <v>28</v>
      </c>
      <c r="I155" s="15" t="n">
        <v>142</v>
      </c>
      <c r="J155" s="13" t="n">
        <v>25</v>
      </c>
      <c r="K155" t="n">
        <v>35</v>
      </c>
      <c r="L155" s="13" t="n">
        <v>1.8</v>
      </c>
      <c r="M155" s="12" t="n"/>
      <c r="N155" s="8" t="n">
        <v>1.096606975950601</v>
      </c>
      <c r="O155" s="15" t="n">
        <v>0.8432019165596981</v>
      </c>
      <c r="P155" s="15" t="n">
        <v>1.015823390127728</v>
      </c>
      <c r="Q155" s="15" t="n">
        <v>0.001009014344430236</v>
      </c>
      <c r="R155" s="15" t="n">
        <v>0.0249959428740252</v>
      </c>
      <c r="S155" s="15" t="n">
        <v>0.001926935759523988</v>
      </c>
      <c r="T155" s="29">
        <f>HIPERLINK($A$1 &amp; "\Dados\Imagem_perfil_155.png", "Imagem_perfil_155")</f>
        <v/>
      </c>
      <c r="U155" s="29">
        <f>HIPERLINK($A$1 &amp; "\Dados\Results_airgap155.txt", "Results_airgap155")</f>
        <v/>
      </c>
      <c r="V155" s="19" t="n"/>
      <c r="W155" s="15" t="n">
        <v>1.394114782608696</v>
      </c>
      <c r="X155" s="15" t="n">
        <v>0.6924089867733038</v>
      </c>
      <c r="Y155" s="15" t="n">
        <v>0.4172926560423894</v>
      </c>
      <c r="Z155" s="15" t="n">
        <v>0.1248593907748524</v>
      </c>
      <c r="AA155" s="15" t="n">
        <v>0.2624358948948156</v>
      </c>
      <c r="AB155" s="15" t="n">
        <v>2.460818448141282</v>
      </c>
      <c r="AC155" s="15" t="n">
        <v>10.85105354676904</v>
      </c>
      <c r="AD155" s="15" t="n">
        <v>31.62367125971947</v>
      </c>
      <c r="AE155" s="15" t="n">
        <v>69.75247565665583</v>
      </c>
      <c r="AF155" s="15" t="n">
        <v>108.1875921833131</v>
      </c>
      <c r="AH155" s="29">
        <f>HIPERLINK($A$1 &amp; "\Dados\Magnet_fields.txt_155.txt.txt", "Magnet_fields.txt_155.txt")</f>
        <v/>
      </c>
      <c r="AI155" t="n">
        <v>8363</v>
      </c>
      <c r="AJ155" t="n">
        <v>29</v>
      </c>
      <c r="AK155" s="29">
        <f>HIPERLINK($A$1 &amp; "\Dados\Magnet_3D_results.txt_155.txt.txt", "Magnet_3D_results.txt_155.txt")</f>
        <v/>
      </c>
      <c r="AL155" s="29">
        <f>HIPERLINK($A$1 &amp; "\Dados\Magnet_fields_2D.txt_155.txt.txt", "Magnet_fields_2D.txt_155.txt")</f>
        <v/>
      </c>
    </row>
    <row customHeight="1" ht="15.75" r="156" s="34">
      <c r="E156" s="15" t="n">
        <v>120</v>
      </c>
      <c r="F156" s="15" t="n">
        <v>170</v>
      </c>
      <c r="G156" s="15" t="n">
        <v>350</v>
      </c>
      <c r="H156" s="15" t="n">
        <v>28</v>
      </c>
      <c r="I156" s="15" t="n">
        <v>142</v>
      </c>
      <c r="J156" s="13" t="n">
        <v>25</v>
      </c>
      <c r="K156" t="n">
        <v>35</v>
      </c>
      <c r="L156" s="13" t="n">
        <v>1.900000000000001</v>
      </c>
      <c r="M156" s="12" t="n"/>
      <c r="N156" s="8" t="n">
        <v>1.099706388466522</v>
      </c>
      <c r="O156" s="15" t="n">
        <v>0.8456465489599239</v>
      </c>
      <c r="P156" s="15" t="n">
        <v>1.018744015200813</v>
      </c>
      <c r="Q156" s="15" t="n">
        <v>0.001009269055582625</v>
      </c>
      <c r="R156" s="15" t="n">
        <v>0.02513226060176458</v>
      </c>
      <c r="S156" s="15" t="n">
        <v>0.00193033953903892</v>
      </c>
      <c r="T156" s="29">
        <f>HIPERLINK($A$1 &amp; "\Dados\Imagem_perfil_156.png", "Imagem_perfil_156")</f>
        <v/>
      </c>
      <c r="U156" s="29">
        <f>HIPERLINK($A$1 &amp; "\Dados\Results_airgap156.txt", "Results_airgap156")</f>
        <v/>
      </c>
      <c r="V156" s="19" t="n"/>
      <c r="W156" s="15" t="n">
        <v>1.396238260869565</v>
      </c>
      <c r="X156" s="15" t="n">
        <v>0.6945374331886578</v>
      </c>
      <c r="Y156" s="15" t="n">
        <v>0.5121388479203691</v>
      </c>
      <c r="Z156" s="15" t="n">
        <v>0.1105228846479052</v>
      </c>
      <c r="AA156" s="15" t="n">
        <v>0.1973867185380445</v>
      </c>
      <c r="AB156" s="15" t="n">
        <v>2.676985842416296</v>
      </c>
      <c r="AC156" s="15" t="n">
        <v>11.34741317849211</v>
      </c>
      <c r="AD156" s="15" t="n">
        <v>32.03412912863297</v>
      </c>
      <c r="AE156" s="15" t="n">
        <v>69.93355813014374</v>
      </c>
      <c r="AF156" s="15" t="n">
        <v>108.2224378850517</v>
      </c>
      <c r="AH156" s="29">
        <f>HIPERLINK($A$1 &amp; "\Dados\Magnet_fields.txt_156.txt.txt", "Magnet_fields.txt_156.txt")</f>
        <v/>
      </c>
      <c r="AI156" t="n">
        <v>8363</v>
      </c>
      <c r="AJ156" t="n">
        <v>28</v>
      </c>
      <c r="AK156" s="29">
        <f>HIPERLINK($A$1 &amp; "\Dados\Magnet_3D_results.txt_156.txt.txt", "Magnet_3D_results.txt_156.txt")</f>
        <v/>
      </c>
      <c r="AL156" s="29">
        <f>HIPERLINK($A$1 &amp; "\Dados\Magnet_fields_2D.txt_156.txt.txt", "Magnet_fields_2D.txt_156.txt")</f>
        <v/>
      </c>
    </row>
    <row customHeight="1" ht="15.75" r="157" s="34">
      <c r="E157" s="15" t="n">
        <v>120</v>
      </c>
      <c r="F157" s="15" t="n">
        <v>170</v>
      </c>
      <c r="G157" s="15" t="n">
        <v>350</v>
      </c>
      <c r="H157" s="15" t="n">
        <v>28</v>
      </c>
      <c r="I157" s="15" t="n">
        <v>142</v>
      </c>
      <c r="J157" s="13" t="n">
        <v>25</v>
      </c>
      <c r="K157" t="n">
        <v>35</v>
      </c>
      <c r="L157" s="13" t="n">
        <v>2.000000000000001</v>
      </c>
      <c r="M157" s="12" t="n"/>
      <c r="N157" s="8" t="n">
        <v>1.100647215810102</v>
      </c>
      <c r="O157" s="15" t="n">
        <v>0.8463954126012118</v>
      </c>
      <c r="P157" s="15" t="n">
        <v>1.019598516578178</v>
      </c>
      <c r="Q157" s="15" t="n">
        <v>0.001008091196502177</v>
      </c>
      <c r="R157" s="15" t="n">
        <v>0.02525094155729013</v>
      </c>
      <c r="S157" s="15" t="n">
        <v>0.001932006181618525</v>
      </c>
      <c r="T157" s="29">
        <f>HIPERLINK($A$1 &amp; "\Dados\Imagem_perfil_157.png", "Imagem_perfil_157")</f>
        <v/>
      </c>
      <c r="U157" s="29">
        <f>HIPERLINK($A$1 &amp; "\Dados\Results_airgap157.txt", "Results_airgap157")</f>
        <v/>
      </c>
      <c r="V157" s="19" t="n"/>
      <c r="W157" s="15" t="n">
        <v>1.397775434782609</v>
      </c>
      <c r="X157" s="15" t="n">
        <v>0.6951936632628517</v>
      </c>
      <c r="Y157" s="15" t="n">
        <v>0.6063663537972116</v>
      </c>
      <c r="Z157" s="15" t="n">
        <v>0.1041490513827031</v>
      </c>
      <c r="AA157" s="15" t="n">
        <v>0.1075099872184176</v>
      </c>
      <c r="AB157" s="15" t="n">
        <v>2.826600397979766</v>
      </c>
      <c r="AC157" s="15" t="n">
        <v>11.70897661271305</v>
      </c>
      <c r="AD157" s="15" t="n">
        <v>32.33468879641255</v>
      </c>
      <c r="AE157" s="15" t="n">
        <v>70.08567434713157</v>
      </c>
      <c r="AF157" s="15" t="n">
        <v>108.2607488005948</v>
      </c>
      <c r="AH157" s="29">
        <f>HIPERLINK($A$1 &amp; "\Dados\Magnet_fields.txt_157.txt.txt", "Magnet_fields.txt_157.txt")</f>
        <v/>
      </c>
      <c r="AI157" t="n">
        <v>8363</v>
      </c>
      <c r="AJ157" t="n">
        <v>28</v>
      </c>
      <c r="AK157" s="29">
        <f>HIPERLINK($A$1 &amp; "\Dados\Magnet_3D_results.txt_157.txt.txt", "Magnet_3D_results.txt_157.txt")</f>
        <v/>
      </c>
      <c r="AL157" s="29">
        <f>HIPERLINK($A$1 &amp; "\Dados\Magnet_fields_2D.txt_157.txt.txt", "Magnet_fields_2D.txt_157.txt")</f>
        <v/>
      </c>
    </row>
    <row customHeight="1" ht="15.75" r="158" s="34">
      <c r="E158" s="15" t="n">
        <v>120</v>
      </c>
      <c r="F158" s="15" t="n">
        <v>170</v>
      </c>
      <c r="G158" s="15" t="n">
        <v>350</v>
      </c>
      <c r="H158" s="15" t="n">
        <v>28</v>
      </c>
      <c r="I158" s="15" t="n">
        <v>142</v>
      </c>
      <c r="J158" s="13" t="n">
        <v>25</v>
      </c>
      <c r="K158" t="n">
        <v>35</v>
      </c>
      <c r="L158" s="13" t="n">
        <v>2.100000000000001</v>
      </c>
      <c r="M158" s="12" t="n"/>
      <c r="N158" s="8" t="n">
        <v>1.100647215810102</v>
      </c>
      <c r="O158" s="15" t="n">
        <v>0.8463954126012119</v>
      </c>
      <c r="P158" s="15" t="n">
        <v>1.019598516578178</v>
      </c>
      <c r="Q158" s="15" t="n">
        <v>0.001008091196502177</v>
      </c>
      <c r="R158" s="15" t="n">
        <v>0.02525094155729012</v>
      </c>
      <c r="S158" s="15" t="n">
        <v>0.001932006181618525</v>
      </c>
      <c r="T158" s="29">
        <f>HIPERLINK($A$1 &amp; "\Dados\Imagem_perfil_158.png", "Imagem_perfil_158")</f>
        <v/>
      </c>
      <c r="U158" s="29">
        <f>HIPERLINK($A$1 &amp; "\Dados\Results_airgap158.txt", "Results_airgap158")</f>
        <v/>
      </c>
      <c r="V158" s="19" t="n"/>
      <c r="W158" s="15" t="n">
        <v>1.398948695652174</v>
      </c>
      <c r="X158" s="15" t="n">
        <v>0.6951936632628518</v>
      </c>
      <c r="Y158" s="15" t="n">
        <v>0.698868506898465</v>
      </c>
      <c r="Z158" s="15" t="n">
        <v>0.1041490513827031</v>
      </c>
      <c r="AA158" s="15" t="n">
        <v>0.1075099872184176</v>
      </c>
      <c r="AB158" s="15" t="n">
        <v>2.941322534613099</v>
      </c>
      <c r="AC158" s="15" t="n">
        <v>11.97497007392885</v>
      </c>
      <c r="AD158" s="15" t="n">
        <v>32.57743774496893</v>
      </c>
      <c r="AE158" s="15" t="n">
        <v>70.20950781146465</v>
      </c>
      <c r="AF158" s="15" t="n">
        <v>108.2946136564931</v>
      </c>
      <c r="AH158" s="29">
        <f>HIPERLINK($A$1 &amp; "\Dados\Magnet_fields.txt_158.txt.txt", "Magnet_fields.txt_158.txt")</f>
        <v/>
      </c>
      <c r="AI158" t="n">
        <v>8363</v>
      </c>
      <c r="AJ158" t="n">
        <v>29</v>
      </c>
      <c r="AK158" s="29">
        <f>HIPERLINK($A$1 &amp; "\Dados\Magnet_3D_results.txt_158.txt.txt", "Magnet_3D_results.txt_158.txt")</f>
        <v/>
      </c>
      <c r="AL158" s="29">
        <f>HIPERLINK($A$1 &amp; "\Dados\Magnet_fields_2D.txt_158.txt.txt", "Magnet_fields_2D.txt_158.txt")</f>
        <v/>
      </c>
    </row>
    <row customHeight="1" ht="15.75" r="159" s="34">
      <c r="E159" s="15" t="n">
        <v>120</v>
      </c>
      <c r="F159" s="15" t="n">
        <v>170</v>
      </c>
      <c r="G159" s="15" t="n">
        <v>350</v>
      </c>
      <c r="H159" s="15" t="n">
        <v>30</v>
      </c>
      <c r="I159" s="15" t="n">
        <v>142</v>
      </c>
      <c r="J159" s="13" t="n">
        <v>25</v>
      </c>
      <c r="K159" t="n">
        <v>35</v>
      </c>
      <c r="L159" s="13" t="n">
        <v>1.3</v>
      </c>
      <c r="M159" s="12" t="n"/>
      <c r="N159" s="8" t="n">
        <v>1.05061685547851</v>
      </c>
      <c r="O159" s="15" t="n">
        <v>0.8085056918632193</v>
      </c>
      <c r="P159" s="15" t="n">
        <v>0.9732992635883081</v>
      </c>
      <c r="Q159" s="15" t="n">
        <v>0.001018731258316404</v>
      </c>
      <c r="R159" s="15" t="n">
        <v>0.02303306276672288</v>
      </c>
      <c r="S159" s="15" t="n">
        <v>0.00191052799447567</v>
      </c>
      <c r="T159" s="29">
        <f>HIPERLINK($A$1 &amp; "\Dados\Imagem_perfil_159.png", "Imagem_perfil_159")</f>
        <v/>
      </c>
      <c r="U159" s="29">
        <f>HIPERLINK($A$1 &amp; "\Dados\Results_airgap159.txt", "Results_airgap159")</f>
        <v/>
      </c>
      <c r="V159" s="19" t="n"/>
      <c r="W159" s="43" t="n">
        <v>1.332126956521739</v>
      </c>
      <c r="X159" s="15" t="n">
        <v>0.6660207668617715</v>
      </c>
      <c r="Y159" s="15" t="n">
        <v>0.03210042183909954</v>
      </c>
      <c r="Z159" s="15" t="n">
        <v>0.3639243254175046</v>
      </c>
      <c r="AA159" s="15" t="n">
        <v>2.075014295619178</v>
      </c>
      <c r="AB159" s="15" t="n">
        <v>0</v>
      </c>
      <c r="AC159" s="15" t="n">
        <v>0</v>
      </c>
      <c r="AD159" s="15" t="n">
        <v>20.52454300793566</v>
      </c>
      <c r="AE159" s="15" t="n">
        <v>64.54654765258873</v>
      </c>
      <c r="AF159" s="15" t="n">
        <v>106.8135574567616</v>
      </c>
      <c r="AH159" s="29">
        <f>HIPERLINK($A$1 &amp; "\Dados\Magnet_fields.txt_159.txt.txt", "Magnet_fields.txt_159.txt")</f>
        <v/>
      </c>
      <c r="AI159" t="n">
        <v>8790</v>
      </c>
      <c r="AJ159" t="n">
        <v>29</v>
      </c>
      <c r="AK159" s="29">
        <f>HIPERLINK($A$1 &amp; "\Dados\Magnet_3D_results.txt_159.txt.txt", "Magnet_3D_results.txt_159.txt")</f>
        <v/>
      </c>
      <c r="AL159" s="29">
        <f>HIPERLINK($A$1 &amp; "\Dados\Magnet_fields_2D.txt_159.txt.txt", "Magnet_fields_2D.txt_159.txt")</f>
        <v/>
      </c>
    </row>
    <row customHeight="1" ht="15.75" r="160" s="34">
      <c r="E160" s="15" t="n">
        <v>120</v>
      </c>
      <c r="F160" s="15" t="n">
        <v>170</v>
      </c>
      <c r="G160" s="15" t="n">
        <v>350</v>
      </c>
      <c r="H160" s="15" t="n">
        <v>30</v>
      </c>
      <c r="I160" s="15" t="n">
        <v>142</v>
      </c>
      <c r="J160" s="13" t="n">
        <v>25</v>
      </c>
      <c r="K160" t="n">
        <v>35</v>
      </c>
      <c r="L160" s="13" t="n">
        <v>1.4</v>
      </c>
      <c r="M160" s="12" t="n"/>
      <c r="N160" s="8" t="n">
        <v>1.075455048224333</v>
      </c>
      <c r="O160" s="15" t="n">
        <v>0.8280206096408557</v>
      </c>
      <c r="P160" s="15" t="n">
        <v>0.9962462768050179</v>
      </c>
      <c r="Q160" s="15" t="n">
        <v>0.001018884231617194</v>
      </c>
      <c r="R160" s="15" t="n">
        <v>0.02426358343799016</v>
      </c>
      <c r="S160" s="15" t="n">
        <v>0.001942048961063971</v>
      </c>
      <c r="T160" s="29">
        <f>HIPERLINK($A$1 &amp; "\Dados\Imagem_perfil_160.png", "Imagem_perfil_160")</f>
        <v/>
      </c>
      <c r="U160" s="29">
        <f>HIPERLINK($A$1 &amp; "\Dados\Results_airgap160.txt", "Results_airgap160")</f>
        <v/>
      </c>
      <c r="V160" s="19" t="n"/>
      <c r="W160" s="43" t="n">
        <v>1.363182826086956</v>
      </c>
      <c r="X160" s="15" t="n">
        <v>0.682906352562644</v>
      </c>
      <c r="Y160" s="15" t="n">
        <v>0.08125892369827251</v>
      </c>
      <c r="Z160" s="15" t="n">
        <v>0.196153948949968</v>
      </c>
      <c r="AA160" s="15" t="n">
        <v>0.4305094046725491</v>
      </c>
      <c r="AB160" s="15" t="n">
        <v>0</v>
      </c>
      <c r="AC160" s="15" t="n">
        <v>4.369290156860536</v>
      </c>
      <c r="AD160" s="15" t="n">
        <v>26.43920836271506</v>
      </c>
      <c r="AE160" s="15" t="n">
        <v>67.28956907727297</v>
      </c>
      <c r="AF160" s="15" t="n">
        <v>107.73091728359</v>
      </c>
      <c r="AH160" s="29">
        <f>HIPERLINK($A$1 &amp; "\Dados\Magnet_fields.txt_160.txt.txt", "Magnet_fields.txt_160.txt")</f>
        <v/>
      </c>
      <c r="AI160" t="n">
        <v>8790</v>
      </c>
      <c r="AJ160" t="n">
        <v>28</v>
      </c>
      <c r="AK160" s="29">
        <f>HIPERLINK($A$1 &amp; "\Dados\Magnet_3D_results.txt_160.txt.txt", "Magnet_3D_results.txt_160.txt")</f>
        <v/>
      </c>
      <c r="AL160" s="29">
        <f>HIPERLINK($A$1 &amp; "\Dados\Magnet_fields_2D.txt_160.txt.txt", "Magnet_fields_2D.txt_160.txt")</f>
        <v/>
      </c>
    </row>
    <row customHeight="1" ht="15.75" r="161" s="34">
      <c r="E161" s="15" t="n">
        <v>120</v>
      </c>
      <c r="F161" s="15" t="n">
        <v>170</v>
      </c>
      <c r="G161" s="15" t="n">
        <v>350</v>
      </c>
      <c r="H161" s="15" t="n">
        <v>30</v>
      </c>
      <c r="I161" s="15" t="n">
        <v>142</v>
      </c>
      <c r="J161" s="13" t="n">
        <v>25</v>
      </c>
      <c r="K161" t="n">
        <v>35</v>
      </c>
      <c r="L161" s="13" t="n">
        <v>1.5</v>
      </c>
      <c r="M161" s="12" t="n"/>
      <c r="N161" s="8" t="n">
        <v>1.085714695701405</v>
      </c>
      <c r="O161" s="15" t="n">
        <v>0.8360965699341666</v>
      </c>
      <c r="P161" s="15" t="n">
        <v>1.005949350927498</v>
      </c>
      <c r="Q161" s="15" t="n">
        <v>0.001019601389825414</v>
      </c>
      <c r="R161" s="15" t="n">
        <v>0.02470209248927662</v>
      </c>
      <c r="S161" s="15" t="n">
        <v>0.001953642093540918</v>
      </c>
      <c r="T161" s="29">
        <f>HIPERLINK($A$1 &amp; "\Dados\Imagem_perfil_161.png", "Imagem_perfil_161")</f>
        <v/>
      </c>
      <c r="U161" s="29">
        <f>HIPERLINK($A$1 &amp; "\Dados\Results_airgap161.txt", "Results_airgap161")</f>
        <v/>
      </c>
      <c r="V161" s="19" t="n"/>
      <c r="W161" s="43" t="n">
        <v>1.378570434782608</v>
      </c>
      <c r="X161" s="15" t="n">
        <v>0.6898956686052788</v>
      </c>
      <c r="Y161" s="15" t="n">
        <v>0.1508048495346567</v>
      </c>
      <c r="Z161" s="15" t="n">
        <v>0.1629669079198481</v>
      </c>
      <c r="AA161" s="15" t="n">
        <v>0.1636578466753539</v>
      </c>
      <c r="AB161" s="15" t="n">
        <v>0.8718072637300149</v>
      </c>
      <c r="AC161" s="15" t="n">
        <v>7.498669441172971</v>
      </c>
      <c r="AD161" s="15" t="n">
        <v>28.8975576303571</v>
      </c>
      <c r="AE161" s="15" t="n">
        <v>68.46153466568889</v>
      </c>
      <c r="AF161" s="15" t="n">
        <v>107.9365050590488</v>
      </c>
      <c r="AH161" s="29">
        <f>HIPERLINK($A$1 &amp; "\Dados\Magnet_fields.txt_161.txt.txt", "Magnet_fields.txt_161.txt")</f>
        <v/>
      </c>
      <c r="AI161" t="n">
        <v>8790</v>
      </c>
      <c r="AJ161" t="n">
        <v>29</v>
      </c>
      <c r="AK161" s="29">
        <f>HIPERLINK($A$1 &amp; "\Dados\Magnet_3D_results.txt_161.txt.txt", "Magnet_3D_results.txt_161.txt")</f>
        <v/>
      </c>
      <c r="AL161" s="29">
        <f>HIPERLINK($A$1 &amp; "\Dados\Magnet_fields_2D.txt_161.txt.txt", "Magnet_fields_2D.txt_161.txt")</f>
        <v/>
      </c>
    </row>
    <row customHeight="1" ht="15.75" r="162" s="34">
      <c r="E162" s="15" t="n">
        <v>120</v>
      </c>
      <c r="F162" s="15" t="n">
        <v>170</v>
      </c>
      <c r="G162" s="15" t="n">
        <v>350</v>
      </c>
      <c r="H162" s="15" t="n">
        <v>30</v>
      </c>
      <c r="I162" s="15" t="n">
        <v>142</v>
      </c>
      <c r="J162" s="13" t="n">
        <v>25</v>
      </c>
      <c r="K162" t="n">
        <v>35</v>
      </c>
      <c r="L162" s="13" t="n">
        <v>1.6</v>
      </c>
      <c r="M162" s="12" t="n"/>
      <c r="N162" s="8" t="n">
        <v>1.094457206934957</v>
      </c>
      <c r="O162" s="15" t="n">
        <v>0.842980530549278</v>
      </c>
      <c r="P162" s="15" t="n">
        <v>1.014123801328777</v>
      </c>
      <c r="Q162" s="15" t="n">
        <v>0.001017437493920039</v>
      </c>
      <c r="R162" s="15" t="n">
        <v>0.0251516077347081</v>
      </c>
      <c r="S162" s="15" t="n">
        <v>0.001962602030244373</v>
      </c>
      <c r="T162" s="29">
        <f>HIPERLINK($A$1 &amp; "\Dados\Imagem_perfil_162.png", "Imagem_perfil_162")</f>
        <v/>
      </c>
      <c r="U162" s="29">
        <f>HIPERLINK($A$1 &amp; "\Dados\Results_airgap162.txt", "Results_airgap162")</f>
        <v/>
      </c>
      <c r="V162" s="19" t="n"/>
      <c r="W162" s="15" t="n">
        <v>1.386447391304348</v>
      </c>
      <c r="X162" s="15" t="n">
        <v>0.6958881055522548</v>
      </c>
      <c r="Y162" s="15" t="n">
        <v>0.2334107952370802</v>
      </c>
      <c r="Z162" s="15" t="n">
        <v>0.1379211302487593</v>
      </c>
      <c r="AA162" s="15" t="n">
        <v>0.05471698188065339</v>
      </c>
      <c r="AB162" s="15" t="n">
        <v>1.668904973970552</v>
      </c>
      <c r="AC162" s="15" t="n">
        <v>9.167044597487614</v>
      </c>
      <c r="AD162" s="15" t="n">
        <v>30.21102305430832</v>
      </c>
      <c r="AE162" s="15" t="n">
        <v>69.07960865969491</v>
      </c>
      <c r="AF162" s="15" t="n">
        <v>108.0485417092318</v>
      </c>
      <c r="AH162" s="29">
        <f>HIPERLINK($A$1 &amp; "\Dados\Magnet_fields.txt_162.txt.txt", "Magnet_fields.txt_162.txt")</f>
        <v/>
      </c>
      <c r="AI162" t="n">
        <v>8790</v>
      </c>
      <c r="AJ162" t="n">
        <v>29</v>
      </c>
      <c r="AK162" s="29">
        <f>HIPERLINK($A$1 &amp; "\Dados\Magnet_3D_results.txt_162.txt.txt", "Magnet_3D_results.txt_162.txt")</f>
        <v/>
      </c>
      <c r="AL162" s="29">
        <f>HIPERLINK($A$1 &amp; "\Dados\Magnet_fields_2D.txt_162.txt.txt", "Magnet_fields_2D.txt_162.txt")</f>
        <v/>
      </c>
    </row>
    <row customHeight="1" ht="15.75" r="163" s="34">
      <c r="E163" s="15" t="n">
        <v>120</v>
      </c>
      <c r="F163" s="15" t="n">
        <v>170</v>
      </c>
      <c r="G163" s="15" t="n">
        <v>350</v>
      </c>
      <c r="H163" s="15" t="n">
        <v>30</v>
      </c>
      <c r="I163" s="15" t="n">
        <v>142</v>
      </c>
      <c r="J163" s="13" t="n">
        <v>25</v>
      </c>
      <c r="K163" t="n">
        <v>35</v>
      </c>
      <c r="L163" s="13" t="n">
        <v>1.7</v>
      </c>
      <c r="M163" s="12" t="n"/>
      <c r="N163" s="8" t="n">
        <v>1.098332807169381</v>
      </c>
      <c r="O163" s="15" t="n">
        <v>0.8460048093062441</v>
      </c>
      <c r="P163" s="15" t="n">
        <v>1.017752853614945</v>
      </c>
      <c r="Q163" s="15" t="n">
        <v>0.001017840929193874</v>
      </c>
      <c r="R163" s="15" t="n">
        <v>0.02529075619827489</v>
      </c>
      <c r="S163" s="15" t="n">
        <v>0.001966314285252413</v>
      </c>
      <c r="T163" s="29">
        <f>HIPERLINK($A$1 &amp; "\Dados\Imagem_perfil_163.png", "Imagem_perfil_163")</f>
        <v/>
      </c>
      <c r="U163" s="29">
        <f>HIPERLINK($A$1 &amp; "\Dados\Results_airgap163.txt", "Results_airgap163")</f>
        <v/>
      </c>
      <c r="V163" s="19" t="n"/>
      <c r="W163" s="15" t="n">
        <v>1.391324130434783</v>
      </c>
      <c r="X163" s="15" t="n">
        <v>0.6985117129158916</v>
      </c>
      <c r="Y163" s="15" t="n">
        <v>0.3235160192013781</v>
      </c>
      <c r="Z163" s="15" t="n">
        <v>0.1326434731393118</v>
      </c>
      <c r="AA163" s="15" t="n">
        <v>0.03552579681250626</v>
      </c>
      <c r="AB163" s="15" t="n">
        <v>2.164332508560514</v>
      </c>
      <c r="AC163" s="15" t="n">
        <v>10.18268591556989</v>
      </c>
      <c r="AD163" s="15" t="n">
        <v>31.12057325883346</v>
      </c>
      <c r="AE163" s="15" t="n">
        <v>69.54013500155378</v>
      </c>
      <c r="AF163" s="15" t="n">
        <v>108.1131531622649</v>
      </c>
      <c r="AH163" s="29">
        <f>HIPERLINK($A$1 &amp; "\Dados\Magnet_fields.txt_163.txt.txt", "Magnet_fields.txt_163.txt")</f>
        <v/>
      </c>
      <c r="AI163" t="n">
        <v>8790</v>
      </c>
      <c r="AJ163" t="n">
        <v>28</v>
      </c>
      <c r="AK163" s="29">
        <f>HIPERLINK($A$1 &amp; "\Dados\Magnet_3D_results.txt_163.txt.txt", "Magnet_3D_results.txt_163.txt")</f>
        <v/>
      </c>
      <c r="AL163" s="29">
        <f>HIPERLINK($A$1 &amp; "\Dados\Magnet_fields_2D.txt_163.txt.txt", "Magnet_fields_2D.txt_163.txt")</f>
        <v/>
      </c>
    </row>
    <row customHeight="1" ht="15.75" r="164" s="34">
      <c r="E164" s="15" t="n">
        <v>120</v>
      </c>
      <c r="F164" s="15" t="n">
        <v>170</v>
      </c>
      <c r="G164" s="15" t="n">
        <v>350</v>
      </c>
      <c r="H164" s="15" t="n">
        <v>30</v>
      </c>
      <c r="I164" s="15" t="n">
        <v>142</v>
      </c>
      <c r="J164" s="13" t="n">
        <v>25</v>
      </c>
      <c r="K164" t="n">
        <v>35</v>
      </c>
      <c r="L164" s="13" t="n">
        <v>1.8</v>
      </c>
      <c r="M164" s="12" t="n"/>
      <c r="N164" s="8" t="n">
        <v>1.098332807169381</v>
      </c>
      <c r="O164" s="15" t="n">
        <v>0.8460048093062441</v>
      </c>
      <c r="P164" s="15" t="n">
        <v>1.017752853614945</v>
      </c>
      <c r="Q164" s="15" t="n">
        <v>0.001017840929193874</v>
      </c>
      <c r="R164" s="15" t="n">
        <v>0.02529075619827489</v>
      </c>
      <c r="S164" s="15" t="n">
        <v>0.001966314285252413</v>
      </c>
      <c r="T164" s="29">
        <f>HIPERLINK($A$1 &amp; "\Dados\Imagem_perfil_164.png", "Imagem_perfil_164")</f>
        <v/>
      </c>
      <c r="U164" s="29">
        <f>HIPERLINK($A$1 &amp; "\Dados\Results_airgap164.txt", "Results_airgap164")</f>
        <v/>
      </c>
      <c r="V164" s="19" t="n"/>
      <c r="W164" s="15" t="n">
        <v>1.394127173913044</v>
      </c>
      <c r="X164" s="15" t="n">
        <v>0.6985117129158915</v>
      </c>
      <c r="Y164" s="15" t="n">
        <v>0.4172780032459144</v>
      </c>
      <c r="Z164" s="15" t="n">
        <v>0.1326434731393118</v>
      </c>
      <c r="AA164" s="15" t="n">
        <v>0.03552579681250626</v>
      </c>
      <c r="AB164" s="15" t="n">
        <v>2.445033688873838</v>
      </c>
      <c r="AC164" s="15" t="n">
        <v>10.85969634038438</v>
      </c>
      <c r="AD164" s="15" t="n">
        <v>31.62172926077881</v>
      </c>
      <c r="AE164" s="15" t="n">
        <v>69.75145398775304</v>
      </c>
      <c r="AF164" s="15" t="n">
        <v>108.1876157812337</v>
      </c>
      <c r="AH164" s="29">
        <f>HIPERLINK($A$1 &amp; "\Dados\Magnet_fields.txt_164.txt.txt", "Magnet_fields.txt_164.txt")</f>
        <v/>
      </c>
      <c r="AI164" t="n">
        <v>8790</v>
      </c>
      <c r="AJ164" t="n">
        <v>29</v>
      </c>
      <c r="AK164" s="29">
        <f>HIPERLINK($A$1 &amp; "\Dados\Magnet_3D_results.txt_164.txt.txt", "Magnet_3D_results.txt_164.txt")</f>
        <v/>
      </c>
      <c r="AL164" s="29">
        <f>HIPERLINK($A$1 &amp; "\Dados\Magnet_fields_2D.txt_164.txt.txt", "Magnet_fields_2D.txt_164.txt")</f>
        <v/>
      </c>
    </row>
    <row customHeight="1" ht="15.75" r="165" s="34">
      <c r="E165" s="15" t="n">
        <v>120</v>
      </c>
      <c r="F165" s="15" t="n">
        <v>170</v>
      </c>
      <c r="G165" s="15" t="n">
        <v>350</v>
      </c>
      <c r="H165" s="15" t="n">
        <v>30</v>
      </c>
      <c r="I165" s="15" t="n">
        <v>142</v>
      </c>
      <c r="J165" s="13" t="n">
        <v>25</v>
      </c>
      <c r="K165" t="n">
        <v>35</v>
      </c>
      <c r="L165" s="13" t="n">
        <v>1.900000000000001</v>
      </c>
      <c r="M165" s="12" t="n"/>
      <c r="N165" s="8" t="n">
        <v>1.101378689889201</v>
      </c>
      <c r="O165" s="15" t="n">
        <v>0.8484078135083092</v>
      </c>
      <c r="P165" s="15" t="n">
        <v>1.020624030330795</v>
      </c>
      <c r="Q165" s="15" t="n">
        <v>0.001017965708811841</v>
      </c>
      <c r="R165" s="15" t="n">
        <v>0.0254142515170607</v>
      </c>
      <c r="S165" s="15" t="n">
        <v>0.001969343887914876</v>
      </c>
      <c r="T165" s="29">
        <f>HIPERLINK($A$1 &amp; "\Dados\Imagem_perfil_165.png", "Imagem_perfil_165")</f>
        <v/>
      </c>
      <c r="U165" s="29">
        <f>HIPERLINK($A$1 &amp; "\Dados\Results_airgap165.txt", "Results_airgap165")</f>
        <v/>
      </c>
      <c r="V165" s="19" t="n"/>
      <c r="W165" s="15" t="n">
        <v>1.396228043478261</v>
      </c>
      <c r="X165" s="15" t="n">
        <v>0.7006182072226165</v>
      </c>
      <c r="Y165" s="15" t="n">
        <v>0.5121234957866873</v>
      </c>
      <c r="Z165" s="15" t="n">
        <v>0.1210104576436918</v>
      </c>
      <c r="AA165" s="15" t="n">
        <v>0.03366392312825158</v>
      </c>
      <c r="AB165" s="15" t="n">
        <v>2.654228067619921</v>
      </c>
      <c r="AC165" s="15" t="n">
        <v>11.34950316989053</v>
      </c>
      <c r="AD165" s="15" t="n">
        <v>32.03082557149331</v>
      </c>
      <c r="AE165" s="15" t="n">
        <v>69.93106266681851</v>
      </c>
      <c r="AF165" s="15" t="n">
        <v>108.2136398257581</v>
      </c>
      <c r="AH165" s="29">
        <f>HIPERLINK($A$1 &amp; "\Dados\Magnet_fields.txt_165.txt.txt", "Magnet_fields.txt_165.txt")</f>
        <v/>
      </c>
      <c r="AI165" t="n">
        <v>8790</v>
      </c>
      <c r="AJ165" t="n">
        <v>29</v>
      </c>
      <c r="AK165" s="29">
        <f>HIPERLINK($A$1 &amp; "\Dados\Magnet_3D_results.txt_165.txt.txt", "Magnet_3D_results.txt_165.txt")</f>
        <v/>
      </c>
      <c r="AL165" s="29">
        <f>HIPERLINK($A$1 &amp; "\Dados\Magnet_fields_2D.txt_165.txt.txt", "Magnet_fields_2D.txt_165.txt")</f>
        <v/>
      </c>
    </row>
    <row customHeight="1" ht="15.75" r="166" s="34">
      <c r="E166" s="15" t="n">
        <v>120</v>
      </c>
      <c r="F166" s="15" t="n">
        <v>170</v>
      </c>
      <c r="G166" s="15" t="n">
        <v>350</v>
      </c>
      <c r="H166" s="15" t="n">
        <v>30</v>
      </c>
      <c r="I166" s="15" t="n">
        <v>142</v>
      </c>
      <c r="J166" s="13" t="n">
        <v>25</v>
      </c>
      <c r="K166" t="n">
        <v>35</v>
      </c>
      <c r="L166" s="13" t="n">
        <v>2.000000000000001</v>
      </c>
      <c r="M166" s="12" t="n"/>
      <c r="N166" s="8" t="n">
        <v>1.102268163777231</v>
      </c>
      <c r="O166" s="15" t="n">
        <v>0.8491116670997227</v>
      </c>
      <c r="P166" s="15" t="n">
        <v>1.021427935415619</v>
      </c>
      <c r="Q166" s="15" t="n">
        <v>0.001016608509748307</v>
      </c>
      <c r="R166" s="15" t="n">
        <v>0.02551909594048675</v>
      </c>
      <c r="S166" s="15" t="n">
        <v>0.001970558839415819</v>
      </c>
      <c r="T166" s="29">
        <f>HIPERLINK($A$1 &amp; "\Dados\Imagem_perfil_166.png", "Imagem_perfil_166")</f>
        <v/>
      </c>
      <c r="U166" s="29">
        <f>HIPERLINK($A$1 &amp; "\Dados\Results_airgap166.txt", "Results_airgap166")</f>
        <v/>
      </c>
      <c r="V166" s="19" t="n"/>
      <c r="W166" s="15" t="n">
        <v>1.397822391304348</v>
      </c>
      <c r="X166" s="15" t="n">
        <v>0.7012460362918589</v>
      </c>
      <c r="Y166" s="15" t="n">
        <v>0.6063504961010714</v>
      </c>
      <c r="Z166" s="15" t="n">
        <v>0.1107692163682994</v>
      </c>
      <c r="AA166" s="15" t="n">
        <v>0.004367043146783036</v>
      </c>
      <c r="AB166" s="15" t="n">
        <v>2.841190970021704</v>
      </c>
      <c r="AC166" s="15" t="n">
        <v>11.71339810586557</v>
      </c>
      <c r="AD166" s="15" t="n">
        <v>32.33922456144354</v>
      </c>
      <c r="AE166" s="15" t="n">
        <v>70.09111662936407</v>
      </c>
      <c r="AF166" s="15" t="n">
        <v>108.2684847574785</v>
      </c>
      <c r="AH166" s="29">
        <f>HIPERLINK($A$1 &amp; "\Dados\Magnet_fields.txt_166.txt.txt", "Magnet_fields.txt_166.txt")</f>
        <v/>
      </c>
      <c r="AI166" t="n">
        <v>8790</v>
      </c>
      <c r="AJ166" t="n">
        <v>29</v>
      </c>
      <c r="AK166" s="29">
        <f>HIPERLINK($A$1 &amp; "\Dados\Magnet_3D_results.txt_166.txt.txt", "Magnet_3D_results.txt_166.txt")</f>
        <v/>
      </c>
      <c r="AL166" s="29">
        <f>HIPERLINK($A$1 &amp; "\Dados\Magnet_fields_2D.txt_166.txt.txt", "Magnet_fields_2D.txt_166.txt")</f>
        <v/>
      </c>
    </row>
    <row customHeight="1" ht="15.75" r="167" s="34">
      <c r="E167" s="15" t="n">
        <v>120</v>
      </c>
      <c r="F167" s="15" t="n">
        <v>170</v>
      </c>
      <c r="G167" s="15" t="n">
        <v>350</v>
      </c>
      <c r="H167" s="15" t="n">
        <v>30</v>
      </c>
      <c r="I167" s="15" t="n">
        <v>142</v>
      </c>
      <c r="J167" s="13" t="n">
        <v>25</v>
      </c>
      <c r="K167" t="n">
        <v>35</v>
      </c>
      <c r="L167" s="13" t="n">
        <v>2.100000000000001</v>
      </c>
      <c r="M167" s="12" t="n"/>
      <c r="N167" s="8" t="n">
        <v>1.104250151700058</v>
      </c>
      <c r="O167" s="15" t="n">
        <v>0.8506583971792878</v>
      </c>
      <c r="P167" s="15" t="n">
        <v>1.023385642661135</v>
      </c>
      <c r="Q167" s="15" t="n">
        <v>0.001016867619388887</v>
      </c>
      <c r="R167" s="15" t="n">
        <v>0.0255698849840415</v>
      </c>
      <c r="S167" s="15" t="n">
        <v>0.00197197065710025</v>
      </c>
      <c r="T167" s="29">
        <f>HIPERLINK($A$1 &amp; "\Dados\Imagem_perfil_167.png", "Imagem_perfil_167")</f>
        <v/>
      </c>
      <c r="U167" s="29">
        <f>HIPERLINK($A$1 &amp; "\Dados\Results_airgap167.txt", "Results_airgap167")</f>
        <v/>
      </c>
      <c r="V167" s="19" t="n"/>
      <c r="W167" s="15" t="n">
        <v>1.399148260869565</v>
      </c>
      <c r="X167" s="15" t="n">
        <v>0.7025730705179921</v>
      </c>
      <c r="Y167" s="15" t="n">
        <v>0.6988530755402376</v>
      </c>
      <c r="Z167" s="15" t="n">
        <v>0.1107692163682994</v>
      </c>
      <c r="AA167" s="15" t="n">
        <v>0.004367043146783036</v>
      </c>
      <c r="AB167" s="15" t="n">
        <v>3.023384350464791</v>
      </c>
      <c r="AC167" s="15" t="n">
        <v>12.03943092170189</v>
      </c>
      <c r="AD167" s="15" t="n">
        <v>32.59729153017452</v>
      </c>
      <c r="AE167" s="15" t="n">
        <v>70.18276013481746</v>
      </c>
      <c r="AF167" s="15" t="n">
        <v>108.2371001571139</v>
      </c>
      <c r="AH167" s="29">
        <f>HIPERLINK($A$1 &amp; "\Dados\Magnet_fields.txt_167.txt.txt", "Magnet_fields.txt_167.txt")</f>
        <v/>
      </c>
      <c r="AI167" t="n">
        <v>8790</v>
      </c>
      <c r="AJ167" t="n">
        <v>28</v>
      </c>
      <c r="AK167" s="29">
        <f>HIPERLINK($A$1 &amp; "\Dados\Magnet_3D_results.txt_167.txt.txt", "Magnet_3D_results.txt_167.txt")</f>
        <v/>
      </c>
      <c r="AL167" s="29">
        <f>HIPERLINK($A$1 &amp; "\Dados\Magnet_fields_2D.txt_167.txt.txt", "Magnet_fields_2D.txt_167.txt")</f>
        <v/>
      </c>
    </row>
    <row customHeight="1" ht="15.75" r="168" s="34">
      <c r="E168" s="15" t="n">
        <v>120</v>
      </c>
      <c r="F168" s="15" t="n">
        <v>170</v>
      </c>
      <c r="G168" s="15" t="n">
        <v>350</v>
      </c>
      <c r="H168" s="15" t="n">
        <v>32</v>
      </c>
      <c r="I168" s="15" t="n">
        <v>142</v>
      </c>
      <c r="J168" s="13" t="n">
        <v>25</v>
      </c>
      <c r="K168" t="n">
        <v>35</v>
      </c>
      <c r="L168" s="13" t="n">
        <v>1.3</v>
      </c>
      <c r="M168" s="12" t="n"/>
      <c r="N168" s="8" t="n">
        <v>1.052215660636272</v>
      </c>
      <c r="O168" s="15" t="n">
        <v>0.8086255127089979</v>
      </c>
      <c r="P168" s="15" t="n">
        <v>0.9745648254048225</v>
      </c>
      <c r="Q168" s="15" t="n">
        <v>0.001018158744964968</v>
      </c>
      <c r="R168" s="15" t="n">
        <v>0.02361921536772598</v>
      </c>
      <c r="S168" s="15" t="n">
        <v>0.001908389756660171</v>
      </c>
      <c r="T168" s="29">
        <f>HIPERLINK($A$1 &amp; "\Dados\Imagem_perfil_168.png", "Imagem_perfil_168")</f>
        <v/>
      </c>
      <c r="U168" s="29">
        <f>HIPERLINK($A$1 &amp; "\Dados\Results_airgap168.txt", "Results_airgap168")</f>
        <v/>
      </c>
      <c r="V168" s="19" t="n"/>
      <c r="W168" s="43" t="n">
        <v>1.332218913043478</v>
      </c>
      <c r="X168" s="15" t="n">
        <v>0.6644602524377808</v>
      </c>
      <c r="Y168" s="15" t="n">
        <v>0.03209585237223181</v>
      </c>
      <c r="Z168" s="15" t="n">
        <v>0.3822698802938688</v>
      </c>
      <c r="AA168" s="15" t="n">
        <v>0.8649258308312875</v>
      </c>
      <c r="AB168" s="15" t="n">
        <v>0</v>
      </c>
      <c r="AC168" s="15" t="n">
        <v>0</v>
      </c>
      <c r="AD168" s="15" t="n">
        <v>20.54296095282374</v>
      </c>
      <c r="AE168" s="15" t="n">
        <v>64.56081285502106</v>
      </c>
      <c r="AF168" s="15" t="n">
        <v>106.8536681846976</v>
      </c>
      <c r="AH168" s="29">
        <f>HIPERLINK($A$1 &amp; "\Dados\Magnet_fields.txt_168.txt.txt", "Magnet_fields.txt_168.txt")</f>
        <v/>
      </c>
      <c r="AI168" t="n">
        <v>7669</v>
      </c>
      <c r="AJ168" t="n">
        <v>28</v>
      </c>
      <c r="AK168" s="29">
        <f>HIPERLINK($A$1 &amp; "\Dados\Magnet_3D_results.txt_168.txt.txt", "Magnet_3D_results.txt_168.txt")</f>
        <v/>
      </c>
      <c r="AL168" s="29">
        <f>HIPERLINK($A$1 &amp; "\Dados\Magnet_fields_2D.txt_168.txt.txt", "Magnet_fields_2D.txt_168.txt")</f>
        <v/>
      </c>
    </row>
    <row customHeight="1" ht="15.75" r="169" s="34">
      <c r="E169" s="15" t="n">
        <v>120</v>
      </c>
      <c r="F169" s="15" t="n">
        <v>170</v>
      </c>
      <c r="G169" s="15" t="n">
        <v>350</v>
      </c>
      <c r="H169" s="15" t="n">
        <v>32</v>
      </c>
      <c r="I169" s="15" t="n">
        <v>142</v>
      </c>
      <c r="J169" s="13" t="n">
        <v>25</v>
      </c>
      <c r="K169" t="n">
        <v>35</v>
      </c>
      <c r="L169" s="13" t="n">
        <v>1.4</v>
      </c>
      <c r="M169" s="12" t="n"/>
      <c r="N169" s="8" t="n">
        <v>1.076784767677761</v>
      </c>
      <c r="O169" s="15" t="n">
        <v>0.8278869378533793</v>
      </c>
      <c r="P169" s="15" t="n">
        <v>0.9972504057619174</v>
      </c>
      <c r="Q169" s="15" t="n">
        <v>0.00101825469801196</v>
      </c>
      <c r="R169" s="15" t="n">
        <v>0.02477968310538727</v>
      </c>
      <c r="S169" s="15" t="n">
        <v>0.001937493991106268</v>
      </c>
      <c r="T169" s="29">
        <f>HIPERLINK($A$1 &amp; "\Dados\Imagem_perfil_169.png", "Imagem_perfil_169")</f>
        <v/>
      </c>
      <c r="U169" s="29">
        <f>HIPERLINK($A$1 &amp; "\Dados\Results_airgap169.txt", "Results_airgap169")</f>
        <v/>
      </c>
      <c r="V169" s="19" t="n"/>
      <c r="W169" s="43" t="n">
        <v>1.363178043478261</v>
      </c>
      <c r="X169" s="15" t="n">
        <v>0.6809560280716864</v>
      </c>
      <c r="Y169" s="15" t="n">
        <v>0.08125199266343631</v>
      </c>
      <c r="Z169" s="15" t="n">
        <v>0.2421871891986497</v>
      </c>
      <c r="AA169" s="15" t="n">
        <v>0.07251111640177822</v>
      </c>
      <c r="AB169" s="15" t="n">
        <v>0</v>
      </c>
      <c r="AC169" s="15" t="n">
        <v>4.367880243087119</v>
      </c>
      <c r="AD169" s="15" t="n">
        <v>26.43345140923324</v>
      </c>
      <c r="AE169" s="15" t="n">
        <v>67.28987207397427</v>
      </c>
      <c r="AF169" s="15" t="n">
        <v>107.7347789290796</v>
      </c>
      <c r="AH169" s="29">
        <f>HIPERLINK($A$1 &amp; "\Dados\Magnet_fields.txt_169.txt.txt", "Magnet_fields.txt_169.txt")</f>
        <v/>
      </c>
      <c r="AI169" t="n">
        <v>7669</v>
      </c>
      <c r="AJ169" t="n">
        <v>29</v>
      </c>
      <c r="AK169" s="29">
        <f>HIPERLINK($A$1 &amp; "\Dados\Magnet_3D_results.txt_169.txt.txt", "Magnet_3D_results.txt_169.txt")</f>
        <v/>
      </c>
      <c r="AL169" s="29">
        <f>HIPERLINK($A$1 &amp; "\Dados\Magnet_fields_2D.txt_169.txt.txt", "Magnet_fields_2D.txt_169.txt")</f>
        <v/>
      </c>
    </row>
    <row customHeight="1" ht="15.75" r="170" s="34">
      <c r="E170" s="15" t="n">
        <v>120</v>
      </c>
      <c r="F170" s="15" t="n">
        <v>170</v>
      </c>
      <c r="G170" s="15" t="n">
        <v>350</v>
      </c>
      <c r="H170" s="15" t="n">
        <v>32</v>
      </c>
      <c r="I170" s="15" t="n">
        <v>142</v>
      </c>
      <c r="J170" s="13" t="n">
        <v>25</v>
      </c>
      <c r="K170" t="n">
        <v>35</v>
      </c>
      <c r="L170" s="13" t="n">
        <v>1.5</v>
      </c>
      <c r="M170" s="12" t="n"/>
      <c r="N170" s="8" t="n">
        <v>1.086909247058261</v>
      </c>
      <c r="O170" s="15" t="n">
        <v>0.8358354395162019</v>
      </c>
      <c r="P170" s="15" t="n">
        <v>1.006821002148303</v>
      </c>
      <c r="Q170" s="15" t="n">
        <v>0.001018824390744738</v>
      </c>
      <c r="R170" s="15" t="n">
        <v>0.02518480658259543</v>
      </c>
      <c r="S170" s="15" t="n">
        <v>0.001947906259458708</v>
      </c>
      <c r="T170" s="29">
        <f>HIPERLINK($A$1 &amp; "\Dados\Imagem_perfil_170.png", "Imagem_perfil_170")</f>
        <v/>
      </c>
      <c r="U170" s="29">
        <f>HIPERLINK($A$1 &amp; "\Dados\Results_airgap170.txt", "Results_airgap170")</f>
        <v/>
      </c>
      <c r="V170" s="19" t="n"/>
      <c r="W170" s="43" t="n">
        <v>1.378563695652174</v>
      </c>
      <c r="X170" s="15" t="n">
        <v>0.687764817760495</v>
      </c>
      <c r="Y170" s="15" t="n">
        <v>0.1507958247737697</v>
      </c>
      <c r="Z170" s="15" t="n">
        <v>0.1772110396516475</v>
      </c>
      <c r="AA170" s="15" t="n">
        <v>0.01377933638371215</v>
      </c>
      <c r="AB170" s="15" t="n">
        <v>0.8800392528891164</v>
      </c>
      <c r="AC170" s="15" t="n">
        <v>7.494693467242147</v>
      </c>
      <c r="AD170" s="15" t="n">
        <v>28.90383004062159</v>
      </c>
      <c r="AE170" s="15" t="n">
        <v>68.42890313567271</v>
      </c>
      <c r="AF170" s="15" t="n">
        <v>107.9440937286788</v>
      </c>
      <c r="AH170" s="29">
        <f>HIPERLINK($A$1 &amp; "\Dados\Magnet_fields.txt_170.txt.txt", "Magnet_fields.txt_170.txt")</f>
        <v/>
      </c>
      <c r="AI170" t="n">
        <v>7669</v>
      </c>
      <c r="AJ170" t="n">
        <v>28</v>
      </c>
      <c r="AK170" s="29">
        <f>HIPERLINK($A$1 &amp; "\Dados\Magnet_3D_results.txt_170.txt.txt", "Magnet_3D_results.txt_170.txt")</f>
        <v/>
      </c>
      <c r="AL170" s="29">
        <f>HIPERLINK($A$1 &amp; "\Dados\Magnet_fields_2D.txt_170.txt.txt", "Magnet_fields_2D.txt_170.txt")</f>
        <v/>
      </c>
    </row>
    <row customHeight="1" ht="15.75" r="171" s="34">
      <c r="E171" s="15" t="n">
        <v>120</v>
      </c>
      <c r="F171" s="15" t="n">
        <v>170</v>
      </c>
      <c r="G171" s="15" t="n">
        <v>350</v>
      </c>
      <c r="H171" s="15" t="n">
        <v>32</v>
      </c>
      <c r="I171" s="15" t="n">
        <v>142</v>
      </c>
      <c r="J171" s="13" t="n">
        <v>25</v>
      </c>
      <c r="K171" t="n">
        <v>35</v>
      </c>
      <c r="L171" s="13" t="n">
        <v>1.6</v>
      </c>
      <c r="M171" s="12" t="n"/>
      <c r="N171" s="8" t="n">
        <v>1.095477928175364</v>
      </c>
      <c r="O171" s="15" t="n">
        <v>0.8425546251990645</v>
      </c>
      <c r="P171" s="15" t="n">
        <v>1.014824711638809</v>
      </c>
      <c r="Q171" s="15" t="n">
        <v>0.001016500169132466</v>
      </c>
      <c r="R171" s="15" t="n">
        <v>0.02558769593973259</v>
      </c>
      <c r="S171" s="15" t="n">
        <v>0.001955256236084483</v>
      </c>
      <c r="T171" s="29">
        <f>HIPERLINK($A$1 &amp; "\Dados\Imagem_perfil_171.png", "Imagem_perfil_171")</f>
        <v/>
      </c>
      <c r="U171" s="29">
        <f>HIPERLINK($A$1 &amp; "\Dados\Results_airgap171.txt", "Results_airgap171")</f>
        <v/>
      </c>
      <c r="V171" s="19" t="n"/>
      <c r="W171" s="15" t="n">
        <v>1.386438695652174</v>
      </c>
      <c r="X171" s="15" t="n">
        <v>0.6935446974583656</v>
      </c>
      <c r="Y171" s="15" t="n">
        <v>0.2334000000429639</v>
      </c>
      <c r="Z171" s="15" t="n">
        <v>0.1459700192126425</v>
      </c>
      <c r="AA171" s="15" t="n">
        <v>0.007248331305959961</v>
      </c>
      <c r="AB171" s="15" t="n">
        <v>1.647795726255324</v>
      </c>
      <c r="AC171" s="15" t="n">
        <v>9.158945643889799</v>
      </c>
      <c r="AD171" s="15" t="n">
        <v>30.21881800420412</v>
      </c>
      <c r="AE171" s="15" t="n">
        <v>69.0793037912748</v>
      </c>
      <c r="AF171" s="15" t="n">
        <v>108.0380420923095</v>
      </c>
      <c r="AH171" s="29">
        <f>HIPERLINK($A$1 &amp; "\Dados\Magnet_fields.txt_171.txt.txt", "Magnet_fields.txt_171.txt")</f>
        <v/>
      </c>
      <c r="AI171" t="n">
        <v>7669</v>
      </c>
      <c r="AJ171" t="n">
        <v>29</v>
      </c>
      <c r="AK171" s="29">
        <f>HIPERLINK($A$1 &amp; "\Dados\Magnet_3D_results.txt_171.txt.txt", "Magnet_3D_results.txt_171.txt")</f>
        <v/>
      </c>
      <c r="AL171" s="29">
        <f>HIPERLINK($A$1 &amp; "\Dados\Magnet_fields_2D.txt_171.txt.txt", "Magnet_fields_2D.txt_171.txt")</f>
        <v/>
      </c>
    </row>
    <row customHeight="1" ht="15.75" r="172" s="34">
      <c r="E172" s="15" t="n">
        <v>120</v>
      </c>
      <c r="F172" s="15" t="n">
        <v>170</v>
      </c>
      <c r="G172" s="15" t="n">
        <v>350</v>
      </c>
      <c r="H172" s="15" t="n">
        <v>32</v>
      </c>
      <c r="I172" s="15" t="n">
        <v>142</v>
      </c>
      <c r="J172" s="13" t="n">
        <v>25</v>
      </c>
      <c r="K172" t="n">
        <v>35</v>
      </c>
      <c r="L172" s="13" t="n">
        <v>1.7</v>
      </c>
      <c r="M172" s="12" t="n"/>
      <c r="N172" s="8" t="n">
        <v>1.099296809819269</v>
      </c>
      <c r="O172" s="15" t="n">
        <v>0.8455247759490726</v>
      </c>
      <c r="P172" s="15" t="n">
        <v>1.018397748329379</v>
      </c>
      <c r="Q172" s="15" t="n">
        <v>0.001016826202393606</v>
      </c>
      <c r="R172" s="15" t="n">
        <v>0.02571325824352606</v>
      </c>
      <c r="S172" s="15" t="n">
        <v>0.001958485027115069</v>
      </c>
      <c r="T172" s="29">
        <f>HIPERLINK($A$1 &amp; "\Dados\Imagem_perfil_172.png", "Imagem_perfil_172")</f>
        <v/>
      </c>
      <c r="U172" s="29">
        <f>HIPERLINK($A$1 &amp; "\Dados\Results_airgap172.txt", "Results_airgap172")</f>
        <v/>
      </c>
      <c r="V172" s="19" t="n"/>
      <c r="W172" s="15" t="n">
        <v>1.39109652173913</v>
      </c>
      <c r="X172" s="15" t="n">
        <v>0.6960887336959982</v>
      </c>
      <c r="Y172" s="15" t="n">
        <v>0.3235035236231877</v>
      </c>
      <c r="Z172" s="15" t="n">
        <v>0.1434697522506405</v>
      </c>
      <c r="AA172" s="15" t="n">
        <v>0.007248331305959961</v>
      </c>
      <c r="AB172" s="15" t="n">
        <v>2.123454424079236</v>
      </c>
      <c r="AC172" s="15" t="n">
        <v>10.16684262821139</v>
      </c>
      <c r="AD172" s="15" t="n">
        <v>31.05999388312282</v>
      </c>
      <c r="AE172" s="15" t="n">
        <v>69.48684353773349</v>
      </c>
      <c r="AF172" s="15" t="n">
        <v>108.1280034496296</v>
      </c>
      <c r="AH172" s="29">
        <f>HIPERLINK($A$1 &amp; "\Dados\Magnet_fields.txt_172.txt.txt", "Magnet_fields.txt_172.txt")</f>
        <v/>
      </c>
      <c r="AI172" t="n">
        <v>7669</v>
      </c>
      <c r="AJ172" t="n">
        <v>28</v>
      </c>
      <c r="AK172" s="29">
        <f>HIPERLINK($A$1 &amp; "\Dados\Magnet_3D_results.txt_172.txt.txt", "Magnet_3D_results.txt_172.txt")</f>
        <v/>
      </c>
      <c r="AL172" s="29">
        <f>HIPERLINK($A$1 &amp; "\Dados\Magnet_fields_2D.txt_172.txt.txt", "Magnet_fields_2D.txt_172.txt")</f>
        <v/>
      </c>
    </row>
    <row customHeight="1" ht="15.75" r="173" s="34">
      <c r="E173" s="15" t="n">
        <v>120</v>
      </c>
      <c r="F173" s="15" t="n">
        <v>170</v>
      </c>
      <c r="G173" s="15" t="n">
        <v>350</v>
      </c>
      <c r="H173" s="15" t="n">
        <v>32</v>
      </c>
      <c r="I173" s="15" t="n">
        <v>142</v>
      </c>
      <c r="J173" s="13" t="n">
        <v>25</v>
      </c>
      <c r="K173" t="n">
        <v>35</v>
      </c>
      <c r="L173" s="13" t="n">
        <v>1.8</v>
      </c>
      <c r="M173" s="12" t="n"/>
      <c r="N173" s="8" t="n">
        <v>1.099296809819269</v>
      </c>
      <c r="O173" s="15" t="n">
        <v>0.8455247759490728</v>
      </c>
      <c r="P173" s="15" t="n">
        <v>1.018397748329379</v>
      </c>
      <c r="Q173" s="15" t="n">
        <v>0.001016826202393606</v>
      </c>
      <c r="R173" s="15" t="n">
        <v>0.02571325824352606</v>
      </c>
      <c r="S173" s="15" t="n">
        <v>0.001958485027115069</v>
      </c>
      <c r="T173" s="29">
        <f>HIPERLINK($A$1 &amp; "\Dados\Imagem_perfil_173.png", "Imagem_perfil_173")</f>
        <v/>
      </c>
      <c r="U173" s="29">
        <f>HIPERLINK($A$1 &amp; "\Dados\Results_airgap173.txt", "Results_airgap173")</f>
        <v/>
      </c>
      <c r="V173" s="19" t="n"/>
      <c r="W173" s="15" t="n">
        <v>1.394106956521739</v>
      </c>
      <c r="X173" s="15" t="n">
        <v>0.6960887336959983</v>
      </c>
      <c r="Y173" s="15" t="n">
        <v>0.4172651111860257</v>
      </c>
      <c r="Z173" s="15" t="n">
        <v>0.1434697522506405</v>
      </c>
      <c r="AA173" s="15" t="n">
        <v>0.007248331305959961</v>
      </c>
      <c r="AB173" s="15" t="n">
        <v>2.44588558826392</v>
      </c>
      <c r="AC173" s="15" t="n">
        <v>10.84513295607644</v>
      </c>
      <c r="AD173" s="15" t="n">
        <v>31.62255037308828</v>
      </c>
      <c r="AE173" s="15" t="n">
        <v>69.746010074241</v>
      </c>
      <c r="AF173" s="15" t="n">
        <v>108.1852140653349</v>
      </c>
      <c r="AH173" s="29">
        <f>HIPERLINK($A$1 &amp; "\Dados\Magnet_fields.txt_173.txt.txt", "Magnet_fields.txt_173.txt")</f>
        <v/>
      </c>
      <c r="AI173" t="n">
        <v>7669</v>
      </c>
      <c r="AJ173" t="n">
        <v>28</v>
      </c>
      <c r="AK173" s="29">
        <f>HIPERLINK($A$1 &amp; "\Dados\Magnet_3D_results.txt_173.txt.txt", "Magnet_3D_results.txt_173.txt")</f>
        <v/>
      </c>
      <c r="AL173" s="29">
        <f>HIPERLINK($A$1 &amp; "\Dados\Magnet_fields_2D.txt_173.txt.txt", "Magnet_fields_2D.txt_173.txt")</f>
        <v/>
      </c>
    </row>
    <row customHeight="1" ht="15.75" r="174" s="34">
      <c r="E174" s="15" t="n">
        <v>120</v>
      </c>
      <c r="F174" s="15" t="n">
        <v>170</v>
      </c>
      <c r="G174" s="15" t="n">
        <v>350</v>
      </c>
      <c r="H174" s="15" t="n">
        <v>32</v>
      </c>
      <c r="I174" s="15" t="n">
        <v>142</v>
      </c>
      <c r="J174" s="13" t="n">
        <v>25</v>
      </c>
      <c r="K174" t="n">
        <v>35</v>
      </c>
      <c r="L174" s="13" t="n">
        <v>1.900000000000001</v>
      </c>
      <c r="M174" s="12" t="n"/>
      <c r="N174" s="8" t="n">
        <v>1.102288321586122</v>
      </c>
      <c r="O174" s="15" t="n">
        <v>0.8478774936484652</v>
      </c>
      <c r="P174" s="15" t="n">
        <v>1.021215213422948</v>
      </c>
      <c r="Q174" s="15" t="n">
        <v>0.001016864563387032</v>
      </c>
      <c r="R174" s="15" t="n">
        <v>0.0258233337348872</v>
      </c>
      <c r="S174" s="15" t="n">
        <v>0.001961037355876121</v>
      </c>
      <c r="T174" s="29">
        <f>HIPERLINK($A$1 &amp; "\Dados\Imagem_perfil_174.png", "Imagem_perfil_174")</f>
        <v/>
      </c>
      <c r="U174" s="29">
        <f>HIPERLINK($A$1 &amp; "\Dados\Results_airgap174.txt", "Results_airgap174")</f>
        <v/>
      </c>
      <c r="V174" s="19" t="n"/>
      <c r="W174" s="15" t="n">
        <v>1.396234130434783</v>
      </c>
      <c r="X174" s="15" t="n">
        <v>0.6981239366014474</v>
      </c>
      <c r="Y174" s="15" t="n">
        <v>0.5121099397765257</v>
      </c>
      <c r="Z174" s="15" t="n">
        <v>0.1290962963656341</v>
      </c>
      <c r="AA174" s="15" t="n">
        <v>0.007248331305959961</v>
      </c>
      <c r="AB174" s="15" t="n">
        <v>2.674465317329931</v>
      </c>
      <c r="AC174" s="15" t="n">
        <v>11.33119716090642</v>
      </c>
      <c r="AD174" s="15" t="n">
        <v>32.03660743023938</v>
      </c>
      <c r="AE174" s="15" t="n">
        <v>69.93243601107064</v>
      </c>
      <c r="AF174" s="15" t="n">
        <v>108.2252078168454</v>
      </c>
      <c r="AH174" s="29">
        <f>HIPERLINK($A$1 &amp; "\Dados\Magnet_fields.txt_174.txt.txt", "Magnet_fields.txt_174.txt")</f>
        <v/>
      </c>
      <c r="AI174" t="n">
        <v>7669</v>
      </c>
      <c r="AJ174" t="n">
        <v>28</v>
      </c>
      <c r="AK174" s="29">
        <f>HIPERLINK($A$1 &amp; "\Dados\Magnet_3D_results.txt_174.txt.txt", "Magnet_3D_results.txt_174.txt")</f>
        <v/>
      </c>
      <c r="AL174" s="29">
        <f>HIPERLINK($A$1 &amp; "\Dados\Magnet_fields_2D.txt_174.txt.txt", "Magnet_fields_2D.txt_174.txt")</f>
        <v/>
      </c>
    </row>
    <row customHeight="1" ht="15.75" r="175" s="34">
      <c r="E175" s="15" t="n">
        <v>120</v>
      </c>
      <c r="F175" s="15" t="n">
        <v>170</v>
      </c>
      <c r="G175" s="15" t="n">
        <v>350</v>
      </c>
      <c r="H175" s="15" t="n">
        <v>32</v>
      </c>
      <c r="I175" s="15" t="n">
        <v>142</v>
      </c>
      <c r="J175" s="13" t="n">
        <v>25</v>
      </c>
      <c r="K175" t="n">
        <v>35</v>
      </c>
      <c r="L175" s="13" t="n">
        <v>2.000000000000001</v>
      </c>
      <c r="M175" s="12" t="n"/>
      <c r="N175" s="8" t="n">
        <v>1.103118818890166</v>
      </c>
      <c r="O175" s="15" t="n">
        <v>0.8485270413178351</v>
      </c>
      <c r="P175" s="15" t="n">
        <v>1.021962470843175</v>
      </c>
      <c r="Q175" s="15" t="n">
        <v>0.001015415905816792</v>
      </c>
      <c r="R175" s="15" t="n">
        <v>0.02591179042765326</v>
      </c>
      <c r="S175" s="15" t="n">
        <v>0.001961714019015823</v>
      </c>
      <c r="T175" s="29">
        <f>HIPERLINK($A$1 &amp; "\Dados\Imagem_perfil_175.png", "Imagem_perfil_175")</f>
        <v/>
      </c>
      <c r="U175" s="29">
        <f>HIPERLINK($A$1 &amp; "\Dados\Results_airgap175.txt", "Results_airgap175")</f>
        <v/>
      </c>
      <c r="V175" s="19" t="n"/>
      <c r="W175" s="15" t="n">
        <v>1.397757826086957</v>
      </c>
      <c r="X175" s="15" t="n">
        <v>0.6986983822010709</v>
      </c>
      <c r="Y175" s="15" t="n">
        <v>0.6063365119262296</v>
      </c>
      <c r="Z175" s="15" t="n">
        <v>0.1108554324704374</v>
      </c>
      <c r="AA175" s="15" t="n">
        <v>0.007248331305959961</v>
      </c>
      <c r="AB175" s="15" t="n">
        <v>2.822332424813946</v>
      </c>
      <c r="AC175" s="15" t="n">
        <v>11.69033603154991</v>
      </c>
      <c r="AD175" s="15" t="n">
        <v>32.3333550603833</v>
      </c>
      <c r="AE175" s="15" t="n">
        <v>70.08455343500597</v>
      </c>
      <c r="AF175" s="15" t="n">
        <v>108.2572562417859</v>
      </c>
      <c r="AH175" s="29">
        <f>HIPERLINK($A$1 &amp; "\Dados\Magnet_fields.txt_175.txt.txt", "Magnet_fields.txt_175.txt")</f>
        <v/>
      </c>
      <c r="AI175" t="n">
        <v>7669</v>
      </c>
      <c r="AJ175" t="n">
        <v>29</v>
      </c>
      <c r="AK175" s="29">
        <f>HIPERLINK($A$1 &amp; "\Dados\Magnet_3D_results.txt_175.txt.txt", "Magnet_3D_results.txt_175.txt")</f>
        <v/>
      </c>
      <c r="AL175" s="29">
        <f>HIPERLINK($A$1 &amp; "\Dados\Magnet_fields_2D.txt_175.txt.txt", "Magnet_fields_2D.txt_175.txt")</f>
        <v/>
      </c>
    </row>
    <row customHeight="1" ht="15.75" r="176" s="34">
      <c r="E176" s="15" t="n">
        <v>120</v>
      </c>
      <c r="F176" s="15" t="n">
        <v>170</v>
      </c>
      <c r="G176" s="15" t="n">
        <v>350</v>
      </c>
      <c r="H176" s="15" t="n">
        <v>32</v>
      </c>
      <c r="I176" s="15" t="n">
        <v>142</v>
      </c>
      <c r="J176" s="13" t="n">
        <v>25</v>
      </c>
      <c r="K176" t="n">
        <v>35</v>
      </c>
      <c r="L176" s="13" t="n">
        <v>2.100000000000001</v>
      </c>
      <c r="M176" s="12" t="n"/>
      <c r="N176" s="8" t="n">
        <v>1.103118818890166</v>
      </c>
      <c r="O176" s="15" t="n">
        <v>0.8485270413178351</v>
      </c>
      <c r="P176" s="15" t="n">
        <v>1.021962470843175</v>
      </c>
      <c r="Q176" s="15" t="n">
        <v>0.001015415905816792</v>
      </c>
      <c r="R176" s="15" t="n">
        <v>0.02591179042765327</v>
      </c>
      <c r="S176" s="15" t="n">
        <v>0.001961714019015823</v>
      </c>
      <c r="T176" s="29">
        <f>HIPERLINK($A$1 &amp; "\Dados\Imagem_perfil_176.png", "Imagem_perfil_176")</f>
        <v/>
      </c>
      <c r="U176" s="29">
        <f>HIPERLINK($A$1 &amp; "\Dados\Results_airgap176.txt", "Results_airgap176")</f>
        <v/>
      </c>
      <c r="V176" s="19" t="n"/>
      <c r="W176" s="15" t="n">
        <v>1.399062391304348</v>
      </c>
      <c r="X176" s="15" t="n">
        <v>0.6986983822010713</v>
      </c>
      <c r="Y176" s="15" t="n">
        <v>0.6988381995303062</v>
      </c>
      <c r="Z176" s="15" t="n">
        <v>0.1108554324704374</v>
      </c>
      <c r="AA176" s="15" t="n">
        <v>0.007248331305959961</v>
      </c>
      <c r="AB176" s="15" t="n">
        <v>2.92989341670699</v>
      </c>
      <c r="AC176" s="15" t="n">
        <v>11.97800093777191</v>
      </c>
      <c r="AD176" s="15" t="n">
        <v>32.61746957532092</v>
      </c>
      <c r="AE176" s="15" t="n">
        <v>70.22510311553346</v>
      </c>
      <c r="AF176" s="15" t="n">
        <v>108.3000457375864</v>
      </c>
      <c r="AH176" s="29">
        <f>HIPERLINK($A$1 &amp; "\Dados\Magnet_fields.txt_176.txt.txt", "Magnet_fields.txt_176.txt")</f>
        <v/>
      </c>
      <c r="AI176" t="n">
        <v>7669</v>
      </c>
      <c r="AJ176" t="n">
        <v>29</v>
      </c>
      <c r="AK176" s="29">
        <f>HIPERLINK($A$1 &amp; "\Dados\Magnet_3D_results.txt_176.txt.txt", "Magnet_3D_results.txt_176.txt")</f>
        <v/>
      </c>
      <c r="AL176" s="29">
        <f>HIPERLINK($A$1 &amp; "\Dados\Magnet_fields_2D.txt_176.txt.txt", "Magnet_fields_2D.txt_176.txt")</f>
        <v/>
      </c>
    </row>
    <row customHeight="1" ht="15.75" r="177" s="34">
      <c r="E177" s="15" t="n">
        <v>120</v>
      </c>
      <c r="F177" s="15" t="n">
        <v>170</v>
      </c>
      <c r="G177" s="15" t="n">
        <v>350</v>
      </c>
      <c r="H177" s="15" t="n">
        <v>34</v>
      </c>
      <c r="I177" s="15" t="n">
        <v>142</v>
      </c>
      <c r="J177" s="13" t="n">
        <v>25</v>
      </c>
      <c r="K177" t="n">
        <v>35</v>
      </c>
      <c r="L177" s="13" t="n">
        <v>1.3</v>
      </c>
      <c r="M177" s="12" t="n"/>
      <c r="N177" s="8" t="n">
        <v>1.053781642832402</v>
      </c>
      <c r="O177" s="15" t="n">
        <v>0.8105689682536918</v>
      </c>
      <c r="P177" s="15" t="n">
        <v>0.9762089742016392</v>
      </c>
      <c r="Q177" s="15" t="n">
        <v>0.001021460749910466</v>
      </c>
      <c r="R177" s="15" t="n">
        <v>0.02392262524095219</v>
      </c>
      <c r="S177" s="15" t="n">
        <v>0.001939441567041417</v>
      </c>
      <c r="T177" s="29">
        <f>HIPERLINK($A$1 &amp; "\Dados\Imagem_perfil_177.png", "Imagem_perfil_177")</f>
        <v/>
      </c>
      <c r="U177" s="29">
        <f>HIPERLINK($A$1 &amp; "\Dados\Results_airgap177.txt", "Results_airgap177")</f>
        <v/>
      </c>
      <c r="V177" s="19" t="n"/>
      <c r="W177" s="43" t="n">
        <v>1.33215652173913</v>
      </c>
      <c r="X177" s="15" t="n">
        <v>0.6648005011108979</v>
      </c>
      <c r="Y177" s="15" t="n">
        <v>0.03209263141946851</v>
      </c>
      <c r="Z177" s="15" t="n">
        <v>0.3873997383710798</v>
      </c>
      <c r="AA177" s="15" t="n">
        <v>0.2147374934959658</v>
      </c>
      <c r="AB177" s="15" t="n">
        <v>0</v>
      </c>
      <c r="AC177" s="15" t="n">
        <v>0</v>
      </c>
      <c r="AD177" s="15" t="n">
        <v>20.53302901861102</v>
      </c>
      <c r="AE177" s="15" t="n">
        <v>64.52660581930631</v>
      </c>
      <c r="AF177" s="15" t="n">
        <v>106.8381290166278</v>
      </c>
      <c r="AH177" s="29">
        <f>HIPERLINK($A$1 &amp; "\Dados\Magnet_fields.txt_177.txt.txt", "Magnet_fields.txt_177.txt")</f>
        <v/>
      </c>
      <c r="AI177" t="n">
        <v>7487</v>
      </c>
      <c r="AJ177" t="n">
        <v>28</v>
      </c>
      <c r="AK177" s="29">
        <f>HIPERLINK($A$1 &amp; "\Dados\Magnet_3D_results.txt_177.txt.txt", "Magnet_3D_results.txt_177.txt")</f>
        <v/>
      </c>
      <c r="AL177" s="29">
        <f>HIPERLINK($A$1 &amp; "\Dados\Magnet_fields_2D.txt_177.txt.txt", "Magnet_fields_2D.txt_177.txt")</f>
        <v/>
      </c>
    </row>
    <row customHeight="1" ht="15.75" r="178" s="34">
      <c r="E178" s="15" t="n">
        <v>120</v>
      </c>
      <c r="F178" s="15" t="n">
        <v>170</v>
      </c>
      <c r="G178" s="15" t="n">
        <v>350</v>
      </c>
      <c r="H178" s="15" t="n">
        <v>34</v>
      </c>
      <c r="I178" s="15" t="n">
        <v>142</v>
      </c>
      <c r="J178" s="13" t="n">
        <v>25</v>
      </c>
      <c r="K178" t="n">
        <v>35</v>
      </c>
      <c r="L178" s="13" t="n">
        <v>1.4</v>
      </c>
      <c r="M178" s="12" t="n"/>
      <c r="N178" s="8" t="n">
        <v>1.077992812417719</v>
      </c>
      <c r="O178" s="15" t="n">
        <v>0.829505898126648</v>
      </c>
      <c r="P178" s="15" t="n">
        <v>0.9985391306646697</v>
      </c>
      <c r="Q178" s="15" t="n">
        <v>0.001020915650905486</v>
      </c>
      <c r="R178" s="15" t="n">
        <v>0.02499376342216262</v>
      </c>
      <c r="S178" s="15" t="n">
        <v>0.001966290937827466</v>
      </c>
      <c r="T178" s="29">
        <f>HIPERLINK($A$1 &amp; "\Dados\Imagem_perfil_178.png", "Imagem_perfil_178")</f>
        <v/>
      </c>
      <c r="U178" s="29">
        <f>HIPERLINK($A$1 &amp; "\Dados\Results_airgap178.txt", "Results_airgap178")</f>
        <v/>
      </c>
      <c r="V178" s="19" t="n"/>
      <c r="W178" s="43" t="n">
        <v>1.363198913043478</v>
      </c>
      <c r="X178" s="15" t="n">
        <v>0.6810497209604134</v>
      </c>
      <c r="Y178" s="15" t="n">
        <v>0.08124560067063402</v>
      </c>
      <c r="Z178" s="15" t="n">
        <v>0.1876555045963652</v>
      </c>
      <c r="AA178" s="15" t="n">
        <v>0.04788769978333075</v>
      </c>
      <c r="AB178" s="15" t="n">
        <v>0</v>
      </c>
      <c r="AC178" s="15" t="n">
        <v>4.367113103820581</v>
      </c>
      <c r="AD178" s="15" t="n">
        <v>26.44001192251703</v>
      </c>
      <c r="AE178" s="15" t="n">
        <v>67.28784268309998</v>
      </c>
      <c r="AF178" s="15" t="n">
        <v>107.7187177494711</v>
      </c>
      <c r="AH178" s="29">
        <f>HIPERLINK($A$1 &amp; "\Dados\Magnet_fields.txt_178.txt.txt", "Magnet_fields.txt_178.txt")</f>
        <v/>
      </c>
      <c r="AI178" t="n">
        <v>7487</v>
      </c>
      <c r="AJ178" t="n">
        <v>28</v>
      </c>
      <c r="AK178" s="29">
        <f>HIPERLINK($A$1 &amp; "\Dados\Magnet_3D_results.txt_178.txt.txt", "Magnet_3D_results.txt_178.txt")</f>
        <v/>
      </c>
      <c r="AL178" s="29">
        <f>HIPERLINK($A$1 &amp; "\Dados\Magnet_fields_2D.txt_178.txt.txt", "Magnet_fields_2D.txt_178.txt")</f>
        <v/>
      </c>
    </row>
    <row customHeight="1" ht="15.75" r="179" s="34">
      <c r="E179" s="15" t="n">
        <v>120</v>
      </c>
      <c r="F179" s="15" t="n">
        <v>170</v>
      </c>
      <c r="G179" s="15" t="n">
        <v>350</v>
      </c>
      <c r="H179" s="15" t="n">
        <v>34</v>
      </c>
      <c r="I179" s="15" t="n">
        <v>142</v>
      </c>
      <c r="J179" s="13" t="n">
        <v>25</v>
      </c>
      <c r="K179" t="n">
        <v>35</v>
      </c>
      <c r="L179" s="13" t="n">
        <v>1.5</v>
      </c>
      <c r="M179" s="12" t="n"/>
      <c r="N179" s="8" t="n">
        <v>1.087962264726127</v>
      </c>
      <c r="O179" s="15" t="n">
        <v>0.8373139033983139</v>
      </c>
      <c r="P179" s="15" t="n">
        <v>1.007955293901132</v>
      </c>
      <c r="Q179" s="15" t="n">
        <v>0.001021211288978287</v>
      </c>
      <c r="R179" s="15" t="n">
        <v>0.02535983419849672</v>
      </c>
      <c r="S179" s="15" t="n">
        <v>0.001975669195051615</v>
      </c>
      <c r="T179" s="29">
        <f>HIPERLINK($A$1 &amp; "\Dados\Imagem_perfil_179.png", "Imagem_perfil_179")</f>
        <v/>
      </c>
      <c r="U179" s="29">
        <f>HIPERLINK($A$1 &amp; "\Dados\Results_airgap179.txt", "Results_airgap179")</f>
        <v/>
      </c>
      <c r="V179" s="19" t="n"/>
      <c r="W179" s="43" t="n">
        <v>1.378581304347826</v>
      </c>
      <c r="X179" s="15" t="n">
        <v>0.6877480199761172</v>
      </c>
      <c r="Y179" s="15" t="n">
        <v>0.1507875427375616</v>
      </c>
      <c r="Z179" s="15" t="n">
        <v>0.1716008347196677</v>
      </c>
      <c r="AA179" s="15" t="n">
        <v>0.04070358984489363</v>
      </c>
      <c r="AB179" s="15" t="n">
        <v>0.8833057297077943</v>
      </c>
      <c r="AC179" s="15" t="n">
        <v>7.500063795056685</v>
      </c>
      <c r="AD179" s="15" t="n">
        <v>28.89457430149339</v>
      </c>
      <c r="AE179" s="15" t="n">
        <v>68.4381613639345</v>
      </c>
      <c r="AF179" s="15" t="n">
        <v>107.9672803615007</v>
      </c>
      <c r="AH179" s="29">
        <f>HIPERLINK($A$1 &amp; "\Dados\Magnet_fields.txt_179.txt.txt", "Magnet_fields.txt_179.txt")</f>
        <v/>
      </c>
      <c r="AI179" t="n">
        <v>7487</v>
      </c>
      <c r="AJ179" t="n">
        <v>29</v>
      </c>
      <c r="AK179" s="29">
        <f>HIPERLINK($A$1 &amp; "\Dados\Magnet_3D_results.txt_179.txt.txt", "Magnet_3D_results.txt_179.txt")</f>
        <v/>
      </c>
      <c r="AL179" s="29">
        <f>HIPERLINK($A$1 &amp; "\Dados\Magnet_fields_2D.txt_179.txt.txt", "Magnet_fields_2D.txt_179.txt")</f>
        <v/>
      </c>
    </row>
    <row customHeight="1" ht="15.75" r="180" s="34">
      <c r="E180" s="15" t="n">
        <v>120</v>
      </c>
      <c r="F180" s="15" t="n">
        <v>170</v>
      </c>
      <c r="G180" s="15" t="n">
        <v>350</v>
      </c>
      <c r="H180" s="15" t="n">
        <v>34</v>
      </c>
      <c r="I180" s="15" t="n">
        <v>142</v>
      </c>
      <c r="J180" s="13" t="n">
        <v>25</v>
      </c>
      <c r="K180" t="n">
        <v>35</v>
      </c>
      <c r="L180" s="13" t="n">
        <v>1.6</v>
      </c>
      <c r="M180" s="12" t="n"/>
      <c r="N180" s="8" t="n">
        <v>1.096363180713855</v>
      </c>
      <c r="O180" s="15" t="n">
        <v>0.8438770387977879</v>
      </c>
      <c r="P180" s="15" t="n">
        <v>1.015792101489837</v>
      </c>
      <c r="Q180" s="15" t="n">
        <v>0.001018534928621253</v>
      </c>
      <c r="R180" s="15" t="n">
        <v>0.02571899590284394</v>
      </c>
      <c r="S180" s="15" t="n">
        <v>0.001981780508144344</v>
      </c>
      <c r="T180" s="29">
        <f>HIPERLINK($A$1 &amp; "\Dados\Imagem_perfil_180.png", "Imagem_perfil_180")</f>
        <v/>
      </c>
      <c r="U180" s="29">
        <f>HIPERLINK($A$1 &amp; "\Dados\Results_airgap180.txt", "Results_airgap180")</f>
        <v/>
      </c>
      <c r="V180" s="19" t="n"/>
      <c r="W180" s="15" t="n">
        <v>1.386451086956522</v>
      </c>
      <c r="X180" s="15" t="n">
        <v>0.6934042106585886</v>
      </c>
      <c r="Y180" s="15" t="n">
        <v>0.2333902406675609</v>
      </c>
      <c r="Z180" s="15" t="n">
        <v>0.1524670183380418</v>
      </c>
      <c r="AA180" s="15" t="n">
        <v>0.03909105320470512</v>
      </c>
      <c r="AB180" s="15" t="n">
        <v>1.647045545153264</v>
      </c>
      <c r="AC180" s="15" t="n">
        <v>9.167823603388541</v>
      </c>
      <c r="AD180" s="15" t="n">
        <v>30.21608561152793</v>
      </c>
      <c r="AE180" s="15" t="n">
        <v>69.06803762719407</v>
      </c>
      <c r="AF180" s="15" t="n">
        <v>108.0355041833684</v>
      </c>
      <c r="AH180" s="29">
        <f>HIPERLINK($A$1 &amp; "\Dados\Magnet_fields.txt_180.txt.txt", "Magnet_fields.txt_180.txt")</f>
        <v/>
      </c>
      <c r="AI180" t="n">
        <v>7487</v>
      </c>
      <c r="AJ180" t="n">
        <v>28</v>
      </c>
      <c r="AK180" s="29">
        <f>HIPERLINK($A$1 &amp; "\Dados\Magnet_3D_results.txt_180.txt.txt", "Magnet_3D_results.txt_180.txt")</f>
        <v/>
      </c>
      <c r="AL180" s="29">
        <f>HIPERLINK($A$1 &amp; "\Dados\Magnet_fields_2D.txt_180.txt.txt", "Magnet_fields_2D.txt_180.txt")</f>
        <v/>
      </c>
    </row>
    <row customHeight="1" ht="15.75" r="181" s="34">
      <c r="E181" s="15" t="n">
        <v>120</v>
      </c>
      <c r="F181" s="15" t="n">
        <v>170</v>
      </c>
      <c r="G181" s="15" t="n">
        <v>350</v>
      </c>
      <c r="H181" s="15" t="n">
        <v>34</v>
      </c>
      <c r="I181" s="15" t="n">
        <v>142</v>
      </c>
      <c r="J181" s="13" t="n">
        <v>25</v>
      </c>
      <c r="K181" t="n">
        <v>35</v>
      </c>
      <c r="L181" s="13" t="n">
        <v>1.7</v>
      </c>
      <c r="M181" s="12" t="n"/>
      <c r="N181" s="8" t="n">
        <v>1.100132153682469</v>
      </c>
      <c r="O181" s="15" t="n">
        <v>0.8468003546066365</v>
      </c>
      <c r="P181" s="15" t="n">
        <v>1.019315833071436</v>
      </c>
      <c r="Q181" s="15" t="n">
        <v>0.001018763595547768</v>
      </c>
      <c r="R181" s="15" t="n">
        <v>0.02583214920094295</v>
      </c>
      <c r="S181" s="15" t="n">
        <v>0.001984669896440289</v>
      </c>
      <c r="T181" s="29">
        <f>HIPERLINK($A$1 &amp; "\Dados\Imagem_perfil_181.png", "Imagem_perfil_181")</f>
        <v/>
      </c>
      <c r="U181" s="29">
        <f>HIPERLINK($A$1 &amp; "\Dados\Results_airgap181.txt", "Results_airgap181")</f>
        <v/>
      </c>
      <c r="V181" s="19" t="n"/>
      <c r="W181" s="15" t="n">
        <v>1.391068043478261</v>
      </c>
      <c r="X181" s="15" t="n">
        <v>0.695913361913385</v>
      </c>
      <c r="Y181" s="15" t="n">
        <v>0.3234926223151498</v>
      </c>
      <c r="Z181" s="15" t="n">
        <v>0.1497696859997243</v>
      </c>
      <c r="AA181" s="15" t="n">
        <v>0.03909105320470512</v>
      </c>
      <c r="AB181" s="15" t="n">
        <v>2.146039113932916</v>
      </c>
      <c r="AC181" s="15" t="n">
        <v>10.1601212864174</v>
      </c>
      <c r="AD181" s="15" t="n">
        <v>31.0430079163909</v>
      </c>
      <c r="AE181" s="15" t="n">
        <v>69.47712164895641</v>
      </c>
      <c r="AF181" s="15" t="n">
        <v>108.1345806899339</v>
      </c>
      <c r="AH181" s="29">
        <f>HIPERLINK($A$1 &amp; "\Dados\Magnet_fields.txt_181.txt.txt", "Magnet_fields.txt_181.txt")</f>
        <v/>
      </c>
      <c r="AI181" t="n">
        <v>7487</v>
      </c>
      <c r="AJ181" t="n">
        <v>28</v>
      </c>
      <c r="AK181" s="29">
        <f>HIPERLINK($A$1 &amp; "\Dados\Magnet_3D_results.txt_181.txt.txt", "Magnet_3D_results.txt_181.txt")</f>
        <v/>
      </c>
      <c r="AL181" s="29">
        <f>HIPERLINK($A$1 &amp; "\Dados\Magnet_fields_2D.txt_181.txt.txt", "Magnet_fields_2D.txt_181.txt")</f>
        <v/>
      </c>
    </row>
    <row customHeight="1" ht="15.75" r="182" s="34">
      <c r="E182" s="15" t="n">
        <v>120</v>
      </c>
      <c r="F182" s="15" t="n">
        <v>170</v>
      </c>
      <c r="G182" s="15" t="n">
        <v>350</v>
      </c>
      <c r="H182" s="15" t="n">
        <v>34</v>
      </c>
      <c r="I182" s="15" t="n">
        <v>142</v>
      </c>
      <c r="J182" s="13" t="n">
        <v>25</v>
      </c>
      <c r="K182" t="n">
        <v>35</v>
      </c>
      <c r="L182" s="13" t="n">
        <v>1.8</v>
      </c>
      <c r="M182" s="12" t="n"/>
      <c r="N182" s="8" t="n">
        <v>1.100132153682469</v>
      </c>
      <c r="O182" s="15" t="n">
        <v>0.8468003546066366</v>
      </c>
      <c r="P182" s="15" t="n">
        <v>1.019315833071436</v>
      </c>
      <c r="Q182" s="15" t="n">
        <v>0.001018763595547769</v>
      </c>
      <c r="R182" s="15" t="n">
        <v>0.02583214920094295</v>
      </c>
      <c r="S182" s="15" t="n">
        <v>0.001984669896440289</v>
      </c>
      <c r="T182" s="29">
        <f>HIPERLINK($A$1 &amp; "\Dados\Imagem_perfil_182.png", "Imagem_perfil_182")</f>
        <v/>
      </c>
      <c r="U182" s="29">
        <f>HIPERLINK($A$1 &amp; "\Dados\Results_airgap182.txt", "Results_airgap182")</f>
        <v/>
      </c>
      <c r="V182" s="19" t="n"/>
      <c r="W182" s="15" t="n">
        <v>1.394101956521739</v>
      </c>
      <c r="X182" s="15" t="n">
        <v>0.695913361913385</v>
      </c>
      <c r="Y182" s="15" t="n">
        <v>0.4172534200527402</v>
      </c>
      <c r="Z182" s="15" t="n">
        <v>0.1497696859997243</v>
      </c>
      <c r="AA182" s="15" t="n">
        <v>0.03909105320470512</v>
      </c>
      <c r="AB182" s="15" t="n">
        <v>2.435683389791811</v>
      </c>
      <c r="AC182" s="15" t="n">
        <v>10.84196670815319</v>
      </c>
      <c r="AD182" s="15" t="n">
        <v>31.62147764981517</v>
      </c>
      <c r="AE182" s="15" t="n">
        <v>69.74631745186771</v>
      </c>
      <c r="AF182" s="15" t="n">
        <v>108.1842101515525</v>
      </c>
      <c r="AH182" s="29">
        <f>HIPERLINK($A$1 &amp; "\Dados\Magnet_fields.txt_182.txt.txt", "Magnet_fields.txt_182.txt")</f>
        <v/>
      </c>
      <c r="AI182" t="n">
        <v>7487</v>
      </c>
      <c r="AJ182" t="n">
        <v>28</v>
      </c>
      <c r="AK182" s="29">
        <f>HIPERLINK($A$1 &amp; "\Dados\Magnet_3D_results.txt_182.txt.txt", "Magnet_3D_results.txt_182.txt")</f>
        <v/>
      </c>
      <c r="AL182" s="29">
        <f>HIPERLINK($A$1 &amp; "\Dados\Magnet_fields_2D.txt_182.txt.txt", "Magnet_fields_2D.txt_182.txt")</f>
        <v/>
      </c>
    </row>
    <row customHeight="1" ht="15.75" r="183" s="34">
      <c r="E183" s="15" t="n">
        <v>120</v>
      </c>
      <c r="F183" s="15" t="n">
        <v>170</v>
      </c>
      <c r="G183" s="15" t="n">
        <v>350</v>
      </c>
      <c r="H183" s="15" t="n">
        <v>34</v>
      </c>
      <c r="I183" s="15" t="n">
        <v>142</v>
      </c>
      <c r="J183" s="13" t="n">
        <v>25</v>
      </c>
      <c r="K183" t="n">
        <v>35</v>
      </c>
      <c r="L183" s="13" t="n">
        <v>1.900000000000001</v>
      </c>
      <c r="M183" s="12" t="n"/>
      <c r="N183" s="8" t="n">
        <v>1.103077306924907</v>
      </c>
      <c r="O183" s="15" t="n">
        <v>0.8491103572134604</v>
      </c>
      <c r="P183" s="15" t="n">
        <v>1.022086998196335</v>
      </c>
      <c r="Q183" s="15" t="n">
        <v>0.00101871207474879</v>
      </c>
      <c r="R183" s="15" t="n">
        <v>0.0259307412309139</v>
      </c>
      <c r="S183" s="15" t="n">
        <v>0.001986902031690609</v>
      </c>
      <c r="T183" s="29">
        <f>HIPERLINK($A$1 &amp; "\Dados\Imagem_perfil_183.png", "Imagem_perfil_183")</f>
        <v/>
      </c>
      <c r="U183" s="29">
        <f>HIPERLINK($A$1 &amp; "\Dados\Results_airgap183.txt", "Results_airgap183")</f>
        <v/>
      </c>
      <c r="V183" s="19" t="n"/>
      <c r="W183" s="15" t="n">
        <v>1.396240434782609</v>
      </c>
      <c r="X183" s="15" t="n">
        <v>0.6979171122251051</v>
      </c>
      <c r="Y183" s="15" t="n">
        <v>0.5120977078821097</v>
      </c>
      <c r="Z183" s="15" t="n">
        <v>0.131214749161025</v>
      </c>
      <c r="AA183" s="15" t="n">
        <v>0.03434894037789019</v>
      </c>
      <c r="AB183" s="15" t="n">
        <v>2.674772460831634</v>
      </c>
      <c r="AC183" s="15" t="n">
        <v>11.34024571220734</v>
      </c>
      <c r="AD183" s="15" t="n">
        <v>32.02841578869713</v>
      </c>
      <c r="AE183" s="15" t="n">
        <v>69.92902270773786</v>
      </c>
      <c r="AF183" s="15" t="n">
        <v>108.2131037255896</v>
      </c>
      <c r="AH183" s="29">
        <f>HIPERLINK($A$1 &amp; "\Dados\Magnet_fields.txt_183.txt.txt", "Magnet_fields.txt_183.txt")</f>
        <v/>
      </c>
      <c r="AI183" t="n">
        <v>7487</v>
      </c>
      <c r="AJ183" t="n">
        <v>28</v>
      </c>
      <c r="AK183" s="29">
        <f>HIPERLINK($A$1 &amp; "\Dados\Magnet_3D_results.txt_183.txt.txt", "Magnet_3D_results.txt_183.txt")</f>
        <v/>
      </c>
      <c r="AL183" s="29">
        <f>HIPERLINK($A$1 &amp; "\Dados\Magnet_fields_2D.txt_183.txt.txt", "Magnet_fields_2D.txt_183.txt")</f>
        <v/>
      </c>
    </row>
    <row customHeight="1" ht="15.75" r="184" s="34">
      <c r="E184" s="15" t="n">
        <v>120</v>
      </c>
      <c r="F184" s="15" t="n">
        <v>170</v>
      </c>
      <c r="G184" s="15" t="n">
        <v>350</v>
      </c>
      <c r="H184" s="15" t="n">
        <v>34</v>
      </c>
      <c r="I184" s="15" t="n">
        <v>142</v>
      </c>
      <c r="J184" s="13" t="n">
        <v>25</v>
      </c>
      <c r="K184" t="n">
        <v>35</v>
      </c>
      <c r="L184" s="13" t="n">
        <v>2.000000000000001</v>
      </c>
      <c r="M184" s="12" t="n"/>
      <c r="N184" s="8" t="n">
        <v>1.103863629611124</v>
      </c>
      <c r="O184" s="15" t="n">
        <v>0.8497190145522666</v>
      </c>
      <c r="P184" s="15" t="n">
        <v>1.022790533599433</v>
      </c>
      <c r="Q184" s="15" t="n">
        <v>0.001017165774349737</v>
      </c>
      <c r="R184" s="15" t="n">
        <v>0.02600715898186078</v>
      </c>
      <c r="S184" s="15" t="n">
        <v>0.001987220667458796</v>
      </c>
      <c r="T184" s="29">
        <f>HIPERLINK($A$1 &amp; "\Dados\Imagem_perfil_184.png", "Imagem_perfil_184")</f>
        <v/>
      </c>
      <c r="U184" s="29">
        <f>HIPERLINK($A$1 &amp; "\Dados\Results_airgap184.txt", "Results_airgap184")</f>
        <v/>
      </c>
      <c r="V184" s="19" t="n"/>
      <c r="W184" s="15" t="n">
        <v>1.397777173913044</v>
      </c>
      <c r="X184" s="15" t="n">
        <v>0.6984570845274385</v>
      </c>
      <c r="Y184" s="15" t="n">
        <v>0.6063238526335996</v>
      </c>
      <c r="Z184" s="15" t="n">
        <v>0.1227286213934419</v>
      </c>
      <c r="AA184" s="15" t="n">
        <v>0.02529581589033441</v>
      </c>
      <c r="AB184" s="15" t="n">
        <v>2.835403653826619</v>
      </c>
      <c r="AC184" s="15" t="n">
        <v>11.6954375695657</v>
      </c>
      <c r="AD184" s="15" t="n">
        <v>32.32835411198568</v>
      </c>
      <c r="AE184" s="15" t="n">
        <v>70.08483792206361</v>
      </c>
      <c r="AF184" s="15" t="n">
        <v>108.2588156207233</v>
      </c>
      <c r="AH184" s="29">
        <f>HIPERLINK($A$1 &amp; "\Dados\Magnet_fields.txt_184.txt.txt", "Magnet_fields.txt_184.txt")</f>
        <v/>
      </c>
      <c r="AI184" t="n">
        <v>7487</v>
      </c>
      <c r="AJ184" t="n">
        <v>28</v>
      </c>
      <c r="AK184" s="29">
        <f>HIPERLINK($A$1 &amp; "\Dados\Magnet_3D_results.txt_184.txt.txt", "Magnet_3D_results.txt_184.txt")</f>
        <v/>
      </c>
      <c r="AL184" s="29">
        <f>HIPERLINK($A$1 &amp; "\Dados\Magnet_fields_2D.txt_184.txt.txt", "Magnet_fields_2D.txt_184.txt")</f>
        <v/>
      </c>
    </row>
    <row customHeight="1" ht="15.75" r="185" s="34">
      <c r="E185" s="15" t="n">
        <v>120</v>
      </c>
      <c r="F185" s="15" t="n">
        <v>170</v>
      </c>
      <c r="G185" s="15" t="n">
        <v>350</v>
      </c>
      <c r="H185" s="15" t="n">
        <v>34</v>
      </c>
      <c r="I185" s="15" t="n">
        <v>142</v>
      </c>
      <c r="J185" s="13" t="n">
        <v>25</v>
      </c>
      <c r="K185" t="n">
        <v>35</v>
      </c>
      <c r="L185" s="13" t="n">
        <v>2.100000000000001</v>
      </c>
      <c r="M185" s="12" t="n"/>
      <c r="N185" s="8" t="n">
        <v>1.105814696255333</v>
      </c>
      <c r="O185" s="15" t="n">
        <v>0.8512341392784605</v>
      </c>
      <c r="P185" s="15" t="n">
        <v>1.024717581100914</v>
      </c>
      <c r="Q185" s="15" t="n">
        <v>0.00101737364554437</v>
      </c>
      <c r="R185" s="15" t="n">
        <v>0.02605042745731689</v>
      </c>
      <c r="S185" s="15" t="n">
        <v>0.001988391106287661</v>
      </c>
      <c r="T185" s="29">
        <f>HIPERLINK($A$1 &amp; "\Dados\Imagem_perfil_185.png", "Imagem_perfil_185")</f>
        <v/>
      </c>
      <c r="U185" s="29">
        <f>HIPERLINK($A$1 &amp; "\Dados\Results_airgap185.txt", "Results_airgap185")</f>
        <v/>
      </c>
      <c r="V185" s="19" t="n"/>
      <c r="W185" s="15" t="n">
        <v>1.399160652173913</v>
      </c>
      <c r="X185" s="15" t="n">
        <v>0.6997439130499404</v>
      </c>
      <c r="Y185" s="15" t="n">
        <v>0.6988256278068187</v>
      </c>
      <c r="Z185" s="15" t="n">
        <v>0.1131524757631141</v>
      </c>
      <c r="AA185" s="15" t="n">
        <v>0.0209820757412007</v>
      </c>
      <c r="AB185" s="15" t="n">
        <v>3.013729795933982</v>
      </c>
      <c r="AC185" s="15" t="n">
        <v>12.04194906404857</v>
      </c>
      <c r="AD185" s="15" t="n">
        <v>32.58877756583153</v>
      </c>
      <c r="AE185" s="15" t="n">
        <v>70.18791402573476</v>
      </c>
      <c r="AF185" s="15" t="n">
        <v>108.2879695660404</v>
      </c>
      <c r="AH185" s="29">
        <f>HIPERLINK($A$1 &amp; "\Dados\Magnet_fields.txt_185.txt.txt", "Magnet_fields.txt_185.txt")</f>
        <v/>
      </c>
      <c r="AI185" t="n">
        <v>7487</v>
      </c>
      <c r="AJ185" t="n">
        <v>28</v>
      </c>
      <c r="AK185" s="29">
        <f>HIPERLINK($A$1 &amp; "\Dados\Magnet_3D_results.txt_185.txt.txt", "Magnet_3D_results.txt_185.txt")</f>
        <v/>
      </c>
      <c r="AL185" s="29">
        <f>HIPERLINK($A$1 &amp; "\Dados\Magnet_fields_2D.txt_185.txt.txt", "Magnet_fields_2D.txt_185.txt")</f>
        <v/>
      </c>
    </row>
    <row customHeight="1" ht="15.75" r="186" s="34">
      <c r="E186" s="15" t="n">
        <v>120</v>
      </c>
      <c r="F186" s="15" t="n">
        <v>170</v>
      </c>
      <c r="G186" s="15" t="n">
        <v>350</v>
      </c>
      <c r="H186" s="15" t="n">
        <v>36</v>
      </c>
      <c r="I186" s="15" t="n">
        <v>142</v>
      </c>
      <c r="J186" s="13" t="n">
        <v>25</v>
      </c>
      <c r="K186" t="n">
        <v>35</v>
      </c>
      <c r="L186" s="13" t="n">
        <v>1.3</v>
      </c>
      <c r="M186" s="12" t="n"/>
      <c r="N186" s="8" t="n">
        <v>1.05497007768165</v>
      </c>
      <c r="O186" s="15" t="n">
        <v>0.8124615677814517</v>
      </c>
      <c r="P186" s="15" t="n">
        <v>0.9774348682379311</v>
      </c>
      <c r="Q186" s="15" t="n">
        <v>0.00102111042513573</v>
      </c>
      <c r="R186" s="15" t="n">
        <v>0.02416282737568064</v>
      </c>
      <c r="S186" s="15" t="n">
        <v>0.001931572548378882</v>
      </c>
      <c r="T186" s="29">
        <f>HIPERLINK($A$1 &amp; "\Dados\Imagem_perfil_186.png", "Imagem_perfil_186")</f>
        <v/>
      </c>
      <c r="U186" s="29">
        <f>HIPERLINK($A$1 &amp; "\Dados\Results_airgap186.txt", "Results_airgap186")</f>
        <v/>
      </c>
      <c r="V186" s="19" t="n"/>
      <c r="W186" s="43" t="n">
        <v>1.332699782608696</v>
      </c>
      <c r="X186" s="15" t="n">
        <v>0.6698700460591841</v>
      </c>
      <c r="Y186" s="15" t="n">
        <v>0.03208720197191814</v>
      </c>
      <c r="Z186" s="15" t="n">
        <v>0.4265357692506889</v>
      </c>
      <c r="AA186" s="15" t="n">
        <v>0.04065100095255864</v>
      </c>
      <c r="AB186" s="15" t="n">
        <v>0</v>
      </c>
      <c r="AC186" s="15" t="n">
        <v>0</v>
      </c>
      <c r="AD186" s="15" t="n">
        <v>20.61531221676391</v>
      </c>
      <c r="AE186" s="15" t="n">
        <v>64.72446827959877</v>
      </c>
      <c r="AF186" s="15" t="n">
        <v>107.0574859849832</v>
      </c>
      <c r="AH186" s="29">
        <f>HIPERLINK($A$1 &amp; "\Dados\Magnet_fields.txt_186.txt.txt", "Magnet_fields.txt_186.txt")</f>
        <v/>
      </c>
      <c r="AI186" t="n">
        <v>6957</v>
      </c>
      <c r="AJ186" t="n">
        <v>28</v>
      </c>
      <c r="AK186" s="29">
        <f>HIPERLINK($A$1 &amp; "\Dados\Magnet_3D_results.txt_186.txt.txt", "Magnet_3D_results.txt_186.txt")</f>
        <v/>
      </c>
      <c r="AL186" s="29">
        <f>HIPERLINK($A$1 &amp; "\Dados\Magnet_fields_2D.txt_186.txt.txt", "Magnet_fields_2D.txt_186.txt")</f>
        <v/>
      </c>
    </row>
    <row customHeight="1" ht="15.75" r="187" s="34">
      <c r="E187" s="15" t="n">
        <v>120</v>
      </c>
      <c r="F187" s="15" t="n">
        <v>170</v>
      </c>
      <c r="G187" s="15" t="n">
        <v>350</v>
      </c>
      <c r="H187" s="15" t="n">
        <v>36</v>
      </c>
      <c r="I187" s="15" t="n">
        <v>142</v>
      </c>
      <c r="J187" s="13" t="n">
        <v>25</v>
      </c>
      <c r="K187" t="n">
        <v>35</v>
      </c>
      <c r="L187" s="13" t="n">
        <v>1.4</v>
      </c>
      <c r="M187" s="12" t="n"/>
      <c r="N187" s="8" t="n">
        <v>1.078580304382941</v>
      </c>
      <c r="O187" s="15" t="n">
        <v>0.8308348359847253</v>
      </c>
      <c r="P187" s="15" t="n">
        <v>0.9991684017643294</v>
      </c>
      <c r="Q187" s="15" t="n">
        <v>0.001021942021968617</v>
      </c>
      <c r="R187" s="15" t="n">
        <v>0.0250782442740925</v>
      </c>
      <c r="S187" s="15" t="n">
        <v>0.001955509346149635</v>
      </c>
      <c r="T187" s="29">
        <f>HIPERLINK($A$1 &amp; "\Dados\Imagem_perfil_187.png", "Imagem_perfil_187")</f>
        <v/>
      </c>
      <c r="U187" s="29">
        <f>HIPERLINK($A$1 &amp; "\Dados\Results_airgap187.txt", "Results_airgap187")</f>
        <v/>
      </c>
      <c r="V187" s="19" t="n"/>
      <c r="W187" s="43" t="n">
        <v>1.363204565217391</v>
      </c>
      <c r="X187" s="15" t="n">
        <v>0.685552576069571</v>
      </c>
      <c r="Y187" s="15" t="n">
        <v>0.08123984888650634</v>
      </c>
      <c r="Z187" s="15" t="n">
        <v>0.2312069954772872</v>
      </c>
      <c r="AA187" s="15" t="n">
        <v>0.01310752395979852</v>
      </c>
      <c r="AB187" s="15" t="n">
        <v>0</v>
      </c>
      <c r="AC187" s="15" t="n">
        <v>4.367319430896982</v>
      </c>
      <c r="AD187" s="15" t="n">
        <v>26.4356406826106</v>
      </c>
      <c r="AE187" s="15" t="n">
        <v>67.29206425726423</v>
      </c>
      <c r="AF187" s="15" t="n">
        <v>107.7220484139901</v>
      </c>
      <c r="AH187" s="29">
        <f>HIPERLINK($A$1 &amp; "\Dados\Magnet_fields.txt_187.txt.txt", "Magnet_fields.txt_187.txt")</f>
        <v/>
      </c>
      <c r="AI187" t="n">
        <v>6957</v>
      </c>
      <c r="AJ187" t="n">
        <v>28</v>
      </c>
      <c r="AK187" s="29">
        <f>HIPERLINK($A$1 &amp; "\Dados\Magnet_3D_results.txt_187.txt.txt", "Magnet_3D_results.txt_187.txt")</f>
        <v/>
      </c>
      <c r="AL187" s="29">
        <f>HIPERLINK($A$1 &amp; "\Dados\Magnet_fields_2D.txt_187.txt.txt", "Magnet_fields_2D.txt_187.txt")</f>
        <v/>
      </c>
    </row>
    <row customHeight="1" ht="15.75" r="188" s="34">
      <c r="E188" s="15" t="n">
        <v>120</v>
      </c>
      <c r="F188" s="15" t="n">
        <v>170</v>
      </c>
      <c r="G188" s="15" t="n">
        <v>350</v>
      </c>
      <c r="H188" s="15" t="n">
        <v>36</v>
      </c>
      <c r="I188" s="15" t="n">
        <v>142</v>
      </c>
      <c r="J188" s="13" t="n">
        <v>25</v>
      </c>
      <c r="K188" t="n">
        <v>35</v>
      </c>
      <c r="L188" s="13" t="n">
        <v>1.5</v>
      </c>
      <c r="M188" s="12" t="n"/>
      <c r="N188" s="8" t="n">
        <v>1.08840985840384</v>
      </c>
      <c r="O188" s="15" t="n">
        <v>0.8385094070674025</v>
      </c>
      <c r="P188" s="15" t="n">
        <v>1.008446449706531</v>
      </c>
      <c r="Q188" s="15" t="n">
        <v>0.001021987116795504</v>
      </c>
      <c r="R188" s="15" t="n">
        <v>0.02540749494104133</v>
      </c>
      <c r="S188" s="15" t="n">
        <v>0.001963596279433235</v>
      </c>
      <c r="T188" s="29">
        <f>HIPERLINK($A$1 &amp; "\Dados\Imagem_perfil_188.png", "Imagem_perfil_188")</f>
        <v/>
      </c>
      <c r="U188" s="29">
        <f>HIPERLINK($A$1 &amp; "\Dados\Results_airgap188.txt", "Results_airgap188")</f>
        <v/>
      </c>
      <c r="V188" s="19" t="n"/>
      <c r="W188" s="43" t="n">
        <v>1.378600869565217</v>
      </c>
      <c r="X188" s="15" t="n">
        <v>0.6920975382340363</v>
      </c>
      <c r="Y188" s="15" t="n">
        <v>0.1507797958434421</v>
      </c>
      <c r="Z188" s="15" t="n">
        <v>0.1797051815209545</v>
      </c>
      <c r="AA188" s="15" t="n">
        <v>0.008433917643932476</v>
      </c>
      <c r="AB188" s="15" t="n">
        <v>0.8704809779763744</v>
      </c>
      <c r="AC188" s="15" t="n">
        <v>7.504246127151154</v>
      </c>
      <c r="AD188" s="15" t="n">
        <v>28.89270928617139</v>
      </c>
      <c r="AE188" s="15" t="n">
        <v>68.45882546109574</v>
      </c>
      <c r="AF188" s="15" t="n">
        <v>107.9350236466605</v>
      </c>
      <c r="AH188" s="29">
        <f>HIPERLINK($A$1 &amp; "\Dados\Magnet_fields.txt_188.txt.txt", "Magnet_fields.txt_188.txt")</f>
        <v/>
      </c>
      <c r="AI188" t="n">
        <v>6957</v>
      </c>
      <c r="AJ188" t="n">
        <v>28</v>
      </c>
      <c r="AK188" s="29">
        <f>HIPERLINK($A$1 &amp; "\Dados\Magnet_3D_results.txt_188.txt.txt", "Magnet_3D_results.txt_188.txt")</f>
        <v/>
      </c>
      <c r="AL188" s="29">
        <f>HIPERLINK($A$1 &amp; "\Dados\Magnet_fields_2D.txt_188.txt.txt", "Magnet_fields_2D.txt_188.txt")</f>
        <v/>
      </c>
    </row>
    <row customHeight="1" ht="15.75" r="189" s="34">
      <c r="E189" s="15" t="n">
        <v>120</v>
      </c>
      <c r="F189" s="15" t="n">
        <v>170</v>
      </c>
      <c r="G189" s="15" t="n">
        <v>350</v>
      </c>
      <c r="H189" s="15" t="n">
        <v>36</v>
      </c>
      <c r="I189" s="15" t="n">
        <v>142</v>
      </c>
      <c r="J189" s="13" t="n">
        <v>25</v>
      </c>
      <c r="K189" t="n">
        <v>35</v>
      </c>
      <c r="L189" s="13" t="n">
        <v>1.6</v>
      </c>
      <c r="M189" s="12" t="n"/>
      <c r="N189" s="8" t="n">
        <v>1.096676758147458</v>
      </c>
      <c r="O189" s="15" t="n">
        <v>0.8449448081737387</v>
      </c>
      <c r="P189" s="15" t="n">
        <v>1.016149830361522</v>
      </c>
      <c r="Q189" s="15" t="n">
        <v>0.001019075790667307</v>
      </c>
      <c r="R189" s="15" t="n">
        <v>0.02572927253055767</v>
      </c>
      <c r="S189" s="15" t="n">
        <v>0.001968449943049024</v>
      </c>
      <c r="T189" s="29">
        <f>HIPERLINK($A$1 &amp; "\Dados\Imagem_perfil_189.png", "Imagem_perfil_189")</f>
        <v/>
      </c>
      <c r="U189" s="29">
        <f>HIPERLINK($A$1 &amp; "\Dados\Results_airgap189.txt", "Results_airgap189")</f>
        <v/>
      </c>
      <c r="V189" s="19" t="n"/>
      <c r="W189" s="15" t="n">
        <v>1.386479347826087</v>
      </c>
      <c r="X189" s="15" t="n">
        <v>0.6976122126489526</v>
      </c>
      <c r="Y189" s="15" t="n">
        <v>0.2333812689373266</v>
      </c>
      <c r="Z189" s="15" t="n">
        <v>0.1623018422598526</v>
      </c>
      <c r="AA189" s="15" t="n">
        <v>0.006853729835129631</v>
      </c>
      <c r="AB189" s="15" t="n">
        <v>1.675525725550465</v>
      </c>
      <c r="AC189" s="15" t="n">
        <v>9.15955559842862</v>
      </c>
      <c r="AD189" s="15" t="n">
        <v>30.21950740883715</v>
      </c>
      <c r="AE189" s="15" t="n">
        <v>69.07219118467712</v>
      </c>
      <c r="AF189" s="15" t="n">
        <v>108.0382805938185</v>
      </c>
      <c r="AH189" s="29">
        <f>HIPERLINK($A$1 &amp; "\Dados\Magnet_fields.txt_189.txt.txt", "Magnet_fields.txt_189.txt")</f>
        <v/>
      </c>
      <c r="AI189" t="n">
        <v>6957</v>
      </c>
      <c r="AJ189" t="n">
        <v>29</v>
      </c>
      <c r="AK189" s="29">
        <f>HIPERLINK($A$1 &amp; "\Dados\Magnet_3D_results.txt_189.txt.txt", "Magnet_3D_results.txt_189.txt")</f>
        <v/>
      </c>
      <c r="AL189" s="29">
        <f>HIPERLINK($A$1 &amp; "\Dados\Magnet_fields_2D.txt_189.txt.txt", "Magnet_fields_2D.txt_189.txt")</f>
        <v/>
      </c>
    </row>
    <row customHeight="1" ht="15.75" r="190" s="34">
      <c r="E190" s="15" t="n">
        <v>120</v>
      </c>
      <c r="F190" s="15" t="n">
        <v>170</v>
      </c>
      <c r="G190" s="15" t="n">
        <v>350</v>
      </c>
      <c r="H190" s="15" t="n">
        <v>36</v>
      </c>
      <c r="I190" s="15" t="n">
        <v>142</v>
      </c>
      <c r="J190" s="13" t="n">
        <v>25</v>
      </c>
      <c r="K190" t="n">
        <v>35</v>
      </c>
      <c r="L190" s="13" t="n">
        <v>1.7</v>
      </c>
      <c r="M190" s="12" t="n"/>
      <c r="N190" s="8" t="n">
        <v>1.100411566581698</v>
      </c>
      <c r="O190" s="15" t="n">
        <v>0.8478346379991006</v>
      </c>
      <c r="P190" s="15" t="n">
        <v>1.01963954495401</v>
      </c>
      <c r="Q190" s="15" t="n">
        <v>0.00101924234062082</v>
      </c>
      <c r="R190" s="15" t="n">
        <v>0.02583320478062821</v>
      </c>
      <c r="S190" s="15" t="n">
        <v>0.001971011464318553</v>
      </c>
      <c r="T190" s="29">
        <f>HIPERLINK($A$1 &amp; "\Dados\Imagem_perfil_190.png", "Imagem_perfil_190")</f>
        <v/>
      </c>
      <c r="U190" s="29">
        <f>HIPERLINK($A$1 &amp; "\Dados\Results_airgap190.txt", "Results_airgap190")</f>
        <v/>
      </c>
      <c r="V190" s="19" t="n"/>
      <c r="W190" s="15" t="n">
        <v>1.391156956521739</v>
      </c>
      <c r="X190" s="15" t="n">
        <v>0.700078076433605</v>
      </c>
      <c r="Y190" s="15" t="n">
        <v>0.3234827949352088</v>
      </c>
      <c r="Z190" s="15" t="n">
        <v>0.1470046395972279</v>
      </c>
      <c r="AA190" s="15" t="n">
        <v>0.006853729835129631</v>
      </c>
      <c r="AB190" s="15" t="n">
        <v>2.10566398404938</v>
      </c>
      <c r="AC190" s="15" t="n">
        <v>10.16548630207846</v>
      </c>
      <c r="AD190" s="15" t="n">
        <v>31.07851409390835</v>
      </c>
      <c r="AE190" s="15" t="n">
        <v>69.50770844732068</v>
      </c>
      <c r="AF190" s="15" t="n">
        <v>108.1240508342276</v>
      </c>
      <c r="AH190" s="29">
        <f>HIPERLINK($A$1 &amp; "\Dados\Magnet_fields.txt_190.txt.txt", "Magnet_fields.txt_190.txt")</f>
        <v/>
      </c>
      <c r="AI190" t="n">
        <v>6957</v>
      </c>
      <c r="AJ190" t="n">
        <v>28</v>
      </c>
      <c r="AK190" s="29">
        <f>HIPERLINK($A$1 &amp; "\Dados\Magnet_3D_results.txt_190.txt.txt", "Magnet_3D_results.txt_190.txt")</f>
        <v/>
      </c>
      <c r="AL190" s="29">
        <f>HIPERLINK($A$1 &amp; "\Dados\Magnet_fields_2D.txt_190.txt.txt", "Magnet_fields_2D.txt_190.txt")</f>
        <v/>
      </c>
    </row>
    <row customHeight="1" ht="15.75" r="191" s="34">
      <c r="E191" s="15" t="n">
        <v>120</v>
      </c>
      <c r="F191" s="15" t="n">
        <v>170</v>
      </c>
      <c r="G191" s="15" t="n">
        <v>350</v>
      </c>
      <c r="H191" s="15" t="n">
        <v>36</v>
      </c>
      <c r="I191" s="15" t="n">
        <v>142</v>
      </c>
      <c r="J191" s="13" t="n">
        <v>25</v>
      </c>
      <c r="K191" t="n">
        <v>35</v>
      </c>
      <c r="L191" s="13" t="n">
        <v>1.8</v>
      </c>
      <c r="M191" s="12" t="n"/>
      <c r="N191" s="8" t="n">
        <v>1.100411566581698</v>
      </c>
      <c r="O191" s="15" t="n">
        <v>0.8478346379991006</v>
      </c>
      <c r="P191" s="15" t="n">
        <v>1.01963954495401</v>
      </c>
      <c r="Q191" s="15" t="n">
        <v>0.00101924234062082</v>
      </c>
      <c r="R191" s="15" t="n">
        <v>0.02583320478062821</v>
      </c>
      <c r="S191" s="15" t="n">
        <v>0.001971011464318553</v>
      </c>
      <c r="T191" s="29">
        <f>HIPERLINK($A$1 &amp; "\Dados\Imagem_perfil_191.png", "Imagem_perfil_191")</f>
        <v/>
      </c>
      <c r="U191" s="29">
        <f>HIPERLINK($A$1 &amp; "\Dados\Results_airgap191.txt", "Results_airgap191")</f>
        <v/>
      </c>
      <c r="V191" s="19" t="n"/>
      <c r="W191" s="15" t="n">
        <v>1.394123043478261</v>
      </c>
      <c r="X191" s="15" t="n">
        <v>0.7000780764336051</v>
      </c>
      <c r="Y191" s="15" t="n">
        <v>0.4172427511829278</v>
      </c>
      <c r="Z191" s="15" t="n">
        <v>0.1470046395972279</v>
      </c>
      <c r="AA191" s="15" t="n">
        <v>0.006853729835129631</v>
      </c>
      <c r="AB191" s="15" t="n">
        <v>2.444795492499444</v>
      </c>
      <c r="AC191" s="15" t="n">
        <v>10.84945386259479</v>
      </c>
      <c r="AD191" s="15" t="n">
        <v>31.61654543156603</v>
      </c>
      <c r="AE191" s="15" t="n">
        <v>69.74733315756353</v>
      </c>
      <c r="AF191" s="15" t="n">
        <v>108.1869035540701</v>
      </c>
      <c r="AH191" s="29">
        <f>HIPERLINK($A$1 &amp; "\Dados\Magnet_fields.txt_191.txt.txt", "Magnet_fields.txt_191.txt")</f>
        <v/>
      </c>
      <c r="AI191" t="n">
        <v>6957</v>
      </c>
      <c r="AJ191" t="n">
        <v>28</v>
      </c>
      <c r="AK191" s="29">
        <f>HIPERLINK($A$1 &amp; "\Dados\Magnet_3D_results.txt_191.txt.txt", "Magnet_3D_results.txt_191.txt")</f>
        <v/>
      </c>
      <c r="AL191" s="29">
        <f>HIPERLINK($A$1 &amp; "\Dados\Magnet_fields_2D.txt_191.txt.txt", "Magnet_fields_2D.txt_191.txt")</f>
        <v/>
      </c>
    </row>
    <row customHeight="1" ht="15.75" r="192" s="34">
      <c r="E192" s="15" t="n">
        <v>120</v>
      </c>
      <c r="F192" s="15" t="n">
        <v>170</v>
      </c>
      <c r="G192" s="15" t="n">
        <v>350</v>
      </c>
      <c r="H192" s="15" t="n">
        <v>36</v>
      </c>
      <c r="I192" s="15" t="n">
        <v>142</v>
      </c>
      <c r="J192" s="13" t="n">
        <v>25</v>
      </c>
      <c r="K192" t="n">
        <v>35</v>
      </c>
      <c r="L192" s="13" t="n">
        <v>1.900000000000001</v>
      </c>
      <c r="M192" s="12" t="n"/>
      <c r="N192" s="8" t="n">
        <v>1.103322923867992</v>
      </c>
      <c r="O192" s="15" t="n">
        <v>0.8501123845838796</v>
      </c>
      <c r="P192" s="15" t="n">
        <v>1.022377976974286</v>
      </c>
      <c r="Q192" s="15" t="n">
        <v>0.001019128806045718</v>
      </c>
      <c r="R192" s="15" t="n">
        <v>0.02592280325919721</v>
      </c>
      <c r="S192" s="15" t="n">
        <v>0.001972929907196821</v>
      </c>
      <c r="T192" s="29">
        <f>HIPERLINK($A$1 &amp; "\Dados\Imagem_perfil_192.png", "Imagem_perfil_192")</f>
        <v/>
      </c>
      <c r="U192" s="29">
        <f>HIPERLINK($A$1 &amp; "\Dados\Results_airgap192.txt", "Results_airgap192")</f>
        <v/>
      </c>
      <c r="V192" s="19" t="n"/>
      <c r="W192" s="15" t="n">
        <v>1.396238043478261</v>
      </c>
      <c r="X192" s="15" t="n">
        <v>0.7020380845777602</v>
      </c>
      <c r="Y192" s="15" t="n">
        <v>0.5120864825163172</v>
      </c>
      <c r="Z192" s="15" t="n">
        <v>0.1282957419768358</v>
      </c>
      <c r="AA192" s="15" t="n">
        <v>0.006853729835129631</v>
      </c>
      <c r="AB192" s="15" t="n">
        <v>2.661596693636771</v>
      </c>
      <c r="AC192" s="15" t="n">
        <v>11.33493217743258</v>
      </c>
      <c r="AD192" s="15" t="n">
        <v>32.03083932930621</v>
      </c>
      <c r="AE192" s="15" t="n">
        <v>69.93102296652413</v>
      </c>
      <c r="AF192" s="15" t="n">
        <v>108.2215586464983</v>
      </c>
      <c r="AH192" s="29">
        <f>HIPERLINK($A$1 &amp; "\Dados\Magnet_fields.txt_192.txt.txt", "Magnet_fields.txt_192.txt")</f>
        <v/>
      </c>
      <c r="AI192" t="n">
        <v>6957</v>
      </c>
      <c r="AJ192" t="n">
        <v>28</v>
      </c>
      <c r="AK192" s="29">
        <f>HIPERLINK($A$1 &amp; "\Dados\Magnet_3D_results.txt_192.txt.txt", "Magnet_3D_results.txt_192.txt")</f>
        <v/>
      </c>
      <c r="AL192" s="29">
        <f>HIPERLINK($A$1 &amp; "\Dados\Magnet_fields_2D.txt_192.txt.txt", "Magnet_fields_2D.txt_192.txt")</f>
        <v/>
      </c>
    </row>
    <row customHeight="1" ht="15.75" r="193" s="34">
      <c r="E193" s="15" t="n">
        <v>120</v>
      </c>
      <c r="F193" s="15" t="n">
        <v>170</v>
      </c>
      <c r="G193" s="15" t="n">
        <v>350</v>
      </c>
      <c r="H193" s="15" t="n">
        <v>36</v>
      </c>
      <c r="I193" s="15" t="n">
        <v>142</v>
      </c>
      <c r="J193" s="13" t="n">
        <v>25</v>
      </c>
      <c r="K193" t="n">
        <v>35</v>
      </c>
      <c r="L193" s="13" t="n">
        <v>2.000000000000001</v>
      </c>
      <c r="M193" s="12" t="n"/>
      <c r="N193" s="8" t="n">
        <v>1.104076370732621</v>
      </c>
      <c r="O193" s="15" t="n">
        <v>0.8506893923493571</v>
      </c>
      <c r="P193" s="15" t="n">
        <v>1.02304695883746</v>
      </c>
      <c r="Q193" s="15" t="n">
        <v>0.001017522190067096</v>
      </c>
      <c r="R193" s="15" t="n">
        <v>0.02598970389557827</v>
      </c>
      <c r="S193" s="15" t="n">
        <v>0.001972940547328848</v>
      </c>
      <c r="T193" s="29">
        <f>HIPERLINK($A$1 &amp; "\Dados\Imagem_perfil_193.png", "Imagem_perfil_193")</f>
        <v/>
      </c>
      <c r="U193" s="29">
        <f>HIPERLINK($A$1 &amp; "\Dados\Results_airgap193.txt", "Results_airgap193")</f>
        <v/>
      </c>
      <c r="V193" s="19" t="n"/>
      <c r="W193" s="15" t="n">
        <v>1.397766086956521</v>
      </c>
      <c r="X193" s="15" t="n">
        <v>0.7025483200196028</v>
      </c>
      <c r="Y193" s="15" t="n">
        <v>0.6063122900405294</v>
      </c>
      <c r="Z193" s="15" t="n">
        <v>0.1204747084093908</v>
      </c>
      <c r="AA193" s="15" t="n">
        <v>0.006853729835129631</v>
      </c>
      <c r="AB193" s="15" t="n">
        <v>2.815779906045286</v>
      </c>
      <c r="AC193" s="15" t="n">
        <v>11.68746142771611</v>
      </c>
      <c r="AD193" s="15" t="n">
        <v>32.33394749410829</v>
      </c>
      <c r="AE193" s="15" t="n">
        <v>70.08331187370932</v>
      </c>
      <c r="AF193" s="15" t="n">
        <v>108.2586038037327</v>
      </c>
      <c r="AH193" s="29">
        <f>HIPERLINK($A$1 &amp; "\Dados\Magnet_fields.txt_193.txt.txt", "Magnet_fields.txt_193.txt")</f>
        <v/>
      </c>
      <c r="AI193" t="n">
        <v>6957</v>
      </c>
      <c r="AJ193" t="n">
        <v>28</v>
      </c>
      <c r="AK193" s="29">
        <f>HIPERLINK($A$1 &amp; "\Dados\Magnet_3D_results.txt_193.txt.txt", "Magnet_3D_results.txt_193.txt")</f>
        <v/>
      </c>
      <c r="AL193" s="29">
        <f>HIPERLINK($A$1 &amp; "\Dados\Magnet_fields_2D.txt_193.txt.txt", "Magnet_fields_2D.txt_193.txt")</f>
        <v/>
      </c>
    </row>
    <row customHeight="1" ht="15.75" r="194" s="34">
      <c r="E194" s="15" t="n">
        <v>120</v>
      </c>
      <c r="F194" s="15" t="n">
        <v>170</v>
      </c>
      <c r="G194" s="15" t="n">
        <v>350</v>
      </c>
      <c r="H194" s="15" t="n">
        <v>36</v>
      </c>
      <c r="I194" s="15" t="n">
        <v>142</v>
      </c>
      <c r="J194" s="13" t="n">
        <v>25</v>
      </c>
      <c r="K194" t="n">
        <v>35</v>
      </c>
      <c r="L194" s="13" t="n">
        <v>2.100000000000001</v>
      </c>
      <c r="M194" s="12" t="n"/>
      <c r="N194" s="8" t="n">
        <v>1.104076370732621</v>
      </c>
      <c r="O194" s="15" t="n">
        <v>0.8506893923493571</v>
      </c>
      <c r="P194" s="15" t="n">
        <v>1.02304695883746</v>
      </c>
      <c r="Q194" s="15" t="n">
        <v>0.001017522190067096</v>
      </c>
      <c r="R194" s="15" t="n">
        <v>0.02598970389557827</v>
      </c>
      <c r="S194" s="15" t="n">
        <v>0.001972940547328848</v>
      </c>
      <c r="T194" s="29">
        <f>HIPERLINK($A$1 &amp; "\Dados\Imagem_perfil_194.png", "Imagem_perfil_194")</f>
        <v/>
      </c>
      <c r="U194" s="29">
        <f>HIPERLINK($A$1 &amp; "\Dados\Results_airgap194.txt", "Results_airgap194")</f>
        <v/>
      </c>
      <c r="V194" s="19" t="n"/>
      <c r="W194" s="15" t="n">
        <v>1.399013260869565</v>
      </c>
      <c r="X194" s="15" t="n">
        <v>0.7025483200196028</v>
      </c>
      <c r="Y194" s="15" t="n">
        <v>0.6988133463294699</v>
      </c>
      <c r="Z194" s="15" t="n">
        <v>0.1204747084093908</v>
      </c>
      <c r="AA194" s="15" t="n">
        <v>0.006853729835129631</v>
      </c>
      <c r="AB194" s="15" t="n">
        <v>2.945550398503015</v>
      </c>
      <c r="AC194" s="15" t="n">
        <v>11.99588182536981</v>
      </c>
      <c r="AD194" s="15" t="n">
        <v>32.56993047758941</v>
      </c>
      <c r="AE194" s="15" t="n">
        <v>70.20370458336998</v>
      </c>
      <c r="AF194" s="15" t="n">
        <v>108.2912543712335</v>
      </c>
      <c r="AH194" s="29">
        <f>HIPERLINK($A$1 &amp; "\Dados\Magnet_fields.txt_194.txt.txt", "Magnet_fields.txt_194.txt")</f>
        <v/>
      </c>
      <c r="AI194" t="n">
        <v>6957</v>
      </c>
      <c r="AJ194" t="n">
        <v>28</v>
      </c>
      <c r="AK194" s="29">
        <f>HIPERLINK($A$1 &amp; "\Dados\Magnet_3D_results.txt_194.txt.txt", "Magnet_3D_results.txt_194.txt")</f>
        <v/>
      </c>
      <c r="AL194" s="29">
        <f>HIPERLINK($A$1 &amp; "\Dados\Magnet_fields_2D.txt_194.txt.txt", "Magnet_fields_2D.txt_194.txt")</f>
        <v/>
      </c>
    </row>
    <row customHeight="1" ht="15.75" r="195" s="34">
      <c r="E195" s="15" t="n">
        <v>120</v>
      </c>
      <c r="F195" s="15" t="n">
        <v>170</v>
      </c>
      <c r="G195" s="15" t="n">
        <v>350</v>
      </c>
      <c r="H195" s="15" t="n">
        <v>38</v>
      </c>
      <c r="I195" s="15" t="n">
        <v>142</v>
      </c>
      <c r="J195" s="13" t="n">
        <v>25</v>
      </c>
      <c r="K195" t="n">
        <v>35</v>
      </c>
      <c r="L195" s="13" t="n">
        <v>1.3</v>
      </c>
      <c r="M195" s="12" t="n"/>
      <c r="N195" s="8" t="n">
        <v>1.056032694672379</v>
      </c>
      <c r="O195" s="15" t="n">
        <v>0.8144426721602435</v>
      </c>
      <c r="P195" s="15" t="n">
        <v>0.9786833533974815</v>
      </c>
      <c r="Q195" s="15" t="n">
        <v>0.001027843554551734</v>
      </c>
      <c r="R195" s="15" t="n">
        <v>0.024729910956133</v>
      </c>
      <c r="S195" s="15" t="n">
        <v>0.001949049941800383</v>
      </c>
      <c r="T195" s="29">
        <f>HIPERLINK($A$1 &amp; "\Dados\Imagem_perfil_195.png", "Imagem_perfil_195")</f>
        <v/>
      </c>
      <c r="U195" s="29">
        <f>HIPERLINK($A$1 &amp; "\Dados\Results_airgap195.txt", "Results_airgap195")</f>
        <v/>
      </c>
      <c r="V195" s="19" t="n"/>
      <c r="W195" s="43" t="n">
        <v>1.332229130434783</v>
      </c>
      <c r="X195" s="15" t="n">
        <v>0.673053985413627</v>
      </c>
      <c r="Y195" s="15" t="n">
        <v>0.03208572580580574</v>
      </c>
      <c r="Z195" s="15" t="n">
        <v>0.4029125529005165</v>
      </c>
      <c r="AA195" s="15" t="n">
        <v>0.05835980623166395</v>
      </c>
      <c r="AB195" s="15" t="n">
        <v>0</v>
      </c>
      <c r="AC195" s="15" t="n">
        <v>0</v>
      </c>
      <c r="AD195" s="15" t="n">
        <v>20.5318442839031</v>
      </c>
      <c r="AE195" s="15" t="n">
        <v>64.56599522558277</v>
      </c>
      <c r="AF195" s="15" t="n">
        <v>106.8594741856822</v>
      </c>
      <c r="AH195" s="29">
        <f>HIPERLINK($A$1 &amp; "\Dados\Magnet_fields.txt_195.txt.txt", "Magnet_fields.txt_195.txt")</f>
        <v/>
      </c>
      <c r="AI195" t="n">
        <v>6608</v>
      </c>
      <c r="AJ195" t="n">
        <v>28</v>
      </c>
      <c r="AK195" s="29">
        <f>HIPERLINK($A$1 &amp; "\Dados\Magnet_3D_results.txt_195.txt.txt", "Magnet_3D_results.txt_195.txt")</f>
        <v/>
      </c>
      <c r="AL195" s="29">
        <f>HIPERLINK($A$1 &amp; "\Dados\Magnet_fields_2D.txt_195.txt.txt", "Magnet_fields_2D.txt_195.txt")</f>
        <v/>
      </c>
    </row>
    <row customHeight="1" ht="15.75" r="196" s="34">
      <c r="E196" s="15" t="n">
        <v>120</v>
      </c>
      <c r="F196" s="15" t="n">
        <v>170</v>
      </c>
      <c r="G196" s="15" t="n">
        <v>350</v>
      </c>
      <c r="H196" s="15" t="n">
        <v>38</v>
      </c>
      <c r="I196" s="15" t="n">
        <v>142</v>
      </c>
      <c r="J196" s="13" t="n">
        <v>25</v>
      </c>
      <c r="K196" t="n">
        <v>35</v>
      </c>
      <c r="L196" s="13" t="n">
        <v>1.4</v>
      </c>
      <c r="M196" s="12" t="n"/>
      <c r="N196" s="8" t="n">
        <v>1.0795347432028</v>
      </c>
      <c r="O196" s="15" t="n">
        <v>0.8327005659290877</v>
      </c>
      <c r="P196" s="15" t="n">
        <v>1.000298164041887</v>
      </c>
      <c r="Q196" s="15" t="n">
        <v>0.001025877562591971</v>
      </c>
      <c r="R196" s="15" t="n">
        <v>0.0256173135291997</v>
      </c>
      <c r="S196" s="15" t="n">
        <v>0.001969320327855914</v>
      </c>
      <c r="T196" s="29">
        <f>HIPERLINK($A$1 &amp; "\Dados\Imagem_perfil_196.png", "Imagem_perfil_196")</f>
        <v/>
      </c>
      <c r="U196" s="29">
        <f>HIPERLINK($A$1 &amp; "\Dados\Results_airgap196.txt", "Results_airgap196")</f>
        <v/>
      </c>
      <c r="V196" s="19" t="n"/>
      <c r="W196" s="43" t="n">
        <v>1.363195</v>
      </c>
      <c r="X196" s="15" t="n">
        <v>0.6887828587354631</v>
      </c>
      <c r="Y196" s="15" t="n">
        <v>0.0812346753056363</v>
      </c>
      <c r="Z196" s="15" t="n">
        <v>0.2509258533378847</v>
      </c>
      <c r="AA196" s="15" t="n">
        <v>0.03776176350591152</v>
      </c>
      <c r="AB196" s="15" t="n">
        <v>0</v>
      </c>
      <c r="AC196" s="15" t="n">
        <v>4.366749901006025</v>
      </c>
      <c r="AD196" s="15" t="n">
        <v>26.43119398744351</v>
      </c>
      <c r="AE196" s="15" t="n">
        <v>67.28485931946378</v>
      </c>
      <c r="AF196" s="15" t="n">
        <v>107.7308488799677</v>
      </c>
      <c r="AH196" s="29">
        <f>HIPERLINK($A$1 &amp; "\Dados\Magnet_fields.txt_196.txt.txt", "Magnet_fields.txt_196.txt")</f>
        <v/>
      </c>
      <c r="AI196" t="n">
        <v>6608</v>
      </c>
      <c r="AJ196" t="n">
        <v>28</v>
      </c>
      <c r="AK196" s="29">
        <f>HIPERLINK($A$1 &amp; "\Dados\Magnet_3D_results.txt_196.txt.txt", "Magnet_3D_results.txt_196.txt")</f>
        <v/>
      </c>
      <c r="AL196" s="29">
        <f>HIPERLINK($A$1 &amp; "\Dados\Magnet_fields_2D.txt_196.txt.txt", "Magnet_fields_2D.txt_196.txt")</f>
        <v/>
      </c>
    </row>
    <row customHeight="1" ht="15.75" r="197" s="34">
      <c r="E197" s="15" t="n">
        <v>120</v>
      </c>
      <c r="F197" s="15" t="n">
        <v>170</v>
      </c>
      <c r="G197" s="15" t="n">
        <v>350</v>
      </c>
      <c r="H197" s="15" t="n">
        <v>38</v>
      </c>
      <c r="I197" s="15" t="n">
        <v>142</v>
      </c>
      <c r="J197" s="13" t="n">
        <v>25</v>
      </c>
      <c r="K197" t="n">
        <v>35</v>
      </c>
      <c r="L197" s="13" t="n">
        <v>1.5</v>
      </c>
      <c r="M197" s="12" t="n"/>
      <c r="N197" s="8" t="n">
        <v>1.0892694358878</v>
      </c>
      <c r="O197" s="15" t="n">
        <v>0.8402864779629737</v>
      </c>
      <c r="P197" s="15" t="n">
        <v>1.009480547771116</v>
      </c>
      <c r="Q197" s="15" t="n">
        <v>0.001025695774674118</v>
      </c>
      <c r="R197" s="15" t="n">
        <v>0.02592380068697582</v>
      </c>
      <c r="S197" s="15" t="n">
        <v>0.00197654785921299</v>
      </c>
      <c r="T197" s="29">
        <f>HIPERLINK($A$1 &amp; "\Dados\Imagem_perfil_197.png", "Imagem_perfil_197")</f>
        <v/>
      </c>
      <c r="U197" s="29">
        <f>HIPERLINK($A$1 &amp; "\Dados\Results_airgap197.txt", "Results_airgap197")</f>
        <v/>
      </c>
      <c r="V197" s="19" t="n"/>
      <c r="W197" s="43" t="n">
        <v>1.378594565217391</v>
      </c>
      <c r="X197" s="15" t="n">
        <v>0.6953172132442872</v>
      </c>
      <c r="Y197" s="15" t="n">
        <v>0.1507729522817371</v>
      </c>
      <c r="Z197" s="15" t="n">
        <v>0.2056315998823274</v>
      </c>
      <c r="AA197" s="15" t="n">
        <v>0.03678879327630238</v>
      </c>
      <c r="AB197" s="15" t="n">
        <v>0.8803009247410412</v>
      </c>
      <c r="AC197" s="15" t="n">
        <v>7.502872413720457</v>
      </c>
      <c r="AD197" s="15" t="n">
        <v>28.88967915031458</v>
      </c>
      <c r="AE197" s="15" t="n">
        <v>68.44227253908561</v>
      </c>
      <c r="AF197" s="15" t="n">
        <v>107.9540223017724</v>
      </c>
      <c r="AH197" s="29">
        <f>HIPERLINK($A$1 &amp; "\Dados\Magnet_fields.txt_197.txt.txt", "Magnet_fields.txt_197.txt")</f>
        <v/>
      </c>
      <c r="AI197" t="n">
        <v>6608</v>
      </c>
      <c r="AJ197" t="n">
        <v>27</v>
      </c>
      <c r="AK197" s="29">
        <f>HIPERLINK($A$1 &amp; "\Dados\Magnet_3D_results.txt_197.txt.txt", "Magnet_3D_results.txt_197.txt")</f>
        <v/>
      </c>
      <c r="AL197" s="29">
        <f>HIPERLINK($A$1 &amp; "\Dados\Magnet_fields_2D.txt_197.txt.txt", "Magnet_fields_2D.txt_197.txt")</f>
        <v/>
      </c>
    </row>
    <row customHeight="1" ht="15.75" r="198" s="34">
      <c r="E198" s="15" t="n">
        <v>120</v>
      </c>
      <c r="F198" s="15" t="n">
        <v>170</v>
      </c>
      <c r="G198" s="15" t="n">
        <v>350</v>
      </c>
      <c r="H198" s="15" t="n">
        <v>38</v>
      </c>
      <c r="I198" s="15" t="n">
        <v>142</v>
      </c>
      <c r="J198" s="13" t="n">
        <v>25</v>
      </c>
      <c r="K198" t="n">
        <v>35</v>
      </c>
      <c r="L198" s="13" t="n">
        <v>1.6</v>
      </c>
      <c r="M198" s="12" t="n"/>
      <c r="N198" s="8" t="n">
        <v>1.097441022283999</v>
      </c>
      <c r="O198" s="15" t="n">
        <v>0.8466311236400336</v>
      </c>
      <c r="P198" s="15" t="n">
        <v>1.017088416889283</v>
      </c>
      <c r="Q198" s="15" t="n">
        <v>0.001022515807419514</v>
      </c>
      <c r="R198" s="15" t="n">
        <v>0.02622240959764626</v>
      </c>
      <c r="S198" s="15" t="n">
        <v>0.001980464674240496</v>
      </c>
      <c r="T198" s="29">
        <f>HIPERLINK($A$1 &amp; "\Dados\Imagem_perfil_198.png", "Imagem_perfil_198")</f>
        <v/>
      </c>
      <c r="U198" s="29">
        <f>HIPERLINK($A$1 &amp; "\Dados\Results_airgap198.txt", "Results_airgap198")</f>
        <v/>
      </c>
      <c r="V198" s="19" t="n"/>
      <c r="W198" s="15" t="n">
        <v>1.386475</v>
      </c>
      <c r="X198" s="15" t="n">
        <v>0.7008015727467506</v>
      </c>
      <c r="Y198" s="15" t="n">
        <v>0.2333730577223503</v>
      </c>
      <c r="Z198" s="15" t="n">
        <v>0.1723275451321364</v>
      </c>
      <c r="AA198" s="15" t="n">
        <v>0.01494429679694256</v>
      </c>
      <c r="AB198" s="15" t="n">
        <v>1.674209600986815</v>
      </c>
      <c r="AC198" s="15" t="n">
        <v>9.162740412216507</v>
      </c>
      <c r="AD198" s="15" t="n">
        <v>30.20694170357964</v>
      </c>
      <c r="AE198" s="15" t="n">
        <v>69.07998600774293</v>
      </c>
      <c r="AF198" s="15" t="n">
        <v>108.0442472979712</v>
      </c>
      <c r="AH198" s="29">
        <f>HIPERLINK($A$1 &amp; "\Dados\Magnet_fields.txt_198.txt.txt", "Magnet_fields.txt_198.txt")</f>
        <v/>
      </c>
      <c r="AI198" t="n">
        <v>6608</v>
      </c>
      <c r="AJ198" t="n">
        <v>28</v>
      </c>
      <c r="AK198" s="29">
        <f>HIPERLINK($A$1 &amp; "\Dados\Magnet_3D_results.txt_198.txt.txt", "Magnet_3D_results.txt_198.txt")</f>
        <v/>
      </c>
      <c r="AL198" s="29">
        <f>HIPERLINK($A$1 &amp; "\Dados\Magnet_fields_2D.txt_198.txt.txt", "Magnet_fields_2D.txt_198.txt")</f>
        <v/>
      </c>
    </row>
    <row customHeight="1" ht="15.75" r="199" s="34">
      <c r="E199" s="15" t="n">
        <v>120</v>
      </c>
      <c r="F199" s="15" t="n">
        <v>170</v>
      </c>
      <c r="G199" s="15" t="n">
        <v>350</v>
      </c>
      <c r="H199" s="15" t="n">
        <v>38</v>
      </c>
      <c r="I199" s="15" t="n">
        <v>142</v>
      </c>
      <c r="J199" s="13" t="n">
        <v>25</v>
      </c>
      <c r="K199" t="n">
        <v>35</v>
      </c>
      <c r="L199" s="13" t="n">
        <v>1.7</v>
      </c>
      <c r="M199" s="12" t="n"/>
      <c r="N199" s="8" t="n">
        <v>1.101149374088263</v>
      </c>
      <c r="O199" s="15" t="n">
        <v>0.8494943004234119</v>
      </c>
      <c r="P199" s="15" t="n">
        <v>1.020551499325694</v>
      </c>
      <c r="Q199" s="15" t="n">
        <v>0.001022614958471407</v>
      </c>
      <c r="R199" s="15" t="n">
        <v>0.02632035609970291</v>
      </c>
      <c r="S199" s="15" t="n">
        <v>0.001982793994687957</v>
      </c>
      <c r="T199" s="29">
        <f>HIPERLINK($A$1 &amp; "\Dados\Imagem_perfil_199.png", "Imagem_perfil_199")</f>
        <v/>
      </c>
      <c r="U199" s="29">
        <f>HIPERLINK($A$1 &amp; "\Dados\Results_airgap199.txt", "Results_airgap199")</f>
        <v/>
      </c>
      <c r="V199" s="19" t="n"/>
      <c r="W199" s="15" t="n">
        <v>1.391095217391304</v>
      </c>
      <c r="X199" s="15" t="n">
        <v>0.7032619659935858</v>
      </c>
      <c r="Y199" s="15" t="n">
        <v>0.3234735868838501</v>
      </c>
      <c r="Z199" s="15" t="n">
        <v>0.1688727421153359</v>
      </c>
      <c r="AA199" s="15" t="n">
        <v>0.01494429679694256</v>
      </c>
      <c r="AB199" s="15" t="n">
        <v>2.146979333421807</v>
      </c>
      <c r="AC199" s="15" t="n">
        <v>10.16684069827848</v>
      </c>
      <c r="AD199" s="15" t="n">
        <v>31.04259184833271</v>
      </c>
      <c r="AE199" s="15" t="n">
        <v>69.47258175119211</v>
      </c>
      <c r="AF199" s="15" t="n">
        <v>108.1298829442793</v>
      </c>
      <c r="AH199" s="29">
        <f>HIPERLINK($A$1 &amp; "\Dados\Magnet_fields.txt_199.txt.txt", "Magnet_fields.txt_199.txt")</f>
        <v/>
      </c>
      <c r="AI199" t="n">
        <v>6608</v>
      </c>
      <c r="AJ199" t="n">
        <v>28</v>
      </c>
      <c r="AK199" s="29">
        <f>HIPERLINK($A$1 &amp; "\Dados\Magnet_3D_results.txt_199.txt.txt", "Magnet_3D_results.txt_199.txt")</f>
        <v/>
      </c>
      <c r="AL199" s="29">
        <f>HIPERLINK($A$1 &amp; "\Dados\Magnet_fields_2D.txt_199.txt.txt", "Magnet_fields_2D.txt_199.txt")</f>
        <v/>
      </c>
    </row>
    <row customHeight="1" ht="15.75" r="200" s="34">
      <c r="E200" s="15" t="n">
        <v>120</v>
      </c>
      <c r="F200" s="15" t="n">
        <v>170</v>
      </c>
      <c r="G200" s="15" t="n">
        <v>350</v>
      </c>
      <c r="H200" s="15" t="n">
        <v>38</v>
      </c>
      <c r="I200" s="15" t="n">
        <v>142</v>
      </c>
      <c r="J200" s="13" t="n">
        <v>25</v>
      </c>
      <c r="K200" t="n">
        <v>35</v>
      </c>
      <c r="L200" s="13" t="n">
        <v>1.8</v>
      </c>
      <c r="M200" s="12" t="n"/>
      <c r="N200" s="8" t="n">
        <v>1.101149374088263</v>
      </c>
      <c r="O200" s="15" t="n">
        <v>0.8494943004234118</v>
      </c>
      <c r="P200" s="15" t="n">
        <v>1.020551499325694</v>
      </c>
      <c r="Q200" s="15" t="n">
        <v>0.001022614958471407</v>
      </c>
      <c r="R200" s="15" t="n">
        <v>0.02632035609970291</v>
      </c>
      <c r="S200" s="15" t="n">
        <v>0.001982793994687957</v>
      </c>
      <c r="T200" s="29">
        <f>HIPERLINK($A$1 &amp; "\Dados\Imagem_perfil_200.png", "Imagem_perfil_200")</f>
        <v/>
      </c>
      <c r="U200" s="29">
        <f>HIPERLINK($A$1 &amp; "\Dados\Results_airgap200.txt", "Results_airgap200")</f>
        <v/>
      </c>
      <c r="V200" s="19" t="n"/>
      <c r="W200" s="15" t="n">
        <v>1.394134782608696</v>
      </c>
      <c r="X200" s="15" t="n">
        <v>0.7032619659935859</v>
      </c>
      <c r="Y200" s="15" t="n">
        <v>0.41723300285176</v>
      </c>
      <c r="Z200" s="15" t="n">
        <v>0.1688727421153359</v>
      </c>
      <c r="AA200" s="15" t="n">
        <v>0.01494429679694256</v>
      </c>
      <c r="AB200" s="15" t="n">
        <v>2.433546078797952</v>
      </c>
      <c r="AC200" s="15" t="n">
        <v>10.85395979273207</v>
      </c>
      <c r="AD200" s="15" t="n">
        <v>31.62101063099053</v>
      </c>
      <c r="AE200" s="15" t="n">
        <v>69.74187902131463</v>
      </c>
      <c r="AF200" s="15" t="n">
        <v>108.1791857257806</v>
      </c>
      <c r="AH200" s="29">
        <f>HIPERLINK($A$1 &amp; "\Dados\Magnet_fields.txt_200.txt.txt", "Magnet_fields.txt_200.txt")</f>
        <v/>
      </c>
      <c r="AI200" t="n">
        <v>6608</v>
      </c>
      <c r="AJ200" t="n">
        <v>28</v>
      </c>
      <c r="AK200" s="29">
        <f>HIPERLINK($A$1 &amp; "\Dados\Magnet_3D_results.txt_200.txt.txt", "Magnet_3D_results.txt_200.txt")</f>
        <v/>
      </c>
      <c r="AL200" s="29">
        <f>HIPERLINK($A$1 &amp; "\Dados\Magnet_fields_2D.txt_200.txt.txt", "Magnet_fields_2D.txt_200.txt")</f>
        <v/>
      </c>
    </row>
    <row customHeight="1" ht="15.75" r="201" s="34">
      <c r="E201" s="15" t="n">
        <v>120</v>
      </c>
      <c r="F201" s="15" t="n">
        <v>170</v>
      </c>
      <c r="G201" s="15" t="n">
        <v>350</v>
      </c>
      <c r="H201" s="15" t="n">
        <v>38</v>
      </c>
      <c r="I201" s="15" t="n">
        <v>142</v>
      </c>
      <c r="J201" s="13" t="n">
        <v>25</v>
      </c>
      <c r="K201" t="n">
        <v>35</v>
      </c>
      <c r="L201" s="13" t="n">
        <v>1.900000000000001</v>
      </c>
      <c r="M201" s="12" t="n"/>
      <c r="N201" s="8" t="n">
        <v>1.104035537560994</v>
      </c>
      <c r="O201" s="15" t="n">
        <v>0.8517467877993913</v>
      </c>
      <c r="P201" s="15" t="n">
        <v>1.02326451315241</v>
      </c>
      <c r="Q201" s="15" t="n">
        <v>0.001022437491766993</v>
      </c>
      <c r="R201" s="15" t="n">
        <v>0.0264040503752281</v>
      </c>
      <c r="S201" s="15" t="n">
        <v>0.001984485438328922</v>
      </c>
      <c r="T201" s="29">
        <f>HIPERLINK($A$1 &amp; "\Dados\Imagem_perfil_201.png", "Imagem_perfil_201")</f>
        <v/>
      </c>
      <c r="U201" s="29">
        <f>HIPERLINK($A$1 &amp; "\Dados\Results_airgap201.txt", "Results_airgap201")</f>
        <v/>
      </c>
      <c r="V201" s="19" t="n"/>
      <c r="W201" s="15" t="n">
        <v>1.396274782608696</v>
      </c>
      <c r="X201" s="15" t="n">
        <v>0.7052216838852098</v>
      </c>
      <c r="Y201" s="15" t="n">
        <v>0.5120762505191752</v>
      </c>
      <c r="Z201" s="15" t="n">
        <v>0.1523561972114875</v>
      </c>
      <c r="AA201" s="15" t="n">
        <v>0.01494429679694256</v>
      </c>
      <c r="AB201" s="15" t="n">
        <v>2.684184842369355</v>
      </c>
      <c r="AC201" s="15" t="n">
        <v>11.3403000436333</v>
      </c>
      <c r="AD201" s="15" t="n">
        <v>32.03026983631353</v>
      </c>
      <c r="AE201" s="15" t="n">
        <v>69.93334673594929</v>
      </c>
      <c r="AF201" s="15" t="n">
        <v>108.2237263164312</v>
      </c>
      <c r="AH201" s="29">
        <f>HIPERLINK($A$1 &amp; "\Dados\Magnet_fields.txt_201.txt.txt", "Magnet_fields.txt_201.txt")</f>
        <v/>
      </c>
      <c r="AI201" t="n">
        <v>6608</v>
      </c>
      <c r="AJ201" t="n">
        <v>28</v>
      </c>
      <c r="AK201" s="29">
        <f>HIPERLINK($A$1 &amp; "\Dados\Magnet_3D_results.txt_201.txt.txt", "Magnet_3D_results.txt_201.txt")</f>
        <v/>
      </c>
      <c r="AL201" s="29">
        <f>HIPERLINK($A$1 &amp; "\Dados\Magnet_fields_2D.txt_201.txt.txt", "Magnet_fields_2D.txt_201.txt")</f>
        <v/>
      </c>
    </row>
    <row customHeight="1" ht="15.75" r="202" s="34">
      <c r="E202" s="15" t="n">
        <v>120</v>
      </c>
      <c r="F202" s="15" t="n">
        <v>170</v>
      </c>
      <c r="G202" s="15" t="n">
        <v>350</v>
      </c>
      <c r="H202" s="15" t="n">
        <v>38</v>
      </c>
      <c r="I202" s="15" t="n">
        <v>142</v>
      </c>
      <c r="J202" s="13" t="n">
        <v>25</v>
      </c>
      <c r="K202" t="n">
        <v>35</v>
      </c>
      <c r="L202" s="13" t="n">
        <v>2.000000000000001</v>
      </c>
      <c r="M202" s="12" t="n"/>
      <c r="N202" s="8" t="n">
        <v>1.10476198274697</v>
      </c>
      <c r="O202" s="15" t="n">
        <v>0.8522976166067838</v>
      </c>
      <c r="P202" s="15" t="n">
        <v>1.02390518750006</v>
      </c>
      <c r="Q202" s="15" t="n">
        <v>0.001020755353635851</v>
      </c>
      <c r="R202" s="15" t="n">
        <v>0.02646339832623108</v>
      </c>
      <c r="S202" s="15" t="n">
        <v>0.001984199906962281</v>
      </c>
      <c r="T202" s="29">
        <f>HIPERLINK($A$1 &amp; "\Dados\Imagem_perfil_202.png", "Imagem_perfil_202")</f>
        <v/>
      </c>
      <c r="U202" s="29">
        <f>HIPERLINK($A$1 &amp; "\Dados\Results_airgap202.txt", "Results_airgap202")</f>
        <v/>
      </c>
      <c r="V202" s="19" t="n"/>
      <c r="W202" s="15" t="n">
        <v>1.397782173913044</v>
      </c>
      <c r="X202" s="15" t="n">
        <v>0.7057145953144199</v>
      </c>
      <c r="Y202" s="15" t="n">
        <v>0.606301705656156</v>
      </c>
      <c r="Z202" s="15" t="n">
        <v>0.123159724657742</v>
      </c>
      <c r="AA202" s="15" t="n">
        <v>0.01494429679694256</v>
      </c>
      <c r="AB202" s="15" t="n">
        <v>2.827060732471433</v>
      </c>
      <c r="AC202" s="15" t="n">
        <v>11.69566151919993</v>
      </c>
      <c r="AD202" s="15" t="n">
        <v>32.32734849646252</v>
      </c>
      <c r="AE202" s="15" t="n">
        <v>70.08000461390594</v>
      </c>
      <c r="AF202" s="15" t="n">
        <v>108.2536530097009</v>
      </c>
      <c r="AH202" s="29">
        <f>HIPERLINK($A$1 &amp; "\Dados\Magnet_fields.txt_202.txt.txt", "Magnet_fields.txt_202.txt")</f>
        <v/>
      </c>
      <c r="AI202" t="n">
        <v>6608</v>
      </c>
      <c r="AJ202" t="n">
        <v>28</v>
      </c>
      <c r="AK202" s="29">
        <f>HIPERLINK($A$1 &amp; "\Dados\Magnet_3D_results.txt_202.txt.txt", "Magnet_3D_results.txt_202.txt")</f>
        <v/>
      </c>
      <c r="AL202" s="29">
        <f>HIPERLINK($A$1 &amp; "\Dados\Magnet_fields_2D.txt_202.txt.txt", "Magnet_fields_2D.txt_202.txt")</f>
        <v/>
      </c>
    </row>
    <row customHeight="1" ht="15.75" r="203" s="34">
      <c r="E203" s="15" t="n">
        <v>120</v>
      </c>
      <c r="F203" s="15" t="n">
        <v>170</v>
      </c>
      <c r="G203" s="15" t="n">
        <v>350</v>
      </c>
      <c r="H203" s="15" t="n">
        <v>38</v>
      </c>
      <c r="I203" s="15" t="n">
        <v>142</v>
      </c>
      <c r="J203" s="13" t="n">
        <v>25</v>
      </c>
      <c r="K203" t="n">
        <v>35</v>
      </c>
      <c r="L203" s="13" t="n">
        <v>2.100000000000001</v>
      </c>
      <c r="M203" s="12" t="n"/>
      <c r="N203" s="8" t="n">
        <v>1.10476198274697</v>
      </c>
      <c r="O203" s="15" t="n">
        <v>0.8522976166067838</v>
      </c>
      <c r="P203" s="15" t="n">
        <v>1.02390518750006</v>
      </c>
      <c r="Q203" s="15" t="n">
        <v>0.001020755353635851</v>
      </c>
      <c r="R203" s="15" t="n">
        <v>0.02646339832623108</v>
      </c>
      <c r="S203" s="15" t="n">
        <v>0.001984199906962282</v>
      </c>
      <c r="T203" s="29">
        <f>HIPERLINK($A$1 &amp; "\Dados\Imagem_perfil_203.png", "Imagem_perfil_203")</f>
        <v/>
      </c>
      <c r="U203" s="29">
        <f>HIPERLINK($A$1 &amp; "\Dados\Results_airgap203.txt", "Results_airgap203")</f>
        <v/>
      </c>
      <c r="V203" s="19" t="n"/>
      <c r="W203" s="15" t="n">
        <v>1.399003260869565</v>
      </c>
      <c r="X203" s="15" t="n">
        <v>0.7057145953144199</v>
      </c>
      <c r="Y203" s="15" t="n">
        <v>0.6988025037802654</v>
      </c>
      <c r="Z203" s="15" t="n">
        <v>0.123159724657742</v>
      </c>
      <c r="AA203" s="15" t="n">
        <v>0.01494429679694256</v>
      </c>
      <c r="AB203" s="15" t="n">
        <v>2.964897044504328</v>
      </c>
      <c r="AC203" s="15" t="n">
        <v>11.98138995179237</v>
      </c>
      <c r="AD203" s="15" t="n">
        <v>32.56813605394448</v>
      </c>
      <c r="AE203" s="15" t="n">
        <v>70.20153033255522</v>
      </c>
      <c r="AF203" s="15" t="n">
        <v>108.2905153871872</v>
      </c>
      <c r="AH203" s="29">
        <f>HIPERLINK($A$1 &amp; "\Dados\Magnet_fields.txt_203.txt.txt", "Magnet_fields.txt_203.txt")</f>
        <v/>
      </c>
      <c r="AI203" t="n">
        <v>6608</v>
      </c>
      <c r="AJ203" t="n">
        <v>28</v>
      </c>
      <c r="AK203" s="29">
        <f>HIPERLINK($A$1 &amp; "\Dados\Magnet_3D_results.txt_203.txt.txt", "Magnet_3D_results.txt_203.txt")</f>
        <v/>
      </c>
      <c r="AL203" s="29">
        <f>HIPERLINK($A$1 &amp; "\Dados\Magnet_fields_2D.txt_203.txt.txt", "Magnet_fields_2D.txt_203.txt")</f>
        <v/>
      </c>
    </row>
    <row customHeight="1" ht="15.75" r="204" s="34">
      <c r="E204" s="15" t="n">
        <v>120</v>
      </c>
      <c r="F204" s="15" t="n">
        <v>170</v>
      </c>
      <c r="G204" s="15" t="n">
        <v>350</v>
      </c>
      <c r="H204" s="15" t="n">
        <v>40</v>
      </c>
      <c r="I204" s="15" t="n">
        <v>142</v>
      </c>
      <c r="J204" s="13" t="n">
        <v>25</v>
      </c>
      <c r="K204" t="n">
        <v>35</v>
      </c>
      <c r="L204" s="13" t="n">
        <v>1.3</v>
      </c>
      <c r="M204" s="12" t="n"/>
      <c r="N204" s="8" t="n">
        <v>1.057378771011866</v>
      </c>
      <c r="O204" s="15" t="n">
        <v>0.813915148614255</v>
      </c>
      <c r="P204" s="15" t="n">
        <v>0.9796303335794574</v>
      </c>
      <c r="Q204" s="15" t="n">
        <v>0.00102978404393535</v>
      </c>
      <c r="R204" s="15" t="n">
        <v>0.0246082907852919</v>
      </c>
      <c r="S204" s="15" t="n">
        <v>0.001977108520117952</v>
      </c>
      <c r="T204" s="29">
        <f>HIPERLINK($A$1 &amp; "\Dados\Imagem_perfil_204.png", "Imagem_perfil_204")</f>
        <v/>
      </c>
      <c r="U204" s="29">
        <f>HIPERLINK($A$1 &amp; "\Dados\Results_airgap204.txt", "Results_airgap204")</f>
        <v/>
      </c>
      <c r="V204" s="19" t="n"/>
      <c r="W204" s="43" t="n">
        <v>1.332706304347826</v>
      </c>
      <c r="X204" s="15" t="n">
        <v>0.6702819581963558</v>
      </c>
      <c r="Y204" s="15" t="n">
        <v>0.03208134679901994</v>
      </c>
      <c r="Z204" s="15" t="n">
        <v>0.4232287652934307</v>
      </c>
      <c r="AA204" s="15" t="n">
        <v>0.01844944786721645</v>
      </c>
      <c r="AB204" s="15" t="n">
        <v>0</v>
      </c>
      <c r="AC204" s="15" t="n">
        <v>0</v>
      </c>
      <c r="AD204" s="15" t="n">
        <v>20.61132388934076</v>
      </c>
      <c r="AE204" s="15" t="n">
        <v>64.72206832846656</v>
      </c>
      <c r="AF204" s="15" t="n">
        <v>107.0565249817685</v>
      </c>
      <c r="AH204" s="29">
        <f>HIPERLINK($A$1 &amp; "\Dados\Magnet_fields.txt_204.txt.txt", "Magnet_fields.txt_204.txt")</f>
        <v/>
      </c>
      <c r="AI204" t="n">
        <v>6994</v>
      </c>
      <c r="AJ204" t="n">
        <v>28</v>
      </c>
      <c r="AK204" s="29">
        <f>HIPERLINK($A$1 &amp; "\Dados\Magnet_3D_results.txt_204.txt.txt", "Magnet_3D_results.txt_204.txt")</f>
        <v/>
      </c>
      <c r="AL204" s="29">
        <f>HIPERLINK($A$1 &amp; "\Dados\Magnet_fields_2D.txt_204.txt.txt", "Magnet_fields_2D.txt_204.txt")</f>
        <v/>
      </c>
    </row>
    <row customHeight="1" ht="15.75" r="205" s="34">
      <c r="E205" s="15" t="n">
        <v>120</v>
      </c>
      <c r="F205" s="15" t="n">
        <v>170</v>
      </c>
      <c r="G205" s="15" t="n">
        <v>350</v>
      </c>
      <c r="H205" s="15" t="n">
        <v>40</v>
      </c>
      <c r="I205" s="15" t="n">
        <v>142</v>
      </c>
      <c r="J205" s="13" t="n">
        <v>25</v>
      </c>
      <c r="K205" t="n">
        <v>35</v>
      </c>
      <c r="L205" s="13" t="n">
        <v>1.4</v>
      </c>
      <c r="M205" s="12" t="n"/>
      <c r="N205" s="8" t="n">
        <v>1.080414980234075</v>
      </c>
      <c r="O205" s="15" t="n">
        <v>0.8317449578871643</v>
      </c>
      <c r="P205" s="15" t="n">
        <v>1.000795328770063</v>
      </c>
      <c r="Q205" s="15" t="n">
        <v>0.00102946918034599</v>
      </c>
      <c r="R205" s="15" t="n">
        <v>0.0253740275761448</v>
      </c>
      <c r="S205" s="15" t="n">
        <v>0.001996496584359431</v>
      </c>
      <c r="T205" s="29">
        <f>HIPERLINK($A$1 &amp; "\Dados\Imagem_perfil_205.png", "Imagem_perfil_205")</f>
        <v/>
      </c>
      <c r="U205" s="29">
        <f>HIPERLINK($A$1 &amp; "\Dados\Results_airgap205.txt", "Results_airgap205")</f>
        <v/>
      </c>
      <c r="V205" s="19" t="n"/>
      <c r="W205" s="43" t="n">
        <v>1.363168260869565</v>
      </c>
      <c r="X205" s="15" t="n">
        <v>0.6856035308939848</v>
      </c>
      <c r="Y205" s="15" t="n">
        <v>0.08122993801944128</v>
      </c>
      <c r="Z205" s="15" t="n">
        <v>0.2466273640228638</v>
      </c>
      <c r="AA205" s="15" t="n">
        <v>0.01141469198951522</v>
      </c>
      <c r="AB205" s="15" t="n">
        <v>0</v>
      </c>
      <c r="AC205" s="15" t="n">
        <v>4.365726239354118</v>
      </c>
      <c r="AD205" s="15" t="n">
        <v>26.42296135412834</v>
      </c>
      <c r="AE205" s="15" t="n">
        <v>67.27274771258946</v>
      </c>
      <c r="AF205" s="15" t="n">
        <v>107.7326194407678</v>
      </c>
      <c r="AH205" s="29">
        <f>HIPERLINK($A$1 &amp; "\Dados\Magnet_fields.txt_205.txt.txt", "Magnet_fields.txt_205.txt")</f>
        <v/>
      </c>
      <c r="AI205" t="n">
        <v>6994</v>
      </c>
      <c r="AJ205" t="n">
        <v>28</v>
      </c>
      <c r="AK205" s="29">
        <f>HIPERLINK($A$1 &amp; "\Dados\Magnet_3D_results.txt_205.txt.txt", "Magnet_3D_results.txt_205.txt")</f>
        <v/>
      </c>
      <c r="AL205" s="29">
        <f>HIPERLINK($A$1 &amp; "\Dados\Magnet_fields_2D.txt_205.txt.txt", "Magnet_fields_2D.txt_205.txt")</f>
        <v/>
      </c>
    </row>
    <row customHeight="1" ht="15.75" r="206" s="34">
      <c r="E206" s="15" t="n">
        <v>120</v>
      </c>
      <c r="F206" s="15" t="n">
        <v>170</v>
      </c>
      <c r="G206" s="15" t="n">
        <v>350</v>
      </c>
      <c r="H206" s="15" t="n">
        <v>40</v>
      </c>
      <c r="I206" s="15" t="n">
        <v>142</v>
      </c>
      <c r="J206" s="13" t="n">
        <v>25</v>
      </c>
      <c r="K206" t="n">
        <v>35</v>
      </c>
      <c r="L206" s="13" t="n">
        <v>1.5</v>
      </c>
      <c r="M206" s="12" t="n"/>
      <c r="N206" s="8" t="n">
        <v>1.09007345964253</v>
      </c>
      <c r="O206" s="15" t="n">
        <v>0.8392596468392499</v>
      </c>
      <c r="P206" s="15" t="n">
        <v>1.009904109354269</v>
      </c>
      <c r="Q206" s="15" t="n">
        <v>0.001029146696434438</v>
      </c>
      <c r="R206" s="15" t="n">
        <v>0.02565800391886226</v>
      </c>
      <c r="S206" s="15" t="n">
        <v>0.002003218136907514</v>
      </c>
      <c r="T206" s="29">
        <f>HIPERLINK($A$1 &amp; "\Dados\Imagem_perfil_206.png", "Imagem_perfil_206")</f>
        <v/>
      </c>
      <c r="U206" s="29">
        <f>HIPERLINK($A$1 &amp; "\Dados\Results_airgap206.txt", "Results_airgap206")</f>
        <v/>
      </c>
      <c r="V206" s="19" t="n"/>
      <c r="W206" s="43" t="n">
        <v>1.378616521739131</v>
      </c>
      <c r="X206" s="15" t="n">
        <v>0.6920659145370631</v>
      </c>
      <c r="Y206" s="15" t="n">
        <v>0.1507664815737468</v>
      </c>
      <c r="Z206" s="15" t="n">
        <v>0.2143024780421404</v>
      </c>
      <c r="AA206" s="15" t="n">
        <v>0.00822012773815089</v>
      </c>
      <c r="AB206" s="15" t="n">
        <v>0.8736914151874353</v>
      </c>
      <c r="AC206" s="15" t="n">
        <v>7.504389566735849</v>
      </c>
      <c r="AD206" s="15" t="n">
        <v>28.89526473472689</v>
      </c>
      <c r="AE206" s="15" t="n">
        <v>68.4480661337015</v>
      </c>
      <c r="AF206" s="15" t="n">
        <v>107.9323982560979</v>
      </c>
      <c r="AH206" s="29">
        <f>HIPERLINK($A$1 &amp; "\Dados\Magnet_fields.txt_206.txt.txt", "Magnet_fields.txt_206.txt")</f>
        <v/>
      </c>
      <c r="AI206" t="n">
        <v>6994</v>
      </c>
      <c r="AJ206" t="n">
        <v>28</v>
      </c>
      <c r="AK206" s="29">
        <f>HIPERLINK($A$1 &amp; "\Dados\Magnet_3D_results.txt_206.txt.txt", "Magnet_3D_results.txt_206.txt")</f>
        <v/>
      </c>
      <c r="AL206" s="29">
        <f>HIPERLINK($A$1 &amp; "\Dados\Magnet_fields_2D.txt_206.txt.txt", "Magnet_fields_2D.txt_206.txt")</f>
        <v/>
      </c>
    </row>
    <row customHeight="1" ht="15.75" r="207" s="34">
      <c r="E207" s="15" t="n">
        <v>120</v>
      </c>
      <c r="F207" s="15" t="n">
        <v>170</v>
      </c>
      <c r="G207" s="15" t="n">
        <v>350</v>
      </c>
      <c r="H207" s="15" t="n">
        <v>40</v>
      </c>
      <c r="I207" s="15" t="n">
        <v>142</v>
      </c>
      <c r="J207" s="13" t="n">
        <v>25</v>
      </c>
      <c r="K207" t="n">
        <v>35</v>
      </c>
      <c r="L207" s="13" t="n">
        <v>1.6</v>
      </c>
      <c r="M207" s="12" t="n"/>
      <c r="N207" s="8" t="n">
        <v>1.098155095821907</v>
      </c>
      <c r="O207" s="15" t="n">
        <v>0.8455241592637368</v>
      </c>
      <c r="P207" s="15" t="n">
        <v>1.017424522994986</v>
      </c>
      <c r="Q207" s="15" t="n">
        <v>0.001025795508187788</v>
      </c>
      <c r="R207" s="15" t="n">
        <v>0.02592962503291646</v>
      </c>
      <c r="S207" s="15" t="n">
        <v>0.002006500770219883</v>
      </c>
      <c r="T207" s="29">
        <f>HIPERLINK($A$1 &amp; "\Dados\Imagem_perfil_207.png", "Imagem_perfil_207")</f>
        <v/>
      </c>
      <c r="U207" s="29">
        <f>HIPERLINK($A$1 &amp; "\Dados\Results_airgap207.txt", "Results_airgap207")</f>
        <v/>
      </c>
      <c r="V207" s="19" t="n"/>
      <c r="W207" s="15" t="n">
        <v>1.386491304347826</v>
      </c>
      <c r="X207" s="15" t="n">
        <v>0.6974802272977524</v>
      </c>
      <c r="Y207" s="15" t="n">
        <v>0.2333655111051827</v>
      </c>
      <c r="Z207" s="15" t="n">
        <v>0.1811400640573441</v>
      </c>
      <c r="AA207" s="15" t="n">
        <v>0.006704194661715273</v>
      </c>
      <c r="AB207" s="15" t="n">
        <v>1.68023974909281</v>
      </c>
      <c r="AC207" s="15" t="n">
        <v>9.154986782484693</v>
      </c>
      <c r="AD207" s="15" t="n">
        <v>30.21637391542636</v>
      </c>
      <c r="AE207" s="15" t="n">
        <v>69.07958409390788</v>
      </c>
      <c r="AF207" s="15" t="n">
        <v>108.0374315600786</v>
      </c>
      <c r="AH207" s="29">
        <f>HIPERLINK($A$1 &amp; "\Dados\Magnet_fields.txt_207.txt.txt", "Magnet_fields.txt_207.txt")</f>
        <v/>
      </c>
      <c r="AI207" t="n">
        <v>6994</v>
      </c>
      <c r="AJ207" t="n">
        <v>28</v>
      </c>
      <c r="AK207" s="29">
        <f>HIPERLINK($A$1 &amp; "\Dados\Magnet_3D_results.txt_207.txt.txt", "Magnet_3D_results.txt_207.txt")</f>
        <v/>
      </c>
      <c r="AL207" s="29">
        <f>HIPERLINK($A$1 &amp; "\Dados\Magnet_fields_2D.txt_207.txt.txt", "Magnet_fields_2D.txt_207.txt")</f>
        <v/>
      </c>
    </row>
    <row customHeight="1" ht="15.75" r="208" s="34">
      <c r="E208" s="15" t="n">
        <v>120</v>
      </c>
      <c r="F208" s="15" t="n">
        <v>170</v>
      </c>
      <c r="G208" s="15" t="n">
        <v>350</v>
      </c>
      <c r="H208" s="15" t="n">
        <v>40</v>
      </c>
      <c r="I208" s="15" t="n">
        <v>142</v>
      </c>
      <c r="J208" s="13" t="n">
        <v>25</v>
      </c>
      <c r="K208" t="n">
        <v>35</v>
      </c>
      <c r="L208" s="13" t="n">
        <v>1.7</v>
      </c>
      <c r="M208" s="12" t="n"/>
      <c r="N208" s="8" t="n">
        <v>1.101829372443823</v>
      </c>
      <c r="O208" s="15" t="n">
        <v>0.8483600513693179</v>
      </c>
      <c r="P208" s="15" t="n">
        <v>1.020854915401456</v>
      </c>
      <c r="Q208" s="15" t="n">
        <v>0.001025821304365203</v>
      </c>
      <c r="R208" s="15" t="n">
        <v>0.02601782898457299</v>
      </c>
      <c r="S208" s="15" t="n">
        <v>0.00200856187659807</v>
      </c>
      <c r="T208" s="29">
        <f>HIPERLINK($A$1 &amp; "\Dados\Imagem_perfil_208.png", "Imagem_perfil_208")</f>
        <v/>
      </c>
      <c r="U208" s="29">
        <f>HIPERLINK($A$1 &amp; "\Dados\Results_airgap208.txt", "Results_airgap208")</f>
        <v/>
      </c>
      <c r="V208" s="19" t="n"/>
      <c r="W208" s="15" t="n">
        <v>1.391075869565217</v>
      </c>
      <c r="X208" s="15" t="n">
        <v>0.6999209426980305</v>
      </c>
      <c r="Y208" s="15" t="n">
        <v>0.3234651972479848</v>
      </c>
      <c r="Z208" s="15" t="n">
        <v>0.1766383510354525</v>
      </c>
      <c r="AA208" s="15" t="n">
        <v>0.006704194661715273</v>
      </c>
      <c r="AB208" s="15" t="n">
        <v>2.141365363046177</v>
      </c>
      <c r="AC208" s="15" t="n">
        <v>10.16691144567512</v>
      </c>
      <c r="AD208" s="15" t="n">
        <v>31.03414140831367</v>
      </c>
      <c r="AE208" s="15" t="n">
        <v>69.46806633821159</v>
      </c>
      <c r="AF208" s="15" t="n">
        <v>108.132301634525</v>
      </c>
      <c r="AH208" s="29">
        <f>HIPERLINK($A$1 &amp; "\Dados\Magnet_fields.txt_208.txt.txt", "Magnet_fields.txt_208.txt")</f>
        <v/>
      </c>
      <c r="AI208" t="n">
        <v>6994</v>
      </c>
      <c r="AJ208" t="n">
        <v>28</v>
      </c>
      <c r="AK208" s="29">
        <f>HIPERLINK($A$1 &amp; "\Dados\Magnet_3D_results.txt_208.txt.txt", "Magnet_3D_results.txt_208.txt")</f>
        <v/>
      </c>
      <c r="AL208" s="29">
        <f>HIPERLINK($A$1 &amp; "\Dados\Magnet_fields_2D.txt_208.txt.txt", "Magnet_fields_2D.txt_208.txt")</f>
        <v/>
      </c>
    </row>
    <row customHeight="1" ht="15.75" r="209" s="34">
      <c r="E209" s="15" t="n">
        <v>120</v>
      </c>
      <c r="F209" s="15" t="n">
        <v>170</v>
      </c>
      <c r="G209" s="15" t="n">
        <v>350</v>
      </c>
      <c r="H209" s="15" t="n">
        <v>40</v>
      </c>
      <c r="I209" s="15" t="n">
        <v>142</v>
      </c>
      <c r="J209" s="13" t="n">
        <v>25</v>
      </c>
      <c r="K209" t="n">
        <v>35</v>
      </c>
      <c r="L209" s="13" t="n">
        <v>1.8</v>
      </c>
      <c r="M209" s="12" t="n"/>
      <c r="N209" s="8" t="n">
        <v>1.101829372443823</v>
      </c>
      <c r="O209" s="15" t="n">
        <v>0.8483600513693176</v>
      </c>
      <c r="P209" s="15" t="n">
        <v>1.020854915401456</v>
      </c>
      <c r="Q209" s="15" t="n">
        <v>0.001025821304365203</v>
      </c>
      <c r="R209" s="15" t="n">
        <v>0.02601782898457298</v>
      </c>
      <c r="S209" s="15" t="n">
        <v>0.00200856187659807</v>
      </c>
      <c r="T209" s="29">
        <f>HIPERLINK($A$1 &amp; "\Dados\Imagem_perfil_209.png", "Imagem_perfil_209")</f>
        <v/>
      </c>
      <c r="U209" s="29">
        <f>HIPERLINK($A$1 &amp; "\Dados\Results_airgap209.txt", "Results_airgap209")</f>
        <v/>
      </c>
      <c r="V209" s="19" t="n"/>
      <c r="W209" s="15" t="n">
        <v>1.394119130434783</v>
      </c>
      <c r="X209" s="15" t="n">
        <v>0.6999209426980307</v>
      </c>
      <c r="Y209" s="15" t="n">
        <v>0.4172240091995794</v>
      </c>
      <c r="Z209" s="15" t="n">
        <v>0.1766383510354525</v>
      </c>
      <c r="AA209" s="15" t="n">
        <v>0.006704194661715273</v>
      </c>
      <c r="AB209" s="15" t="n">
        <v>2.433843363299923</v>
      </c>
      <c r="AC209" s="15" t="n">
        <v>10.84309124142869</v>
      </c>
      <c r="AD209" s="15" t="n">
        <v>31.62361972119955</v>
      </c>
      <c r="AE209" s="15" t="n">
        <v>69.73458717082741</v>
      </c>
      <c r="AF209" s="15" t="n">
        <v>108.1691431973817</v>
      </c>
      <c r="AH209" s="29">
        <f>HIPERLINK($A$1 &amp; "\Dados\Magnet_fields.txt_209.txt.txt", "Magnet_fields.txt_209.txt")</f>
        <v/>
      </c>
      <c r="AI209" t="n">
        <v>6994</v>
      </c>
      <c r="AJ209" t="n">
        <v>28</v>
      </c>
      <c r="AK209" s="29">
        <f>HIPERLINK($A$1 &amp; "\Dados\Magnet_3D_results.txt_209.txt.txt", "Magnet_3D_results.txt_209.txt")</f>
        <v/>
      </c>
      <c r="AL209" s="29">
        <f>HIPERLINK($A$1 &amp; "\Dados\Magnet_fields_2D.txt_209.txt.txt", "Magnet_fields_2D.txt_209.txt")</f>
        <v/>
      </c>
    </row>
    <row customHeight="1" ht="15.75" r="210" s="34">
      <c r="E210" s="15" t="n">
        <v>120</v>
      </c>
      <c r="F210" s="15" t="n">
        <v>170</v>
      </c>
      <c r="G210" s="15" t="n">
        <v>350</v>
      </c>
      <c r="H210" s="15" t="n">
        <v>40</v>
      </c>
      <c r="I210" s="15" t="n">
        <v>142</v>
      </c>
      <c r="J210" s="13" t="n">
        <v>25</v>
      </c>
      <c r="K210" t="n">
        <v>35</v>
      </c>
      <c r="L210" s="13" t="n">
        <v>1.900000000000001</v>
      </c>
      <c r="M210" s="12" t="n"/>
      <c r="N210" s="8" t="n">
        <v>1.104677432400089</v>
      </c>
      <c r="O210" s="15" t="n">
        <v>0.8505789809483975</v>
      </c>
      <c r="P210" s="15" t="n">
        <v>1.023530914943166</v>
      </c>
      <c r="Q210" s="15" t="n">
        <v>0.001025573802113043</v>
      </c>
      <c r="R210" s="15" t="n">
        <v>0.02609078973307503</v>
      </c>
      <c r="S210" s="15" t="n">
        <v>0.002009965755142641</v>
      </c>
      <c r="T210" s="29">
        <f>HIPERLINK($A$1 &amp; "\Dados\Imagem_perfil_210.png", "Imagem_perfil_210")</f>
        <v/>
      </c>
      <c r="U210" s="29">
        <f>HIPERLINK($A$1 &amp; "\Dados\Results_airgap210.txt", "Results_airgap210")</f>
        <v/>
      </c>
      <c r="V210" s="19" t="n"/>
      <c r="W210" s="15" t="n">
        <v>1.396240434782609</v>
      </c>
      <c r="X210" s="15" t="n">
        <v>0.7018507579595482</v>
      </c>
      <c r="Y210" s="15" t="n">
        <v>0.5120667783255063</v>
      </c>
      <c r="Z210" s="15" t="n">
        <v>0.1586068657712959</v>
      </c>
      <c r="AA210" s="15" t="n">
        <v>0.006704194661715273</v>
      </c>
      <c r="AB210" s="15" t="n">
        <v>2.670341007581457</v>
      </c>
      <c r="AC210" s="15" t="n">
        <v>11.33249127384565</v>
      </c>
      <c r="AD210" s="15" t="n">
        <v>32.02476663035177</v>
      </c>
      <c r="AE210" s="15" t="n">
        <v>69.92850561335995</v>
      </c>
      <c r="AF210" s="15" t="n">
        <v>108.2143451436352</v>
      </c>
      <c r="AH210" s="29">
        <f>HIPERLINK($A$1 &amp; "\Dados\Magnet_fields.txt_210.txt.txt", "Magnet_fields.txt_210.txt")</f>
        <v/>
      </c>
      <c r="AI210" t="n">
        <v>6994</v>
      </c>
      <c r="AJ210" t="n">
        <v>27</v>
      </c>
      <c r="AK210" s="29">
        <f>HIPERLINK($A$1 &amp; "\Dados\Magnet_3D_results.txt_210.txt.txt", "Magnet_3D_results.txt_210.txt")</f>
        <v/>
      </c>
      <c r="AL210" s="29">
        <f>HIPERLINK($A$1 &amp; "\Dados\Magnet_fields_2D.txt_210.txt.txt", "Magnet_fields_2D.txt_210.txt")</f>
        <v/>
      </c>
    </row>
    <row customHeight="1" ht="15.75" r="211" s="34">
      <c r="E211" s="15" t="n">
        <v>120</v>
      </c>
      <c r="F211" s="15" t="n">
        <v>170</v>
      </c>
      <c r="G211" s="15" t="n">
        <v>350</v>
      </c>
      <c r="H211" s="15" t="n">
        <v>40</v>
      </c>
      <c r="I211" s="15" t="n">
        <v>142</v>
      </c>
      <c r="J211" s="13" t="n">
        <v>25</v>
      </c>
      <c r="K211" t="n">
        <v>35</v>
      </c>
      <c r="L211" s="13" t="n">
        <v>2.000000000000001</v>
      </c>
      <c r="M211" s="12" t="n"/>
      <c r="N211" s="8" t="n">
        <v>1.105361147287609</v>
      </c>
      <c r="O211" s="15" t="n">
        <v>0.8510906543720052</v>
      </c>
      <c r="P211" s="15" t="n">
        <v>1.024130653838999</v>
      </c>
      <c r="Q211" s="15" t="n">
        <v>0.00102380381575625</v>
      </c>
      <c r="R211" s="15" t="n">
        <v>0.02613799749824321</v>
      </c>
      <c r="S211" s="15" t="n">
        <v>0.002009335952375587</v>
      </c>
      <c r="T211" s="29">
        <f>HIPERLINK($A$1 &amp; "\Dados\Imagem_perfil_211.png", "Imagem_perfil_211")</f>
        <v/>
      </c>
      <c r="U211" s="29">
        <f>HIPERLINK($A$1 &amp; "\Dados\Results_airgap211.txt", "Results_airgap211")</f>
        <v/>
      </c>
      <c r="V211" s="19" t="n"/>
      <c r="W211" s="15" t="n">
        <v>1.397807173913043</v>
      </c>
      <c r="X211" s="15" t="n">
        <v>0.7023083214571435</v>
      </c>
      <c r="Y211" s="15" t="n">
        <v>0.6062919389718099</v>
      </c>
      <c r="Z211" s="15" t="n">
        <v>0.1226116364786061</v>
      </c>
      <c r="AA211" s="15" t="n">
        <v>0.006704194661715273</v>
      </c>
      <c r="AB211" s="15" t="n">
        <v>2.825949751116442</v>
      </c>
      <c r="AC211" s="15" t="n">
        <v>11.70249104752157</v>
      </c>
      <c r="AD211" s="15" t="n">
        <v>32.33027704273556</v>
      </c>
      <c r="AE211" s="15" t="n">
        <v>70.07892256071447</v>
      </c>
      <c r="AF211" s="15" t="n">
        <v>108.2592111323766</v>
      </c>
      <c r="AH211" s="29">
        <f>HIPERLINK($A$1 &amp; "\Dados\Magnet_fields.txt_211.txt.txt", "Magnet_fields.txt_211.txt")</f>
        <v/>
      </c>
      <c r="AI211" t="n">
        <v>6994</v>
      </c>
      <c r="AJ211" t="n">
        <v>27</v>
      </c>
      <c r="AK211" s="29">
        <f>HIPERLINK($A$1 &amp; "\Dados\Magnet_3D_results.txt_211.txt.txt", "Magnet_3D_results.txt_211.txt")</f>
        <v/>
      </c>
      <c r="AL211" s="29">
        <f>HIPERLINK($A$1 &amp; "\Dados\Magnet_fields_2D.txt_211.txt.txt", "Magnet_fields_2D.txt_211.txt")</f>
        <v/>
      </c>
    </row>
    <row customHeight="1" ht="15.75" r="212" s="34">
      <c r="E212" s="15" t="n">
        <v>120</v>
      </c>
      <c r="F212" s="15" t="n">
        <v>170</v>
      </c>
      <c r="G212" s="15" t="n">
        <v>350</v>
      </c>
      <c r="H212" s="15" t="n">
        <v>40</v>
      </c>
      <c r="I212" s="15" t="n">
        <v>142</v>
      </c>
      <c r="J212" s="13" t="n">
        <v>25</v>
      </c>
      <c r="K212" t="n">
        <v>35</v>
      </c>
      <c r="L212" s="13" t="n">
        <v>2.100000000000001</v>
      </c>
      <c r="M212" s="12" t="n"/>
      <c r="N212" s="8" t="n">
        <v>1.106684489498039</v>
      </c>
      <c r="O212" s="15" t="n">
        <v>0.8521389273738922</v>
      </c>
      <c r="P212" s="15" t="n">
        <v>1.025486050395863</v>
      </c>
      <c r="Q212" s="15" t="n">
        <v>0.001023869523830651</v>
      </c>
      <c r="R212" s="15" t="n">
        <v>0.02616396742995443</v>
      </c>
      <c r="S212" s="15" t="n">
        <v>0.002009964719611823</v>
      </c>
      <c r="T212" s="29">
        <f>HIPERLINK($A$1 &amp; "\Dados\Imagem_perfil_212.png", "Imagem_perfil_212")</f>
        <v/>
      </c>
      <c r="U212" s="29">
        <f>HIPERLINK($A$1 &amp; "\Dados\Results_airgap212.txt", "Results_airgap212")</f>
        <v/>
      </c>
      <c r="V212" s="19" t="n"/>
      <c r="W212" s="15" t="n">
        <v>1.399048260869565</v>
      </c>
      <c r="X212" s="15" t="n">
        <v>0.7032101263886679</v>
      </c>
      <c r="Y212" s="15" t="n">
        <v>0.6987927388881791</v>
      </c>
      <c r="Z212" s="15" t="n">
        <v>0.1201667937020111</v>
      </c>
      <c r="AA212" s="15" t="n">
        <v>0.006704194661715273</v>
      </c>
      <c r="AB212" s="15" t="n">
        <v>2.945542078071227</v>
      </c>
      <c r="AC212" s="15" t="n">
        <v>12.00996575789326</v>
      </c>
      <c r="AD212" s="15" t="n">
        <v>32.56399306594567</v>
      </c>
      <c r="AE212" s="15" t="n">
        <v>70.21531798778095</v>
      </c>
      <c r="AF212" s="15" t="n">
        <v>108.2462610638512</v>
      </c>
      <c r="AH212" s="29">
        <f>HIPERLINK($A$1 &amp; "\Dados\Magnet_fields.txt_212.txt.txt", "Magnet_fields.txt_212.txt")</f>
        <v/>
      </c>
      <c r="AI212" t="n">
        <v>6994</v>
      </c>
      <c r="AJ212" t="n">
        <v>28</v>
      </c>
      <c r="AK212" s="29">
        <f>HIPERLINK($A$1 &amp; "\Dados\Magnet_3D_results.txt_212.txt.txt", "Magnet_3D_results.txt_212.txt")</f>
        <v/>
      </c>
      <c r="AL212" s="29">
        <f>HIPERLINK($A$1 &amp; "\Dados\Magnet_fields_2D.txt_212.txt.txt", "Magnet_fields_2D.txt_212.txt")</f>
        <v/>
      </c>
    </row>
    <row customHeight="1" ht="15.75" r="213" s="34">
      <c r="E213" s="15" t="n">
        <v>120</v>
      </c>
      <c r="F213" s="15" t="n">
        <v>170</v>
      </c>
      <c r="G213" s="15" t="n">
        <v>350</v>
      </c>
      <c r="H213" s="15" t="n">
        <v>42</v>
      </c>
      <c r="I213" s="15" t="n">
        <v>142</v>
      </c>
      <c r="J213" s="13" t="n">
        <v>25</v>
      </c>
      <c r="K213" t="n">
        <v>35</v>
      </c>
      <c r="L213" s="13" t="n">
        <v>1.3</v>
      </c>
      <c r="M213" s="12" t="n"/>
      <c r="N213" s="8" t="n">
        <v>1.05777450915313</v>
      </c>
      <c r="O213" s="15" t="n">
        <v>0.8185689722848238</v>
      </c>
      <c r="P213" s="15" t="n">
        <v>0.9806612242200182</v>
      </c>
      <c r="Q213" s="15" t="n">
        <v>0.001030270932837404</v>
      </c>
      <c r="R213" s="15" t="n">
        <v>0.02483296464709554</v>
      </c>
      <c r="S213" s="15" t="n">
        <v>0.001927419866479491</v>
      </c>
      <c r="T213" s="29">
        <f>HIPERLINK($A$1 &amp; "\Dados\Imagem_perfil_213.png", "Imagem_perfil_213")</f>
        <v/>
      </c>
      <c r="U213" s="29">
        <f>HIPERLINK($A$1 &amp; "\Dados\Results_airgap213.txt", "Results_airgap213")</f>
        <v/>
      </c>
      <c r="V213" s="19" t="n"/>
      <c r="W213" s="43" t="n">
        <v>1.332213913043478</v>
      </c>
      <c r="X213" s="15" t="n">
        <v>0.679116877500292</v>
      </c>
      <c r="Y213" s="15" t="n">
        <v>0.03208085140645246</v>
      </c>
      <c r="Z213" s="15" t="n">
        <v>0.4261170052486525</v>
      </c>
      <c r="AA213" s="15" t="n">
        <v>0.02847812793016369</v>
      </c>
      <c r="AB213" s="15" t="n">
        <v>0</v>
      </c>
      <c r="AC213" s="15" t="n">
        <v>0</v>
      </c>
      <c r="AD213" s="15" t="n">
        <v>20.54489774097767</v>
      </c>
      <c r="AE213" s="15" t="n">
        <v>64.51582911127133</v>
      </c>
      <c r="AF213" s="15" t="n">
        <v>106.8292960991854</v>
      </c>
      <c r="AH213" s="29">
        <f>HIPERLINK($A$1 &amp; "\Dados\Magnet_fields.txt_213.txt.txt", "Magnet_fields.txt_213.txt")</f>
        <v/>
      </c>
      <c r="AI213" t="n">
        <v>6702</v>
      </c>
      <c r="AJ213" t="n">
        <v>28</v>
      </c>
      <c r="AK213" s="29">
        <f>HIPERLINK($A$1 &amp; "\Dados\Magnet_3D_results.txt_213.txt.txt", "Magnet_3D_results.txt_213.txt")</f>
        <v/>
      </c>
      <c r="AL213" s="29">
        <f>HIPERLINK($A$1 &amp; "\Dados\Magnet_fields_2D.txt_213.txt.txt", "Magnet_fields_2D.txt_213.txt")</f>
        <v/>
      </c>
    </row>
    <row customHeight="1" ht="15.75" r="214" s="34">
      <c r="E214" s="15" t="n">
        <v>120</v>
      </c>
      <c r="F214" s="15" t="n">
        <v>170</v>
      </c>
      <c r="G214" s="15" t="n">
        <v>350</v>
      </c>
      <c r="H214" s="15" t="n">
        <v>42</v>
      </c>
      <c r="I214" s="15" t="n">
        <v>142</v>
      </c>
      <c r="J214" s="13" t="n">
        <v>25</v>
      </c>
      <c r="K214" t="n">
        <v>35</v>
      </c>
      <c r="L214" s="13" t="n">
        <v>1.4</v>
      </c>
      <c r="M214" s="12" t="n"/>
      <c r="N214" s="8" t="n">
        <v>1.080779347911689</v>
      </c>
      <c r="O214" s="15" t="n">
        <v>0.8364053786422759</v>
      </c>
      <c r="P214" s="15" t="n">
        <v>1.001793174352895</v>
      </c>
      <c r="Q214" s="15" t="n">
        <v>0.001027001271890157</v>
      </c>
      <c r="R214" s="15" t="n">
        <v>0.02559084946492949</v>
      </c>
      <c r="S214" s="15" t="n">
        <v>0.001943189981819138</v>
      </c>
      <c r="T214" s="29">
        <f>HIPERLINK($A$1 &amp; "\Dados\Imagem_perfil_214.png", "Imagem_perfil_214")</f>
        <v/>
      </c>
      <c r="U214" s="29">
        <f>HIPERLINK($A$1 &amp; "\Dados\Results_airgap214.txt", "Results_airgap214")</f>
        <v/>
      </c>
      <c r="V214" s="19" t="n"/>
      <c r="W214" s="43" t="n">
        <v>1.363231304347826</v>
      </c>
      <c r="X214" s="15" t="n">
        <v>0.6944811938267565</v>
      </c>
      <c r="Y214" s="15" t="n">
        <v>0.08122518750179519</v>
      </c>
      <c r="Z214" s="15" t="n">
        <v>0.2196971437154331</v>
      </c>
      <c r="AA214" s="15" t="n">
        <v>0.01683674818033996</v>
      </c>
      <c r="AB214" s="15" t="n">
        <v>0</v>
      </c>
      <c r="AC214" s="15" t="n">
        <v>4.362432688586296</v>
      </c>
      <c r="AD214" s="15" t="n">
        <v>26.43949434902244</v>
      </c>
      <c r="AE214" s="15" t="n">
        <v>67.29642021249489</v>
      </c>
      <c r="AF214" s="15" t="n">
        <v>107.7164115369792</v>
      </c>
      <c r="AH214" s="29">
        <f>HIPERLINK($A$1 &amp; "\Dados\Magnet_fields.txt_214.txt.txt", "Magnet_fields.txt_214.txt")</f>
        <v/>
      </c>
      <c r="AI214" t="n">
        <v>6702</v>
      </c>
      <c r="AJ214" t="n">
        <v>28</v>
      </c>
      <c r="AK214" s="29">
        <f>HIPERLINK($A$1 &amp; "\Dados\Magnet_3D_results.txt_214.txt.txt", "Magnet_3D_results.txt_214.txt")</f>
        <v/>
      </c>
      <c r="AL214" s="29">
        <f>HIPERLINK($A$1 &amp; "\Dados\Magnet_fields_2D.txt_214.txt.txt", "Magnet_fields_2D.txt_214.txt")</f>
        <v/>
      </c>
    </row>
    <row customHeight="1" ht="15.75" r="215" s="34">
      <c r="E215" s="15" t="n">
        <v>120</v>
      </c>
      <c r="F215" s="15" t="n">
        <v>170</v>
      </c>
      <c r="G215" s="15" t="n">
        <v>350</v>
      </c>
      <c r="H215" s="15" t="n">
        <v>42</v>
      </c>
      <c r="I215" s="15" t="n">
        <v>142</v>
      </c>
      <c r="J215" s="13" t="n">
        <v>25</v>
      </c>
      <c r="K215" t="n">
        <v>35</v>
      </c>
      <c r="L215" s="13" t="n">
        <v>1.5</v>
      </c>
      <c r="M215" s="12" t="n"/>
      <c r="N215" s="8" t="n">
        <v>1.090351576804704</v>
      </c>
      <c r="O215" s="15" t="n">
        <v>0.8438560474225754</v>
      </c>
      <c r="P215" s="15" t="n">
        <v>1.010817791894735</v>
      </c>
      <c r="Q215" s="15" t="n">
        <v>0.001026408133152592</v>
      </c>
      <c r="R215" s="15" t="n">
        <v>0.0258540662171451</v>
      </c>
      <c r="S215" s="15" t="n">
        <v>0.001948918208727827</v>
      </c>
      <c r="T215" s="29">
        <f>HIPERLINK($A$1 &amp; "\Dados\Imagem_perfil_215.png", "Imagem_perfil_215")</f>
        <v/>
      </c>
      <c r="U215" s="29">
        <f>HIPERLINK($A$1 &amp; "\Dados\Results_airgap215.txt", "Results_airgap215")</f>
        <v/>
      </c>
      <c r="V215" s="19" t="n"/>
      <c r="W215" s="43" t="n">
        <v>1.378604565217391</v>
      </c>
      <c r="X215" s="15" t="n">
        <v>0.7008887360813684</v>
      </c>
      <c r="Y215" s="15" t="n">
        <v>0.1507606860314883</v>
      </c>
      <c r="Z215" s="15" t="n">
        <v>0.1786336383392731</v>
      </c>
      <c r="AA215" s="15" t="n">
        <v>0.01247852407700652</v>
      </c>
      <c r="AB215" s="15" t="n">
        <v>0.8818936224275874</v>
      </c>
      <c r="AC215" s="15" t="n">
        <v>7.501204605813294</v>
      </c>
      <c r="AD215" s="15" t="n">
        <v>28.89521618534962</v>
      </c>
      <c r="AE215" s="15" t="n">
        <v>68.4268539419579</v>
      </c>
      <c r="AF215" s="15" t="n">
        <v>107.9500472776097</v>
      </c>
      <c r="AH215" s="29">
        <f>HIPERLINK($A$1 &amp; "\Dados\Magnet_fields.txt_215.txt.txt", "Magnet_fields.txt_215.txt")</f>
        <v/>
      </c>
      <c r="AI215" t="n">
        <v>6702</v>
      </c>
      <c r="AJ215" t="n">
        <v>28</v>
      </c>
      <c r="AK215" s="29">
        <f>HIPERLINK($A$1 &amp; "\Dados\Magnet_3D_results.txt_215.txt.txt", "Magnet_3D_results.txt_215.txt")</f>
        <v/>
      </c>
      <c r="AL215" s="29">
        <f>HIPERLINK($A$1 &amp; "\Dados\Magnet_fields_2D.txt_215.txt.txt", "Magnet_fields_2D.txt_215.txt")</f>
        <v/>
      </c>
    </row>
    <row customHeight="1" ht="15.75" r="216" s="34">
      <c r="E216" s="15" t="n">
        <v>120</v>
      </c>
      <c r="F216" s="15" t="n">
        <v>170</v>
      </c>
      <c r="G216" s="15" t="n">
        <v>350</v>
      </c>
      <c r="H216" s="15" t="n">
        <v>42</v>
      </c>
      <c r="I216" s="15" t="n">
        <v>142</v>
      </c>
      <c r="J216" s="13" t="n">
        <v>25</v>
      </c>
      <c r="K216" t="n">
        <v>35</v>
      </c>
      <c r="L216" s="13" t="n">
        <v>1.6</v>
      </c>
      <c r="M216" s="12" t="n"/>
      <c r="N216" s="8" t="n">
        <v>1.098285321026898</v>
      </c>
      <c r="O216" s="15" t="n">
        <v>0.8499935344643308</v>
      </c>
      <c r="P216" s="15" t="n">
        <v>1.018192040096021</v>
      </c>
      <c r="Q216" s="15" t="n">
        <v>0.001022553666942992</v>
      </c>
      <c r="R216" s="15" t="n">
        <v>0.02608791096996387</v>
      </c>
      <c r="S216" s="15" t="n">
        <v>0.001950692584097979</v>
      </c>
      <c r="T216" s="29">
        <f>HIPERLINK($A$1 &amp; "\Dados\Imagem_perfil_216.png", "Imagem_perfil_216")</f>
        <v/>
      </c>
      <c r="U216" s="29">
        <f>HIPERLINK($A$1 &amp; "\Dados\Results_airgap216.txt", "Results_airgap216")</f>
        <v/>
      </c>
      <c r="V216" s="19" t="n"/>
      <c r="W216" s="15" t="n">
        <v>1.386468043478261</v>
      </c>
      <c r="X216" s="15" t="n">
        <v>0.7061896586017558</v>
      </c>
      <c r="Y216" s="15" t="n">
        <v>0.2333585063657398</v>
      </c>
      <c r="Z216" s="15" t="n">
        <v>0.1472017050099509</v>
      </c>
      <c r="AA216" s="15" t="n">
        <v>0.005081212385900398</v>
      </c>
      <c r="AB216" s="15" t="n">
        <v>1.652214054184303</v>
      </c>
      <c r="AC216" s="15" t="n">
        <v>9.154505832256993</v>
      </c>
      <c r="AD216" s="15" t="n">
        <v>30.21191240773562</v>
      </c>
      <c r="AE216" s="15" t="n">
        <v>69.08458332118225</v>
      </c>
      <c r="AF216" s="15" t="n">
        <v>108.0423118705476</v>
      </c>
      <c r="AH216" s="29">
        <f>HIPERLINK($A$1 &amp; "\Dados\Magnet_fields.txt_216.txt.txt", "Magnet_fields.txt_216.txt")</f>
        <v/>
      </c>
      <c r="AI216" t="n">
        <v>6702</v>
      </c>
      <c r="AJ216" t="n">
        <v>27</v>
      </c>
      <c r="AK216" s="29">
        <f>HIPERLINK($A$1 &amp; "\Dados\Magnet_3D_results.txt_216.txt.txt", "Magnet_3D_results.txt_216.txt")</f>
        <v/>
      </c>
      <c r="AL216" s="29">
        <f>HIPERLINK($A$1 &amp; "\Dados\Magnet_fields_2D.txt_216.txt.txt", "Magnet_fields_2D.txt_216.txt")</f>
        <v/>
      </c>
    </row>
    <row customHeight="1" ht="15.75" r="217" s="34">
      <c r="E217" s="15" t="n">
        <v>120</v>
      </c>
      <c r="F217" s="15" t="n">
        <v>170</v>
      </c>
      <c r="G217" s="15" t="n">
        <v>350</v>
      </c>
      <c r="H217" s="15" t="n">
        <v>42</v>
      </c>
      <c r="I217" s="15" t="n">
        <v>142</v>
      </c>
      <c r="J217" s="13" t="n">
        <v>25</v>
      </c>
      <c r="K217" t="n">
        <v>35</v>
      </c>
      <c r="L217" s="13" t="n">
        <v>1.7</v>
      </c>
      <c r="M217" s="12" t="n"/>
      <c r="N217" s="8" t="n">
        <v>1.101916089534526</v>
      </c>
      <c r="O217" s="15" t="n">
        <v>0.8527912296168146</v>
      </c>
      <c r="P217" s="15" t="n">
        <v>1.021578776248138</v>
      </c>
      <c r="Q217" s="15" t="n">
        <v>0.001022485682963276</v>
      </c>
      <c r="R217" s="15" t="n">
        <v>0.02616496123193665</v>
      </c>
      <c r="S217" s="15" t="n">
        <v>0.001952336038886641</v>
      </c>
      <c r="T217" s="29">
        <f>HIPERLINK($A$1 &amp; "\Dados\Imagem_perfil_217.png", "Imagem_perfil_217")</f>
        <v/>
      </c>
      <c r="U217" s="29">
        <f>HIPERLINK($A$1 &amp; "\Dados\Results_airgap217.txt", "Results_airgap217")</f>
        <v/>
      </c>
      <c r="V217" s="19" t="n"/>
      <c r="W217" s="15" t="n">
        <v>1.391341956521739</v>
      </c>
      <c r="X217" s="15" t="n">
        <v>0.7085945352694887</v>
      </c>
      <c r="Y217" s="15" t="n">
        <v>0.323457921313801</v>
      </c>
      <c r="Z217" s="15" t="n">
        <v>0.1472017050099509</v>
      </c>
      <c r="AA217" s="15" t="n">
        <v>0.00432270888945296</v>
      </c>
      <c r="AB217" s="15" t="n">
        <v>2.125821472488401</v>
      </c>
      <c r="AC217" s="15" t="n">
        <v>10.18521410992913</v>
      </c>
      <c r="AD217" s="15" t="n">
        <v>31.11708475767047</v>
      </c>
      <c r="AE217" s="15" t="n">
        <v>69.5372224499676</v>
      </c>
      <c r="AF217" s="15" t="n">
        <v>108.1061828276054</v>
      </c>
      <c r="AH217" s="29">
        <f>HIPERLINK($A$1 &amp; "\Dados\Magnet_fields.txt_217.txt.txt", "Magnet_fields.txt_217.txt")</f>
        <v/>
      </c>
      <c r="AI217" t="n">
        <v>6702</v>
      </c>
      <c r="AJ217" t="n">
        <v>28</v>
      </c>
      <c r="AK217" s="29">
        <f>HIPERLINK($A$1 &amp; "\Dados\Magnet_3D_results.txt_217.txt.txt", "Magnet_3D_results.txt_217.txt")</f>
        <v/>
      </c>
      <c r="AL217" s="29">
        <f>HIPERLINK($A$1 &amp; "\Dados\Magnet_fields_2D.txt_217.txt.txt", "Magnet_fields_2D.txt_217.txt")</f>
        <v/>
      </c>
    </row>
    <row customHeight="1" ht="15.75" r="218" s="34">
      <c r="E218" s="15" t="n">
        <v>120</v>
      </c>
      <c r="F218" s="15" t="n">
        <v>170</v>
      </c>
      <c r="G218" s="15" t="n">
        <v>350</v>
      </c>
      <c r="H218" s="15" t="n">
        <v>42</v>
      </c>
      <c r="I218" s="15" t="n">
        <v>142</v>
      </c>
      <c r="J218" s="13" t="n">
        <v>25</v>
      </c>
      <c r="K218" t="n">
        <v>35</v>
      </c>
      <c r="L218" s="13" t="n">
        <v>1.8</v>
      </c>
      <c r="M218" s="12" t="n"/>
      <c r="N218" s="8" t="n">
        <v>1.101916089534526</v>
      </c>
      <c r="O218" s="15" t="n">
        <v>0.8527912296168144</v>
      </c>
      <c r="P218" s="15" t="n">
        <v>1.021578776248138</v>
      </c>
      <c r="Q218" s="15" t="n">
        <v>0.001022485682963276</v>
      </c>
      <c r="R218" s="15" t="n">
        <v>0.02616496123193666</v>
      </c>
      <c r="S218" s="15" t="n">
        <v>0.001952336038886641</v>
      </c>
      <c r="T218" s="29">
        <f>HIPERLINK($A$1 &amp; "\Dados\Imagem_perfil_218.png", "Imagem_perfil_218")</f>
        <v/>
      </c>
      <c r="U218" s="29">
        <f>HIPERLINK($A$1 &amp; "\Dados\Results_airgap218.txt", "Results_airgap218")</f>
        <v/>
      </c>
      <c r="V218" s="19" t="n"/>
      <c r="W218" s="15" t="n">
        <v>1.394165434782609</v>
      </c>
      <c r="X218" s="15" t="n">
        <v>0.7085945352694887</v>
      </c>
      <c r="Y218" s="15" t="n">
        <v>0.4172156359393219</v>
      </c>
      <c r="Z218" s="15" t="n">
        <v>0.1472017050099509</v>
      </c>
      <c r="AA218" s="15" t="n">
        <v>0.00432270888945296</v>
      </c>
      <c r="AB218" s="15" t="n">
        <v>2.457518607872258</v>
      </c>
      <c r="AC218" s="15" t="n">
        <v>10.85102082388648</v>
      </c>
      <c r="AD218" s="15" t="n">
        <v>31.62097475945843</v>
      </c>
      <c r="AE218" s="15" t="n">
        <v>69.744533028398</v>
      </c>
      <c r="AF218" s="15" t="n">
        <v>108.1817144256474</v>
      </c>
      <c r="AH218" s="29">
        <f>HIPERLINK($A$1 &amp; "\Dados\Magnet_fields.txt_218.txt.txt", "Magnet_fields.txt_218.txt")</f>
        <v/>
      </c>
      <c r="AI218" t="n">
        <v>6702</v>
      </c>
      <c r="AJ218" t="n">
        <v>28</v>
      </c>
      <c r="AK218" s="29">
        <f>HIPERLINK($A$1 &amp; "\Dados\Magnet_3D_results.txt_218.txt.txt", "Magnet_3D_results.txt_218.txt")</f>
        <v/>
      </c>
      <c r="AL218" s="29">
        <f>HIPERLINK($A$1 &amp; "\Dados\Magnet_fields_2D.txt_218.txt.txt", "Magnet_fields_2D.txt_218.txt")</f>
        <v/>
      </c>
    </row>
    <row customHeight="1" ht="15.75" r="219" s="34">
      <c r="E219" s="15" t="n">
        <v>120</v>
      </c>
      <c r="F219" s="15" t="n">
        <v>170</v>
      </c>
      <c r="G219" s="15" t="n">
        <v>350</v>
      </c>
      <c r="H219" s="15" t="n">
        <v>42</v>
      </c>
      <c r="I219" s="15" t="n">
        <v>142</v>
      </c>
      <c r="J219" s="13" t="n">
        <v>25</v>
      </c>
      <c r="K219" t="n">
        <v>35</v>
      </c>
      <c r="L219" s="13" t="n">
        <v>1.900000000000001</v>
      </c>
      <c r="M219" s="12" t="n"/>
      <c r="N219" s="8" t="n">
        <v>1.104725465147101</v>
      </c>
      <c r="O219" s="15" t="n">
        <v>0.8549758308940022</v>
      </c>
      <c r="P219" s="15" t="n">
        <v>1.02421606005745</v>
      </c>
      <c r="Q219" s="15" t="n">
        <v>0.001022143313258003</v>
      </c>
      <c r="R219" s="15" t="n">
        <v>0.02622793439011355</v>
      </c>
      <c r="S219" s="15" t="n">
        <v>0.001953355824097348</v>
      </c>
      <c r="T219" s="29">
        <f>HIPERLINK($A$1 &amp; "\Dados\Imagem_perfil_219.png", "Imagem_perfil_219")</f>
        <v/>
      </c>
      <c r="U219" s="29">
        <f>HIPERLINK($A$1 &amp; "\Dados\Results_airgap219.txt", "Results_airgap219")</f>
        <v/>
      </c>
      <c r="V219" s="19" t="n"/>
      <c r="W219" s="15" t="n">
        <v>1.396282173913044</v>
      </c>
      <c r="X219" s="15" t="n">
        <v>0.710492016373205</v>
      </c>
      <c r="Y219" s="15" t="n">
        <v>0.5120580680547684</v>
      </c>
      <c r="Z219" s="15" t="n">
        <v>0.1305804691055934</v>
      </c>
      <c r="AA219" s="15" t="n">
        <v>0.00432270888945296</v>
      </c>
      <c r="AB219" s="15" t="n">
        <v>2.68676905908232</v>
      </c>
      <c r="AC219" s="15" t="n">
        <v>11.34024316135937</v>
      </c>
      <c r="AD219" s="15" t="n">
        <v>32.02993169210392</v>
      </c>
      <c r="AE219" s="15" t="n">
        <v>69.92550569540754</v>
      </c>
      <c r="AF219" s="15" t="n">
        <v>108.2125700731796</v>
      </c>
      <c r="AH219" s="29">
        <f>HIPERLINK($A$1 &amp; "\Dados\Magnet_fields.txt_219.txt.txt", "Magnet_fields.txt_219.txt")</f>
        <v/>
      </c>
      <c r="AI219" t="n">
        <v>6702</v>
      </c>
      <c r="AJ219" t="n">
        <v>28</v>
      </c>
      <c r="AK219" s="29">
        <f>HIPERLINK($A$1 &amp; "\Dados\Magnet_3D_results.txt_219.txt.txt", "Magnet_3D_results.txt_219.txt")</f>
        <v/>
      </c>
      <c r="AL219" s="29">
        <f>HIPERLINK($A$1 &amp; "\Dados\Magnet_fields_2D.txt_219.txt.txt", "Magnet_fields_2D.txt_219.txt")</f>
        <v/>
      </c>
    </row>
    <row customHeight="1" ht="15.75" r="220" s="34">
      <c r="E220" s="15" t="n">
        <v>120</v>
      </c>
      <c r="F220" s="15" t="n">
        <v>170</v>
      </c>
      <c r="G220" s="15" t="n">
        <v>350</v>
      </c>
      <c r="H220" s="15" t="n">
        <v>42</v>
      </c>
      <c r="I220" s="15" t="n">
        <v>142</v>
      </c>
      <c r="J220" s="13" t="n">
        <v>25</v>
      </c>
      <c r="K220" t="n">
        <v>35</v>
      </c>
      <c r="L220" s="13" t="n">
        <v>2.000000000000001</v>
      </c>
      <c r="M220" s="12" t="n"/>
      <c r="N220" s="8" t="n">
        <v>1.105364753503125</v>
      </c>
      <c r="O220" s="15" t="n">
        <v>0.8554478421583346</v>
      </c>
      <c r="P220" s="15" t="n">
        <v>1.024772406752082</v>
      </c>
      <c r="Q220" s="15" t="n">
        <v>0.00102025533510669</v>
      </c>
      <c r="R220" s="15" t="n">
        <v>0.02626342525226168</v>
      </c>
      <c r="S220" s="15" t="n">
        <v>0.001952319719900203</v>
      </c>
      <c r="T220" s="29">
        <f>HIPERLINK($A$1 &amp; "\Dados\Imagem_perfil_220.png", "Imagem_perfil_220")</f>
        <v/>
      </c>
      <c r="U220" s="29">
        <f>HIPERLINK($A$1 &amp; "\Dados\Results_airgap220.txt", "Results_airgap220")</f>
        <v/>
      </c>
      <c r="V220" s="19" t="n"/>
      <c r="W220" s="15" t="n">
        <v>1.397777391304348</v>
      </c>
      <c r="X220" s="15" t="n">
        <v>0.7109136975405148</v>
      </c>
      <c r="Y220" s="15" t="n">
        <v>0.6062828703424173</v>
      </c>
      <c r="Z220" s="15" t="n">
        <v>0.1164656589193068</v>
      </c>
      <c r="AA220" s="15" t="n">
        <v>0.001730098276177769</v>
      </c>
      <c r="AB220" s="15" t="n">
        <v>2.822362961102017</v>
      </c>
      <c r="AC220" s="15" t="n">
        <v>11.68226012860996</v>
      </c>
      <c r="AD220" s="15" t="n">
        <v>32.33146352537678</v>
      </c>
      <c r="AE220" s="15" t="n">
        <v>70.08117526238536</v>
      </c>
      <c r="AF220" s="15" t="n">
        <v>108.2560831959579</v>
      </c>
      <c r="AH220" s="29">
        <f>HIPERLINK($A$1 &amp; "\Dados\Magnet_fields.txt_220.txt.txt", "Magnet_fields.txt_220.txt")</f>
        <v/>
      </c>
      <c r="AI220" t="n">
        <v>6702</v>
      </c>
      <c r="AJ220" t="n">
        <v>28</v>
      </c>
      <c r="AK220" s="29">
        <f>HIPERLINK($A$1 &amp; "\Dados\Magnet_3D_results.txt_220.txt.txt", "Magnet_3D_results.txt_220.txt")</f>
        <v/>
      </c>
      <c r="AL220" s="29">
        <f>HIPERLINK($A$1 &amp; "\Dados\Magnet_fields_2D.txt_220.txt.txt", "Magnet_fields_2D.txt_220.txt")</f>
        <v/>
      </c>
    </row>
    <row customHeight="1" ht="15.75" r="221" s="34">
      <c r="E221" s="15" t="n">
        <v>120</v>
      </c>
      <c r="F221" s="15" t="n">
        <v>170</v>
      </c>
      <c r="G221" s="15" t="n">
        <v>350</v>
      </c>
      <c r="H221" s="15" t="n">
        <v>42</v>
      </c>
      <c r="I221" s="15" t="n">
        <v>142</v>
      </c>
      <c r="J221" s="13" t="n">
        <v>25</v>
      </c>
      <c r="K221" t="n">
        <v>35</v>
      </c>
      <c r="L221" s="13" t="n">
        <v>2.100000000000001</v>
      </c>
      <c r="M221" s="12" t="n"/>
      <c r="N221" s="8" t="n">
        <v>1.105364753503126</v>
      </c>
      <c r="O221" s="15" t="n">
        <v>0.8554478421583344</v>
      </c>
      <c r="P221" s="15" t="n">
        <v>1.024772406752082</v>
      </c>
      <c r="Q221" s="15" t="n">
        <v>0.001020255335106691</v>
      </c>
      <c r="R221" s="15" t="n">
        <v>0.02626342525226168</v>
      </c>
      <c r="S221" s="15" t="n">
        <v>0.001952319719900204</v>
      </c>
      <c r="T221" s="29">
        <f>HIPERLINK($A$1 &amp; "\Dados\Imagem_perfil_221.png", "Imagem_perfil_221")</f>
        <v/>
      </c>
      <c r="U221" s="29">
        <f>HIPERLINK($A$1 &amp; "\Dados\Results_airgap221.txt", "Results_airgap221")</f>
        <v/>
      </c>
      <c r="V221" s="19" t="n"/>
      <c r="W221" s="15" t="n">
        <v>1.398981304347826</v>
      </c>
      <c r="X221" s="15" t="n">
        <v>0.7109136975405148</v>
      </c>
      <c r="Y221" s="15" t="n">
        <v>0.6987832582790662</v>
      </c>
      <c r="Z221" s="15" t="n">
        <v>0.1164656589193068</v>
      </c>
      <c r="AA221" s="15" t="n">
        <v>0.001730098276177769</v>
      </c>
      <c r="AB221" s="15" t="n">
        <v>2.943165368466451</v>
      </c>
      <c r="AC221" s="15" t="n">
        <v>11.97042856127621</v>
      </c>
      <c r="AD221" s="15" t="n">
        <v>32.56846455794778</v>
      </c>
      <c r="AE221" s="15" t="n">
        <v>70.20053493580674</v>
      </c>
      <c r="AF221" s="15" t="n">
        <v>108.2876287867795</v>
      </c>
      <c r="AH221" s="29">
        <f>HIPERLINK($A$1 &amp; "\Dados\Magnet_fields.txt_221.txt.txt", "Magnet_fields.txt_221.txt")</f>
        <v/>
      </c>
      <c r="AI221" t="n">
        <v>6702</v>
      </c>
      <c r="AJ221" t="n">
        <v>28</v>
      </c>
      <c r="AK221" s="29">
        <f>HIPERLINK($A$1 &amp; "\Dados\Magnet_3D_results.txt_221.txt.txt", "Magnet_3D_results.txt_221.txt")</f>
        <v/>
      </c>
      <c r="AL221" s="29">
        <f>HIPERLINK($A$1 &amp; "\Dados\Magnet_fields_2D.txt_221.txt.txt", "Magnet_fields_2D.txt_221.txt")</f>
        <v/>
      </c>
    </row>
    <row customHeight="1" ht="15.75" r="222" s="34">
      <c r="E222" s="15" t="n">
        <v>120</v>
      </c>
      <c r="F222" s="15" t="n">
        <v>170</v>
      </c>
      <c r="G222" s="15" t="n">
        <v>350</v>
      </c>
      <c r="H222" s="15" t="n">
        <v>44</v>
      </c>
      <c r="I222" s="15" t="n">
        <v>142</v>
      </c>
      <c r="J222" s="13" t="n">
        <v>25</v>
      </c>
      <c r="K222" t="n">
        <v>35</v>
      </c>
      <c r="L222" s="13" t="n">
        <v>1.3</v>
      </c>
      <c r="M222" s="12" t="n"/>
      <c r="N222" s="8" t="n">
        <v>1.05845455333847</v>
      </c>
      <c r="O222" s="15" t="n">
        <v>0.8141455560705364</v>
      </c>
      <c r="P222" s="15" t="n">
        <v>0.9805277727286335</v>
      </c>
      <c r="Q222" s="15" t="n">
        <v>0.001031081107157504</v>
      </c>
      <c r="R222" s="15" t="n">
        <v>0.02498738601241937</v>
      </c>
      <c r="S222" s="15" t="n">
        <v>0.001968880246290766</v>
      </c>
      <c r="T222" s="29">
        <f>HIPERLINK($A$1 &amp; "\Dados\Imagem_perfil_222.png", "Imagem_perfil_222")</f>
        <v/>
      </c>
      <c r="U222" s="29">
        <f>HIPERLINK($A$1 &amp; "\Dados\Results_airgap222.txt", "Results_airgap222")</f>
        <v/>
      </c>
      <c r="V222" s="19" t="n"/>
      <c r="W222" s="43" t="n">
        <v>1.332223913043478</v>
      </c>
      <c r="X222" s="15" t="n">
        <v>0.6674359302771309</v>
      </c>
      <c r="Y222" s="15" t="n">
        <v>0.03207795111010651</v>
      </c>
      <c r="Z222" s="15" t="n">
        <v>0.4152168246074102</v>
      </c>
      <c r="AA222" s="15" t="n">
        <v>0.04516337627044428</v>
      </c>
      <c r="AB222" s="15" t="n">
        <v>0</v>
      </c>
      <c r="AC222" s="15" t="n">
        <v>0</v>
      </c>
      <c r="AD222" s="15" t="n">
        <v>20.52366492508402</v>
      </c>
      <c r="AE222" s="15" t="n">
        <v>64.5590439812354</v>
      </c>
      <c r="AF222" s="15" t="n">
        <v>106.8612767889807</v>
      </c>
      <c r="AH222" s="29">
        <f>HIPERLINK($A$1 &amp; "\Dados\Magnet_fields.txt_222.txt.txt", "Magnet_fields.txt_222.txt")</f>
        <v/>
      </c>
      <c r="AI222" t="n">
        <v>6628</v>
      </c>
      <c r="AJ222" t="n">
        <v>28</v>
      </c>
      <c r="AK222" s="29">
        <f>HIPERLINK($A$1 &amp; "\Dados\Magnet_3D_results.txt_222.txt.txt", "Magnet_3D_results.txt_222.txt")</f>
        <v/>
      </c>
      <c r="AL222" s="29">
        <f>HIPERLINK($A$1 &amp; "\Dados\Magnet_fields_2D.txt_222.txt.txt", "Magnet_fields_2D.txt_222.txt")</f>
        <v/>
      </c>
    </row>
    <row customHeight="1" ht="15.75" r="223" s="34">
      <c r="E223" s="15" t="n">
        <v>120</v>
      </c>
      <c r="F223" s="15" t="n">
        <v>170</v>
      </c>
      <c r="G223" s="15" t="n">
        <v>350</v>
      </c>
      <c r="H223" s="15" t="n">
        <v>44</v>
      </c>
      <c r="I223" s="15" t="n">
        <v>142</v>
      </c>
      <c r="J223" s="13" t="n">
        <v>25</v>
      </c>
      <c r="K223" t="n">
        <v>35</v>
      </c>
      <c r="L223" s="13" t="n">
        <v>1.4</v>
      </c>
      <c r="M223" s="12" t="n"/>
      <c r="N223" s="8" t="n">
        <v>1.081297614861884</v>
      </c>
      <c r="O223" s="15" t="n">
        <v>0.8317876573461863</v>
      </c>
      <c r="P223" s="15" t="n">
        <v>1.001504578947569</v>
      </c>
      <c r="Q223" s="15" t="n">
        <v>0.001028437207839572</v>
      </c>
      <c r="R223" s="15" t="n">
        <v>0.02569023572769323</v>
      </c>
      <c r="S223" s="15" t="n">
        <v>0.001984058968360375</v>
      </c>
      <c r="T223" s="29">
        <f>HIPERLINK($A$1 &amp; "\Dados\Imagem_perfil_223.png", "Imagem_perfil_223")</f>
        <v/>
      </c>
      <c r="U223" s="29">
        <f>HIPERLINK($A$1 &amp; "\Dados\Results_airgap223.txt", "Results_airgap223")</f>
        <v/>
      </c>
      <c r="V223" s="19" t="n"/>
      <c r="W223" s="43" t="n">
        <v>1.363212391304348</v>
      </c>
      <c r="X223" s="15" t="n">
        <v>0.6825453036415462</v>
      </c>
      <c r="Y223" s="15" t="n">
        <v>0.08122112109947048</v>
      </c>
      <c r="Z223" s="15" t="n">
        <v>0.2410972158783239</v>
      </c>
      <c r="AA223" s="15" t="n">
        <v>0.04631240035767799</v>
      </c>
      <c r="AB223" s="15" t="n">
        <v>0</v>
      </c>
      <c r="AC223" s="15" t="n">
        <v>4.36463585563451</v>
      </c>
      <c r="AD223" s="15" t="n">
        <v>26.43141330651554</v>
      </c>
      <c r="AE223" s="15" t="n">
        <v>67.2842634240636</v>
      </c>
      <c r="AF223" s="15" t="n">
        <v>107.7204582889983</v>
      </c>
      <c r="AH223" s="29">
        <f>HIPERLINK($A$1 &amp; "\Dados\Magnet_fields.txt_223.txt.txt", "Magnet_fields.txt_223.txt")</f>
        <v/>
      </c>
      <c r="AI223" t="n">
        <v>6628</v>
      </c>
      <c r="AJ223" t="n">
        <v>28</v>
      </c>
      <c r="AK223" s="29">
        <f>HIPERLINK($A$1 &amp; "\Dados\Magnet_3D_results.txt_223.txt.txt", "Magnet_3D_results.txt_223.txt")</f>
        <v/>
      </c>
      <c r="AL223" s="29">
        <f>HIPERLINK($A$1 &amp; "\Dados\Magnet_fields_2D.txt_223.txt.txt", "Magnet_fields_2D.txt_223.txt")</f>
        <v/>
      </c>
    </row>
    <row customHeight="1" ht="15.75" r="224" s="34">
      <c r="E224" s="15" t="n">
        <v>120</v>
      </c>
      <c r="F224" s="15" t="n">
        <v>170</v>
      </c>
      <c r="G224" s="15" t="n">
        <v>350</v>
      </c>
      <c r="H224" s="15" t="n">
        <v>44</v>
      </c>
      <c r="I224" s="15" t="n">
        <v>142</v>
      </c>
      <c r="J224" s="13" t="n">
        <v>25</v>
      </c>
      <c r="K224" t="n">
        <v>35</v>
      </c>
      <c r="L224" s="13" t="n">
        <v>1.5</v>
      </c>
      <c r="M224" s="12" t="n"/>
      <c r="N224" s="8" t="n">
        <v>1.090767778901119</v>
      </c>
      <c r="O224" s="15" t="n">
        <v>0.8391306908390788</v>
      </c>
      <c r="P224" s="15" t="n">
        <v>1.01043162069266</v>
      </c>
      <c r="Q224" s="15" t="n">
        <v>0.001027846149384955</v>
      </c>
      <c r="R224" s="15" t="n">
        <v>0.02592371453682202</v>
      </c>
      <c r="S224" s="15" t="n">
        <v>0.001989124358066305</v>
      </c>
      <c r="T224" s="29">
        <f>HIPERLINK($A$1 &amp; "\Dados\Imagem_perfil_224.png", "Imagem_perfil_224")</f>
        <v/>
      </c>
      <c r="U224" s="29">
        <f>HIPERLINK($A$1 &amp; "\Dados\Results_airgap224.txt", "Results_airgap224")</f>
        <v/>
      </c>
      <c r="V224" s="19" t="n"/>
      <c r="W224" s="43" t="n">
        <v>1.378607173913043</v>
      </c>
      <c r="X224" s="15" t="n">
        <v>0.6888268581236366</v>
      </c>
      <c r="Y224" s="15" t="n">
        <v>0.1507550849431947</v>
      </c>
      <c r="Z224" s="15" t="n">
        <v>0.1854939780196934</v>
      </c>
      <c r="AA224" s="15" t="n">
        <v>0.04631240035767799</v>
      </c>
      <c r="AB224" s="15" t="n">
        <v>0.8784321849943401</v>
      </c>
      <c r="AC224" s="15" t="n">
        <v>7.497363311867182</v>
      </c>
      <c r="AD224" s="15" t="n">
        <v>28.89102996770519</v>
      </c>
      <c r="AE224" s="15" t="n">
        <v>68.44485867766006</v>
      </c>
      <c r="AF224" s="15" t="n">
        <v>107.9418328360337</v>
      </c>
      <c r="AH224" s="29">
        <f>HIPERLINK($A$1 &amp; "\Dados\Magnet_fields.txt_224.txt.txt", "Magnet_fields.txt_224.txt")</f>
        <v/>
      </c>
      <c r="AI224" t="n">
        <v>6628</v>
      </c>
      <c r="AJ224" t="n">
        <v>27</v>
      </c>
      <c r="AK224" s="29">
        <f>HIPERLINK($A$1 &amp; "\Dados\Magnet_3D_results.txt_224.txt.txt", "Magnet_3D_results.txt_224.txt")</f>
        <v/>
      </c>
      <c r="AL224" s="29">
        <f>HIPERLINK($A$1 &amp; "\Dados\Magnet_fields_2D.txt_224.txt.txt", "Magnet_fields_2D.txt_224.txt")</f>
        <v/>
      </c>
    </row>
    <row customHeight="1" ht="15.75" r="225" s="34">
      <c r="E225" s="15" t="n">
        <v>120</v>
      </c>
      <c r="F225" s="15" t="n">
        <v>170</v>
      </c>
      <c r="G225" s="15" t="n">
        <v>350</v>
      </c>
      <c r="H225" s="15" t="n">
        <v>44</v>
      </c>
      <c r="I225" s="15" t="n">
        <v>142</v>
      </c>
      <c r="J225" s="13" t="n">
        <v>25</v>
      </c>
      <c r="K225" t="n">
        <v>35</v>
      </c>
      <c r="L225" s="13" t="n">
        <v>1.6</v>
      </c>
      <c r="M225" s="12" t="n"/>
      <c r="N225" s="8" t="n">
        <v>1.098599983579319</v>
      </c>
      <c r="O225" s="15" t="n">
        <v>0.8451645696187724</v>
      </c>
      <c r="P225" s="15" t="n">
        <v>1.017708079973441</v>
      </c>
      <c r="Q225" s="15" t="n">
        <v>0.001024209805438264</v>
      </c>
      <c r="R225" s="15" t="n">
        <v>0.02612501823982014</v>
      </c>
      <c r="S225" s="15" t="n">
        <v>0.001990211294116437</v>
      </c>
      <c r="T225" s="29">
        <f>HIPERLINK($A$1 &amp; "\Dados\Imagem_perfil_225.png", "Imagem_perfil_225")</f>
        <v/>
      </c>
      <c r="U225" s="29">
        <f>HIPERLINK($A$1 &amp; "\Dados\Results_airgap225.txt", "Results_airgap225")</f>
        <v/>
      </c>
      <c r="V225" s="19" t="n"/>
      <c r="W225" s="15" t="n">
        <v>1.386475</v>
      </c>
      <c r="X225" s="15" t="n">
        <v>0.6940090143367271</v>
      </c>
      <c r="Y225" s="15" t="n">
        <v>0.2333520166309253</v>
      </c>
      <c r="Z225" s="15" t="n">
        <v>0.1565007291728185</v>
      </c>
      <c r="AA225" s="15" t="n">
        <v>0.04631240035767799</v>
      </c>
      <c r="AB225" s="15" t="n">
        <v>1.652193391416406</v>
      </c>
      <c r="AC225" s="15" t="n">
        <v>9.156882424275095</v>
      </c>
      <c r="AD225" s="15" t="n">
        <v>30.21068854278389</v>
      </c>
      <c r="AE225" s="15" t="n">
        <v>69.08115813728668</v>
      </c>
      <c r="AF225" s="15" t="n">
        <v>108.040207955305</v>
      </c>
      <c r="AH225" s="29">
        <f>HIPERLINK($A$1 &amp; "\Dados\Magnet_fields.txt_225.txt.txt", "Magnet_fields.txt_225.txt")</f>
        <v/>
      </c>
      <c r="AI225" t="n">
        <v>6628</v>
      </c>
      <c r="AJ225" t="n">
        <v>27</v>
      </c>
      <c r="AK225" s="29">
        <f>HIPERLINK($A$1 &amp; "\Dados\Magnet_3D_results.txt_225.txt.txt", "Magnet_3D_results.txt_225.txt")</f>
        <v/>
      </c>
      <c r="AL225" s="29">
        <f>HIPERLINK($A$1 &amp; "\Dados\Magnet_fields_2D.txt_225.txt.txt", "Magnet_fields_2D.txt_225.txt")</f>
        <v/>
      </c>
    </row>
    <row customHeight="1" ht="15.75" r="226" s="34">
      <c r="E226" s="15" t="n">
        <v>120</v>
      </c>
      <c r="F226" s="15" t="n">
        <v>170</v>
      </c>
      <c r="G226" s="15" t="n">
        <v>350</v>
      </c>
      <c r="H226" s="15" t="n">
        <v>44</v>
      </c>
      <c r="I226" s="15" t="n">
        <v>142</v>
      </c>
      <c r="J226" s="13" t="n">
        <v>25</v>
      </c>
      <c r="K226" t="n">
        <v>35</v>
      </c>
      <c r="L226" s="13" t="n">
        <v>1.7</v>
      </c>
      <c r="M226" s="12" t="n"/>
      <c r="N226" s="8" t="n">
        <v>1.102205358430477</v>
      </c>
      <c r="O226" s="15" t="n">
        <v>0.8479391736490123</v>
      </c>
      <c r="P226" s="15" t="n">
        <v>1.021072180697168</v>
      </c>
      <c r="Q226" s="15" t="n">
        <v>0.001024126704067262</v>
      </c>
      <c r="R226" s="15" t="n">
        <v>0.02619530667261627</v>
      </c>
      <c r="S226" s="15" t="n">
        <v>0.001991683188462023</v>
      </c>
      <c r="T226" s="29">
        <f>HIPERLINK($A$1 &amp; "\Dados\Imagem_perfil_226.png", "Imagem_perfil_226")</f>
        <v/>
      </c>
      <c r="U226" s="29">
        <f>HIPERLINK($A$1 &amp; "\Dados\Results_airgap226.txt", "Results_airgap226")</f>
        <v/>
      </c>
      <c r="V226" s="19" t="n"/>
      <c r="W226" s="15" t="n">
        <v>1.391384347826087</v>
      </c>
      <c r="X226" s="15" t="n">
        <v>0.6963792613810795</v>
      </c>
      <c r="Y226" s="15" t="n">
        <v>0.323450772291377</v>
      </c>
      <c r="Z226" s="15" t="n">
        <v>0.1565007291728185</v>
      </c>
      <c r="AA226" s="15" t="n">
        <v>0.04631240035767799</v>
      </c>
      <c r="AB226" s="15" t="n">
        <v>2.161643887556753</v>
      </c>
      <c r="AC226" s="15" t="n">
        <v>10.18182332789919</v>
      </c>
      <c r="AD226" s="15" t="n">
        <v>31.12298328611718</v>
      </c>
      <c r="AE226" s="15" t="n">
        <v>69.53804766889537</v>
      </c>
      <c r="AF226" s="15" t="n">
        <v>108.1105367735529</v>
      </c>
      <c r="AH226" s="29">
        <f>HIPERLINK($A$1 &amp; "\Dados\Magnet_fields.txt_226.txt.txt", "Magnet_fields.txt_226.txt")</f>
        <v/>
      </c>
      <c r="AI226" t="n">
        <v>6628</v>
      </c>
      <c r="AJ226" t="n">
        <v>27</v>
      </c>
      <c r="AK226" s="29">
        <f>HIPERLINK($A$1 &amp; "\Dados\Magnet_3D_results.txt_226.txt.txt", "Magnet_3D_results.txt_226.txt")</f>
        <v/>
      </c>
      <c r="AL226" s="29">
        <f>HIPERLINK($A$1 &amp; "\Dados\Magnet_fields_2D.txt_226.txt.txt", "Magnet_fields_2D.txt_226.txt")</f>
        <v/>
      </c>
    </row>
    <row customHeight="1" ht="15.75" r="227" s="34">
      <c r="E227" s="15" t="n">
        <v>120</v>
      </c>
      <c r="F227" s="15" t="n">
        <v>170</v>
      </c>
      <c r="G227" s="15" t="n">
        <v>350</v>
      </c>
      <c r="H227" s="15" t="n">
        <v>44</v>
      </c>
      <c r="I227" s="15" t="n">
        <v>142</v>
      </c>
      <c r="J227" s="13" t="n">
        <v>25</v>
      </c>
      <c r="K227" t="n">
        <v>35</v>
      </c>
      <c r="L227" s="13" t="n">
        <v>1.8</v>
      </c>
      <c r="M227" s="12" t="n"/>
      <c r="N227" s="8" t="n">
        <v>1.102205358430477</v>
      </c>
      <c r="O227" s="15" t="n">
        <v>0.8479391736490123</v>
      </c>
      <c r="P227" s="15" t="n">
        <v>1.021072180697168</v>
      </c>
      <c r="Q227" s="15" t="n">
        <v>0.001024126704067262</v>
      </c>
      <c r="R227" s="15" t="n">
        <v>0.02619530667261628</v>
      </c>
      <c r="S227" s="15" t="n">
        <v>0.001991683188462023</v>
      </c>
      <c r="T227" s="29">
        <f>HIPERLINK($A$1 &amp; "\Dados\Imagem_perfil_227.png", "Imagem_perfil_227")</f>
        <v/>
      </c>
      <c r="U227" s="29">
        <f>HIPERLINK($A$1 &amp; "\Dados\Results_airgap227.txt", "Results_airgap227")</f>
        <v/>
      </c>
      <c r="V227" s="19" t="n"/>
      <c r="W227" s="15" t="n">
        <v>1.39414847826087</v>
      </c>
      <c r="X227" s="15" t="n">
        <v>0.6963792613810795</v>
      </c>
      <c r="Y227" s="15" t="n">
        <v>0.4172078545003559</v>
      </c>
      <c r="Z227" s="15" t="n">
        <v>0.1565007291728185</v>
      </c>
      <c r="AA227" s="15" t="n">
        <v>0.04631240035767799</v>
      </c>
      <c r="AB227" s="15" t="n">
        <v>2.453633364187612</v>
      </c>
      <c r="AC227" s="15" t="n">
        <v>10.84624600211391</v>
      </c>
      <c r="AD227" s="15" t="n">
        <v>31.61500920100911</v>
      </c>
      <c r="AE227" s="15" t="n">
        <v>69.74451522965185</v>
      </c>
      <c r="AF227" s="15" t="n">
        <v>108.1839052108871</v>
      </c>
      <c r="AH227" s="29">
        <f>HIPERLINK($A$1 &amp; "\Dados\Magnet_fields.txt_227.txt.txt", "Magnet_fields.txt_227.txt")</f>
        <v/>
      </c>
      <c r="AI227" t="n">
        <v>6628</v>
      </c>
      <c r="AJ227" t="n">
        <v>28</v>
      </c>
      <c r="AK227" s="29">
        <f>HIPERLINK($A$1 &amp; "\Dados\Magnet_3D_results.txt_227.txt.txt", "Magnet_3D_results.txt_227.txt")</f>
        <v/>
      </c>
      <c r="AL227" s="29">
        <f>HIPERLINK($A$1 &amp; "\Dados\Magnet_fields_2D.txt_227.txt.txt", "Magnet_fields_2D.txt_227.txt")</f>
        <v/>
      </c>
    </row>
    <row customHeight="1" ht="15.75" r="228" s="34">
      <c r="E228" s="15" t="n">
        <v>120</v>
      </c>
      <c r="F228" s="15" t="n">
        <v>170</v>
      </c>
      <c r="G228" s="15" t="n">
        <v>350</v>
      </c>
      <c r="H228" s="15" t="n">
        <v>44</v>
      </c>
      <c r="I228" s="15" t="n">
        <v>142</v>
      </c>
      <c r="J228" s="13" t="n">
        <v>25</v>
      </c>
      <c r="K228" t="n">
        <v>35</v>
      </c>
      <c r="L228" s="13" t="n">
        <v>1.900000000000001</v>
      </c>
      <c r="M228" s="12" t="n"/>
      <c r="N228" s="8" t="n">
        <v>1.104994906999105</v>
      </c>
      <c r="O228" s="15" t="n">
        <v>0.8501024669563633</v>
      </c>
      <c r="P228" s="15" t="n">
        <v>1.023690929894805</v>
      </c>
      <c r="Q228" s="15" t="n">
        <v>0.001023779070890436</v>
      </c>
      <c r="R228" s="15" t="n">
        <v>0.02625279165824956</v>
      </c>
      <c r="S228" s="15" t="n">
        <v>0.001992570746420222</v>
      </c>
      <c r="T228" s="29">
        <f>HIPERLINK($A$1 &amp; "\Dados\Imagem_perfil_228.png", "Imagem_perfil_228")</f>
        <v/>
      </c>
      <c r="U228" s="29">
        <f>HIPERLINK($A$1 &amp; "\Dados\Results_airgap228.txt", "Results_airgap228")</f>
        <v/>
      </c>
      <c r="V228" s="19" t="n"/>
      <c r="W228" s="15" t="n">
        <v>1.396275434782609</v>
      </c>
      <c r="X228" s="15" t="n">
        <v>0.6982501692470804</v>
      </c>
      <c r="Y228" s="15" t="n">
        <v>0.5120498780478568</v>
      </c>
      <c r="Z228" s="15" t="n">
        <v>0.1391404979707497</v>
      </c>
      <c r="AA228" s="15" t="n">
        <v>0.04631240035767799</v>
      </c>
      <c r="AB228" s="15" t="n">
        <v>2.667872020180221</v>
      </c>
      <c r="AC228" s="15" t="n">
        <v>11.3446877189156</v>
      </c>
      <c r="AD228" s="15" t="n">
        <v>32.02415523947671</v>
      </c>
      <c r="AE228" s="15" t="n">
        <v>69.92859051935353</v>
      </c>
      <c r="AF228" s="15" t="n">
        <v>108.2195271339662</v>
      </c>
      <c r="AH228" s="29">
        <f>HIPERLINK($A$1 &amp; "\Dados\Magnet_fields.txt_228.txt.txt", "Magnet_fields.txt_228.txt")</f>
        <v/>
      </c>
      <c r="AI228" t="n">
        <v>6628</v>
      </c>
      <c r="AJ228" t="n">
        <v>28</v>
      </c>
      <c r="AK228" s="29">
        <f>HIPERLINK($A$1 &amp; "\Dados\Magnet_3D_results.txt_228.txt.txt", "Magnet_3D_results.txt_228.txt")</f>
        <v/>
      </c>
      <c r="AL228" s="29">
        <f>HIPERLINK($A$1 &amp; "\Dados\Magnet_fields_2D.txt_228.txt.txt", "Magnet_fields_2D.txt_228.txt")</f>
        <v/>
      </c>
    </row>
    <row customHeight="1" ht="15.75" r="229" s="34">
      <c r="E229" s="15" t="n">
        <v>120</v>
      </c>
      <c r="F229" s="15" t="n">
        <v>170</v>
      </c>
      <c r="G229" s="15" t="n">
        <v>350</v>
      </c>
      <c r="H229" s="15" t="n">
        <v>44</v>
      </c>
      <c r="I229" s="15" t="n">
        <v>142</v>
      </c>
      <c r="J229" s="13" t="n">
        <v>25</v>
      </c>
      <c r="K229" t="n">
        <v>35</v>
      </c>
      <c r="L229" s="13" t="n">
        <v>2.000000000000001</v>
      </c>
      <c r="M229" s="12" t="n"/>
      <c r="N229" s="8" t="n">
        <v>1.105616419823713</v>
      </c>
      <c r="O229" s="15" t="n">
        <v>0.8505566057133612</v>
      </c>
      <c r="P229" s="15" t="n">
        <v>1.024230348547576</v>
      </c>
      <c r="Q229" s="15" t="n">
        <v>0.001021908441511581</v>
      </c>
      <c r="R229" s="15" t="n">
        <v>0.02628252231992147</v>
      </c>
      <c r="S229" s="15" t="n">
        <v>0.001991370944742707</v>
      </c>
      <c r="T229" s="29">
        <f>HIPERLINK($A$1 &amp; "\Dados\Imagem_perfil_229.png", "Imagem_perfil_229")</f>
        <v/>
      </c>
      <c r="U229" s="29">
        <f>HIPERLINK($A$1 &amp; "\Dados\Results_airgap229.txt", "Results_airgap229")</f>
        <v/>
      </c>
      <c r="V229" s="19" t="n"/>
      <c r="W229" s="15" t="n">
        <v>1.397964782608696</v>
      </c>
      <c r="X229" s="15" t="n">
        <v>0.6986558220448593</v>
      </c>
      <c r="Y229" s="15" t="n">
        <v>0.6062754089735243</v>
      </c>
      <c r="Z229" s="15" t="n">
        <v>0.1166134579788491</v>
      </c>
      <c r="AA229" s="15" t="n">
        <v>0.04631240035767799</v>
      </c>
      <c r="AB229" s="15" t="n">
        <v>2.798044600273668</v>
      </c>
      <c r="AC229" s="15" t="n">
        <v>11.74079903740864</v>
      </c>
      <c r="AD229" s="15" t="n">
        <v>32.39570601816015</v>
      </c>
      <c r="AE229" s="15" t="n">
        <v>70.04968305928725</v>
      </c>
      <c r="AF229" s="15" t="n">
        <v>108.1839881983213</v>
      </c>
      <c r="AH229" s="29">
        <f>HIPERLINK($A$1 &amp; "\Dados\Magnet_fields.txt_229.txt.txt", "Magnet_fields.txt_229.txt")</f>
        <v/>
      </c>
      <c r="AI229" t="n">
        <v>6628</v>
      </c>
      <c r="AJ229" t="n">
        <v>27</v>
      </c>
      <c r="AK229" s="29">
        <f>HIPERLINK($A$1 &amp; "\Dados\Magnet_3D_results.txt_229.txt.txt", "Magnet_3D_results.txt_229.txt")</f>
        <v/>
      </c>
      <c r="AL229" s="29">
        <f>HIPERLINK($A$1 &amp; "\Dados\Magnet_fields_2D.txt_229.txt.txt", "Magnet_fields_2D.txt_229.txt")</f>
        <v/>
      </c>
    </row>
    <row customHeight="1" ht="15.75" r="230" s="34">
      <c r="E230" s="15" t="n">
        <v>120</v>
      </c>
      <c r="F230" s="15" t="n">
        <v>170</v>
      </c>
      <c r="G230" s="15" t="n">
        <v>350</v>
      </c>
      <c r="H230" s="15" t="n">
        <v>44</v>
      </c>
      <c r="I230" s="15" t="n">
        <v>142</v>
      </c>
      <c r="J230" s="13" t="n">
        <v>25</v>
      </c>
      <c r="K230" t="n">
        <v>35</v>
      </c>
      <c r="L230" s="13" t="n">
        <v>2.100000000000001</v>
      </c>
      <c r="M230" s="12" t="n"/>
      <c r="N230" s="8" t="n">
        <v>1.105616419823713</v>
      </c>
      <c r="O230" s="15" t="n">
        <v>0.8505566057133613</v>
      </c>
      <c r="P230" s="15" t="n">
        <v>1.024230348547576</v>
      </c>
      <c r="Q230" s="15" t="n">
        <v>0.001021908441511581</v>
      </c>
      <c r="R230" s="15" t="n">
        <v>0.02628252231992147</v>
      </c>
      <c r="S230" s="15" t="n">
        <v>0.001991370944742707</v>
      </c>
      <c r="T230" s="29">
        <f>HIPERLINK($A$1 &amp; "\Dados\Imagem_perfil_230.png", "Imagem_perfil_230")</f>
        <v/>
      </c>
      <c r="U230" s="29">
        <f>HIPERLINK($A$1 &amp; "\Dados\Results_airgap230.txt", "Results_airgap230")</f>
        <v/>
      </c>
      <c r="V230" s="19" t="n"/>
      <c r="W230" s="15" t="n">
        <v>1.399002826086956</v>
      </c>
      <c r="X230" s="15" t="n">
        <v>0.6986558220448593</v>
      </c>
      <c r="Y230" s="15" t="n">
        <v>0.6987746584946487</v>
      </c>
      <c r="Z230" s="15" t="n">
        <v>0.1166134579788491</v>
      </c>
      <c r="AA230" s="15" t="n">
        <v>0.04631240035767799</v>
      </c>
      <c r="AB230" s="15" t="n">
        <v>2.947066228523374</v>
      </c>
      <c r="AC230" s="15" t="n">
        <v>11.96523695445718</v>
      </c>
      <c r="AD230" s="15" t="n">
        <v>32.57843505495878</v>
      </c>
      <c r="AE230" s="15" t="n">
        <v>70.20264728774869</v>
      </c>
      <c r="AF230" s="15" t="n">
        <v>108.2937712402562</v>
      </c>
      <c r="AH230" s="29">
        <f>HIPERLINK($A$1 &amp; "\Dados\Magnet_fields.txt_230.txt.txt", "Magnet_fields.txt_230.txt")</f>
        <v/>
      </c>
      <c r="AI230" t="n">
        <v>6628</v>
      </c>
      <c r="AJ230" t="n">
        <v>27</v>
      </c>
      <c r="AK230" s="29">
        <f>HIPERLINK($A$1 &amp; "\Dados\Magnet_3D_results.txt_230.txt.txt", "Magnet_3D_results.txt_230.txt")</f>
        <v/>
      </c>
      <c r="AL230" s="29">
        <f>HIPERLINK($A$1 &amp; "\Dados\Magnet_fields_2D.txt_230.txt.txt", "Magnet_fields_2D.txt_230.txt")</f>
        <v/>
      </c>
    </row>
    <row customHeight="1" ht="15.75" r="231" s="34">
      <c r="E231" s="15" t="n">
        <v>120</v>
      </c>
      <c r="F231" s="15" t="n">
        <v>170</v>
      </c>
      <c r="G231" s="15" t="n">
        <v>350</v>
      </c>
      <c r="H231" s="15" t="n">
        <v>20</v>
      </c>
      <c r="I231" s="15" t="n">
        <v>144</v>
      </c>
      <c r="J231" s="13" t="n">
        <v>25</v>
      </c>
      <c r="K231" t="n">
        <v>35</v>
      </c>
      <c r="L231" s="13" t="n">
        <v>2.000000000000001</v>
      </c>
      <c r="M231" s="12" t="n"/>
      <c r="N231" s="8" t="n">
        <v>1.098221406409985</v>
      </c>
      <c r="O231" s="15" t="n">
        <v>0.8626332204932319</v>
      </c>
      <c r="P231" s="15" t="n">
        <v>1.023630212254996</v>
      </c>
      <c r="Q231" s="15" t="n">
        <v>0.0009907182521502193</v>
      </c>
      <c r="R231" s="15" t="n">
        <v>0.02318777003957057</v>
      </c>
      <c r="S231" s="15" t="n">
        <v>0.001815607208092655</v>
      </c>
      <c r="T231" s="29">
        <f>HIPERLINK($A$1 &amp; "\Dados\Imagem_perfil_231.png", "Imagem_perfil_231")</f>
        <v/>
      </c>
      <c r="U231" s="29">
        <f>HIPERLINK($A$1 &amp; "\Dados\Results_airgap231.txt", "Results_airgap231")</f>
        <v/>
      </c>
      <c r="V231" s="19" t="n"/>
      <c r="W231" s="15" t="n">
        <v>1.397737608695652</v>
      </c>
      <c r="X231" s="15" t="n">
        <v>0.7010347327400259</v>
      </c>
      <c r="Y231" s="15" t="n">
        <v>0.6064528973691241</v>
      </c>
      <c r="Z231" s="15" t="n">
        <v>0.0903019583318708</v>
      </c>
      <c r="AA231" s="15" t="n">
        <v>2.623906363510038</v>
      </c>
      <c r="AB231" s="15" t="n">
        <v>2.836343684234512</v>
      </c>
      <c r="AC231" s="15" t="n">
        <v>11.70817549167196</v>
      </c>
      <c r="AD231" s="15" t="n">
        <v>32.3416584848013</v>
      </c>
      <c r="AE231" s="15" t="n">
        <v>70.09732084091161</v>
      </c>
      <c r="AF231" s="15" t="n">
        <v>108.2710309933577</v>
      </c>
      <c r="AH231" s="29">
        <f>HIPERLINK($A$1 &amp; "\Dados\Magnet_fields.txt_231.txt.txt", "Magnet_fields.txt_231.txt")</f>
        <v/>
      </c>
      <c r="AI231" t="n">
        <v>9693</v>
      </c>
      <c r="AJ231" t="n">
        <v>30</v>
      </c>
      <c r="AK231" s="29">
        <f>HIPERLINK($A$1 &amp; "\Dados\Magnet_3D_results.txt_231.txt.txt", "Magnet_3D_results.txt_231.txt")</f>
        <v/>
      </c>
      <c r="AL231" s="29">
        <f>HIPERLINK($A$1 &amp; "\Dados\Magnet_fields_2D.txt_231.txt.txt", "Magnet_fields_2D.txt_231.txt")</f>
        <v/>
      </c>
    </row>
    <row customHeight="1" ht="15.75" r="232" s="34">
      <c r="E232" s="15" t="n">
        <v>120</v>
      </c>
      <c r="F232" s="15" t="n">
        <v>170</v>
      </c>
      <c r="G232" s="15" t="n">
        <v>350</v>
      </c>
      <c r="H232" s="15" t="n">
        <v>20</v>
      </c>
      <c r="I232" s="15" t="n">
        <v>144</v>
      </c>
      <c r="J232" s="13" t="n">
        <v>25</v>
      </c>
      <c r="K232" t="n">
        <v>35</v>
      </c>
      <c r="L232" s="13" t="n">
        <v>2.100000000000001</v>
      </c>
      <c r="M232" s="12" t="n"/>
      <c r="N232" s="8" t="n">
        <v>1.098221406409985</v>
      </c>
      <c r="O232" s="15" t="n">
        <v>0.8626332204932322</v>
      </c>
      <c r="P232" s="15" t="n">
        <v>1.023630212254996</v>
      </c>
      <c r="Q232" s="15" t="n">
        <v>0.0009907182521502193</v>
      </c>
      <c r="R232" s="15" t="n">
        <v>0.02318777003957057</v>
      </c>
      <c r="S232" s="15" t="n">
        <v>0.001815607208092655</v>
      </c>
      <c r="T232" s="29">
        <f>HIPERLINK($A$1 &amp; "\Dados\Imagem_perfil_232.png", "Imagem_perfil_232")</f>
        <v/>
      </c>
      <c r="U232" s="29">
        <f>HIPERLINK($A$1 &amp; "\Dados\Results_airgap232.txt", "Results_airgap232")</f>
        <v/>
      </c>
      <c r="V232" s="19" t="n"/>
      <c r="W232" s="15" t="n">
        <v>1.398923695652174</v>
      </c>
      <c r="X232" s="15" t="n">
        <v>0.7010347327400259</v>
      </c>
      <c r="Y232" s="15" t="n">
        <v>0.6989568911183669</v>
      </c>
      <c r="Z232" s="15" t="n">
        <v>0.0903019583318708</v>
      </c>
      <c r="AA232" s="15" t="n">
        <v>2.623906363510038</v>
      </c>
      <c r="AB232" s="15" t="n">
        <v>2.969041844778107</v>
      </c>
      <c r="AC232" s="15" t="n">
        <v>11.97861964411874</v>
      </c>
      <c r="AD232" s="15" t="n">
        <v>32.58197919335468</v>
      </c>
      <c r="AE232" s="15" t="n">
        <v>70.21793774631362</v>
      </c>
      <c r="AF232" s="15" t="n">
        <v>108.2986709742476</v>
      </c>
      <c r="AH232" s="29">
        <f>HIPERLINK($A$1 &amp; "\Dados\Magnet_fields.txt_232.txt.txt", "Magnet_fields.txt_232.txt")</f>
        <v/>
      </c>
      <c r="AI232" t="n">
        <v>9693</v>
      </c>
      <c r="AJ232" t="n">
        <v>29</v>
      </c>
      <c r="AK232" s="29">
        <f>HIPERLINK($A$1 &amp; "\Dados\Magnet_3D_results.txt_232.txt.txt", "Magnet_3D_results.txt_232.txt")</f>
        <v/>
      </c>
      <c r="AL232" s="29">
        <f>HIPERLINK($A$1 &amp; "\Dados\Magnet_fields_2D.txt_232.txt.txt", "Magnet_fields_2D.txt_232.txt")</f>
        <v/>
      </c>
    </row>
    <row customHeight="1" ht="15.75" r="233" s="34">
      <c r="E233" s="15" t="n">
        <v>120</v>
      </c>
      <c r="F233" s="15" t="n">
        <v>170</v>
      </c>
      <c r="G233" s="15" t="n">
        <v>350</v>
      </c>
      <c r="H233" s="15" t="n">
        <v>22</v>
      </c>
      <c r="I233" s="15" t="n">
        <v>144</v>
      </c>
      <c r="J233" s="13" t="n">
        <v>25</v>
      </c>
      <c r="K233" t="n">
        <v>35</v>
      </c>
      <c r="L233" s="13" t="n">
        <v>1.3</v>
      </c>
      <c r="M233" s="12" t="n"/>
      <c r="N233" s="8" t="n">
        <v>1.046791404423637</v>
      </c>
      <c r="O233" s="15" t="n">
        <v>0.823714634047787</v>
      </c>
      <c r="P233" s="15" t="n">
        <v>0.975096760216642</v>
      </c>
      <c r="Q233" s="15" t="n">
        <v>0.0009931272690654354</v>
      </c>
      <c r="R233" s="15" t="n">
        <v>0.0210109493619716</v>
      </c>
      <c r="S233" s="15" t="n">
        <v>0.001803082874332012</v>
      </c>
      <c r="T233" s="29">
        <f>HIPERLINK($A$1 &amp; "\Dados\Imagem_perfil_233.png", "Imagem_perfil_233")</f>
        <v/>
      </c>
      <c r="U233" s="29">
        <f>HIPERLINK($A$1 &amp; "\Dados\Results_airgap233.txt", "Results_airgap233")</f>
        <v/>
      </c>
      <c r="V233" s="19" t="n"/>
      <c r="W233" s="43" t="n">
        <v>1.332648913043478</v>
      </c>
      <c r="X233" s="15" t="n">
        <v>0.6709320071704724</v>
      </c>
      <c r="Y233" s="15" t="n">
        <v>0.03212041557836801</v>
      </c>
      <c r="Z233" s="15" t="n">
        <v>0.3931687752710364</v>
      </c>
      <c r="AA233" s="15" t="n">
        <v>4.350883802478446</v>
      </c>
      <c r="AB233" s="15" t="n">
        <v>0</v>
      </c>
      <c r="AC233" s="15" t="n">
        <v>0</v>
      </c>
      <c r="AD233" s="15" t="n">
        <v>20.63032428958098</v>
      </c>
      <c r="AE233" s="15" t="n">
        <v>64.73762737061929</v>
      </c>
      <c r="AF233" s="15" t="n">
        <v>107.0630530171989</v>
      </c>
      <c r="AH233" s="29">
        <f>HIPERLINK($A$1 &amp; "\Dados\Magnet_fields.txt_233.txt.txt", "Magnet_fields.txt_233.txt")</f>
        <v/>
      </c>
      <c r="AI233" t="n">
        <v>9732</v>
      </c>
      <c r="AJ233" t="n">
        <v>30</v>
      </c>
      <c r="AK233" s="29">
        <f>HIPERLINK($A$1 &amp; "\Dados\Magnet_3D_results.txt_233.txt.txt", "Magnet_3D_results.txt_233.txt")</f>
        <v/>
      </c>
      <c r="AL233" s="29">
        <f>HIPERLINK($A$1 &amp; "\Dados\Magnet_fields_2D.txt_233.txt.txt", "Magnet_fields_2D.txt_233.txt")</f>
        <v/>
      </c>
    </row>
    <row customHeight="1" ht="15.75" r="234" s="34">
      <c r="E234" s="15" t="n">
        <v>120</v>
      </c>
      <c r="F234" s="15" t="n">
        <v>170</v>
      </c>
      <c r="G234" s="15" t="n">
        <v>350</v>
      </c>
      <c r="H234" s="15" t="n">
        <v>22</v>
      </c>
      <c r="I234" s="15" t="n">
        <v>144</v>
      </c>
      <c r="J234" s="13" t="n">
        <v>25</v>
      </c>
      <c r="K234" t="n">
        <v>35</v>
      </c>
      <c r="L234" s="13" t="n">
        <v>1.4</v>
      </c>
      <c r="M234" s="12" t="n"/>
      <c r="N234" s="8" t="n">
        <v>1.072162586872871</v>
      </c>
      <c r="O234" s="15" t="n">
        <v>0.8442276674138925</v>
      </c>
      <c r="P234" s="15" t="n">
        <v>0.9992099949651582</v>
      </c>
      <c r="Q234" s="15" t="n">
        <v>0.0009966218034370615</v>
      </c>
      <c r="R234" s="15" t="n">
        <v>0.02233109339103229</v>
      </c>
      <c r="S234" s="15" t="n">
        <v>0.001839364499618253</v>
      </c>
      <c r="T234" s="29">
        <f>HIPERLINK($A$1 &amp; "\Dados\Imagem_perfil_234.png", "Imagem_perfil_234")</f>
        <v/>
      </c>
      <c r="U234" s="29">
        <f>HIPERLINK($A$1 &amp; "\Dados\Results_airgap234.txt", "Results_airgap234")</f>
        <v/>
      </c>
      <c r="V234" s="19" t="n"/>
      <c r="W234" s="43" t="n">
        <v>1.363145869565217</v>
      </c>
      <c r="X234" s="15" t="n">
        <v>0.6885052486936993</v>
      </c>
      <c r="Y234" s="15" t="n">
        <v>0.08129707301000981</v>
      </c>
      <c r="Z234" s="15" t="n">
        <v>0.2102936459364058</v>
      </c>
      <c r="AA234" s="15" t="n">
        <v>3.298597279973993</v>
      </c>
      <c r="AB234" s="15" t="n">
        <v>0</v>
      </c>
      <c r="AC234" s="15" t="n">
        <v>4.373068905399213</v>
      </c>
      <c r="AD234" s="15" t="n">
        <v>26.44482273819024</v>
      </c>
      <c r="AE234" s="15" t="n">
        <v>67.29846609653909</v>
      </c>
      <c r="AF234" s="15" t="n">
        <v>107.733428584191</v>
      </c>
      <c r="AH234" s="29">
        <f>HIPERLINK($A$1 &amp; "\Dados\Magnet_fields.txt_234.txt.txt", "Magnet_fields.txt_234.txt")</f>
        <v/>
      </c>
      <c r="AI234" t="n">
        <v>9732</v>
      </c>
      <c r="AJ234" t="n">
        <v>29</v>
      </c>
      <c r="AK234" s="29">
        <f>HIPERLINK($A$1 &amp; "\Dados\Magnet_3D_results.txt_234.txt.txt", "Magnet_3D_results.txt_234.txt")</f>
        <v/>
      </c>
      <c r="AL234" s="29">
        <f>HIPERLINK($A$1 &amp; "\Dados\Magnet_fields_2D.txt_234.txt.txt", "Magnet_fields_2D.txt_234.txt")</f>
        <v/>
      </c>
    </row>
    <row customHeight="1" ht="15.75" r="235" s="34">
      <c r="E235" s="15" t="n">
        <v>120</v>
      </c>
      <c r="F235" s="15" t="n">
        <v>170</v>
      </c>
      <c r="G235" s="15" t="n">
        <v>350</v>
      </c>
      <c r="H235" s="15" t="n">
        <v>22</v>
      </c>
      <c r="I235" s="15" t="n">
        <v>144</v>
      </c>
      <c r="J235" s="13" t="n">
        <v>25</v>
      </c>
      <c r="K235" t="n">
        <v>35</v>
      </c>
      <c r="L235" s="13" t="n">
        <v>1.5</v>
      </c>
      <c r="M235" s="12" t="n"/>
      <c r="N235" s="8" t="n">
        <v>1.082815240116301</v>
      </c>
      <c r="O235" s="15" t="n">
        <v>0.8528789331640351</v>
      </c>
      <c r="P235" s="15" t="n">
        <v>1.009455429368342</v>
      </c>
      <c r="Q235" s="15" t="n">
        <v>0.0009979270409441366</v>
      </c>
      <c r="R235" s="15" t="n">
        <v>0.0228485319458895</v>
      </c>
      <c r="S235" s="15" t="n">
        <v>0.001853259409433011</v>
      </c>
      <c r="T235" s="29">
        <f>HIPERLINK($A$1 &amp; "\Dados\Imagem_perfil_235.png", "Imagem_perfil_235")</f>
        <v/>
      </c>
      <c r="U235" s="29">
        <f>HIPERLINK($A$1 &amp; "\Dados\Results_airgap235.txt", "Results_airgap235")</f>
        <v/>
      </c>
      <c r="V235" s="19" t="n"/>
      <c r="W235" s="43" t="n">
        <v>1.378538043478261</v>
      </c>
      <c r="X235" s="15" t="n">
        <v>0.6959061751111186</v>
      </c>
      <c r="Y235" s="15" t="n">
        <v>0.15085515044925</v>
      </c>
      <c r="Z235" s="15" t="n">
        <v>0.1523109224560626</v>
      </c>
      <c r="AA235" s="15" t="n">
        <v>2.976848861721738</v>
      </c>
      <c r="AB235" s="15" t="n">
        <v>0.8838713354022611</v>
      </c>
      <c r="AC235" s="15" t="n">
        <v>7.504122317243792</v>
      </c>
      <c r="AD235" s="15" t="n">
        <v>28.90302335955376</v>
      </c>
      <c r="AE235" s="15" t="n">
        <v>68.45592845751194</v>
      </c>
      <c r="AF235" s="15" t="n">
        <v>107.9620150446653</v>
      </c>
      <c r="AH235" s="29">
        <f>HIPERLINK($A$1 &amp; "\Dados\Magnet_fields.txt_235.txt.txt", "Magnet_fields.txt_235.txt")</f>
        <v/>
      </c>
      <c r="AI235" t="n">
        <v>9732</v>
      </c>
      <c r="AJ235" t="n">
        <v>30</v>
      </c>
      <c r="AK235" s="29">
        <f>HIPERLINK($A$1 &amp; "\Dados\Magnet_3D_results.txt_235.txt.txt", "Magnet_3D_results.txt_235.txt")</f>
        <v/>
      </c>
      <c r="AL235" s="29">
        <f>HIPERLINK($A$1 &amp; "\Dados\Magnet_fields_2D.txt_235.txt.txt", "Magnet_fields_2D.txt_235.txt")</f>
        <v/>
      </c>
    </row>
    <row customHeight="1" ht="15.75" r="236" s="34">
      <c r="E236" s="15" t="n">
        <v>120</v>
      </c>
      <c r="F236" s="15" t="n">
        <v>170</v>
      </c>
      <c r="G236" s="15" t="n">
        <v>350</v>
      </c>
      <c r="H236" s="15" t="n">
        <v>22</v>
      </c>
      <c r="I236" s="15" t="n">
        <v>144</v>
      </c>
      <c r="J236" s="13" t="n">
        <v>25</v>
      </c>
      <c r="K236" t="n">
        <v>35</v>
      </c>
      <c r="L236" s="13" t="n">
        <v>1.6</v>
      </c>
      <c r="M236" s="12" t="n"/>
      <c r="N236" s="8" t="n">
        <v>1.092052480772545</v>
      </c>
      <c r="O236" s="15" t="n">
        <v>0.8603934115842238</v>
      </c>
      <c r="P236" s="15" t="n">
        <v>1.018255675586403</v>
      </c>
      <c r="Q236" s="15" t="n">
        <v>0.0009969400784043693</v>
      </c>
      <c r="R236" s="15" t="n">
        <v>0.02340931690387519</v>
      </c>
      <c r="S236" s="15" t="n">
        <v>0.001865861867712852</v>
      </c>
      <c r="T236" s="29">
        <f>HIPERLINK($A$1 &amp; "\Dados\Imagem_perfil_236.png", "Imagem_perfil_236")</f>
        <v/>
      </c>
      <c r="U236" s="29">
        <f>HIPERLINK($A$1 &amp; "\Dados\Results_airgap236.txt", "Results_airgap236")</f>
        <v/>
      </c>
      <c r="V236" s="19" t="n"/>
      <c r="W236" s="15" t="n">
        <v>1.386398913043478</v>
      </c>
      <c r="X236" s="15" t="n">
        <v>0.7023740989638481</v>
      </c>
      <c r="Y236" s="15" t="n">
        <v>0.2334699235455746</v>
      </c>
      <c r="Z236" s="15" t="n">
        <v>0.1323558293102303</v>
      </c>
      <c r="AA236" s="15" t="n">
        <v>2.489054208217544</v>
      </c>
      <c r="AB236" s="15" t="n">
        <v>1.649196581474599</v>
      </c>
      <c r="AC236" s="15" t="n">
        <v>9.161038501509577</v>
      </c>
      <c r="AD236" s="15" t="n">
        <v>30.22596258355281</v>
      </c>
      <c r="AE236" s="15" t="n">
        <v>69.09393399121068</v>
      </c>
      <c r="AF236" s="15" t="n">
        <v>108.0458209632726</v>
      </c>
      <c r="AH236" s="29">
        <f>HIPERLINK($A$1 &amp; "\Dados\Magnet_fields.txt_236.txt.txt", "Magnet_fields.txt_236.txt")</f>
        <v/>
      </c>
      <c r="AI236" t="n">
        <v>9732</v>
      </c>
      <c r="AJ236" t="n">
        <v>29</v>
      </c>
      <c r="AK236" s="29">
        <f>HIPERLINK($A$1 &amp; "\Dados\Magnet_3D_results.txt_236.txt.txt", "Magnet_3D_results.txt_236.txt")</f>
        <v/>
      </c>
      <c r="AL236" s="29">
        <f>HIPERLINK($A$1 &amp; "\Dados\Magnet_fields_2D.txt_236.txt.txt", "Magnet_fields_2D.txt_236.txt")</f>
        <v/>
      </c>
    </row>
    <row customHeight="1" ht="15.75" r="237" s="34">
      <c r="E237" s="15" t="n">
        <v>120</v>
      </c>
      <c r="F237" s="15" t="n">
        <v>170</v>
      </c>
      <c r="G237" s="15" t="n">
        <v>350</v>
      </c>
      <c r="H237" s="15" t="n">
        <v>22</v>
      </c>
      <c r="I237" s="15" t="n">
        <v>144</v>
      </c>
      <c r="J237" s="13" t="n">
        <v>25</v>
      </c>
      <c r="K237" t="n">
        <v>35</v>
      </c>
      <c r="L237" s="13" t="n">
        <v>1.7</v>
      </c>
      <c r="M237" s="12" t="n"/>
      <c r="N237" s="8" t="n">
        <v>1.096107379203293</v>
      </c>
      <c r="O237" s="15" t="n">
        <v>0.8636747509043063</v>
      </c>
      <c r="P237" s="15" t="n">
        <v>1.022125979859818</v>
      </c>
      <c r="Q237" s="15" t="n">
        <v>0.0009975962288142324</v>
      </c>
      <c r="R237" s="15" t="n">
        <v>0.02358242600357492</v>
      </c>
      <c r="S237" s="15" t="n">
        <v>0.001870584238089091</v>
      </c>
      <c r="T237" s="29">
        <f>HIPERLINK($A$1 &amp; "\Dados\Imagem_perfil_237.png", "Imagem_perfil_237")</f>
        <v/>
      </c>
      <c r="U237" s="29">
        <f>HIPERLINK($A$1 &amp; "\Dados\Results_airgap237.txt", "Results_airgap237")</f>
        <v/>
      </c>
      <c r="V237" s="19" t="n"/>
      <c r="W237" s="15" t="n">
        <v>1.391056521739131</v>
      </c>
      <c r="X237" s="15" t="n">
        <v>0.7051707610450467</v>
      </c>
      <c r="Y237" s="15" t="n">
        <v>0.3235812211551745</v>
      </c>
      <c r="Z237" s="15" t="n">
        <v>0.1036863239111205</v>
      </c>
      <c r="AA237" s="15" t="n">
        <v>2.38457323132283</v>
      </c>
      <c r="AB237" s="15" t="n">
        <v>2.130466866840133</v>
      </c>
      <c r="AC237" s="15" t="n">
        <v>10.165572761001</v>
      </c>
      <c r="AD237" s="15" t="n">
        <v>31.07153745499291</v>
      </c>
      <c r="AE237" s="15" t="n">
        <v>69.49441338665956</v>
      </c>
      <c r="AF237" s="15" t="n">
        <v>108.1341574292554</v>
      </c>
      <c r="AH237" s="29">
        <f>HIPERLINK($A$1 &amp; "\Dados\Magnet_fields.txt_237.txt.txt", "Magnet_fields.txt_237.txt")</f>
        <v/>
      </c>
      <c r="AI237" t="n">
        <v>9732</v>
      </c>
      <c r="AJ237" t="n">
        <v>30</v>
      </c>
      <c r="AK237" s="29">
        <f>HIPERLINK($A$1 &amp; "\Dados\Magnet_3D_results.txt_237.txt.txt", "Magnet_3D_results.txt_237.txt")</f>
        <v/>
      </c>
      <c r="AL237" s="29">
        <f>HIPERLINK($A$1 &amp; "\Dados\Magnet_fields_2D.txt_237.txt.txt", "Magnet_fields_2D.txt_237.txt")</f>
        <v/>
      </c>
    </row>
    <row customHeight="1" ht="15.75" r="238" s="34">
      <c r="E238" s="15" t="n">
        <v>120</v>
      </c>
      <c r="F238" s="15" t="n">
        <v>170</v>
      </c>
      <c r="G238" s="15" t="n">
        <v>350</v>
      </c>
      <c r="H238" s="15" t="n">
        <v>22</v>
      </c>
      <c r="I238" s="15" t="n">
        <v>144</v>
      </c>
      <c r="J238" s="13" t="n">
        <v>25</v>
      </c>
      <c r="K238" t="n">
        <v>35</v>
      </c>
      <c r="L238" s="13" t="n">
        <v>1.8</v>
      </c>
      <c r="M238" s="12" t="n"/>
      <c r="N238" s="8" t="n">
        <v>1.096107379203293</v>
      </c>
      <c r="O238" s="15" t="n">
        <v>0.8636747509043066</v>
      </c>
      <c r="P238" s="15" t="n">
        <v>1.022125979859818</v>
      </c>
      <c r="Q238" s="15" t="n">
        <v>0.0009975962288142327</v>
      </c>
      <c r="R238" s="15" t="n">
        <v>0.02358242600357491</v>
      </c>
      <c r="S238" s="15" t="n">
        <v>0.001870584238089091</v>
      </c>
      <c r="T238" s="29">
        <f>HIPERLINK($A$1 &amp; "\Dados\Imagem_perfil_238.png", "Imagem_perfil_238")</f>
        <v/>
      </c>
      <c r="U238" s="29">
        <f>HIPERLINK($A$1 &amp; "\Dados\Results_airgap238.txt", "Results_airgap238")</f>
        <v/>
      </c>
      <c r="V238" s="19" t="n"/>
      <c r="W238" s="15" t="n">
        <v>1.39424652173913</v>
      </c>
      <c r="X238" s="15" t="n">
        <v>0.7051707610450467</v>
      </c>
      <c r="Y238" s="15" t="n">
        <v>0.4173488582291217</v>
      </c>
      <c r="Z238" s="15" t="n">
        <v>0.1036863239111205</v>
      </c>
      <c r="AA238" s="15" t="n">
        <v>2.38457323132283</v>
      </c>
      <c r="AB238" s="15" t="n">
        <v>2.426892757511001</v>
      </c>
      <c r="AC238" s="15" t="n">
        <v>10.86932156797254</v>
      </c>
      <c r="AD238" s="15" t="n">
        <v>31.68592479954371</v>
      </c>
      <c r="AE238" s="15" t="n">
        <v>69.8034463018336</v>
      </c>
      <c r="AF238" s="15" t="n">
        <v>108.1765775635232</v>
      </c>
      <c r="AH238" s="29">
        <f>HIPERLINK($A$1 &amp; "\Dados\Magnet_fields.txt_238.txt.txt", "Magnet_fields.txt_238.txt")</f>
        <v/>
      </c>
      <c r="AI238" t="n">
        <v>9732</v>
      </c>
      <c r="AJ238" t="n">
        <v>29</v>
      </c>
      <c r="AK238" s="29">
        <f>HIPERLINK($A$1 &amp; "\Dados\Magnet_3D_results.txt_238.txt.txt", "Magnet_3D_results.txt_238.txt")</f>
        <v/>
      </c>
      <c r="AL238" s="29">
        <f>HIPERLINK($A$1 &amp; "\Dados\Magnet_fields_2D.txt_238.txt.txt", "Magnet_fields_2D.txt_238.txt")</f>
        <v/>
      </c>
    </row>
    <row customHeight="1" ht="15.75" r="239" s="34">
      <c r="E239" s="15" t="n">
        <v>120</v>
      </c>
      <c r="F239" s="15" t="n">
        <v>170</v>
      </c>
      <c r="G239" s="15" t="n">
        <v>350</v>
      </c>
      <c r="H239" s="15" t="n">
        <v>22</v>
      </c>
      <c r="I239" s="15" t="n">
        <v>144</v>
      </c>
      <c r="J239" s="13" t="n">
        <v>25</v>
      </c>
      <c r="K239" t="n">
        <v>35</v>
      </c>
      <c r="L239" s="13" t="n">
        <v>1.900000000000001</v>
      </c>
      <c r="M239" s="12" t="n"/>
      <c r="N239" s="8" t="n">
        <v>1.099323130964888</v>
      </c>
      <c r="O239" s="15" t="n">
        <v>0.8663076346165181</v>
      </c>
      <c r="P239" s="15" t="n">
        <v>1.025249514263322</v>
      </c>
      <c r="Q239" s="15" t="n">
        <v>0.0009979870271728261</v>
      </c>
      <c r="R239" s="15" t="n">
        <v>0.0237410063093673</v>
      </c>
      <c r="S239" s="15" t="n">
        <v>0.001874683407489822</v>
      </c>
      <c r="T239" s="29">
        <f>HIPERLINK($A$1 &amp; "\Dados\Imagem_perfil_239.png", "Imagem_perfil_239")</f>
        <v/>
      </c>
      <c r="U239" s="29">
        <f>HIPERLINK($A$1 &amp; "\Dados\Results_airgap239.txt", "Results_airgap239")</f>
        <v/>
      </c>
      <c r="V239" s="19" t="n"/>
      <c r="W239" s="15" t="n">
        <v>1.396206304347826</v>
      </c>
      <c r="X239" s="15" t="n">
        <v>0.7074405987218948</v>
      </c>
      <c r="Y239" s="15" t="n">
        <v>0.5121973505292016</v>
      </c>
      <c r="Z239" s="15" t="n">
        <v>0.1036863239111205</v>
      </c>
      <c r="AA239" s="15" t="n">
        <v>2.204405247543756</v>
      </c>
      <c r="AB239" s="15" t="n">
        <v>2.676698742662639</v>
      </c>
      <c r="AC239" s="15" t="n">
        <v>11.34672402961329</v>
      </c>
      <c r="AD239" s="15" t="n">
        <v>32.04006110507048</v>
      </c>
      <c r="AE239" s="15" t="n">
        <v>69.94020169515802</v>
      </c>
      <c r="AF239" s="15" t="n">
        <v>108.2252512517886</v>
      </c>
      <c r="AH239" s="29">
        <f>HIPERLINK($A$1 &amp; "\Dados\Magnet_fields.txt_239.txt.txt", "Magnet_fields.txt_239.txt")</f>
        <v/>
      </c>
      <c r="AI239" t="n">
        <v>9732</v>
      </c>
      <c r="AJ239" t="n">
        <v>29</v>
      </c>
      <c r="AK239" s="29">
        <f>HIPERLINK($A$1 &amp; "\Dados\Magnet_3D_results.txt_239.txt.txt", "Magnet_3D_results.txt_239.txt")</f>
        <v/>
      </c>
      <c r="AL239" s="29">
        <f>HIPERLINK($A$1 &amp; "\Dados\Magnet_fields_2D.txt_239.txt.txt", "Magnet_fields_2D.txt_239.txt")</f>
        <v/>
      </c>
    </row>
    <row customHeight="1" ht="15.75" r="240" s="34">
      <c r="E240" s="15" t="n">
        <v>120</v>
      </c>
      <c r="F240" s="15" t="n">
        <v>170</v>
      </c>
      <c r="G240" s="15" t="n">
        <v>350</v>
      </c>
      <c r="H240" s="15" t="n">
        <v>22</v>
      </c>
      <c r="I240" s="15" t="n">
        <v>144</v>
      </c>
      <c r="J240" s="13" t="n">
        <v>25</v>
      </c>
      <c r="K240" t="n">
        <v>35</v>
      </c>
      <c r="L240" s="13" t="n">
        <v>2.000000000000001</v>
      </c>
      <c r="M240" s="12" t="n"/>
      <c r="N240" s="8" t="n">
        <v>1.10035028613071</v>
      </c>
      <c r="O240" s="15" t="n">
        <v>0.8671415689073929</v>
      </c>
      <c r="P240" s="15" t="n">
        <v>1.026180318524581</v>
      </c>
      <c r="Q240" s="15" t="n">
        <v>0.0009969571300470217</v>
      </c>
      <c r="R240" s="15" t="n">
        <v>0.02388466926061082</v>
      </c>
      <c r="S240" s="15" t="n">
        <v>0.001877161162656401</v>
      </c>
      <c r="T240" s="29">
        <f>HIPERLINK($A$1 &amp; "\Dados\Imagem_perfil_240.png", "Imagem_perfil_240")</f>
        <v/>
      </c>
      <c r="U240" s="29">
        <f>HIPERLINK($A$1 &amp; "\Dados\Results_airgap240.txt", "Results_airgap240")</f>
        <v/>
      </c>
      <c r="V240" s="19" t="n"/>
      <c r="W240" s="15" t="n">
        <v>1.397761739130435</v>
      </c>
      <c r="X240" s="15" t="n">
        <v>0.7081963369683925</v>
      </c>
      <c r="Y240" s="15" t="n">
        <v>0.6064267678500105</v>
      </c>
      <c r="Z240" s="15" t="n">
        <v>0.09706701425532099</v>
      </c>
      <c r="AA240" s="15" t="n">
        <v>2.061896268029275</v>
      </c>
      <c r="AB240" s="15" t="n">
        <v>2.849857454413202</v>
      </c>
      <c r="AC240" s="15" t="n">
        <v>11.70701354604315</v>
      </c>
      <c r="AD240" s="15" t="n">
        <v>32.34053500123704</v>
      </c>
      <c r="AE240" s="15" t="n">
        <v>70.09572973796706</v>
      </c>
      <c r="AF240" s="15" t="n">
        <v>108.2681633419386</v>
      </c>
      <c r="AH240" s="29">
        <f>HIPERLINK($A$1 &amp; "\Dados\Magnet_fields.txt_240.txt.txt", "Magnet_fields.txt_240.txt")</f>
        <v/>
      </c>
      <c r="AI240" t="n">
        <v>9732</v>
      </c>
      <c r="AJ240" t="n">
        <v>29</v>
      </c>
      <c r="AK240" s="29">
        <f>HIPERLINK($A$1 &amp; "\Dados\Magnet_3D_results.txt_240.txt.txt", "Magnet_3D_results.txt_240.txt")</f>
        <v/>
      </c>
      <c r="AL240" s="29">
        <f>HIPERLINK($A$1 &amp; "\Dados\Magnet_fields_2D.txt_240.txt.txt", "Magnet_fields_2D.txt_240.txt")</f>
        <v/>
      </c>
    </row>
    <row customHeight="1" ht="15.75" r="241" s="34">
      <c r="E241" s="15" t="n">
        <v>120</v>
      </c>
      <c r="F241" s="15" t="n">
        <v>170</v>
      </c>
      <c r="G241" s="15" t="n">
        <v>350</v>
      </c>
      <c r="H241" s="15" t="n">
        <v>22</v>
      </c>
      <c r="I241" s="15" t="n">
        <v>144</v>
      </c>
      <c r="J241" s="13" t="n">
        <v>25</v>
      </c>
      <c r="K241" t="n">
        <v>35</v>
      </c>
      <c r="L241" s="13" t="n">
        <v>2.100000000000001</v>
      </c>
      <c r="M241" s="12" t="n"/>
      <c r="N241" s="8" t="n">
        <v>1.10035028613071</v>
      </c>
      <c r="O241" s="15" t="n">
        <v>0.8671415689073928</v>
      </c>
      <c r="P241" s="15" t="n">
        <v>1.026180318524581</v>
      </c>
      <c r="Q241" s="15" t="n">
        <v>0.0009969571300470217</v>
      </c>
      <c r="R241" s="15" t="n">
        <v>0.02388466926061082</v>
      </c>
      <c r="S241" s="15" t="n">
        <v>0.001877161162656401</v>
      </c>
      <c r="T241" s="29">
        <f>HIPERLINK($A$1 &amp; "\Dados\Imagem_perfil_241.png", "Imagem_perfil_241")</f>
        <v/>
      </c>
      <c r="U241" s="29">
        <f>HIPERLINK($A$1 &amp; "\Dados\Results_airgap241.txt", "Results_airgap241")</f>
        <v/>
      </c>
      <c r="V241" s="19" t="n"/>
      <c r="W241" s="15" t="n">
        <v>1.39891652173913</v>
      </c>
      <c r="X241" s="15" t="n">
        <v>0.7081963369683923</v>
      </c>
      <c r="Y241" s="15" t="n">
        <v>0.6989301850767946</v>
      </c>
      <c r="Z241" s="15" t="n">
        <v>0.09706701425532099</v>
      </c>
      <c r="AA241" s="15" t="n">
        <v>2.061896268029275</v>
      </c>
      <c r="AB241" s="15" t="n">
        <v>2.944915889171828</v>
      </c>
      <c r="AC241" s="15" t="n">
        <v>11.97572627511452</v>
      </c>
      <c r="AD241" s="15" t="n">
        <v>32.58134587115441</v>
      </c>
      <c r="AE241" s="15" t="n">
        <v>70.21459715603328</v>
      </c>
      <c r="AF241" s="15" t="n">
        <v>108.2959818397488</v>
      </c>
      <c r="AH241" s="29">
        <f>HIPERLINK($A$1 &amp; "\Dados\Magnet_fields.txt_241.txt.txt", "Magnet_fields.txt_241.txt")</f>
        <v/>
      </c>
      <c r="AI241" t="n">
        <v>9732</v>
      </c>
      <c r="AJ241" t="n">
        <v>29</v>
      </c>
      <c r="AK241" s="29">
        <f>HIPERLINK($A$1 &amp; "\Dados\Magnet_3D_results.txt_241.txt.txt", "Magnet_3D_results.txt_241.txt")</f>
        <v/>
      </c>
      <c r="AL241" s="29">
        <f>HIPERLINK($A$1 &amp; "\Dados\Magnet_fields_2D.txt_241.txt.txt", "Magnet_fields_2D.txt_241.txt")</f>
        <v/>
      </c>
    </row>
    <row customHeight="1" ht="15.75" r="242" s="34">
      <c r="E242" s="15" t="n">
        <v>120</v>
      </c>
      <c r="F242" s="15" t="n">
        <v>170</v>
      </c>
      <c r="G242" s="15" t="n">
        <v>350</v>
      </c>
      <c r="H242" s="15" t="n">
        <v>24</v>
      </c>
      <c r="I242" s="15" t="n">
        <v>144</v>
      </c>
      <c r="J242" s="13" t="n">
        <v>25</v>
      </c>
      <c r="K242" t="n">
        <v>35</v>
      </c>
      <c r="L242" s="13" t="n">
        <v>1.3</v>
      </c>
      <c r="M242" s="12" t="n"/>
      <c r="N242" s="8" t="n">
        <v>1.047336204787362</v>
      </c>
      <c r="O242" s="15" t="n">
        <v>0.8260334738791631</v>
      </c>
      <c r="P242" s="15" t="n">
        <v>0.9760593337976963</v>
      </c>
      <c r="Q242" s="15" t="n">
        <v>0.0009529858159642312</v>
      </c>
      <c r="R242" s="15" t="n">
        <v>0.02147561044720721</v>
      </c>
      <c r="S242" s="15" t="n">
        <v>0.001711244190209479</v>
      </c>
      <c r="T242" s="29">
        <f>HIPERLINK($A$1 &amp; "\Dados\Imagem_perfil_242.png", "Imagem_perfil_242")</f>
        <v/>
      </c>
      <c r="U242" s="29">
        <f>HIPERLINK($A$1 &amp; "\Dados\Results_airgap242.txt", "Results_airgap242")</f>
        <v/>
      </c>
      <c r="V242" s="19" t="n"/>
      <c r="W242" s="43" t="n">
        <v>1.332119130434782</v>
      </c>
      <c r="X242" s="15" t="n">
        <v>0.6728224148937453</v>
      </c>
      <c r="Y242" s="15" t="n">
        <v>0.0321156750365741</v>
      </c>
      <c r="Z242" s="15" t="n">
        <v>0.3758553332263717</v>
      </c>
      <c r="AA242" s="15" t="n">
        <v>4.014094497202543</v>
      </c>
      <c r="AB242" s="15" t="n">
        <v>0</v>
      </c>
      <c r="AC242" s="15" t="n">
        <v>0</v>
      </c>
      <c r="AD242" s="15" t="n">
        <v>20.53317601330091</v>
      </c>
      <c r="AE242" s="15" t="n">
        <v>64.55974330162204</v>
      </c>
      <c r="AF242" s="15" t="n">
        <v>106.8333559085452</v>
      </c>
      <c r="AH242" s="29">
        <f>HIPERLINK($A$1 &amp; "\Dados\Magnet_fields.txt_242.txt.txt", "Magnet_fields.txt_242.txt")</f>
        <v/>
      </c>
      <c r="AI242" t="n">
        <v>9286</v>
      </c>
      <c r="AJ242" t="n">
        <v>30</v>
      </c>
      <c r="AK242" s="29">
        <f>HIPERLINK($A$1 &amp; "\Dados\Magnet_3D_results.txt_242.txt.txt", "Magnet_3D_results.txt_242.txt")</f>
        <v/>
      </c>
      <c r="AL242" s="29">
        <f>HIPERLINK($A$1 &amp; "\Dados\Magnet_fields_2D.txt_242.txt.txt", "Magnet_fields_2D.txt_242.txt")</f>
        <v/>
      </c>
    </row>
    <row customHeight="1" ht="15.75" r="243" s="34">
      <c r="E243" s="15" t="n">
        <v>120</v>
      </c>
      <c r="F243" s="15" t="n">
        <v>170</v>
      </c>
      <c r="G243" s="15" t="n">
        <v>350</v>
      </c>
      <c r="H243" s="15" t="n">
        <v>24</v>
      </c>
      <c r="I243" s="15" t="n">
        <v>144</v>
      </c>
      <c r="J243" s="13" t="n">
        <v>25</v>
      </c>
      <c r="K243" t="n">
        <v>35</v>
      </c>
      <c r="L243" s="13" t="n">
        <v>1.4</v>
      </c>
      <c r="M243" s="12" t="n"/>
      <c r="N243" s="8" t="n">
        <v>1.07312762876396</v>
      </c>
      <c r="O243" s="15" t="n">
        <v>0.8465885321133076</v>
      </c>
      <c r="P243" s="15" t="n">
        <v>0.9999081668158949</v>
      </c>
      <c r="Q243" s="15" t="n">
        <v>0.0009549016067382199</v>
      </c>
      <c r="R243" s="15" t="n">
        <v>0.02285621899155161</v>
      </c>
      <c r="S243" s="15" t="n">
        <v>0.001742659412761006</v>
      </c>
      <c r="T243" s="29">
        <f>HIPERLINK($A$1 &amp; "\Dados\Imagem_perfil_243.png", "Imagem_perfil_243")</f>
        <v/>
      </c>
      <c r="U243" s="29">
        <f>HIPERLINK($A$1 &amp; "\Dados\Results_airgap243.txt", "Results_airgap243")</f>
        <v/>
      </c>
      <c r="V243" s="19" t="n"/>
      <c r="W243" s="43" t="n">
        <v>1.363141304347826</v>
      </c>
      <c r="X243" s="15" t="n">
        <v>0.6902944149067811</v>
      </c>
      <c r="Y243" s="15" t="n">
        <v>0.08128556368822318</v>
      </c>
      <c r="Z243" s="15" t="n">
        <v>0.2106094295163155</v>
      </c>
      <c r="AA243" s="15" t="n">
        <v>2.836648277393573</v>
      </c>
      <c r="AB243" s="15" t="n">
        <v>0</v>
      </c>
      <c r="AC243" s="15" t="n">
        <v>4.372488753724418</v>
      </c>
      <c r="AD243" s="15" t="n">
        <v>26.43804828964469</v>
      </c>
      <c r="AE243" s="15" t="n">
        <v>67.29016618377788</v>
      </c>
      <c r="AF243" s="15" t="n">
        <v>107.7362853013706</v>
      </c>
      <c r="AH243" s="29">
        <f>HIPERLINK($A$1 &amp; "\Dados\Magnet_fields.txt_243.txt.txt", "Magnet_fields.txt_243.txt")</f>
        <v/>
      </c>
      <c r="AI243" t="n">
        <v>9286</v>
      </c>
      <c r="AJ243" t="n">
        <v>29</v>
      </c>
      <c r="AK243" s="29">
        <f>HIPERLINK($A$1 &amp; "\Dados\Magnet_3D_results.txt_243.txt.txt", "Magnet_3D_results.txt_243.txt")</f>
        <v/>
      </c>
      <c r="AL243" s="29">
        <f>HIPERLINK($A$1 &amp; "\Dados\Magnet_fields_2D.txt_243.txt.txt", "Magnet_fields_2D.txt_243.txt")</f>
        <v/>
      </c>
    </row>
    <row customHeight="1" ht="15.75" r="244" s="34">
      <c r="E244" s="15" t="n">
        <v>120</v>
      </c>
      <c r="F244" s="15" t="n">
        <v>170</v>
      </c>
      <c r="G244" s="15" t="n">
        <v>350</v>
      </c>
      <c r="H244" s="15" t="n">
        <v>24</v>
      </c>
      <c r="I244" s="15" t="n">
        <v>144</v>
      </c>
      <c r="J244" s="13" t="n">
        <v>25</v>
      </c>
      <c r="K244" t="n">
        <v>35</v>
      </c>
      <c r="L244" s="13" t="n">
        <v>1.5</v>
      </c>
      <c r="M244" s="12" t="n"/>
      <c r="N244" s="8" t="n">
        <v>1.08377365315245</v>
      </c>
      <c r="O244" s="15" t="n">
        <v>0.8551309053372234</v>
      </c>
      <c r="P244" s="15" t="n">
        <v>1.010025337724394</v>
      </c>
      <c r="Q244" s="15" t="n">
        <v>0.0009561316341554534</v>
      </c>
      <c r="R244" s="15" t="n">
        <v>0.02336064533660184</v>
      </c>
      <c r="S244" s="15" t="n">
        <v>0.001754445051925985</v>
      </c>
      <c r="T244" s="29">
        <f>HIPERLINK($A$1 &amp; "\Dados\Imagem_perfil_244.png", "Imagem_perfil_244")</f>
        <v/>
      </c>
      <c r="U244" s="29">
        <f>HIPERLINK($A$1 &amp; "\Dados\Results_airgap244.txt", "Results_airgap244")</f>
        <v/>
      </c>
      <c r="V244" s="19" t="n"/>
      <c r="W244" s="43" t="n">
        <v>1.378545</v>
      </c>
      <c r="X244" s="15" t="n">
        <v>0.6975436220025394</v>
      </c>
      <c r="Y244" s="15" t="n">
        <v>0.1508399357968532</v>
      </c>
      <c r="Z244" s="15" t="n">
        <v>0.184004662908923</v>
      </c>
      <c r="AA244" s="15" t="n">
        <v>2.344221796200078</v>
      </c>
      <c r="AB244" s="15" t="n">
        <v>0.8823546621360092</v>
      </c>
      <c r="AC244" s="15" t="n">
        <v>7.495726604662439</v>
      </c>
      <c r="AD244" s="15" t="n">
        <v>28.90810984086434</v>
      </c>
      <c r="AE244" s="15" t="n">
        <v>68.45263377702014</v>
      </c>
      <c r="AF244" s="15" t="n">
        <v>107.958449337461</v>
      </c>
      <c r="AH244" s="29">
        <f>HIPERLINK($A$1 &amp; "\Dados\Magnet_fields.txt_244.txt.txt", "Magnet_fields.txt_244.txt")</f>
        <v/>
      </c>
      <c r="AI244" t="n">
        <v>9286</v>
      </c>
      <c r="AJ244" t="n">
        <v>30</v>
      </c>
      <c r="AK244" s="29">
        <f>HIPERLINK($A$1 &amp; "\Dados\Magnet_3D_results.txt_244.txt.txt", "Magnet_3D_results.txt_244.txt")</f>
        <v/>
      </c>
      <c r="AL244" s="29">
        <f>HIPERLINK($A$1 &amp; "\Dados\Magnet_fields_2D.txt_244.txt.txt", "Magnet_fields_2D.txt_244.txt")</f>
        <v/>
      </c>
    </row>
    <row customHeight="1" ht="15.75" r="245" s="34">
      <c r="E245" s="15" t="n">
        <v>120</v>
      </c>
      <c r="F245" s="15" t="n">
        <v>170</v>
      </c>
      <c r="G245" s="15" t="n">
        <v>350</v>
      </c>
      <c r="H245" s="15" t="n">
        <v>24</v>
      </c>
      <c r="I245" s="15" t="n">
        <v>144</v>
      </c>
      <c r="J245" s="13" t="n">
        <v>25</v>
      </c>
      <c r="K245" t="n">
        <v>35</v>
      </c>
      <c r="L245" s="13" t="n">
        <v>1.6</v>
      </c>
      <c r="M245" s="12" t="n"/>
      <c r="N245" s="8" t="n">
        <v>1.092987975183957</v>
      </c>
      <c r="O245" s="15" t="n">
        <v>0.8625266308263833</v>
      </c>
      <c r="P245" s="15" t="n">
        <v>1.018679760926247</v>
      </c>
      <c r="Q245" s="15" t="n">
        <v>0.0009550617895966792</v>
      </c>
      <c r="R245" s="15" t="n">
        <v>0.02390343927720447</v>
      </c>
      <c r="S245" s="15" t="n">
        <v>0.00176454619340899</v>
      </c>
      <c r="T245" s="29">
        <f>HIPERLINK($A$1 &amp; "\Dados\Imagem_perfil_245.png", "Imagem_perfil_245")</f>
        <v/>
      </c>
      <c r="U245" s="29">
        <f>HIPERLINK($A$1 &amp; "\Dados\Results_airgap245.txt", "Results_airgap245")</f>
        <v/>
      </c>
      <c r="V245" s="19" t="n"/>
      <c r="W245" s="15" t="n">
        <v>1.386418913043478</v>
      </c>
      <c r="X245" s="15" t="n">
        <v>0.7038589363224473</v>
      </c>
      <c r="Y245" s="15" t="n">
        <v>0.2334519943638286</v>
      </c>
      <c r="Z245" s="15" t="n">
        <v>0.1446167340763397</v>
      </c>
      <c r="AA245" s="15" t="n">
        <v>1.928114127985239</v>
      </c>
      <c r="AB245" s="15" t="n">
        <v>1.65893349567468</v>
      </c>
      <c r="AC245" s="15" t="n">
        <v>9.161436180508053</v>
      </c>
      <c r="AD245" s="15" t="n">
        <v>30.22157939384674</v>
      </c>
      <c r="AE245" s="15" t="n">
        <v>69.09308292839947</v>
      </c>
      <c r="AF245" s="15" t="n">
        <v>108.0523264803201</v>
      </c>
      <c r="AH245" s="29">
        <f>HIPERLINK($A$1 &amp; "\Dados\Magnet_fields.txt_245.txt.txt", "Magnet_fields.txt_245.txt")</f>
        <v/>
      </c>
      <c r="AI245" t="n">
        <v>9286</v>
      </c>
      <c r="AJ245" t="n">
        <v>29</v>
      </c>
      <c r="AK245" s="29">
        <f>HIPERLINK($A$1 &amp; "\Dados\Magnet_3D_results.txt_245.txt.txt", "Magnet_3D_results.txt_245.txt")</f>
        <v/>
      </c>
      <c r="AL245" s="29">
        <f>HIPERLINK($A$1 &amp; "\Dados\Magnet_fields_2D.txt_245.txt.txt", "Magnet_fields_2D.txt_245.txt")</f>
        <v/>
      </c>
    </row>
    <row customHeight="1" ht="15.75" r="246" s="34">
      <c r="E246" s="15" t="n">
        <v>120</v>
      </c>
      <c r="F246" s="15" t="n">
        <v>170</v>
      </c>
      <c r="G246" s="15" t="n">
        <v>350</v>
      </c>
      <c r="H246" s="15" t="n">
        <v>24</v>
      </c>
      <c r="I246" s="15" t="n">
        <v>144</v>
      </c>
      <c r="J246" s="13" t="n">
        <v>25</v>
      </c>
      <c r="K246" t="n">
        <v>35</v>
      </c>
      <c r="L246" s="13" t="n">
        <v>1.7</v>
      </c>
      <c r="M246" s="12" t="n"/>
      <c r="N246" s="8" t="n">
        <v>1.097055647606964</v>
      </c>
      <c r="O246" s="15" t="n">
        <v>0.8657673575202548</v>
      </c>
      <c r="P246" s="15" t="n">
        <v>1.022497093207664</v>
      </c>
      <c r="Q246" s="15" t="n">
        <v>0.0009556668335081751</v>
      </c>
      <c r="R246" s="15" t="n">
        <v>0.0240711556234731</v>
      </c>
      <c r="S246" s="15" t="n">
        <v>0.001768544296505151</v>
      </c>
      <c r="T246" s="29">
        <f>HIPERLINK($A$1 &amp; "\Dados\Imagem_perfil_246.png", "Imagem_perfil_246")</f>
        <v/>
      </c>
      <c r="U246" s="29">
        <f>HIPERLINK($A$1 &amp; "\Dados\Results_airgap246.txt", "Results_airgap246")</f>
        <v/>
      </c>
      <c r="V246" s="19" t="n"/>
      <c r="W246" s="15" t="n">
        <v>1.39096347826087</v>
      </c>
      <c r="X246" s="15" t="n">
        <v>0.7065983913629766</v>
      </c>
      <c r="Y246" s="15" t="n">
        <v>0.323561388913857</v>
      </c>
      <c r="Z246" s="15" t="n">
        <v>0.1363699244317748</v>
      </c>
      <c r="AA246" s="15" t="n">
        <v>1.78023679461934</v>
      </c>
      <c r="AB246" s="15" t="n">
        <v>2.161614120012711</v>
      </c>
      <c r="AC246" s="15" t="n">
        <v>10.14800655418911</v>
      </c>
      <c r="AD246" s="15" t="n">
        <v>31.03121795818107</v>
      </c>
      <c r="AE246" s="15" t="n">
        <v>69.47508653139879</v>
      </c>
      <c r="AF246" s="15" t="n">
        <v>108.1398876721453</v>
      </c>
      <c r="AH246" s="29">
        <f>HIPERLINK($A$1 &amp; "\Dados\Magnet_fields.txt_246.txt.txt", "Magnet_fields.txt_246.txt")</f>
        <v/>
      </c>
      <c r="AI246" t="n">
        <v>9286</v>
      </c>
      <c r="AJ246" t="n">
        <v>29</v>
      </c>
      <c r="AK246" s="29">
        <f>HIPERLINK($A$1 &amp; "\Dados\Magnet_3D_results.txt_246.txt.txt", "Magnet_3D_results.txt_246.txt")</f>
        <v/>
      </c>
      <c r="AL246" s="29">
        <f>HIPERLINK($A$1 &amp; "\Dados\Magnet_fields_2D.txt_246.txt.txt", "Magnet_fields_2D.txt_246.txt")</f>
        <v/>
      </c>
    </row>
    <row customHeight="1" ht="15.75" r="247" s="34">
      <c r="E247" s="15" t="n">
        <v>120</v>
      </c>
      <c r="F247" s="15" t="n">
        <v>170</v>
      </c>
      <c r="G247" s="15" t="n">
        <v>350</v>
      </c>
      <c r="H247" s="15" t="n">
        <v>24</v>
      </c>
      <c r="I247" s="15" t="n">
        <v>144</v>
      </c>
      <c r="J247" s="13" t="n">
        <v>25</v>
      </c>
      <c r="K247" t="n">
        <v>35</v>
      </c>
      <c r="L247" s="13" t="n">
        <v>1.8</v>
      </c>
      <c r="M247" s="12" t="n"/>
      <c r="N247" s="8" t="n">
        <v>1.097055647606964</v>
      </c>
      <c r="O247" s="15" t="n">
        <v>0.8657673575202546</v>
      </c>
      <c r="P247" s="15" t="n">
        <v>1.022497093207664</v>
      </c>
      <c r="Q247" s="15" t="n">
        <v>0.0009556668335081751</v>
      </c>
      <c r="R247" s="15" t="n">
        <v>0.0240711556234731</v>
      </c>
      <c r="S247" s="15" t="n">
        <v>0.001768544296505151</v>
      </c>
      <c r="T247" s="29">
        <f>HIPERLINK($A$1 &amp; "\Dados\Imagem_perfil_247.png", "Imagem_perfil_247")</f>
        <v/>
      </c>
      <c r="U247" s="29">
        <f>HIPERLINK($A$1 &amp; "\Dados\Results_airgap247.txt", "Results_airgap247")</f>
        <v/>
      </c>
      <c r="V247" s="19" t="n"/>
      <c r="W247" s="15" t="n">
        <v>1.394082391304348</v>
      </c>
      <c r="X247" s="15" t="n">
        <v>0.7065983913629766</v>
      </c>
      <c r="Y247" s="15" t="n">
        <v>0.4173271300725824</v>
      </c>
      <c r="Z247" s="15" t="n">
        <v>0.1363699244317748</v>
      </c>
      <c r="AA247" s="15" t="n">
        <v>1.78023679461934</v>
      </c>
      <c r="AB247" s="15" t="n">
        <v>2.4412185833832</v>
      </c>
      <c r="AC247" s="15" t="n">
        <v>10.85439016063627</v>
      </c>
      <c r="AD247" s="15" t="n">
        <v>31.62811296897406</v>
      </c>
      <c r="AE247" s="15" t="n">
        <v>69.75119588867217</v>
      </c>
      <c r="AF247" s="15" t="n">
        <v>108.1868797096609</v>
      </c>
      <c r="AH247" s="29">
        <f>HIPERLINK($A$1 &amp; "\Dados\Magnet_fields.txt_247.txt.txt", "Magnet_fields.txt_247.txt")</f>
        <v/>
      </c>
      <c r="AI247" t="n">
        <v>9286</v>
      </c>
      <c r="AJ247" t="n">
        <v>30</v>
      </c>
      <c r="AK247" s="29">
        <f>HIPERLINK($A$1 &amp; "\Dados\Magnet_3D_results.txt_247.txt.txt", "Magnet_3D_results.txt_247.txt")</f>
        <v/>
      </c>
      <c r="AL247" s="29">
        <f>HIPERLINK($A$1 &amp; "\Dados\Magnet_fields_2D.txt_247.txt.txt", "Magnet_fields_2D.txt_247.txt")</f>
        <v/>
      </c>
    </row>
    <row customHeight="1" ht="15.75" r="248" s="34">
      <c r="E248" s="15" t="n">
        <v>120</v>
      </c>
      <c r="F248" s="15" t="n">
        <v>170</v>
      </c>
      <c r="G248" s="15" t="n">
        <v>350</v>
      </c>
      <c r="H248" s="15" t="n">
        <v>24</v>
      </c>
      <c r="I248" s="15" t="n">
        <v>144</v>
      </c>
      <c r="J248" s="13" t="n">
        <v>25</v>
      </c>
      <c r="K248" t="n">
        <v>35</v>
      </c>
      <c r="L248" s="13" t="n">
        <v>1.900000000000001</v>
      </c>
      <c r="M248" s="12" t="n"/>
      <c r="N248" s="8" t="n">
        <v>1.100289626954707</v>
      </c>
      <c r="O248" s="15" t="n">
        <v>0.8683643708726856</v>
      </c>
      <c r="P248" s="15" t="n">
        <v>1.025544920208872</v>
      </c>
      <c r="Q248" s="15" t="n">
        <v>0.0009560129644007128</v>
      </c>
      <c r="R248" s="15" t="n">
        <v>0.02422431160815576</v>
      </c>
      <c r="S248" s="15" t="n">
        <v>0.001771960105844894</v>
      </c>
      <c r="T248" s="29">
        <f>HIPERLINK($A$1 &amp; "\Dados\Imagem_perfil_248.png", "Imagem_perfil_248")</f>
        <v/>
      </c>
      <c r="U248" s="29">
        <f>HIPERLINK($A$1 &amp; "\Dados\Results_airgap248.txt", "Results_airgap248")</f>
        <v/>
      </c>
      <c r="V248" s="19" t="n"/>
      <c r="W248" s="15" t="n">
        <v>1.39623</v>
      </c>
      <c r="X248" s="15" t="n">
        <v>0.7088105634172537</v>
      </c>
      <c r="Y248" s="15" t="n">
        <v>0.5121750064573745</v>
      </c>
      <c r="Z248" s="15" t="n">
        <v>0.1275583480000637</v>
      </c>
      <c r="AA248" s="15" t="n">
        <v>1.666158724279525</v>
      </c>
      <c r="AB248" s="15" t="n">
        <v>2.681588163787124</v>
      </c>
      <c r="AC248" s="15" t="n">
        <v>11.34831978295365</v>
      </c>
      <c r="AD248" s="15" t="n">
        <v>32.04101642546563</v>
      </c>
      <c r="AE248" s="15" t="n">
        <v>69.93717425913709</v>
      </c>
      <c r="AF248" s="15" t="n">
        <v>108.2243276936646</v>
      </c>
      <c r="AH248" s="29">
        <f>HIPERLINK($A$1 &amp; "\Dados\Magnet_fields.txt_248.txt.txt", "Magnet_fields.txt_248.txt")</f>
        <v/>
      </c>
      <c r="AI248" t="n">
        <v>9286</v>
      </c>
      <c r="AJ248" t="n">
        <v>29</v>
      </c>
      <c r="AK248" s="29">
        <f>HIPERLINK($A$1 &amp; "\Dados\Magnet_3D_results.txt_248.txt.txt", "Magnet_3D_results.txt_248.txt")</f>
        <v/>
      </c>
      <c r="AL248" s="29">
        <f>HIPERLINK($A$1 &amp; "\Dados\Magnet_fields_2D.txt_248.txt.txt", "Magnet_fields_2D.txt_248.txt")</f>
        <v/>
      </c>
    </row>
    <row customHeight="1" ht="15.75" r="249" s="34">
      <c r="E249" s="15" t="n">
        <v>120</v>
      </c>
      <c r="F249" s="15" t="n">
        <v>170</v>
      </c>
      <c r="G249" s="15" t="n">
        <v>350</v>
      </c>
      <c r="H249" s="15" t="n">
        <v>24</v>
      </c>
      <c r="I249" s="15" t="n">
        <v>144</v>
      </c>
      <c r="J249" s="13" t="n">
        <v>25</v>
      </c>
      <c r="K249" t="n">
        <v>35</v>
      </c>
      <c r="L249" s="13" t="n">
        <v>2.000000000000001</v>
      </c>
      <c r="M249" s="12" t="n"/>
      <c r="N249" s="8" t="n">
        <v>1.101272200130672</v>
      </c>
      <c r="O249" s="15" t="n">
        <v>0.8691586805155067</v>
      </c>
      <c r="P249" s="15" t="n">
        <v>1.026457225639184</v>
      </c>
      <c r="Q249" s="15" t="n">
        <v>0.0009549872137476792</v>
      </c>
      <c r="R249" s="15" t="n">
        <v>0.02436228790460452</v>
      </c>
      <c r="S249" s="15" t="n">
        <v>0.001773750679734137</v>
      </c>
      <c r="T249" s="29">
        <f>HIPERLINK($A$1 &amp; "\Dados\Imagem_perfil_249.png", "Imagem_perfil_249")</f>
        <v/>
      </c>
      <c r="U249" s="29">
        <f>HIPERLINK($A$1 &amp; "\Dados\Results_airgap249.txt", "Results_airgap249")</f>
        <v/>
      </c>
      <c r="V249" s="19" t="n"/>
      <c r="W249" s="15" t="n">
        <v>1.397745217391305</v>
      </c>
      <c r="X249" s="15" t="n">
        <v>0.7095350803078044</v>
      </c>
      <c r="Y249" s="15" t="n">
        <v>0.6064036567374438</v>
      </c>
      <c r="Z249" s="15" t="n">
        <v>0.1004434694558939</v>
      </c>
      <c r="AA249" s="15" t="n">
        <v>1.599194508697197</v>
      </c>
      <c r="AB249" s="15" t="n">
        <v>2.829774497202972</v>
      </c>
      <c r="AC249" s="15" t="n">
        <v>11.69412554401353</v>
      </c>
      <c r="AD249" s="15" t="n">
        <v>32.34651750312485</v>
      </c>
      <c r="AE249" s="15" t="n">
        <v>70.08696717917903</v>
      </c>
      <c r="AF249" s="15" t="n">
        <v>108.2677785512064</v>
      </c>
      <c r="AH249" s="29">
        <f>HIPERLINK($A$1 &amp; "\Dados\Magnet_fields.txt_249.txt.txt", "Magnet_fields.txt_249.txt")</f>
        <v/>
      </c>
      <c r="AI249" t="n">
        <v>9286</v>
      </c>
      <c r="AJ249" t="n">
        <v>30</v>
      </c>
      <c r="AK249" s="29">
        <f>HIPERLINK($A$1 &amp; "\Dados\Magnet_3D_results.txt_249.txt.txt", "Magnet_3D_results.txt_249.txt")</f>
        <v/>
      </c>
      <c r="AL249" s="29">
        <f>HIPERLINK($A$1 &amp; "\Dados\Magnet_fields_2D.txt_249.txt.txt", "Magnet_fields_2D.txt_249.txt")</f>
        <v/>
      </c>
    </row>
    <row customHeight="1" ht="15.75" r="250" s="34">
      <c r="E250" s="15" t="n">
        <v>120</v>
      </c>
      <c r="F250" s="15" t="n">
        <v>170</v>
      </c>
      <c r="G250" s="15" t="n">
        <v>350</v>
      </c>
      <c r="H250" s="15" t="n">
        <v>24</v>
      </c>
      <c r="I250" s="15" t="n">
        <v>144</v>
      </c>
      <c r="J250" s="13" t="n">
        <v>25</v>
      </c>
      <c r="K250" t="n">
        <v>35</v>
      </c>
      <c r="L250" s="13" t="n">
        <v>2.100000000000001</v>
      </c>
      <c r="M250" s="12" t="n"/>
      <c r="N250" s="8" t="n">
        <v>1.101272200130672</v>
      </c>
      <c r="O250" s="15" t="n">
        <v>0.8691586805155065</v>
      </c>
      <c r="P250" s="15" t="n">
        <v>1.026457225639184</v>
      </c>
      <c r="Q250" s="15" t="n">
        <v>0.0009549872137476789</v>
      </c>
      <c r="R250" s="15" t="n">
        <v>0.02436228790460452</v>
      </c>
      <c r="S250" s="15" t="n">
        <v>0.001773750679734137</v>
      </c>
      <c r="T250" s="29">
        <f>HIPERLINK($A$1 &amp; "\Dados\Imagem_perfil_250.png", "Imagem_perfil_250")</f>
        <v/>
      </c>
      <c r="U250" s="29">
        <f>HIPERLINK($A$1 &amp; "\Dados\Results_airgap250.txt", "Results_airgap250")</f>
        <v/>
      </c>
      <c r="V250" s="19" t="n"/>
      <c r="W250" s="15" t="n">
        <v>1.398950652173913</v>
      </c>
      <c r="X250" s="15" t="n">
        <v>0.7095350803078045</v>
      </c>
      <c r="Y250" s="15" t="n">
        <v>0.6989066363210336</v>
      </c>
      <c r="Z250" s="15" t="n">
        <v>0.1004434694558939</v>
      </c>
      <c r="AA250" s="15" t="n">
        <v>1.599194508697197</v>
      </c>
      <c r="AB250" s="15" t="n">
        <v>2.93247999524036</v>
      </c>
      <c r="AC250" s="15" t="n">
        <v>11.97891605887329</v>
      </c>
      <c r="AD250" s="15" t="n">
        <v>32.59077923341663</v>
      </c>
      <c r="AE250" s="15" t="n">
        <v>70.21415835304471</v>
      </c>
      <c r="AF250" s="15" t="n">
        <v>108.3017165964481</v>
      </c>
      <c r="AH250" s="29">
        <f>HIPERLINK($A$1 &amp; "\Dados\Magnet_fields.txt_250.txt.txt", "Magnet_fields.txt_250.txt")</f>
        <v/>
      </c>
      <c r="AI250" t="n">
        <v>9286</v>
      </c>
      <c r="AJ250" t="n">
        <v>30</v>
      </c>
      <c r="AK250" s="29">
        <f>HIPERLINK($A$1 &amp; "\Dados\Magnet_3D_results.txt_250.txt.txt", "Magnet_3D_results.txt_250.txt")</f>
        <v/>
      </c>
      <c r="AL250" s="29">
        <f>HIPERLINK($A$1 &amp; "\Dados\Magnet_fields_2D.txt_250.txt.txt", "Magnet_fields_2D.txt_250.txt")</f>
        <v/>
      </c>
    </row>
    <row customHeight="1" ht="15.75" r="251" s="34">
      <c r="E251" s="15" t="n">
        <v>120</v>
      </c>
      <c r="F251" s="15" t="n">
        <v>170</v>
      </c>
      <c r="G251" s="15" t="n">
        <v>350</v>
      </c>
      <c r="H251" s="15" t="n">
        <v>26</v>
      </c>
      <c r="I251" s="15" t="n">
        <v>144</v>
      </c>
      <c r="J251" s="13" t="n">
        <v>25</v>
      </c>
      <c r="K251" t="n">
        <v>35</v>
      </c>
      <c r="L251" s="13" t="n">
        <v>1.3</v>
      </c>
      <c r="M251" s="12" t="n"/>
      <c r="N251" s="8" t="n">
        <v>1.049969898045025</v>
      </c>
      <c r="O251" s="15" t="n">
        <v>0.8292267666427091</v>
      </c>
      <c r="P251" s="15" t="n">
        <v>0.9787657683444033</v>
      </c>
      <c r="Q251" s="15" t="n">
        <v>0.0009599697358169581</v>
      </c>
      <c r="R251" s="15" t="n">
        <v>0.02212947716976673</v>
      </c>
      <c r="S251" s="15" t="n">
        <v>0.001745994266623869</v>
      </c>
      <c r="T251" s="29">
        <f>HIPERLINK($A$1 &amp; "\Dados\Imagem_perfil_251.png", "Imagem_perfil_251")</f>
        <v/>
      </c>
      <c r="U251" s="29">
        <f>HIPERLINK($A$1 &amp; "\Dados\Results_airgap251.txt", "Results_airgap251")</f>
        <v/>
      </c>
      <c r="V251" s="19" t="n"/>
      <c r="W251" s="43" t="n">
        <v>1.332159347826087</v>
      </c>
      <c r="X251" s="15" t="n">
        <v>0.6792668716895459</v>
      </c>
      <c r="Y251" s="15" t="n">
        <v>0.03211002956614273</v>
      </c>
      <c r="Z251" s="15" t="n">
        <v>0.4129963404326745</v>
      </c>
      <c r="AA251" s="15" t="n">
        <v>3.371495326084478</v>
      </c>
      <c r="AB251" s="15" t="n">
        <v>0</v>
      </c>
      <c r="AC251" s="15" t="n">
        <v>0</v>
      </c>
      <c r="AD251" s="15" t="n">
        <v>20.55456376648259</v>
      </c>
      <c r="AE251" s="15" t="n">
        <v>64.52771704509847</v>
      </c>
      <c r="AF251" s="15" t="n">
        <v>106.8293157800296</v>
      </c>
      <c r="AH251" s="29">
        <f>HIPERLINK($A$1 &amp; "\Dados\Magnet_fields.txt_251.txt.txt", "Magnet_fields.txt_251.txt")</f>
        <v/>
      </c>
      <c r="AI251" t="n">
        <v>9133</v>
      </c>
      <c r="AJ251" t="n">
        <v>29</v>
      </c>
      <c r="AK251" s="29">
        <f>HIPERLINK($A$1 &amp; "\Dados\Magnet_3D_results.txt_251.txt.txt", "Magnet_3D_results.txt_251.txt")</f>
        <v/>
      </c>
      <c r="AL251" s="29">
        <f>HIPERLINK($A$1 &amp; "\Dados\Magnet_fields_2D.txt_251.txt.txt", "Magnet_fields_2D.txt_251.txt")</f>
        <v/>
      </c>
    </row>
    <row customHeight="1" ht="15.75" r="252" s="34">
      <c r="E252" s="15" t="n">
        <v>120</v>
      </c>
      <c r="F252" s="15" t="n">
        <v>170</v>
      </c>
      <c r="G252" s="15" t="n">
        <v>350</v>
      </c>
      <c r="H252" s="15" t="n">
        <v>26</v>
      </c>
      <c r="I252" s="15" t="n">
        <v>144</v>
      </c>
      <c r="J252" s="13" t="n">
        <v>25</v>
      </c>
      <c r="K252" t="n">
        <v>35</v>
      </c>
      <c r="L252" s="13" t="n">
        <v>1.4</v>
      </c>
      <c r="M252" s="12" t="n"/>
      <c r="N252" s="8" t="n">
        <v>1.075570487512246</v>
      </c>
      <c r="O252" s="15" t="n">
        <v>0.8496573732029639</v>
      </c>
      <c r="P252" s="15" t="n">
        <v>1.002430443785136</v>
      </c>
      <c r="Q252" s="15" t="n">
        <v>0.00096143076873839</v>
      </c>
      <c r="R252" s="15" t="n">
        <v>0.0234701416625085</v>
      </c>
      <c r="S252" s="15" t="n">
        <v>0.001776791658785562</v>
      </c>
      <c r="T252" s="29">
        <f>HIPERLINK($A$1 &amp; "\Dados\Imagem_perfil_252.png", "Imagem_perfil_252")</f>
        <v/>
      </c>
      <c r="U252" s="29">
        <f>HIPERLINK($A$1 &amp; "\Dados\Results_airgap252.txt", "Results_airgap252")</f>
        <v/>
      </c>
      <c r="V252" s="19" t="n"/>
      <c r="W252" s="43" t="n">
        <v>1.36315652173913</v>
      </c>
      <c r="X252" s="15" t="n">
        <v>0.6967207593542467</v>
      </c>
      <c r="Y252" s="15" t="n">
        <v>0.08127555856269024</v>
      </c>
      <c r="Z252" s="15" t="n">
        <v>0.207591267223717</v>
      </c>
      <c r="AA252" s="15" t="n">
        <v>2.237453184935323</v>
      </c>
      <c r="AB252" s="15" t="n">
        <v>0</v>
      </c>
      <c r="AC252" s="15" t="n">
        <v>4.370185431851418</v>
      </c>
      <c r="AD252" s="15" t="n">
        <v>26.43776672143506</v>
      </c>
      <c r="AE252" s="15" t="n">
        <v>67.2931464826332</v>
      </c>
      <c r="AF252" s="15" t="n">
        <v>107.7381509431825</v>
      </c>
      <c r="AH252" s="29">
        <f>HIPERLINK($A$1 &amp; "\Dados\Magnet_fields.txt_252.txt.txt", "Magnet_fields.txt_252.txt")</f>
        <v/>
      </c>
      <c r="AI252" t="n">
        <v>9133</v>
      </c>
      <c r="AJ252" t="n">
        <v>29</v>
      </c>
      <c r="AK252" s="29">
        <f>HIPERLINK($A$1 &amp; "\Dados\Magnet_3D_results.txt_252.txt.txt", "Magnet_3D_results.txt_252.txt")</f>
        <v/>
      </c>
      <c r="AL252" s="29">
        <f>HIPERLINK($A$1 &amp; "\Dados\Magnet_fields_2D.txt_252.txt.txt", "Magnet_fields_2D.txt_252.txt")</f>
        <v/>
      </c>
    </row>
    <row customHeight="1" ht="15.75" r="253" s="34">
      <c r="E253" s="15" t="n">
        <v>120</v>
      </c>
      <c r="F253" s="15" t="n">
        <v>170</v>
      </c>
      <c r="G253" s="15" t="n">
        <v>350</v>
      </c>
      <c r="H253" s="15" t="n">
        <v>26</v>
      </c>
      <c r="I253" s="15" t="n">
        <v>144</v>
      </c>
      <c r="J253" s="13" t="n">
        <v>25</v>
      </c>
      <c r="K253" t="n">
        <v>35</v>
      </c>
      <c r="L253" s="13" t="n">
        <v>1.5</v>
      </c>
      <c r="M253" s="12" t="n"/>
      <c r="N253" s="8" t="n">
        <v>1.086136377026099</v>
      </c>
      <c r="O253" s="15" t="n">
        <v>0.8581468030983066</v>
      </c>
      <c r="P253" s="15" t="n">
        <v>1.012470208437878</v>
      </c>
      <c r="Q253" s="15" t="n">
        <v>0.0009625203528281698</v>
      </c>
      <c r="R253" s="15" t="n">
        <v>0.023957116351379</v>
      </c>
      <c r="S253" s="15" t="n">
        <v>0.001788289220688234</v>
      </c>
      <c r="T253" s="29">
        <f>HIPERLINK($A$1 &amp; "\Dados\Imagem_perfil_253.png", "Imagem_perfil_253")</f>
        <v/>
      </c>
      <c r="U253" s="29">
        <f>HIPERLINK($A$1 &amp; "\Dados\Results_airgap253.txt", "Results_airgap253")</f>
        <v/>
      </c>
      <c r="V253" s="19" t="n"/>
      <c r="W253" s="43" t="n">
        <v>1.378557173913043</v>
      </c>
      <c r="X253" s="15" t="n">
        <v>0.7039686390080077</v>
      </c>
      <c r="Y253" s="15" t="n">
        <v>0.1508267532780991</v>
      </c>
      <c r="Z253" s="15" t="n">
        <v>0.1860694017006403</v>
      </c>
      <c r="AA253" s="15" t="n">
        <v>1.791846555112948</v>
      </c>
      <c r="AB253" s="15" t="n">
        <v>0.8777766079632027</v>
      </c>
      <c r="AC253" s="15" t="n">
        <v>7.501098850692339</v>
      </c>
      <c r="AD253" s="15" t="n">
        <v>28.90114083712621</v>
      </c>
      <c r="AE253" s="15" t="n">
        <v>68.45617012628153</v>
      </c>
      <c r="AF253" s="15" t="n">
        <v>107.9504801468867</v>
      </c>
      <c r="AH253" s="29">
        <f>HIPERLINK($A$1 &amp; "\Dados\Magnet_fields.txt_253.txt.txt", "Magnet_fields.txt_253.txt")</f>
        <v/>
      </c>
      <c r="AI253" t="n">
        <v>9133</v>
      </c>
      <c r="AJ253" t="n">
        <v>29</v>
      </c>
      <c r="AK253" s="29">
        <f>HIPERLINK($A$1 &amp; "\Dados\Magnet_3D_results.txt_253.txt.txt", "Magnet_3D_results.txt_253.txt")</f>
        <v/>
      </c>
      <c r="AL253" s="29">
        <f>HIPERLINK($A$1 &amp; "\Dados\Magnet_fields_2D.txt_253.txt.txt", "Magnet_fields_2D.txt_253.txt")</f>
        <v/>
      </c>
    </row>
    <row customHeight="1" ht="15.75" r="254" s="34">
      <c r="E254" s="15" t="n">
        <v>120</v>
      </c>
      <c r="F254" s="15" t="n">
        <v>170</v>
      </c>
      <c r="G254" s="15" t="n">
        <v>350</v>
      </c>
      <c r="H254" s="15" t="n">
        <v>26</v>
      </c>
      <c r="I254" s="15" t="n">
        <v>144</v>
      </c>
      <c r="J254" s="13" t="n">
        <v>25</v>
      </c>
      <c r="K254" t="n">
        <v>35</v>
      </c>
      <c r="L254" s="13" t="n">
        <v>1.6</v>
      </c>
      <c r="M254" s="12" t="n"/>
      <c r="N254" s="8" t="n">
        <v>1.095246014882645</v>
      </c>
      <c r="O254" s="15" t="n">
        <v>0.8654687993600547</v>
      </c>
      <c r="P254" s="15" t="n">
        <v>1.021027694112967</v>
      </c>
      <c r="Q254" s="15" t="n">
        <v>0.0009612117717809444</v>
      </c>
      <c r="R254" s="15" t="n">
        <v>0.02447637280985695</v>
      </c>
      <c r="S254" s="15" t="n">
        <v>0.001797943514807374</v>
      </c>
      <c r="T254" s="29">
        <f>HIPERLINK($A$1 &amp; "\Dados\Imagem_perfil_254.png", "Imagem_perfil_254")</f>
        <v/>
      </c>
      <c r="U254" s="29">
        <f>HIPERLINK($A$1 &amp; "\Dados\Results_airgap254.txt", "Results_airgap254")</f>
        <v/>
      </c>
      <c r="V254" s="19" t="n"/>
      <c r="W254" s="15" t="n">
        <v>1.386428695652174</v>
      </c>
      <c r="X254" s="15" t="n">
        <v>0.7102511339536874</v>
      </c>
      <c r="Y254" s="15" t="n">
        <v>0.2334365315132695</v>
      </c>
      <c r="Z254" s="15" t="n">
        <v>0.1496328347879823</v>
      </c>
      <c r="AA254" s="15" t="n">
        <v>1.244452980524613</v>
      </c>
      <c r="AB254" s="15" t="n">
        <v>1.662882619695484</v>
      </c>
      <c r="AC254" s="15" t="n">
        <v>9.164573894775893</v>
      </c>
      <c r="AD254" s="15" t="n">
        <v>30.21657764935245</v>
      </c>
      <c r="AE254" s="15" t="n">
        <v>69.08735398052978</v>
      </c>
      <c r="AF254" s="15" t="n">
        <v>108.0495475069965</v>
      </c>
      <c r="AH254" s="29">
        <f>HIPERLINK($A$1 &amp; "\Dados\Magnet_fields.txt_254.txt.txt", "Magnet_fields.txt_254.txt")</f>
        <v/>
      </c>
      <c r="AI254" t="n">
        <v>9133</v>
      </c>
      <c r="AJ254" t="n">
        <v>30</v>
      </c>
      <c r="AK254" s="29">
        <f>HIPERLINK($A$1 &amp; "\Dados\Magnet_3D_results.txt_254.txt.txt", "Magnet_3D_results.txt_254.txt")</f>
        <v/>
      </c>
      <c r="AL254" s="29">
        <f>HIPERLINK($A$1 &amp; "\Dados\Magnet_fields_2D.txt_254.txt.txt", "Magnet_fields_2D.txt_254.txt")</f>
        <v/>
      </c>
    </row>
    <row customHeight="1" ht="15.75" r="255" s="34">
      <c r="E255" s="15" t="n">
        <v>120</v>
      </c>
      <c r="F255" s="15" t="n">
        <v>170</v>
      </c>
      <c r="G255" s="15" t="n">
        <v>350</v>
      </c>
      <c r="H255" s="15" t="n">
        <v>26</v>
      </c>
      <c r="I255" s="15" t="n">
        <v>144</v>
      </c>
      <c r="J255" s="13" t="n">
        <v>25</v>
      </c>
      <c r="K255" t="n">
        <v>35</v>
      </c>
      <c r="L255" s="13" t="n">
        <v>1.7</v>
      </c>
      <c r="M255" s="12" t="n"/>
      <c r="N255" s="8" t="n">
        <v>1.099274893530635</v>
      </c>
      <c r="O255" s="15" t="n">
        <v>0.8686861005702408</v>
      </c>
      <c r="P255" s="15" t="n">
        <v>1.024812467682398</v>
      </c>
      <c r="Q255" s="15" t="n">
        <v>0.00096177415745771</v>
      </c>
      <c r="R255" s="15" t="n">
        <v>0.02463689579771325</v>
      </c>
      <c r="S255" s="15" t="n">
        <v>0.001801812750129076</v>
      </c>
      <c r="T255" s="29">
        <f>HIPERLINK($A$1 &amp; "\Dados\Imagem_perfil_255.png", "Imagem_perfil_255")</f>
        <v/>
      </c>
      <c r="U255" s="29">
        <f>HIPERLINK($A$1 &amp; "\Dados\Results_airgap255.txt", "Results_airgap255")</f>
        <v/>
      </c>
      <c r="V255" s="19" t="n"/>
      <c r="W255" s="15" t="n">
        <v>1.391118695652174</v>
      </c>
      <c r="X255" s="15" t="n">
        <v>0.7129816134073748</v>
      </c>
      <c r="Y255" s="15" t="n">
        <v>0.3235441567584066</v>
      </c>
      <c r="Z255" s="15" t="n">
        <v>0.1137974712293831</v>
      </c>
      <c r="AA255" s="15" t="n">
        <v>1.049889433709694</v>
      </c>
      <c r="AB255" s="15" t="n">
        <v>2.140865363366752</v>
      </c>
      <c r="AC255" s="15" t="n">
        <v>10.18265546192123</v>
      </c>
      <c r="AD255" s="15" t="n">
        <v>31.06451551869539</v>
      </c>
      <c r="AE255" s="15" t="n">
        <v>69.49323284394487</v>
      </c>
      <c r="AF255" s="15" t="n">
        <v>108.1304720257296</v>
      </c>
      <c r="AH255" s="29">
        <f>HIPERLINK($A$1 &amp; "\Dados\Magnet_fields.txt_255.txt.txt", "Magnet_fields.txt_255.txt")</f>
        <v/>
      </c>
      <c r="AI255" t="n">
        <v>9133</v>
      </c>
      <c r="AJ255" t="n">
        <v>29</v>
      </c>
      <c r="AK255" s="29">
        <f>HIPERLINK($A$1 &amp; "\Dados\Magnet_3D_results.txt_255.txt.txt", "Magnet_3D_results.txt_255.txt")</f>
        <v/>
      </c>
      <c r="AL255" s="29">
        <f>HIPERLINK($A$1 &amp; "\Dados\Magnet_fields_2D.txt_255.txt.txt", "Magnet_fields_2D.txt_255.txt")</f>
        <v/>
      </c>
    </row>
    <row customHeight="1" ht="15.75" r="256" s="34">
      <c r="E256" s="15" t="n">
        <v>120</v>
      </c>
      <c r="F256" s="15" t="n">
        <v>170</v>
      </c>
      <c r="G256" s="15" t="n">
        <v>350</v>
      </c>
      <c r="H256" s="15" t="n">
        <v>26</v>
      </c>
      <c r="I256" s="15" t="n">
        <v>144</v>
      </c>
      <c r="J256" s="13" t="n">
        <v>25</v>
      </c>
      <c r="K256" t="n">
        <v>35</v>
      </c>
      <c r="L256" s="13" t="n">
        <v>1.8</v>
      </c>
      <c r="M256" s="12" t="n"/>
      <c r="N256" s="8" t="n">
        <v>1.099274893530635</v>
      </c>
      <c r="O256" s="15" t="n">
        <v>0.8686861005702408</v>
      </c>
      <c r="P256" s="15" t="n">
        <v>1.024812467682398</v>
      </c>
      <c r="Q256" s="15" t="n">
        <v>0.00096177415745771</v>
      </c>
      <c r="R256" s="15" t="n">
        <v>0.02463689579771325</v>
      </c>
      <c r="S256" s="15" t="n">
        <v>0.001801812750129076</v>
      </c>
      <c r="T256" s="29">
        <f>HIPERLINK($A$1 &amp; "\Dados\Imagem_perfil_256.png", "Imagem_perfil_256")</f>
        <v/>
      </c>
      <c r="U256" s="29">
        <f>HIPERLINK($A$1 &amp; "\Dados\Results_airgap256.txt", "Results_airgap256")</f>
        <v/>
      </c>
      <c r="V256" s="19" t="n"/>
      <c r="W256" s="15" t="n">
        <v>1.394087608695652</v>
      </c>
      <c r="X256" s="15" t="n">
        <v>0.7129816134073748</v>
      </c>
      <c r="Y256" s="15" t="n">
        <v>0.4173086951241382</v>
      </c>
      <c r="Z256" s="15" t="n">
        <v>0.1137974712293831</v>
      </c>
      <c r="AA256" s="15" t="n">
        <v>1.049889433709694</v>
      </c>
      <c r="AB256" s="15" t="n">
        <v>2.44078465473117</v>
      </c>
      <c r="AC256" s="15" t="n">
        <v>10.84960429623752</v>
      </c>
      <c r="AD256" s="15" t="n">
        <v>31.62771425772715</v>
      </c>
      <c r="AE256" s="15" t="n">
        <v>69.74925724546715</v>
      </c>
      <c r="AF256" s="15" t="n">
        <v>108.1865136905851</v>
      </c>
      <c r="AH256" s="29">
        <f>HIPERLINK($A$1 &amp; "\Dados\Magnet_fields.txt_256.txt.txt", "Magnet_fields.txt_256.txt")</f>
        <v/>
      </c>
      <c r="AI256" t="n">
        <v>9133</v>
      </c>
      <c r="AJ256" t="n">
        <v>29</v>
      </c>
      <c r="AK256" s="29">
        <f>HIPERLINK($A$1 &amp; "\Dados\Magnet_3D_results.txt_256.txt.txt", "Magnet_3D_results.txt_256.txt")</f>
        <v/>
      </c>
      <c r="AL256" s="29">
        <f>HIPERLINK($A$1 &amp; "\Dados\Magnet_fields_2D.txt_256.txt.txt", "Magnet_fields_2D.txt_256.txt")</f>
        <v/>
      </c>
    </row>
    <row customHeight="1" ht="15.75" r="257" s="34">
      <c r="E257" s="15" t="n">
        <v>120</v>
      </c>
      <c r="F257" s="15" t="n">
        <v>170</v>
      </c>
      <c r="G257" s="15" t="n">
        <v>350</v>
      </c>
      <c r="H257" s="15" t="n">
        <v>26</v>
      </c>
      <c r="I257" s="15" t="n">
        <v>144</v>
      </c>
      <c r="J257" s="13" t="n">
        <v>25</v>
      </c>
      <c r="K257" t="n">
        <v>35</v>
      </c>
      <c r="L257" s="13" t="n">
        <v>1.900000000000001</v>
      </c>
      <c r="M257" s="12" t="n"/>
      <c r="N257" s="8" t="n">
        <v>1.1024740908054</v>
      </c>
      <c r="O257" s="15" t="n">
        <v>0.8712602974042375</v>
      </c>
      <c r="P257" s="15" t="n">
        <v>1.027827033245784</v>
      </c>
      <c r="Q257" s="15" t="n">
        <v>0.0009620692922927768</v>
      </c>
      <c r="R257" s="15" t="n">
        <v>0.02478264745749665</v>
      </c>
      <c r="S257" s="15" t="n">
        <v>0.001805079141464449</v>
      </c>
      <c r="T257" s="29">
        <f>HIPERLINK($A$1 &amp; "\Dados\Imagem_perfil_257.png", "Imagem_perfil_257")</f>
        <v/>
      </c>
      <c r="U257" s="29">
        <f>HIPERLINK($A$1 &amp; "\Dados\Results_airgap257.txt", "Results_airgap257")</f>
        <v/>
      </c>
      <c r="V257" s="19" t="n"/>
      <c r="W257" s="15" t="n">
        <v>1.396191086956522</v>
      </c>
      <c r="X257" s="15" t="n">
        <v>0.7151869189345131</v>
      </c>
      <c r="Y257" s="15" t="n">
        <v>0.5121556720983184</v>
      </c>
      <c r="Z257" s="15" t="n">
        <v>0.1137974712293831</v>
      </c>
      <c r="AA257" s="15" t="n">
        <v>0.8676544532115218</v>
      </c>
      <c r="AB257" s="15" t="n">
        <v>2.643309584434424</v>
      </c>
      <c r="AC257" s="15" t="n">
        <v>11.33332517556426</v>
      </c>
      <c r="AD257" s="15" t="n">
        <v>32.04296770024791</v>
      </c>
      <c r="AE257" s="15" t="n">
        <v>69.93561541552587</v>
      </c>
      <c r="AF257" s="15" t="n">
        <v>108.2203185133632</v>
      </c>
      <c r="AH257" s="29">
        <f>HIPERLINK($A$1 &amp; "\Dados\Magnet_fields.txt_257.txt.txt", "Magnet_fields.txt_257.txt")</f>
        <v/>
      </c>
      <c r="AI257" t="n">
        <v>9133</v>
      </c>
      <c r="AJ257" t="n">
        <v>29</v>
      </c>
      <c r="AK257" s="29">
        <f>HIPERLINK($A$1 &amp; "\Dados\Magnet_3D_results.txt_257.txt.txt", "Magnet_3D_results.txt_257.txt")</f>
        <v/>
      </c>
      <c r="AL257" s="29">
        <f>HIPERLINK($A$1 &amp; "\Dados\Magnet_fields_2D.txt_257.txt.txt", "Magnet_fields_2D.txt_257.txt")</f>
        <v/>
      </c>
    </row>
    <row customHeight="1" ht="15.75" r="258" s="34">
      <c r="E258" s="15" t="n">
        <v>120</v>
      </c>
      <c r="F258" s="15" t="n">
        <v>170</v>
      </c>
      <c r="G258" s="15" t="n">
        <v>350</v>
      </c>
      <c r="H258" s="15" t="n">
        <v>26</v>
      </c>
      <c r="I258" s="15" t="n">
        <v>144</v>
      </c>
      <c r="J258" s="13" t="n">
        <v>25</v>
      </c>
      <c r="K258" t="n">
        <v>35</v>
      </c>
      <c r="L258" s="13" t="n">
        <v>2.000000000000001</v>
      </c>
      <c r="M258" s="12" t="n"/>
      <c r="N258" s="8" t="n">
        <v>1.103428702030315</v>
      </c>
      <c r="O258" s="15" t="n">
        <v>0.8720293053109165</v>
      </c>
      <c r="P258" s="15" t="n">
        <v>1.028711716092644</v>
      </c>
      <c r="Q258" s="15" t="n">
        <v>0.0009609732969427082</v>
      </c>
      <c r="R258" s="15" t="n">
        <v>0.02491265982049429</v>
      </c>
      <c r="S258" s="15" t="n">
        <v>0.001806702978267186</v>
      </c>
      <c r="T258" s="29">
        <f>HIPERLINK($A$1 &amp; "\Dados\Imagem_perfil_258.png", "Imagem_perfil_258")</f>
        <v/>
      </c>
      <c r="U258" s="29">
        <f>HIPERLINK($A$1 &amp; "\Dados\Results_airgap258.txt", "Results_airgap258")</f>
        <v/>
      </c>
      <c r="V258" s="19" t="n"/>
      <c r="W258" s="15" t="n">
        <v>1.397719782608696</v>
      </c>
      <c r="X258" s="15" t="n">
        <v>0.7158921732710064</v>
      </c>
      <c r="Y258" s="15" t="n">
        <v>0.6063837225239168</v>
      </c>
      <c r="Z258" s="15" t="n">
        <v>0.1075060906757975</v>
      </c>
      <c r="AA258" s="15" t="n">
        <v>0.7104078465818447</v>
      </c>
      <c r="AB258" s="15" t="n">
        <v>2.803437372476482</v>
      </c>
      <c r="AC258" s="15" t="n">
        <v>11.68809905656019</v>
      </c>
      <c r="AD258" s="15" t="n">
        <v>32.33894726959459</v>
      </c>
      <c r="AE258" s="15" t="n">
        <v>70.09260393896298</v>
      </c>
      <c r="AF258" s="15" t="n">
        <v>108.2606819608479</v>
      </c>
      <c r="AH258" s="29">
        <f>HIPERLINK($A$1 &amp; "\Dados\Magnet_fields.txt_258.txt.txt", "Magnet_fields.txt_258.txt")</f>
        <v/>
      </c>
      <c r="AI258" t="n">
        <v>9133</v>
      </c>
      <c r="AJ258" t="n">
        <v>29</v>
      </c>
      <c r="AK258" s="29">
        <f>HIPERLINK($A$1 &amp; "\Dados\Magnet_3D_results.txt_258.txt.txt", "Magnet_3D_results.txt_258.txt")</f>
        <v/>
      </c>
      <c r="AL258" s="29">
        <f>HIPERLINK($A$1 &amp; "\Dados\Magnet_fields_2D.txt_258.txt.txt", "Magnet_fields_2D.txt_258.txt")</f>
        <v/>
      </c>
    </row>
    <row customHeight="1" ht="15.75" r="259" s="34">
      <c r="E259" s="15" t="n">
        <v>120</v>
      </c>
      <c r="F259" s="15" t="n">
        <v>170</v>
      </c>
      <c r="G259" s="15" t="n">
        <v>350</v>
      </c>
      <c r="H259" s="15" t="n">
        <v>26</v>
      </c>
      <c r="I259" s="15" t="n">
        <v>144</v>
      </c>
      <c r="J259" s="13" t="n">
        <v>25</v>
      </c>
      <c r="K259" t="n">
        <v>35</v>
      </c>
      <c r="L259" s="13" t="n">
        <v>2.100000000000001</v>
      </c>
      <c r="M259" s="12" t="n"/>
      <c r="N259" s="8" t="n">
        <v>1.103428702030315</v>
      </c>
      <c r="O259" s="15" t="n">
        <v>0.8720293053109167</v>
      </c>
      <c r="P259" s="15" t="n">
        <v>1.028711716092644</v>
      </c>
      <c r="Q259" s="15" t="n">
        <v>0.0009609732969427082</v>
      </c>
      <c r="R259" s="15" t="n">
        <v>0.02491265982049429</v>
      </c>
      <c r="S259" s="15" t="n">
        <v>0.001806702978267185</v>
      </c>
      <c r="T259" s="29">
        <f>HIPERLINK($A$1 &amp; "\Dados\Imagem_perfil_259.png", "Imagem_perfil_259")</f>
        <v/>
      </c>
      <c r="U259" s="29">
        <f>HIPERLINK($A$1 &amp; "\Dados\Results_airgap259.txt", "Results_airgap259")</f>
        <v/>
      </c>
      <c r="V259" s="19" t="n"/>
      <c r="W259" s="15" t="n">
        <v>1.398940217391305</v>
      </c>
      <c r="X259" s="15" t="n">
        <v>0.7158921732710064</v>
      </c>
      <c r="Y259" s="15" t="n">
        <v>0.6988862478904554</v>
      </c>
      <c r="Z259" s="15" t="n">
        <v>0.1075060906757975</v>
      </c>
      <c r="AA259" s="15" t="n">
        <v>0.7104078465818447</v>
      </c>
      <c r="AB259" s="15" t="n">
        <v>2.964049171846582</v>
      </c>
      <c r="AC259" s="15" t="n">
        <v>11.96857783068717</v>
      </c>
      <c r="AD259" s="15" t="n">
        <v>32.57725651576115</v>
      </c>
      <c r="AE259" s="15" t="n">
        <v>70.21036577656055</v>
      </c>
      <c r="AF259" s="15" t="n">
        <v>108.2937548794</v>
      </c>
      <c r="AH259" s="29">
        <f>HIPERLINK($A$1 &amp; "\Dados\Magnet_fields.txt_259.txt.txt", "Magnet_fields.txt_259.txt")</f>
        <v/>
      </c>
      <c r="AI259" t="n">
        <v>9133</v>
      </c>
      <c r="AJ259" t="n">
        <v>29</v>
      </c>
      <c r="AK259" s="29">
        <f>HIPERLINK($A$1 &amp; "\Dados\Magnet_3D_results.txt_259.txt.txt", "Magnet_3D_results.txt_259.txt")</f>
        <v/>
      </c>
      <c r="AL259" s="29">
        <f>HIPERLINK($A$1 &amp; "\Dados\Magnet_fields_2D.txt_259.txt.txt", "Magnet_fields_2D.txt_259.txt")</f>
        <v/>
      </c>
    </row>
    <row customHeight="1" ht="15.75" r="260" s="34">
      <c r="E260" s="15" t="n">
        <v>120</v>
      </c>
      <c r="F260" s="15" t="n">
        <v>170</v>
      </c>
      <c r="G260" s="15" t="n">
        <v>350</v>
      </c>
      <c r="H260" s="15" t="n">
        <v>28</v>
      </c>
      <c r="I260" s="15" t="n">
        <v>144</v>
      </c>
      <c r="J260" s="13" t="n">
        <v>25</v>
      </c>
      <c r="K260" t="n">
        <v>35</v>
      </c>
      <c r="L260" s="13" t="n">
        <v>1.3</v>
      </c>
      <c r="M260" s="12" t="n"/>
      <c r="N260" s="8" t="n">
        <v>1.050383110091774</v>
      </c>
      <c r="O260" s="15" t="n">
        <v>0.8323103961798631</v>
      </c>
      <c r="P260" s="15" t="n">
        <v>0.9814844520206374</v>
      </c>
      <c r="Q260" s="15" t="n">
        <v>0.000961815463926123</v>
      </c>
      <c r="R260" s="15" t="n">
        <v>0.02241201147354627</v>
      </c>
      <c r="S260" s="15" t="n">
        <v>0.001741004410256691</v>
      </c>
      <c r="T260" s="29">
        <f>HIPERLINK($A$1 &amp; "\Dados\Imagem_perfil_260.png", "Imagem_perfil_260")</f>
        <v/>
      </c>
      <c r="U260" s="29">
        <f>HIPERLINK($A$1 &amp; "\Dados\Results_airgap260.txt", "Results_airgap260")</f>
        <v/>
      </c>
      <c r="V260" s="19" t="n"/>
      <c r="W260" s="43" t="n">
        <v>1.332187826086957</v>
      </c>
      <c r="X260" s="15" t="n">
        <v>0.6695381268099675</v>
      </c>
      <c r="Y260" s="15" t="n">
        <v>0.03210468436512209</v>
      </c>
      <c r="Z260" s="15" t="n">
        <v>0.4315911350804343</v>
      </c>
      <c r="AA260" s="15" t="n">
        <v>2.681636248105957</v>
      </c>
      <c r="AB260" s="15" t="n">
        <v>0</v>
      </c>
      <c r="AC260" s="15" t="n">
        <v>0</v>
      </c>
      <c r="AD260" s="15" t="n">
        <v>20.55013559150534</v>
      </c>
      <c r="AE260" s="15" t="n">
        <v>64.5424572362856</v>
      </c>
      <c r="AF260" s="15" t="n">
        <v>106.8513222744991</v>
      </c>
      <c r="AH260" s="29">
        <f>HIPERLINK($A$1 &amp; "\Dados\Magnet_fields.txt_260.txt.txt", "Magnet_fields.txt_260.txt")</f>
        <v/>
      </c>
      <c r="AI260" t="n">
        <v>8373</v>
      </c>
      <c r="AJ260" t="n">
        <v>29</v>
      </c>
      <c r="AK260" s="29">
        <f>HIPERLINK($A$1 &amp; "\Dados\Magnet_3D_results.txt_260.txt.txt", "Magnet_3D_results.txt_260.txt")</f>
        <v/>
      </c>
      <c r="AL260" s="29">
        <f>HIPERLINK($A$1 &amp; "\Dados\Magnet_fields_2D.txt_260.txt.txt", "Magnet_fields_2D.txt_260.txt")</f>
        <v/>
      </c>
    </row>
    <row customHeight="1" ht="15.75" r="261" s="34">
      <c r="E261" s="15" t="n">
        <v>120</v>
      </c>
      <c r="F261" s="15" t="n">
        <v>170</v>
      </c>
      <c r="G261" s="15" t="n">
        <v>350</v>
      </c>
      <c r="H261" s="15" t="n">
        <v>28</v>
      </c>
      <c r="I261" s="15" t="n">
        <v>144</v>
      </c>
      <c r="J261" s="13" t="n">
        <v>25</v>
      </c>
      <c r="K261" t="n">
        <v>35</v>
      </c>
      <c r="L261" s="13" t="n">
        <v>1.4</v>
      </c>
      <c r="M261" s="12" t="n"/>
      <c r="N261" s="8" t="n">
        <v>1.075721737777329</v>
      </c>
      <c r="O261" s="15" t="n">
        <v>0.8523604849603694</v>
      </c>
      <c r="P261" s="15" t="n">
        <v>1.005001798765819</v>
      </c>
      <c r="Q261" s="15" t="n">
        <v>0.0009629100239038006</v>
      </c>
      <c r="R261" s="15" t="n">
        <v>0.02370662297587499</v>
      </c>
      <c r="S261" s="15" t="n">
        <v>0.001769888591452842</v>
      </c>
      <c r="T261" s="29">
        <f>HIPERLINK($A$1 &amp; "\Dados\Imagem_perfil_261.png", "Imagem_perfil_261")</f>
        <v/>
      </c>
      <c r="U261" s="29">
        <f>HIPERLINK($A$1 &amp; "\Dados\Results_airgap261.txt", "Results_airgap261")</f>
        <v/>
      </c>
      <c r="V261" s="19" t="n"/>
      <c r="W261" s="43" t="n">
        <v>1.363160434782609</v>
      </c>
      <c r="X261" s="15" t="n">
        <v>0.6867277910371158</v>
      </c>
      <c r="Y261" s="15" t="n">
        <v>0.08126689713153248</v>
      </c>
      <c r="Z261" s="15" t="n">
        <v>0.2412950916179257</v>
      </c>
      <c r="AA261" s="15" t="n">
        <v>1.565653028682555</v>
      </c>
      <c r="AB261" s="15" t="n">
        <v>0</v>
      </c>
      <c r="AC261" s="15" t="n">
        <v>4.369471985607457</v>
      </c>
      <c r="AD261" s="15" t="n">
        <v>26.43466676665955</v>
      </c>
      <c r="AE261" s="15" t="n">
        <v>67.29115338770312</v>
      </c>
      <c r="AF261" s="15" t="n">
        <v>107.7406754429578</v>
      </c>
      <c r="AH261" s="29">
        <f>HIPERLINK($A$1 &amp; "\Dados\Magnet_fields.txt_261.txt.txt", "Magnet_fields.txt_261.txt")</f>
        <v/>
      </c>
      <c r="AI261" t="n">
        <v>8373</v>
      </c>
      <c r="AJ261" t="n">
        <v>28</v>
      </c>
      <c r="AK261" s="29">
        <f>HIPERLINK($A$1 &amp; "\Dados\Magnet_3D_results.txt_261.txt.txt", "Magnet_3D_results.txt_261.txt")</f>
        <v/>
      </c>
      <c r="AL261" s="29">
        <f>HIPERLINK($A$1 &amp; "\Dados\Magnet_fields_2D.txt_261.txt.txt", "Magnet_fields_2D.txt_261.txt")</f>
        <v/>
      </c>
    </row>
    <row customHeight="1" ht="15.75" r="262" s="34">
      <c r="E262" s="15" t="n">
        <v>120</v>
      </c>
      <c r="F262" s="15" t="n">
        <v>170</v>
      </c>
      <c r="G262" s="15" t="n">
        <v>350</v>
      </c>
      <c r="H262" s="15" t="n">
        <v>28</v>
      </c>
      <c r="I262" s="15" t="n">
        <v>144</v>
      </c>
      <c r="J262" s="13" t="n">
        <v>25</v>
      </c>
      <c r="K262" t="n">
        <v>35</v>
      </c>
      <c r="L262" s="13" t="n">
        <v>1.5</v>
      </c>
      <c r="M262" s="12" t="n"/>
      <c r="N262" s="8" t="n">
        <v>1.086283621107298</v>
      </c>
      <c r="O262" s="15" t="n">
        <v>0.8606945753384305</v>
      </c>
      <c r="P262" s="15" t="n">
        <v>1.014941791741752</v>
      </c>
      <c r="Q262" s="15" t="n">
        <v>0.0009638575908531537</v>
      </c>
      <c r="R262" s="15" t="n">
        <v>0.02417388051224353</v>
      </c>
      <c r="S262" s="15" t="n">
        <v>0.001780619008798745</v>
      </c>
      <c r="T262" s="29">
        <f>HIPERLINK($A$1 &amp; "\Dados\Imagem_perfil_262.png", "Imagem_perfil_262")</f>
        <v/>
      </c>
      <c r="U262" s="29">
        <f>HIPERLINK($A$1 &amp; "\Dados\Results_airgap262.txt", "Results_airgap262")</f>
        <v/>
      </c>
      <c r="V262" s="19" t="n"/>
      <c r="W262" s="43" t="n">
        <v>1.378561086956521</v>
      </c>
      <c r="X262" s="15" t="n">
        <v>0.6938424733919668</v>
      </c>
      <c r="Y262" s="15" t="n">
        <v>0.1508153218499257</v>
      </c>
      <c r="Z262" s="15" t="n">
        <v>0.1826018550827857</v>
      </c>
      <c r="AA262" s="15" t="n">
        <v>0.879626355746241</v>
      </c>
      <c r="AB262" s="15" t="n">
        <v>0.8761290264654161</v>
      </c>
      <c r="AC262" s="15" t="n">
        <v>7.499958743968048</v>
      </c>
      <c r="AD262" s="15" t="n">
        <v>28.89982293788404</v>
      </c>
      <c r="AE262" s="15" t="n">
        <v>68.45232399947268</v>
      </c>
      <c r="AF262" s="15" t="n">
        <v>107.9461117419659</v>
      </c>
      <c r="AH262" s="29">
        <f>HIPERLINK($A$1 &amp; "\Dados\Magnet_fields.txt_262.txt.txt", "Magnet_fields.txt_262.txt")</f>
        <v/>
      </c>
      <c r="AI262" t="n">
        <v>8373</v>
      </c>
      <c r="AJ262" t="n">
        <v>29</v>
      </c>
      <c r="AK262" s="29">
        <f>HIPERLINK($A$1 &amp; "\Dados\Magnet_3D_results.txt_262.txt.txt", "Magnet_3D_results.txt_262.txt")</f>
        <v/>
      </c>
      <c r="AL262" s="29">
        <f>HIPERLINK($A$1 &amp; "\Dados\Magnet_fields_2D.txt_262.txt.txt", "Magnet_fields_2D.txt_262.txt")</f>
        <v/>
      </c>
    </row>
    <row customHeight="1" ht="15.75" r="263" s="34">
      <c r="E263" s="15" t="n">
        <v>120</v>
      </c>
      <c r="F263" s="15" t="n">
        <v>170</v>
      </c>
      <c r="G263" s="15" t="n">
        <v>350</v>
      </c>
      <c r="H263" s="15" t="n">
        <v>28</v>
      </c>
      <c r="I263" s="15" t="n">
        <v>144</v>
      </c>
      <c r="J263" s="13" t="n">
        <v>25</v>
      </c>
      <c r="K263" t="n">
        <v>35</v>
      </c>
      <c r="L263" s="13" t="n">
        <v>1.6</v>
      </c>
      <c r="M263" s="12" t="n"/>
      <c r="N263" s="8" t="n">
        <v>1.095312062087709</v>
      </c>
      <c r="O263" s="15" t="n">
        <v>0.8678637559261605</v>
      </c>
      <c r="P263" s="15" t="n">
        <v>1.023367079336798</v>
      </c>
      <c r="Q263" s="15" t="n">
        <v>0.0009623019901852064</v>
      </c>
      <c r="R263" s="15" t="n">
        <v>0.02466302033534006</v>
      </c>
      <c r="S263" s="15" t="n">
        <v>0.001789142459512304</v>
      </c>
      <c r="T263" s="29">
        <f>HIPERLINK($A$1 &amp; "\Dados\Imagem_perfil_263.png", "Imagem_perfil_263")</f>
        <v/>
      </c>
      <c r="U263" s="29">
        <f>HIPERLINK($A$1 &amp; "\Dados\Results_airgap263.txt", "Results_airgap263")</f>
        <v/>
      </c>
      <c r="V263" s="19" t="n"/>
      <c r="W263" s="15" t="n">
        <v>1.386425217391304</v>
      </c>
      <c r="X263" s="15" t="n">
        <v>0.6999868030096451</v>
      </c>
      <c r="Y263" s="15" t="n">
        <v>0.2334230666921306</v>
      </c>
      <c r="Z263" s="15" t="n">
        <v>0.155596286239354</v>
      </c>
      <c r="AA263" s="15" t="n">
        <v>0.35155366096003</v>
      </c>
      <c r="AB263" s="15" t="n">
        <v>1.651300165221977</v>
      </c>
      <c r="AC263" s="15" t="n">
        <v>9.15728005667243</v>
      </c>
      <c r="AD263" s="15" t="n">
        <v>30.21956487878824</v>
      </c>
      <c r="AE263" s="15" t="n">
        <v>69.08908562206766</v>
      </c>
      <c r="AF263" s="15" t="n">
        <v>108.0431533084315</v>
      </c>
      <c r="AH263" s="29">
        <f>HIPERLINK($A$1 &amp; "\Dados\Magnet_fields.txt_263.txt.txt", "Magnet_fields.txt_263.txt")</f>
        <v/>
      </c>
      <c r="AI263" t="n">
        <v>8373</v>
      </c>
      <c r="AJ263" t="n">
        <v>29</v>
      </c>
      <c r="AK263" s="29">
        <f>HIPERLINK($A$1 &amp; "\Dados\Magnet_3D_results.txt_263.txt.txt", "Magnet_3D_results.txt_263.txt")</f>
        <v/>
      </c>
      <c r="AL263" s="29">
        <f>HIPERLINK($A$1 &amp; "\Dados\Magnet_fields_2D.txt_263.txt.txt", "Magnet_fields_2D.txt_263.txt")</f>
        <v/>
      </c>
    </row>
    <row customHeight="1" ht="15.75" r="264" s="34">
      <c r="E264" s="15" t="n">
        <v>120</v>
      </c>
      <c r="F264" s="15" t="n">
        <v>170</v>
      </c>
      <c r="G264" s="15" t="n">
        <v>350</v>
      </c>
      <c r="H264" s="15" t="n">
        <v>28</v>
      </c>
      <c r="I264" s="15" t="n">
        <v>144</v>
      </c>
      <c r="J264" s="13" t="n">
        <v>25</v>
      </c>
      <c r="K264" t="n">
        <v>35</v>
      </c>
      <c r="L264" s="13" t="n">
        <v>1.7</v>
      </c>
      <c r="M264" s="12" t="n"/>
      <c r="N264" s="8" t="n">
        <v>1.099331996861799</v>
      </c>
      <c r="O264" s="15" t="n">
        <v>0.8710292478414502</v>
      </c>
      <c r="P264" s="15" t="n">
        <v>1.027096142016374</v>
      </c>
      <c r="Q264" s="15" t="n">
        <v>0.000962801615107648</v>
      </c>
      <c r="R264" s="15" t="n">
        <v>0.02481508102441663</v>
      </c>
      <c r="S264" s="15" t="n">
        <v>0.001792696133186414</v>
      </c>
      <c r="T264" s="29">
        <f>HIPERLINK($A$1 &amp; "\Dados\Imagem_perfil_264.png", "Imagem_perfil_264")</f>
        <v/>
      </c>
      <c r="U264" s="29">
        <f>HIPERLINK($A$1 &amp; "\Dados\Results_airgap264.txt", "Results_airgap264")</f>
        <v/>
      </c>
      <c r="V264" s="19" t="n"/>
      <c r="W264" s="15" t="n">
        <v>1.391146086956522</v>
      </c>
      <c r="X264" s="15" t="n">
        <v>0.7026718873532716</v>
      </c>
      <c r="Y264" s="15" t="n">
        <v>0.3235292453028388</v>
      </c>
      <c r="Z264" s="15" t="n">
        <v>0.1312080774524816</v>
      </c>
      <c r="AA264" s="15" t="n">
        <v>0.2371204356417387</v>
      </c>
      <c r="AB264" s="15" t="n">
        <v>2.137315525590566</v>
      </c>
      <c r="AC264" s="15" t="n">
        <v>10.16578156000658</v>
      </c>
      <c r="AD264" s="15" t="n">
        <v>31.07859333030451</v>
      </c>
      <c r="AE264" s="15" t="n">
        <v>69.5159122028797</v>
      </c>
      <c r="AF264" s="15" t="n">
        <v>108.1303865969964</v>
      </c>
      <c r="AH264" s="29">
        <f>HIPERLINK($A$1 &amp; "\Dados\Magnet_fields.txt_264.txt.txt", "Magnet_fields.txt_264.txt")</f>
        <v/>
      </c>
      <c r="AI264" t="n">
        <v>8373</v>
      </c>
      <c r="AJ264" t="n">
        <v>29</v>
      </c>
      <c r="AK264" s="29">
        <f>HIPERLINK($A$1 &amp; "\Dados\Magnet_3D_results.txt_264.txt.txt", "Magnet_3D_results.txt_264.txt")</f>
        <v/>
      </c>
      <c r="AL264" s="29">
        <f>HIPERLINK($A$1 &amp; "\Dados\Magnet_fields_2D.txt_264.txt.txt", "Magnet_fields_2D.txt_264.txt")</f>
        <v/>
      </c>
    </row>
    <row customHeight="1" ht="15.75" r="265" s="34">
      <c r="E265" s="15" t="n">
        <v>120</v>
      </c>
      <c r="F265" s="15" t="n">
        <v>170</v>
      </c>
      <c r="G265" s="15" t="n">
        <v>350</v>
      </c>
      <c r="H265" s="15" t="n">
        <v>28</v>
      </c>
      <c r="I265" s="15" t="n">
        <v>144</v>
      </c>
      <c r="J265" s="13" t="n">
        <v>25</v>
      </c>
      <c r="K265" t="n">
        <v>35</v>
      </c>
      <c r="L265" s="13" t="n">
        <v>1.8</v>
      </c>
      <c r="M265" s="12" t="n"/>
      <c r="N265" s="8" t="n">
        <v>1.099331996861799</v>
      </c>
      <c r="O265" s="15" t="n">
        <v>0.8710292478414503</v>
      </c>
      <c r="P265" s="15" t="n">
        <v>1.027096142016374</v>
      </c>
      <c r="Q265" s="15" t="n">
        <v>0.0009628016151076477</v>
      </c>
      <c r="R265" s="15" t="n">
        <v>0.02481508102441663</v>
      </c>
      <c r="S265" s="15" t="n">
        <v>0.001792696133186414</v>
      </c>
      <c r="T265" s="29">
        <f>HIPERLINK($A$1 &amp; "\Dados\Imagem_perfil_265.png", "Imagem_perfil_265")</f>
        <v/>
      </c>
      <c r="U265" s="29">
        <f>HIPERLINK($A$1 &amp; "\Dados\Results_airgap265.txt", "Results_airgap265")</f>
        <v/>
      </c>
      <c r="V265" s="19" t="n"/>
      <c r="W265" s="15" t="n">
        <v>1.394112391304348</v>
      </c>
      <c r="X265" s="15" t="n">
        <v>0.7026718873532717</v>
      </c>
      <c r="Y265" s="15" t="n">
        <v>0.4172926492279422</v>
      </c>
      <c r="Z265" s="15" t="n">
        <v>0.1312080774524816</v>
      </c>
      <c r="AA265" s="15" t="n">
        <v>0.2371204356417387</v>
      </c>
      <c r="AB265" s="15" t="n">
        <v>2.444121917807046</v>
      </c>
      <c r="AC265" s="15" t="n">
        <v>10.85552027169614</v>
      </c>
      <c r="AD265" s="15" t="n">
        <v>31.62436530862838</v>
      </c>
      <c r="AE265" s="15" t="n">
        <v>69.75263126056598</v>
      </c>
      <c r="AF265" s="15" t="n">
        <v>108.189064860765</v>
      </c>
      <c r="AH265" s="29">
        <f>HIPERLINK($A$1 &amp; "\Dados\Magnet_fields.txt_265.txt.txt", "Magnet_fields.txt_265.txt")</f>
        <v/>
      </c>
      <c r="AI265" t="n">
        <v>8373</v>
      </c>
      <c r="AJ265" t="n">
        <v>29</v>
      </c>
      <c r="AK265" s="29">
        <f>HIPERLINK($A$1 &amp; "\Dados\Magnet_3D_results.txt_265.txt.txt", "Magnet_3D_results.txt_265.txt")</f>
        <v/>
      </c>
      <c r="AL265" s="29">
        <f>HIPERLINK($A$1 &amp; "\Dados\Magnet_fields_2D.txt_265.txt.txt", "Magnet_fields_2D.txt_265.txt")</f>
        <v/>
      </c>
    </row>
    <row customHeight="1" ht="15.75" r="266" s="34">
      <c r="E266" s="15" t="n">
        <v>120</v>
      </c>
      <c r="F266" s="15" t="n">
        <v>170</v>
      </c>
      <c r="G266" s="15" t="n">
        <v>350</v>
      </c>
      <c r="H266" s="15" t="n">
        <v>28</v>
      </c>
      <c r="I266" s="15" t="n">
        <v>144</v>
      </c>
      <c r="J266" s="13" t="n">
        <v>25</v>
      </c>
      <c r="K266" t="n">
        <v>35</v>
      </c>
      <c r="L266" s="13" t="n">
        <v>1.900000000000001</v>
      </c>
      <c r="M266" s="12" t="n"/>
      <c r="N266" s="8" t="n">
        <v>1.102510300441057</v>
      </c>
      <c r="O266" s="15" t="n">
        <v>0.8735273260928709</v>
      </c>
      <c r="P266" s="15" t="n">
        <v>1.030068622162515</v>
      </c>
      <c r="Q266" s="15" t="n">
        <v>0.000963034363730613</v>
      </c>
      <c r="R266" s="15" t="n">
        <v>0.02495179966103656</v>
      </c>
      <c r="S266" s="15" t="n">
        <v>0.001795645195983768</v>
      </c>
      <c r="T266" s="29">
        <f>HIPERLINK($A$1 &amp; "\Dados\Imagem_perfil_266.png", "Imagem_perfil_266")</f>
        <v/>
      </c>
      <c r="U266" s="29">
        <f>HIPERLINK($A$1 &amp; "\Dados\Results_airgap266.txt", "Results_airgap266")</f>
        <v/>
      </c>
      <c r="V266" s="19" t="n"/>
      <c r="W266" s="15" t="n">
        <v>1.396192826086956</v>
      </c>
      <c r="X266" s="15" t="n">
        <v>0.7048313678214809</v>
      </c>
      <c r="Y266" s="15" t="n">
        <v>0.5121388461343319</v>
      </c>
      <c r="Z266" s="15" t="n">
        <v>0.1266231427826388</v>
      </c>
      <c r="AA266" s="15" t="n">
        <v>0.2005316626226794</v>
      </c>
      <c r="AB266" s="15" t="n">
        <v>2.643017951552088</v>
      </c>
      <c r="AC266" s="15" t="n">
        <v>11.33618508698462</v>
      </c>
      <c r="AD266" s="15" t="n">
        <v>32.03468760540729</v>
      </c>
      <c r="AE266" s="15" t="n">
        <v>69.93406091411228</v>
      </c>
      <c r="AF266" s="15" t="n">
        <v>108.2171538328389</v>
      </c>
      <c r="AH266" s="29">
        <f>HIPERLINK($A$1 &amp; "\Dados\Magnet_fields.txt_266.txt.txt", "Magnet_fields.txt_266.txt")</f>
        <v/>
      </c>
      <c r="AI266" t="n">
        <v>8373</v>
      </c>
      <c r="AJ266" t="n">
        <v>29</v>
      </c>
      <c r="AK266" s="29">
        <f>HIPERLINK($A$1 &amp; "\Dados\Magnet_3D_results.txt_266.txt.txt", "Magnet_3D_results.txt_266.txt")</f>
        <v/>
      </c>
      <c r="AL266" s="29">
        <f>HIPERLINK($A$1 &amp; "\Dados\Magnet_fields_2D.txt_266.txt.txt", "Magnet_fields_2D.txt_266.txt")</f>
        <v/>
      </c>
    </row>
    <row customHeight="1" ht="15.75" r="267" s="34">
      <c r="E267" s="15" t="n">
        <v>120</v>
      </c>
      <c r="F267" s="15" t="n">
        <v>170</v>
      </c>
      <c r="G267" s="15" t="n">
        <v>350</v>
      </c>
      <c r="H267" s="15" t="n">
        <v>28</v>
      </c>
      <c r="I267" s="15" t="n">
        <v>144</v>
      </c>
      <c r="J267" s="13" t="n">
        <v>25</v>
      </c>
      <c r="K267" t="n">
        <v>35</v>
      </c>
      <c r="L267" s="13" t="n">
        <v>2.000000000000001</v>
      </c>
      <c r="M267" s="12" t="n"/>
      <c r="N267" s="8" t="n">
        <v>1.103417672920802</v>
      </c>
      <c r="O267" s="15" t="n">
        <v>0.8742694689167203</v>
      </c>
      <c r="P267" s="15" t="n">
        <v>1.030915713595099</v>
      </c>
      <c r="Q267" s="15" t="n">
        <v>0.0009618592710796965</v>
      </c>
      <c r="R267" s="15" t="n">
        <v>0.02507073206794617</v>
      </c>
      <c r="S267" s="15" t="n">
        <v>0.001796906815518334</v>
      </c>
      <c r="T267" s="29">
        <f>HIPERLINK($A$1 &amp; "\Dados\Imagem_perfil_267.png", "Imagem_perfil_267")</f>
        <v/>
      </c>
      <c r="U267" s="29">
        <f>HIPERLINK($A$1 &amp; "\Dados\Results_airgap267.txt", "Results_airgap267")</f>
        <v/>
      </c>
      <c r="V267" s="19" t="n"/>
      <c r="W267" s="15" t="n">
        <v>1.397756086956522</v>
      </c>
      <c r="X267" s="15" t="n">
        <v>0.7054996034198434</v>
      </c>
      <c r="Y267" s="15" t="n">
        <v>0.6063663475504492</v>
      </c>
      <c r="Z267" s="15" t="n">
        <v>0.1070324153059329</v>
      </c>
      <c r="AA267" s="15" t="n">
        <v>0.1144702642568715</v>
      </c>
      <c r="AB267" s="15" t="n">
        <v>2.813619746535601</v>
      </c>
      <c r="AC267" s="15" t="n">
        <v>11.702860908699</v>
      </c>
      <c r="AD267" s="15" t="n">
        <v>32.33426446838293</v>
      </c>
      <c r="AE267" s="15" t="n">
        <v>70.08798154835318</v>
      </c>
      <c r="AF267" s="15" t="n">
        <v>108.2601479839065</v>
      </c>
      <c r="AH267" s="29">
        <f>HIPERLINK($A$1 &amp; "\Dados\Magnet_fields.txt_267.txt.txt", "Magnet_fields.txt_267.txt")</f>
        <v/>
      </c>
      <c r="AI267" t="n">
        <v>8373</v>
      </c>
      <c r="AJ267" t="n">
        <v>29</v>
      </c>
      <c r="AK267" s="29">
        <f>HIPERLINK($A$1 &amp; "\Dados\Magnet_3D_results.txt_267.txt.txt", "Magnet_3D_results.txt_267.txt")</f>
        <v/>
      </c>
      <c r="AL267" s="29">
        <f>HIPERLINK($A$1 &amp; "\Dados\Magnet_fields_2D.txt_267.txt.txt", "Magnet_fields_2D.txt_267.txt")</f>
        <v/>
      </c>
    </row>
    <row customHeight="1" ht="15.75" r="268" s="34">
      <c r="E268" s="15" t="n">
        <v>120</v>
      </c>
      <c r="F268" s="15" t="n">
        <v>170</v>
      </c>
      <c r="G268" s="15" t="n">
        <v>350</v>
      </c>
      <c r="H268" s="15" t="n">
        <v>28</v>
      </c>
      <c r="I268" s="15" t="n">
        <v>144</v>
      </c>
      <c r="J268" s="13" t="n">
        <v>25</v>
      </c>
      <c r="K268" t="n">
        <v>35</v>
      </c>
      <c r="L268" s="13" t="n">
        <v>2.100000000000001</v>
      </c>
      <c r="M268" s="12" t="n"/>
      <c r="N268" s="8" t="n">
        <v>1.103417672920802</v>
      </c>
      <c r="O268" s="15" t="n">
        <v>0.8742694689167204</v>
      </c>
      <c r="P268" s="15" t="n">
        <v>1.030915713595099</v>
      </c>
      <c r="Q268" s="15" t="n">
        <v>0.0009618592710796968</v>
      </c>
      <c r="R268" s="15" t="n">
        <v>0.02507073206794617</v>
      </c>
      <c r="S268" s="15" t="n">
        <v>0.001796906815518334</v>
      </c>
      <c r="T268" s="29">
        <f>HIPERLINK($A$1 &amp; "\Dados\Imagem_perfil_268.png", "Imagem_perfil_268")</f>
        <v/>
      </c>
      <c r="U268" s="29">
        <f>HIPERLINK($A$1 &amp; "\Dados\Results_airgap268.txt", "Results_airgap268")</f>
        <v/>
      </c>
      <c r="V268" s="19" t="n"/>
      <c r="W268" s="15" t="n">
        <v>1.398961086956522</v>
      </c>
      <c r="X268" s="15" t="n">
        <v>0.7054996034198434</v>
      </c>
      <c r="Y268" s="15" t="n">
        <v>0.6988685180217327</v>
      </c>
      <c r="Z268" s="15" t="n">
        <v>0.1070324153059329</v>
      </c>
      <c r="AA268" s="15" t="n">
        <v>0.1144702642568715</v>
      </c>
      <c r="AB268" s="15" t="n">
        <v>2.966503846413091</v>
      </c>
      <c r="AC268" s="15" t="n">
        <v>11.97797412660874</v>
      </c>
      <c r="AD268" s="15" t="n">
        <v>32.5738849131189</v>
      </c>
      <c r="AE268" s="15" t="n">
        <v>70.20519754270806</v>
      </c>
      <c r="AF268" s="15" t="n">
        <v>108.2916804504989</v>
      </c>
      <c r="AH268" s="29">
        <f>HIPERLINK($A$1 &amp; "\Dados\Magnet_fields.txt_268.txt.txt", "Magnet_fields.txt_268.txt")</f>
        <v/>
      </c>
      <c r="AI268" t="n">
        <v>8373</v>
      </c>
      <c r="AJ268" t="n">
        <v>29</v>
      </c>
      <c r="AK268" s="29">
        <f>HIPERLINK($A$1 &amp; "\Dados\Magnet_3D_results.txt_268.txt.txt", "Magnet_3D_results.txt_268.txt")</f>
        <v/>
      </c>
      <c r="AL268" s="29">
        <f>HIPERLINK($A$1 &amp; "\Dados\Magnet_fields_2D.txt_268.txt.txt", "Magnet_fields_2D.txt_268.txt")</f>
        <v/>
      </c>
    </row>
    <row customHeight="1" ht="15.75" r="269" s="34">
      <c r="E269" s="15" t="n">
        <v>120</v>
      </c>
      <c r="F269" s="15" t="n">
        <v>170</v>
      </c>
      <c r="G269" s="15" t="n">
        <v>350</v>
      </c>
      <c r="H269" s="15" t="n">
        <v>30</v>
      </c>
      <c r="I269" s="15" t="n">
        <v>144</v>
      </c>
      <c r="J269" s="13" t="n">
        <v>25</v>
      </c>
      <c r="K269" t="n">
        <v>35</v>
      </c>
      <c r="L269" s="13" t="n">
        <v>1.3</v>
      </c>
      <c r="M269" s="12" t="n"/>
      <c r="N269" s="8" t="n">
        <v>1.052621376634402</v>
      </c>
      <c r="O269" s="15" t="n">
        <v>0.8339759501211575</v>
      </c>
      <c r="P269" s="15" t="n">
        <v>0.9836532745516593</v>
      </c>
      <c r="Q269" s="15" t="n">
        <v>0.0009686875581134894</v>
      </c>
      <c r="R269" s="15" t="n">
        <v>0.02299826032551093</v>
      </c>
      <c r="S269" s="15" t="n">
        <v>0.001786653762932769</v>
      </c>
      <c r="T269" s="29">
        <f>HIPERLINK($A$1 &amp; "\Dados\Imagem_perfil_269.png", "Imagem_perfil_269")</f>
        <v/>
      </c>
      <c r="U269" s="29">
        <f>HIPERLINK($A$1 &amp; "\Dados\Results_airgap269.txt", "Results_airgap269")</f>
        <v/>
      </c>
      <c r="V269" s="19" t="n"/>
      <c r="W269" s="43" t="n">
        <v>1.332105869565217</v>
      </c>
      <c r="X269" s="15" t="n">
        <v>0.670828786055258</v>
      </c>
      <c r="Y269" s="15" t="n">
        <v>0.03210065010907021</v>
      </c>
      <c r="Z269" s="15" t="n">
        <v>0.4112473852208669</v>
      </c>
      <c r="AA269" s="15" t="n">
        <v>2.072025561802478</v>
      </c>
      <c r="AB269" s="15" t="n">
        <v>0</v>
      </c>
      <c r="AC269" s="15" t="n">
        <v>0</v>
      </c>
      <c r="AD269" s="15" t="n">
        <v>20.52450777629434</v>
      </c>
      <c r="AE269" s="15" t="n">
        <v>64.5321576829365</v>
      </c>
      <c r="AF269" s="15" t="n">
        <v>106.8012125130421</v>
      </c>
      <c r="AH269" s="29">
        <f>HIPERLINK($A$1 &amp; "\Dados\Magnet_fields.txt_269.txt.txt", "Magnet_fields.txt_269.txt")</f>
        <v/>
      </c>
      <c r="AI269" t="n">
        <v>8753</v>
      </c>
      <c r="AJ269" t="n">
        <v>29</v>
      </c>
      <c r="AK269" s="29">
        <f>HIPERLINK($A$1 &amp; "\Dados\Magnet_3D_results.txt_269.txt.txt", "Magnet_3D_results.txt_269.txt")</f>
        <v/>
      </c>
      <c r="AL269" s="29">
        <f>HIPERLINK($A$1 &amp; "\Dados\Magnet_fields_2D.txt_269.txt.txt", "Magnet_fields_2D.txt_269.txt")</f>
        <v/>
      </c>
    </row>
    <row customHeight="1" ht="15.75" r="270" s="34">
      <c r="E270" s="15" t="n">
        <v>120</v>
      </c>
      <c r="F270" s="15" t="n">
        <v>170</v>
      </c>
      <c r="G270" s="15" t="n">
        <v>350</v>
      </c>
      <c r="H270" s="15" t="n">
        <v>30</v>
      </c>
      <c r="I270" s="15" t="n">
        <v>144</v>
      </c>
      <c r="J270" s="13" t="n">
        <v>25</v>
      </c>
      <c r="K270" t="n">
        <v>35</v>
      </c>
      <c r="L270" s="13" t="n">
        <v>1.4</v>
      </c>
      <c r="M270" s="12" t="n"/>
      <c r="N270" s="8" t="n">
        <v>1.077746606058721</v>
      </c>
      <c r="O270" s="15" t="n">
        <v>0.8538464213445213</v>
      </c>
      <c r="P270" s="15" t="n">
        <v>1.006963665227963</v>
      </c>
      <c r="Q270" s="15" t="n">
        <v>0.0009694441396804188</v>
      </c>
      <c r="R270" s="15" t="n">
        <v>0.02424003774279785</v>
      </c>
      <c r="S270" s="15" t="n">
        <v>0.001815087982458907</v>
      </c>
      <c r="T270" s="29">
        <f>HIPERLINK($A$1 &amp; "\Dados\Imagem_perfil_270.png", "Imagem_perfil_270")</f>
        <v/>
      </c>
      <c r="U270" s="29">
        <f>HIPERLINK($A$1 &amp; "\Dados\Results_airgap270.txt", "Results_airgap270")</f>
        <v/>
      </c>
      <c r="V270" s="19" t="n"/>
      <c r="W270" s="43" t="n">
        <v>1.363168695652174</v>
      </c>
      <c r="X270" s="15" t="n">
        <v>0.6878675450449865</v>
      </c>
      <c r="Y270" s="15" t="n">
        <v>0.08125896820122457</v>
      </c>
      <c r="Z270" s="15" t="n">
        <v>0.2212063977267469</v>
      </c>
      <c r="AA270" s="15" t="n">
        <v>0.4805078065856104</v>
      </c>
      <c r="AB270" s="15" t="n">
        <v>0</v>
      </c>
      <c r="AC270" s="15" t="n">
        <v>4.370280288256119</v>
      </c>
      <c r="AD270" s="15" t="n">
        <v>26.43408809972751</v>
      </c>
      <c r="AE270" s="15" t="n">
        <v>67.28564159943282</v>
      </c>
      <c r="AF270" s="15" t="n">
        <v>107.732083422174</v>
      </c>
      <c r="AH270" s="29">
        <f>HIPERLINK($A$1 &amp; "\Dados\Magnet_fields.txt_270.txt.txt", "Magnet_fields.txt_270.txt")</f>
        <v/>
      </c>
      <c r="AI270" t="n">
        <v>8753</v>
      </c>
      <c r="AJ270" t="n">
        <v>29</v>
      </c>
      <c r="AK270" s="29">
        <f>HIPERLINK($A$1 &amp; "\Dados\Magnet_3D_results.txt_270.txt.txt", "Magnet_3D_results.txt_270.txt")</f>
        <v/>
      </c>
      <c r="AL270" s="29">
        <f>HIPERLINK($A$1 &amp; "\Dados\Magnet_fields_2D.txt_270.txt.txt", "Magnet_fields_2D.txt_270.txt")</f>
        <v/>
      </c>
    </row>
    <row customHeight="1" ht="15.75" r="271" s="34">
      <c r="E271" s="15" t="n">
        <v>120</v>
      </c>
      <c r="F271" s="15" t="n">
        <v>170</v>
      </c>
      <c r="G271" s="15" t="n">
        <v>350</v>
      </c>
      <c r="H271" s="15" t="n">
        <v>30</v>
      </c>
      <c r="I271" s="15" t="n">
        <v>144</v>
      </c>
      <c r="J271" s="13" t="n">
        <v>25</v>
      </c>
      <c r="K271" t="n">
        <v>35</v>
      </c>
      <c r="L271" s="13" t="n">
        <v>1.5</v>
      </c>
      <c r="M271" s="12" t="n"/>
      <c r="N271" s="8" t="n">
        <v>1.088209385964239</v>
      </c>
      <c r="O271" s="15" t="n">
        <v>0.8620896201690161</v>
      </c>
      <c r="P271" s="15" t="n">
        <v>1.01680164062145</v>
      </c>
      <c r="Q271" s="15" t="n">
        <v>0.0009702412480376975</v>
      </c>
      <c r="R271" s="15" t="n">
        <v>0.02468254412369459</v>
      </c>
      <c r="S271" s="15" t="n">
        <v>0.001825479060129164</v>
      </c>
      <c r="T271" s="29">
        <f>HIPERLINK($A$1 &amp; "\Dados\Imagem_perfil_271.png", "Imagem_perfil_271")</f>
        <v/>
      </c>
      <c r="U271" s="29">
        <f>HIPERLINK($A$1 &amp; "\Dados\Results_airgap271.txt", "Results_airgap271")</f>
        <v/>
      </c>
      <c r="V271" s="19" t="n"/>
      <c r="W271" s="43" t="n">
        <v>1.378575</v>
      </c>
      <c r="X271" s="15" t="n">
        <v>0.694928188074121</v>
      </c>
      <c r="Y271" s="15" t="n">
        <v>0.1508049890911275</v>
      </c>
      <c r="Z271" s="15" t="n">
        <v>0.1870714072907384</v>
      </c>
      <c r="AA271" s="15" t="n">
        <v>0.1751536118722051</v>
      </c>
      <c r="AB271" s="15" t="n">
        <v>0.884765569230971</v>
      </c>
      <c r="AC271" s="15" t="n">
        <v>7.50528514085195</v>
      </c>
      <c r="AD271" s="15" t="n">
        <v>28.89543419984969</v>
      </c>
      <c r="AE271" s="15" t="n">
        <v>68.43970427561462</v>
      </c>
      <c r="AF271" s="15" t="n">
        <v>107.9610663728292</v>
      </c>
      <c r="AH271" s="29">
        <f>HIPERLINK($A$1 &amp; "\Dados\Magnet_fields.txt_271.txt.txt", "Magnet_fields.txt_271.txt")</f>
        <v/>
      </c>
      <c r="AI271" t="n">
        <v>8753</v>
      </c>
      <c r="AJ271" t="n">
        <v>29</v>
      </c>
      <c r="AK271" s="29">
        <f>HIPERLINK($A$1 &amp; "\Dados\Magnet_3D_results.txt_271.txt.txt", "Magnet_3D_results.txt_271.txt")</f>
        <v/>
      </c>
      <c r="AL271" s="29">
        <f>HIPERLINK($A$1 &amp; "\Dados\Magnet_fields_2D.txt_271.txt.txt", "Magnet_fields_2D.txt_271.txt")</f>
        <v/>
      </c>
    </row>
    <row customHeight="1" ht="15.75" r="272" s="34">
      <c r="E272" s="15" t="n">
        <v>120</v>
      </c>
      <c r="F272" s="15" t="n">
        <v>170</v>
      </c>
      <c r="G272" s="15" t="n">
        <v>350</v>
      </c>
      <c r="H272" s="15" t="n">
        <v>30</v>
      </c>
      <c r="I272" s="15" t="n">
        <v>144</v>
      </c>
      <c r="J272" s="13" t="n">
        <v>25</v>
      </c>
      <c r="K272" t="n">
        <v>35</v>
      </c>
      <c r="L272" s="13" t="n">
        <v>1.6</v>
      </c>
      <c r="M272" s="12" t="n"/>
      <c r="N272" s="8" t="n">
        <v>1.097102981931831</v>
      </c>
      <c r="O272" s="15" t="n">
        <v>0.869133807540504</v>
      </c>
      <c r="P272" s="15" t="n">
        <v>1.025090985965611</v>
      </c>
      <c r="Q272" s="15" t="n">
        <v>0.0009684348848038461</v>
      </c>
      <c r="R272" s="15" t="n">
        <v>0.02513575955917854</v>
      </c>
      <c r="S272" s="15" t="n">
        <v>0.001833393848286093</v>
      </c>
      <c r="T272" s="29">
        <f>HIPERLINK($A$1 &amp; "\Dados\Imagem_perfil_272.png", "Imagem_perfil_272")</f>
        <v/>
      </c>
      <c r="U272" s="29">
        <f>HIPERLINK($A$1 &amp; "\Dados\Results_airgap272.txt", "Results_airgap272")</f>
        <v/>
      </c>
      <c r="V272" s="19" t="n"/>
      <c r="W272" s="15" t="n">
        <v>1.386468260869565</v>
      </c>
      <c r="X272" s="15" t="n">
        <v>0.7009819561171322</v>
      </c>
      <c r="Y272" s="15" t="n">
        <v>0.2334107945647048</v>
      </c>
      <c r="Z272" s="15" t="n">
        <v>0.1359994860014961</v>
      </c>
      <c r="AA272" s="15" t="n">
        <v>0.0662726024785702</v>
      </c>
      <c r="AB272" s="15" t="n">
        <v>1.665845543637932</v>
      </c>
      <c r="AC272" s="15" t="n">
        <v>9.161820148637499</v>
      </c>
      <c r="AD272" s="15" t="n">
        <v>30.22699021309186</v>
      </c>
      <c r="AE272" s="15" t="n">
        <v>69.08034967220415</v>
      </c>
      <c r="AF272" s="15" t="n">
        <v>108.0434208536325</v>
      </c>
      <c r="AH272" s="29">
        <f>HIPERLINK($A$1 &amp; "\Dados\Magnet_fields.txt_272.txt.txt", "Magnet_fields.txt_272.txt")</f>
        <v/>
      </c>
      <c r="AI272" t="n">
        <v>8753</v>
      </c>
      <c r="AJ272" t="n">
        <v>28</v>
      </c>
      <c r="AK272" s="29">
        <f>HIPERLINK($A$1 &amp; "\Dados\Magnet_3D_results.txt_272.txt.txt", "Magnet_3D_results.txt_272.txt")</f>
        <v/>
      </c>
      <c r="AL272" s="29">
        <f>HIPERLINK($A$1 &amp; "\Dados\Magnet_fields_2D.txt_272.txt.txt", "Magnet_fields_2D.txt_272.txt")</f>
        <v/>
      </c>
    </row>
    <row customHeight="1" ht="15.75" r="273" s="34">
      <c r="E273" s="15" t="n">
        <v>120</v>
      </c>
      <c r="F273" s="15" t="n">
        <v>170</v>
      </c>
      <c r="G273" s="15" t="n">
        <v>350</v>
      </c>
      <c r="H273" s="15" t="n">
        <v>30</v>
      </c>
      <c r="I273" s="15" t="n">
        <v>144</v>
      </c>
      <c r="J273" s="13" t="n">
        <v>25</v>
      </c>
      <c r="K273" t="n">
        <v>35</v>
      </c>
      <c r="L273" s="13" t="n">
        <v>1.7</v>
      </c>
      <c r="M273" s="12" t="n"/>
      <c r="N273" s="8" t="n">
        <v>1.101077319076989</v>
      </c>
      <c r="O273" s="15" t="n">
        <v>0.8722552994663433</v>
      </c>
      <c r="P273" s="15" t="n">
        <v>1.028772286561881</v>
      </c>
      <c r="Q273" s="15" t="n">
        <v>0.0009688649052345812</v>
      </c>
      <c r="R273" s="15" t="n">
        <v>0.02527622154198572</v>
      </c>
      <c r="S273" s="15" t="n">
        <v>0.001836735608110445</v>
      </c>
      <c r="T273" s="29">
        <f>HIPERLINK($A$1 &amp; "\Dados\Imagem_perfil_273.png", "Imagem_perfil_273")</f>
        <v/>
      </c>
      <c r="U273" s="29">
        <f>HIPERLINK($A$1 &amp; "\Dados\Results_airgap273.txt", "Results_airgap273")</f>
        <v/>
      </c>
      <c r="V273" s="19" t="n"/>
      <c r="W273" s="15" t="n">
        <v>1.39098652173913</v>
      </c>
      <c r="X273" s="15" t="n">
        <v>0.7036369526907279</v>
      </c>
      <c r="Y273" s="15" t="n">
        <v>0.3235155380058156</v>
      </c>
      <c r="Z273" s="15" t="n">
        <v>0.1359994860014961</v>
      </c>
      <c r="AA273" s="15" t="n">
        <v>0.03867927855390639</v>
      </c>
      <c r="AB273" s="15" t="n">
        <v>2.125424730463983</v>
      </c>
      <c r="AC273" s="15" t="n">
        <v>10.14380457457106</v>
      </c>
      <c r="AD273" s="15" t="n">
        <v>31.03805272292538</v>
      </c>
      <c r="AE273" s="15" t="n">
        <v>69.47814177673511</v>
      </c>
      <c r="AF273" s="15" t="n">
        <v>108.1355598655725</v>
      </c>
      <c r="AH273" s="29">
        <f>HIPERLINK($A$1 &amp; "\Dados\Magnet_fields.txt_273.txt.txt", "Magnet_fields.txt_273.txt")</f>
        <v/>
      </c>
      <c r="AI273" t="n">
        <v>8753</v>
      </c>
      <c r="AJ273" t="n">
        <v>29</v>
      </c>
      <c r="AK273" s="29">
        <f>HIPERLINK($A$1 &amp; "\Dados\Magnet_3D_results.txt_273.txt.txt", "Magnet_3D_results.txt_273.txt")</f>
        <v/>
      </c>
      <c r="AL273" s="29">
        <f>HIPERLINK($A$1 &amp; "\Dados\Magnet_fields_2D.txt_273.txt.txt", "Magnet_fields_2D.txt_273.txt")</f>
        <v/>
      </c>
    </row>
    <row customHeight="1" ht="15.75" r="274" s="34">
      <c r="E274" s="15" t="n">
        <v>120</v>
      </c>
      <c r="F274" s="15" t="n">
        <v>170</v>
      </c>
      <c r="G274" s="15" t="n">
        <v>350</v>
      </c>
      <c r="H274" s="15" t="n">
        <v>30</v>
      </c>
      <c r="I274" s="15" t="n">
        <v>144</v>
      </c>
      <c r="J274" s="13" t="n">
        <v>25</v>
      </c>
      <c r="K274" t="n">
        <v>35</v>
      </c>
      <c r="L274" s="13" t="n">
        <v>1.8</v>
      </c>
      <c r="M274" s="12" t="n"/>
      <c r="N274" s="8" t="n">
        <v>1.101077319076989</v>
      </c>
      <c r="O274" s="15" t="n">
        <v>0.8722552994663429</v>
      </c>
      <c r="P274" s="15" t="n">
        <v>1.028772286561881</v>
      </c>
      <c r="Q274" s="15" t="n">
        <v>0.0009688649052345812</v>
      </c>
      <c r="R274" s="15" t="n">
        <v>0.02527622154198572</v>
      </c>
      <c r="S274" s="15" t="n">
        <v>0.001836735608110445</v>
      </c>
      <c r="T274" s="29">
        <f>HIPERLINK($A$1 &amp; "\Dados\Imagem_perfil_274.png", "Imagem_perfil_274")</f>
        <v/>
      </c>
      <c r="U274" s="29">
        <f>HIPERLINK($A$1 &amp; "\Dados\Results_airgap274.txt", "Results_airgap274")</f>
        <v/>
      </c>
      <c r="V274" s="19" t="n"/>
      <c r="W274" s="15" t="n">
        <v>1.394135</v>
      </c>
      <c r="X274" s="15" t="n">
        <v>0.7036369526907278</v>
      </c>
      <c r="Y274" s="15" t="n">
        <v>0.4172780181754184</v>
      </c>
      <c r="Z274" s="15" t="n">
        <v>0.1359994860014961</v>
      </c>
      <c r="AA274" s="15" t="n">
        <v>0.03867927855390639</v>
      </c>
      <c r="AB274" s="15" t="n">
        <v>2.457157911351957</v>
      </c>
      <c r="AC274" s="15" t="n">
        <v>10.85747848902032</v>
      </c>
      <c r="AD274" s="15" t="n">
        <v>31.62521644285748</v>
      </c>
      <c r="AE274" s="15" t="n">
        <v>69.74699434725531</v>
      </c>
      <c r="AF274" s="15" t="n">
        <v>108.1841186596155</v>
      </c>
      <c r="AH274" s="29">
        <f>HIPERLINK($A$1 &amp; "\Dados\Magnet_fields.txt_274.txt.txt", "Magnet_fields.txt_274.txt")</f>
        <v/>
      </c>
      <c r="AI274" t="n">
        <v>8753</v>
      </c>
      <c r="AJ274" t="n">
        <v>29</v>
      </c>
      <c r="AK274" s="29">
        <f>HIPERLINK($A$1 &amp; "\Dados\Magnet_3D_results.txt_274.txt.txt", "Magnet_3D_results.txt_274.txt")</f>
        <v/>
      </c>
      <c r="AL274" s="29">
        <f>HIPERLINK($A$1 &amp; "\Dados\Magnet_fields_2D.txt_274.txt.txt", "Magnet_fields_2D.txt_274.txt")</f>
        <v/>
      </c>
    </row>
    <row customHeight="1" ht="15.75" r="275" s="34">
      <c r="E275" s="15" t="n">
        <v>120</v>
      </c>
      <c r="F275" s="15" t="n">
        <v>170</v>
      </c>
      <c r="G275" s="15" t="n">
        <v>350</v>
      </c>
      <c r="H275" s="15" t="n">
        <v>30</v>
      </c>
      <c r="I275" s="15" t="n">
        <v>144</v>
      </c>
      <c r="J275" s="13" t="n">
        <v>25</v>
      </c>
      <c r="K275" t="n">
        <v>35</v>
      </c>
      <c r="L275" s="13" t="n">
        <v>1.900000000000001</v>
      </c>
      <c r="M275" s="12" t="n"/>
      <c r="N275" s="8" t="n">
        <v>1.104207848198381</v>
      </c>
      <c r="O275" s="15" t="n">
        <v>0.8747081676807429</v>
      </c>
      <c r="P275" s="15" t="n">
        <v>1.031695291570907</v>
      </c>
      <c r="Q275" s="15" t="n">
        <v>0.0009690222444629686</v>
      </c>
      <c r="R275" s="15" t="n">
        <v>0.02540090455376457</v>
      </c>
      <c r="S275" s="15" t="n">
        <v>0.001839446466035325</v>
      </c>
      <c r="T275" s="29">
        <f>HIPERLINK($A$1 &amp; "\Dados\Imagem_perfil_275.png", "Imagem_perfil_275")</f>
        <v/>
      </c>
      <c r="U275" s="29">
        <f>HIPERLINK($A$1 &amp; "\Dados\Results_airgap275.txt", "Results_airgap275")</f>
        <v/>
      </c>
      <c r="V275" s="19" t="n"/>
      <c r="W275" s="15" t="n">
        <v>1.396235434782608</v>
      </c>
      <c r="X275" s="15" t="n">
        <v>0.705760573873886</v>
      </c>
      <c r="Y275" s="15" t="n">
        <v>0.5121234673749324</v>
      </c>
      <c r="Z275" s="15" t="n">
        <v>0.1314874244654786</v>
      </c>
      <c r="AA275" s="15" t="n">
        <v>0.03715625226882013</v>
      </c>
      <c r="AB275" s="15" t="n">
        <v>2.674918258371993</v>
      </c>
      <c r="AC275" s="15" t="n">
        <v>11.34179604394277</v>
      </c>
      <c r="AD275" s="15" t="n">
        <v>32.03292751681366</v>
      </c>
      <c r="AE275" s="15" t="n">
        <v>69.9332031226439</v>
      </c>
      <c r="AF275" s="15" t="n">
        <v>108.2192391534758</v>
      </c>
      <c r="AH275" s="29">
        <f>HIPERLINK($A$1 &amp; "\Dados\Magnet_fields.txt_275.txt.txt", "Magnet_fields.txt_275.txt")</f>
        <v/>
      </c>
      <c r="AI275" t="n">
        <v>8753</v>
      </c>
      <c r="AJ275" t="n">
        <v>29</v>
      </c>
      <c r="AK275" s="29">
        <f>HIPERLINK($A$1 &amp; "\Dados\Magnet_3D_results.txt_275.txt.txt", "Magnet_3D_results.txt_275.txt")</f>
        <v/>
      </c>
      <c r="AL275" s="29">
        <f>HIPERLINK($A$1 &amp; "\Dados\Magnet_fields_2D.txt_275.txt.txt", "Magnet_fields_2D.txt_275.txt")</f>
        <v/>
      </c>
    </row>
    <row customHeight="1" ht="15.75" r="276" s="34">
      <c r="E276" s="15" t="n">
        <v>120</v>
      </c>
      <c r="F276" s="15" t="n">
        <v>170</v>
      </c>
      <c r="G276" s="15" t="n">
        <v>350</v>
      </c>
      <c r="H276" s="15" t="n">
        <v>30</v>
      </c>
      <c r="I276" s="15" t="n">
        <v>144</v>
      </c>
      <c r="J276" s="13" t="n">
        <v>25</v>
      </c>
      <c r="K276" t="n">
        <v>35</v>
      </c>
      <c r="L276" s="13" t="n">
        <v>2.000000000000001</v>
      </c>
      <c r="M276" s="12" t="n"/>
      <c r="N276" s="8" t="n">
        <v>1.105065730559098</v>
      </c>
      <c r="O276" s="15" t="n">
        <v>0.8754052594544325</v>
      </c>
      <c r="P276" s="15" t="n">
        <v>1.032495329377118</v>
      </c>
      <c r="Q276" s="15" t="n">
        <v>0.0009677564698945271</v>
      </c>
      <c r="R276" s="15" t="n">
        <v>0.02550674001581526</v>
      </c>
      <c r="S276" s="15" t="n">
        <v>0.001840427019477913</v>
      </c>
      <c r="T276" s="29">
        <f>HIPERLINK($A$1 &amp; "\Dados\Imagem_perfil_276.png", "Imagem_perfil_276")</f>
        <v/>
      </c>
      <c r="U276" s="29">
        <f>HIPERLINK($A$1 &amp; "\Dados\Results_airgap276.txt", "Results_airgap276")</f>
        <v/>
      </c>
      <c r="V276" s="19" t="n"/>
      <c r="W276" s="15" t="n">
        <v>1.397755</v>
      </c>
      <c r="X276" s="15" t="n">
        <v>0.7063935867913694</v>
      </c>
      <c r="Y276" s="15" t="n">
        <v>0.6063504600798064</v>
      </c>
      <c r="Z276" s="15" t="n">
        <v>0.1157103909922977</v>
      </c>
      <c r="AA276" s="15" t="n">
        <v>0.006013857918358972</v>
      </c>
      <c r="AB276" s="15" t="n">
        <v>2.812365631806755</v>
      </c>
      <c r="AC276" s="15" t="n">
        <v>11.69496878643427</v>
      </c>
      <c r="AD276" s="15" t="n">
        <v>32.33414491265567</v>
      </c>
      <c r="AE276" s="15" t="n">
        <v>70.09029437346528</v>
      </c>
      <c r="AF276" s="15" t="n">
        <v>108.2649817890769</v>
      </c>
      <c r="AH276" s="29">
        <f>HIPERLINK($A$1 &amp; "\Dados\Magnet_fields.txt_276.txt.txt", "Magnet_fields.txt_276.txt")</f>
        <v/>
      </c>
      <c r="AI276" t="n">
        <v>8753</v>
      </c>
      <c r="AJ276" t="n">
        <v>28</v>
      </c>
      <c r="AK276" s="29">
        <f>HIPERLINK($A$1 &amp; "\Dados\Magnet_3D_results.txt_276.txt.txt", "Magnet_3D_results.txt_276.txt")</f>
        <v/>
      </c>
      <c r="AL276" s="29">
        <f>HIPERLINK($A$1 &amp; "\Dados\Magnet_fields_2D.txt_276.txt.txt", "Magnet_fields_2D.txt_276.txt")</f>
        <v/>
      </c>
    </row>
    <row customHeight="1" ht="15.75" r="277" s="34">
      <c r="E277" s="15" t="n">
        <v>120</v>
      </c>
      <c r="F277" s="15" t="n">
        <v>170</v>
      </c>
      <c r="G277" s="15" t="n">
        <v>350</v>
      </c>
      <c r="H277" s="15" t="n">
        <v>30</v>
      </c>
      <c r="I277" s="15" t="n">
        <v>144</v>
      </c>
      <c r="J277" s="13" t="n">
        <v>25</v>
      </c>
      <c r="K277" t="n">
        <v>35</v>
      </c>
      <c r="L277" s="13" t="n">
        <v>2.100000000000001</v>
      </c>
      <c r="M277" s="12" t="n"/>
      <c r="N277" s="8" t="n">
        <v>1.105065730559098</v>
      </c>
      <c r="O277" s="15" t="n">
        <v>0.8754052594544323</v>
      </c>
      <c r="P277" s="15" t="n">
        <v>1.032495329377118</v>
      </c>
      <c r="Q277" s="15" t="n">
        <v>0.0009677564698945271</v>
      </c>
      <c r="R277" s="15" t="n">
        <v>0.02550674001581526</v>
      </c>
      <c r="S277" s="15" t="n">
        <v>0.001840427019477912</v>
      </c>
      <c r="T277" s="29">
        <f>HIPERLINK($A$1 &amp; "\Dados\Imagem_perfil_277.png", "Imagem_perfil_277")</f>
        <v/>
      </c>
      <c r="U277" s="29">
        <f>HIPERLINK($A$1 &amp; "\Dados\Results_airgap277.txt", "Results_airgap277")</f>
        <v/>
      </c>
      <c r="V277" s="19" t="n"/>
      <c r="W277" s="15" t="n">
        <v>1.398997391304348</v>
      </c>
      <c r="X277" s="15" t="n">
        <v>0.7063935867913694</v>
      </c>
      <c r="Y277" s="15" t="n">
        <v>0.6988523236051629</v>
      </c>
      <c r="Z277" s="15" t="n">
        <v>0.1157103909922977</v>
      </c>
      <c r="AA277" s="15" t="n">
        <v>0.006013857918358972</v>
      </c>
      <c r="AB277" s="15" t="n">
        <v>2.969569018613881</v>
      </c>
      <c r="AC277" s="15" t="n">
        <v>11.98826000375035</v>
      </c>
      <c r="AD277" s="15" t="n">
        <v>32.57475313415048</v>
      </c>
      <c r="AE277" s="15" t="n">
        <v>70.20470991790428</v>
      </c>
      <c r="AF277" s="15" t="n">
        <v>108.2961994263396</v>
      </c>
      <c r="AH277" s="29">
        <f>HIPERLINK($A$1 &amp; "\Dados\Magnet_fields.txt_277.txt.txt", "Magnet_fields.txt_277.txt")</f>
        <v/>
      </c>
      <c r="AI277" t="n">
        <v>8753</v>
      </c>
      <c r="AJ277" t="n">
        <v>28</v>
      </c>
      <c r="AK277" s="29">
        <f>HIPERLINK($A$1 &amp; "\Dados\Magnet_3D_results.txt_277.txt.txt", "Magnet_3D_results.txt_277.txt")</f>
        <v/>
      </c>
      <c r="AL277" s="29">
        <f>HIPERLINK($A$1 &amp; "\Dados\Magnet_fields_2D.txt_277.txt.txt", "Magnet_fields_2D.txt_277.txt")</f>
        <v/>
      </c>
    </row>
    <row customHeight="1" ht="15.75" r="278" s="34">
      <c r="E278" s="15" t="n">
        <v>120</v>
      </c>
      <c r="F278" s="15" t="n">
        <v>170</v>
      </c>
      <c r="G278" s="15" t="n">
        <v>350</v>
      </c>
      <c r="H278" s="15" t="n">
        <v>32</v>
      </c>
      <c r="I278" s="15" t="n">
        <v>144</v>
      </c>
      <c r="J278" s="13" t="n">
        <v>25</v>
      </c>
      <c r="K278" t="n">
        <v>35</v>
      </c>
      <c r="L278" s="13" t="n">
        <v>1.3</v>
      </c>
      <c r="M278" s="12" t="n"/>
      <c r="N278" s="8" t="n">
        <v>1.054351970896044</v>
      </c>
      <c r="O278" s="15" t="n">
        <v>0.8371653088212989</v>
      </c>
      <c r="P278" s="15" t="n">
        <v>0.9855828138130224</v>
      </c>
      <c r="Q278" s="15" t="n">
        <v>0.0009715908367998177</v>
      </c>
      <c r="R278" s="15" t="n">
        <v>0.02338592165502452</v>
      </c>
      <c r="S278" s="15" t="n">
        <v>0.001767009615259467</v>
      </c>
      <c r="T278" s="29">
        <f>HIPERLINK($A$1 &amp; "\Dados\Imagem_perfil_278.png", "Imagem_perfil_278")</f>
        <v/>
      </c>
      <c r="U278" s="29">
        <f>HIPERLINK($A$1 &amp; "\Dados\Results_airgap278.txt", "Results_airgap278")</f>
        <v/>
      </c>
      <c r="V278" s="19" t="n"/>
      <c r="W278" s="43" t="n">
        <v>1.332169130434782</v>
      </c>
      <c r="X278" s="15" t="n">
        <v>0.6768500611566366</v>
      </c>
      <c r="Y278" s="15" t="n">
        <v>0.03209606041907263</v>
      </c>
      <c r="Z278" s="15" t="n">
        <v>0.3993144095569714</v>
      </c>
      <c r="AA278" s="15" t="n">
        <v>0.967977838350895</v>
      </c>
      <c r="AB278" s="15" t="n">
        <v>0</v>
      </c>
      <c r="AC278" s="15" t="n">
        <v>0</v>
      </c>
      <c r="AD278" s="15" t="n">
        <v>20.53071047215163</v>
      </c>
      <c r="AE278" s="15" t="n">
        <v>64.54926485315987</v>
      </c>
      <c r="AF278" s="15" t="n">
        <v>106.8475548724534</v>
      </c>
      <c r="AH278" s="29">
        <f>HIPERLINK($A$1 &amp; "\Dados\Magnet_fields.txt_278.txt.txt", "Magnet_fields.txt_278.txt")</f>
        <v/>
      </c>
      <c r="AI278" t="n">
        <v>7856</v>
      </c>
      <c r="AJ278" t="n">
        <v>29</v>
      </c>
      <c r="AK278" s="29">
        <f>HIPERLINK($A$1 &amp; "\Dados\Magnet_3D_results.txt_278.txt.txt", "Magnet_3D_results.txt_278.txt")</f>
        <v/>
      </c>
      <c r="AL278" s="29">
        <f>HIPERLINK($A$1 &amp; "\Dados\Magnet_fields_2D.txt_278.txt.txt", "Magnet_fields_2D.txt_278.txt")</f>
        <v/>
      </c>
    </row>
    <row customHeight="1" ht="15.75" r="279" s="34">
      <c r="E279" s="15" t="n">
        <v>120</v>
      </c>
      <c r="F279" s="15" t="n">
        <v>170</v>
      </c>
      <c r="G279" s="15" t="n">
        <v>350</v>
      </c>
      <c r="H279" s="15" t="n">
        <v>32</v>
      </c>
      <c r="I279" s="15" t="n">
        <v>144</v>
      </c>
      <c r="J279" s="13" t="n">
        <v>25</v>
      </c>
      <c r="K279" t="n">
        <v>35</v>
      </c>
      <c r="L279" s="13" t="n">
        <v>1.4</v>
      </c>
      <c r="M279" s="12" t="n"/>
      <c r="N279" s="8" t="n">
        <v>1.079169846246654</v>
      </c>
      <c r="O279" s="15" t="n">
        <v>0.8567660892328181</v>
      </c>
      <c r="P279" s="15" t="n">
        <v>1.008589657741193</v>
      </c>
      <c r="Q279" s="15" t="n">
        <v>0.0009714942490175777</v>
      </c>
      <c r="R279" s="15" t="n">
        <v>0.02454945177933151</v>
      </c>
      <c r="S279" s="15" t="n">
        <v>0.001791874270601027</v>
      </c>
      <c r="T279" s="29">
        <f>HIPERLINK($A$1 &amp; "\Dados\Imagem_perfil_279.png", "Imagem_perfil_279")</f>
        <v/>
      </c>
      <c r="U279" s="29">
        <f>HIPERLINK($A$1 &amp; "\Dados\Results_airgap279.txt", "Results_airgap279")</f>
        <v/>
      </c>
      <c r="V279" s="19" t="n"/>
      <c r="W279" s="43" t="n">
        <v>1.363172173913043</v>
      </c>
      <c r="X279" s="15" t="n">
        <v>0.6937920065052731</v>
      </c>
      <c r="Y279" s="15" t="n">
        <v>0.08125200672138436</v>
      </c>
      <c r="Z279" s="15" t="n">
        <v>0.2732803246060873</v>
      </c>
      <c r="AA279" s="15" t="n">
        <v>0.1135099360880469</v>
      </c>
      <c r="AB279" s="15" t="n">
        <v>0</v>
      </c>
      <c r="AC279" s="15" t="n">
        <v>4.369151315714075</v>
      </c>
      <c r="AD279" s="15" t="n">
        <v>26.43137651064696</v>
      </c>
      <c r="AE279" s="15" t="n">
        <v>67.28613577941097</v>
      </c>
      <c r="AF279" s="15" t="n">
        <v>107.7318603046747</v>
      </c>
      <c r="AH279" s="29">
        <f>HIPERLINK($A$1 &amp; "\Dados\Magnet_fields.txt_279.txt.txt", "Magnet_fields.txt_279.txt")</f>
        <v/>
      </c>
      <c r="AI279" t="n">
        <v>7856</v>
      </c>
      <c r="AJ279" t="n">
        <v>29</v>
      </c>
      <c r="AK279" s="29">
        <f>HIPERLINK($A$1 &amp; "\Dados\Magnet_3D_results.txt_279.txt.txt", "Magnet_3D_results.txt_279.txt")</f>
        <v/>
      </c>
      <c r="AL279" s="29">
        <f>HIPERLINK($A$1 &amp; "\Dados\Magnet_fields_2D.txt_279.txt.txt", "Magnet_fields_2D.txt_279.txt")</f>
        <v/>
      </c>
    </row>
    <row customHeight="1" ht="15.75" r="280" s="34">
      <c r="E280" s="15" t="n">
        <v>120</v>
      </c>
      <c r="F280" s="15" t="n">
        <v>170</v>
      </c>
      <c r="G280" s="15" t="n">
        <v>350</v>
      </c>
      <c r="H280" s="15" t="n">
        <v>32</v>
      </c>
      <c r="I280" s="15" t="n">
        <v>144</v>
      </c>
      <c r="J280" s="13" t="n">
        <v>25</v>
      </c>
      <c r="K280" t="n">
        <v>35</v>
      </c>
      <c r="L280" s="13" t="n">
        <v>1.5</v>
      </c>
      <c r="M280" s="12" t="n"/>
      <c r="N280" s="8" t="n">
        <v>1.089492928407002</v>
      </c>
      <c r="O280" s="15" t="n">
        <v>0.8648842307303295</v>
      </c>
      <c r="P280" s="15" t="n">
        <v>1.018287767834798</v>
      </c>
      <c r="Q280" s="15" t="n">
        <v>0.000971988044159879</v>
      </c>
      <c r="R280" s="15" t="n">
        <v>0.02495532706277663</v>
      </c>
      <c r="S280" s="15" t="n">
        <v>0.001800828501579568</v>
      </c>
      <c r="T280" s="29">
        <f>HIPERLINK($A$1 &amp; "\Dados\Imagem_perfil_280.png", "Imagem_perfil_280")</f>
        <v/>
      </c>
      <c r="U280" s="29">
        <f>HIPERLINK($A$1 &amp; "\Dados\Results_airgap280.txt", "Results_airgap280")</f>
        <v/>
      </c>
      <c r="V280" s="19" t="n"/>
      <c r="W280" s="43" t="n">
        <v>1.378590869565217</v>
      </c>
      <c r="X280" s="15" t="n">
        <v>0.7008146581175956</v>
      </c>
      <c r="Y280" s="15" t="n">
        <v>0.1507957278260922</v>
      </c>
      <c r="Z280" s="15" t="n">
        <v>0.2052532541801548</v>
      </c>
      <c r="AA280" s="15" t="n">
        <v>0.01537556391347472</v>
      </c>
      <c r="AB280" s="15" t="n">
        <v>0.8749440195671304</v>
      </c>
      <c r="AC280" s="15" t="n">
        <v>7.501369830001095</v>
      </c>
      <c r="AD280" s="15" t="n">
        <v>28.9037597055782</v>
      </c>
      <c r="AE280" s="15" t="n">
        <v>68.44695389238115</v>
      </c>
      <c r="AF280" s="15" t="n">
        <v>107.9357235984469</v>
      </c>
      <c r="AH280" s="29">
        <f>HIPERLINK($A$1 &amp; "\Dados\Magnet_fields.txt_280.txt.txt", "Magnet_fields.txt_280.txt")</f>
        <v/>
      </c>
      <c r="AI280" t="n">
        <v>7856</v>
      </c>
      <c r="AJ280" t="n">
        <v>29</v>
      </c>
      <c r="AK280" s="29">
        <f>HIPERLINK($A$1 &amp; "\Dados\Magnet_3D_results.txt_280.txt.txt", "Magnet_3D_results.txt_280.txt")</f>
        <v/>
      </c>
      <c r="AL280" s="29">
        <f>HIPERLINK($A$1 &amp; "\Dados\Magnet_fields_2D.txt_280.txt.txt", "Magnet_fields_2D.txt_280.txt")</f>
        <v/>
      </c>
    </row>
    <row customHeight="1" ht="15.75" r="281" s="34">
      <c r="E281" s="15" t="n">
        <v>120</v>
      </c>
      <c r="F281" s="15" t="n">
        <v>170</v>
      </c>
      <c r="G281" s="15" t="n">
        <v>350</v>
      </c>
      <c r="H281" s="15" t="n">
        <v>32</v>
      </c>
      <c r="I281" s="15" t="n">
        <v>144</v>
      </c>
      <c r="J281" s="13" t="n">
        <v>25</v>
      </c>
      <c r="K281" t="n">
        <v>35</v>
      </c>
      <c r="L281" s="13" t="n">
        <v>1.6</v>
      </c>
      <c r="M281" s="12" t="n"/>
      <c r="N281" s="8" t="n">
        <v>1.09819996064635</v>
      </c>
      <c r="O281" s="15" t="n">
        <v>0.8717618656485254</v>
      </c>
      <c r="P281" s="15" t="n">
        <v>1.02639380292434</v>
      </c>
      <c r="Q281" s="15" t="n">
        <v>0.000969682011114074</v>
      </c>
      <c r="R281" s="15" t="n">
        <v>0.02535968969612155</v>
      </c>
      <c r="S281" s="15" t="n">
        <v>0.001806777488622065</v>
      </c>
      <c r="T281" s="29">
        <f>HIPERLINK($A$1 &amp; "\Dados\Imagem_perfil_281.png", "Imagem_perfil_281")</f>
        <v/>
      </c>
      <c r="U281" s="29">
        <f>HIPERLINK($A$1 &amp; "\Dados\Results_airgap281.txt", "Results_airgap281")</f>
        <v/>
      </c>
      <c r="V281" s="19" t="n"/>
      <c r="W281" s="15" t="n">
        <v>1.386462608695652</v>
      </c>
      <c r="X281" s="15" t="n">
        <v>0.7067674261843109</v>
      </c>
      <c r="Y281" s="15" t="n">
        <v>0.2333999736985865</v>
      </c>
      <c r="Z281" s="15" t="n">
        <v>0.1595071444213126</v>
      </c>
      <c r="AA281" s="15" t="n">
        <v>0.007298457763493174</v>
      </c>
      <c r="AB281" s="15" t="n">
        <v>1.658170101728767</v>
      </c>
      <c r="AC281" s="15" t="n">
        <v>9.159795199948377</v>
      </c>
      <c r="AD281" s="15" t="n">
        <v>30.22046912609232</v>
      </c>
      <c r="AE281" s="15" t="n">
        <v>69.08806130280571</v>
      </c>
      <c r="AF281" s="15" t="n">
        <v>108.0401184606183</v>
      </c>
      <c r="AH281" s="29">
        <f>HIPERLINK($A$1 &amp; "\Dados\Magnet_fields.txt_281.txt.txt", "Magnet_fields.txt_281.txt")</f>
        <v/>
      </c>
      <c r="AI281" t="n">
        <v>7856</v>
      </c>
      <c r="AJ281" t="n">
        <v>28</v>
      </c>
      <c r="AK281" s="29">
        <f>HIPERLINK($A$1 &amp; "\Dados\Magnet_3D_results.txt_281.txt.txt", "Magnet_3D_results.txt_281.txt")</f>
        <v/>
      </c>
      <c r="AL281" s="29">
        <f>HIPERLINK($A$1 &amp; "\Dados\Magnet_fields_2D.txt_281.txt.txt", "Magnet_fields_2D.txt_281.txt")</f>
        <v/>
      </c>
    </row>
    <row customHeight="1" ht="15.75" r="282" s="34">
      <c r="E282" s="15" t="n">
        <v>120</v>
      </c>
      <c r="F282" s="15" t="n">
        <v>170</v>
      </c>
      <c r="G282" s="15" t="n">
        <v>350</v>
      </c>
      <c r="H282" s="15" t="n">
        <v>32</v>
      </c>
      <c r="I282" s="15" t="n">
        <v>144</v>
      </c>
      <c r="J282" s="13" t="n">
        <v>25</v>
      </c>
      <c r="K282" t="n">
        <v>35</v>
      </c>
      <c r="L282" s="13" t="n">
        <v>1.7</v>
      </c>
      <c r="M282" s="12" t="n"/>
      <c r="N282" s="8" t="n">
        <v>1.102115611316559</v>
      </c>
      <c r="O282" s="15" t="n">
        <v>0.874831825894712</v>
      </c>
      <c r="P282" s="15" t="n">
        <v>1.030017909421967</v>
      </c>
      <c r="Q282" s="15" t="n">
        <v>0.0009700059980837113</v>
      </c>
      <c r="R282" s="15" t="n">
        <v>0.02548542676767116</v>
      </c>
      <c r="S282" s="15" t="n">
        <v>0.001809591456349734</v>
      </c>
      <c r="T282" s="29">
        <f>HIPERLINK($A$1 &amp; "\Dados\Imagem_perfil_282.png", "Imagem_perfil_282")</f>
        <v/>
      </c>
      <c r="U282" s="29">
        <f>HIPERLINK($A$1 &amp; "\Dados\Results_airgap282.txt", "Results_airgap282")</f>
        <v/>
      </c>
      <c r="V282" s="19" t="n"/>
      <c r="W282" s="15" t="n">
        <v>1.391099782608695</v>
      </c>
      <c r="X282" s="15" t="n">
        <v>0.7093960610205636</v>
      </c>
      <c r="Y282" s="15" t="n">
        <v>0.3235035254410493</v>
      </c>
      <c r="Z282" s="15" t="n">
        <v>0.1394731053805028</v>
      </c>
      <c r="AA282" s="15" t="n">
        <v>0.007298457763493174</v>
      </c>
      <c r="AB282" s="15" t="n">
        <v>2.132941212537687</v>
      </c>
      <c r="AC282" s="15" t="n">
        <v>10.16659665741608</v>
      </c>
      <c r="AD282" s="15" t="n">
        <v>31.06064812866362</v>
      </c>
      <c r="AE282" s="15" t="n">
        <v>69.4821895396704</v>
      </c>
      <c r="AF282" s="15" t="n">
        <v>108.1251493010295</v>
      </c>
      <c r="AH282" s="29">
        <f>HIPERLINK($A$1 &amp; "\Dados\Magnet_fields.txt_282.txt.txt", "Magnet_fields.txt_282.txt")</f>
        <v/>
      </c>
      <c r="AI282" t="n">
        <v>7856</v>
      </c>
      <c r="AJ282" t="n">
        <v>29</v>
      </c>
      <c r="AK282" s="29">
        <f>HIPERLINK($A$1 &amp; "\Dados\Magnet_3D_results.txt_282.txt.txt", "Magnet_3D_results.txt_282.txt")</f>
        <v/>
      </c>
      <c r="AL282" s="29">
        <f>HIPERLINK($A$1 &amp; "\Dados\Magnet_fields_2D.txt_282.txt.txt", "Magnet_fields_2D.txt_282.txt")</f>
        <v/>
      </c>
    </row>
    <row customHeight="1" ht="15.75" r="283" s="34">
      <c r="E283" s="15" t="n">
        <v>120</v>
      </c>
      <c r="F283" s="15" t="n">
        <v>170</v>
      </c>
      <c r="G283" s="15" t="n">
        <v>350</v>
      </c>
      <c r="H283" s="15" t="n">
        <v>32</v>
      </c>
      <c r="I283" s="15" t="n">
        <v>144</v>
      </c>
      <c r="J283" s="13" t="n">
        <v>25</v>
      </c>
      <c r="K283" t="n">
        <v>35</v>
      </c>
      <c r="L283" s="13" t="n">
        <v>1.8</v>
      </c>
      <c r="M283" s="12" t="n"/>
      <c r="N283" s="8" t="n">
        <v>1.102115611316559</v>
      </c>
      <c r="O283" s="15" t="n">
        <v>0.874831825894712</v>
      </c>
      <c r="P283" s="15" t="n">
        <v>1.030017909421967</v>
      </c>
      <c r="Q283" s="15" t="n">
        <v>0.0009700059980837111</v>
      </c>
      <c r="R283" s="15" t="n">
        <v>0.02548542676767117</v>
      </c>
      <c r="S283" s="15" t="n">
        <v>0.001809591456349734</v>
      </c>
      <c r="T283" s="29">
        <f>HIPERLINK($A$1 &amp; "\Dados\Imagem_perfil_283.png", "Imagem_perfil_283")</f>
        <v/>
      </c>
      <c r="U283" s="29">
        <f>HIPERLINK($A$1 &amp; "\Dados\Results_airgap283.txt", "Results_airgap283")</f>
        <v/>
      </c>
      <c r="V283" s="19" t="n"/>
      <c r="W283" s="15" t="n">
        <v>1.394123478260869</v>
      </c>
      <c r="X283" s="15" t="n">
        <v>0.7093960610205637</v>
      </c>
      <c r="Y283" s="15" t="n">
        <v>0.4172651222082714</v>
      </c>
      <c r="Z283" s="15" t="n">
        <v>0.1394731053805028</v>
      </c>
      <c r="AA283" s="15" t="n">
        <v>0.007298457763493174</v>
      </c>
      <c r="AB283" s="15" t="n">
        <v>2.456992929803274</v>
      </c>
      <c r="AC283" s="15" t="n">
        <v>10.8495266890385</v>
      </c>
      <c r="AD283" s="15" t="n">
        <v>31.62165915419423</v>
      </c>
      <c r="AE283" s="15" t="n">
        <v>69.74686026355974</v>
      </c>
      <c r="AF283" s="15" t="n">
        <v>108.1843517927271</v>
      </c>
      <c r="AH283" s="29">
        <f>HIPERLINK($A$1 &amp; "\Dados\Magnet_fields.txt_283.txt.txt", "Magnet_fields.txt_283.txt")</f>
        <v/>
      </c>
      <c r="AI283" t="n">
        <v>7856</v>
      </c>
      <c r="AJ283" t="n">
        <v>29</v>
      </c>
      <c r="AK283" s="29">
        <f>HIPERLINK($A$1 &amp; "\Dados\Magnet_3D_results.txt_283.txt.txt", "Magnet_3D_results.txt_283.txt")</f>
        <v/>
      </c>
      <c r="AL283" s="29">
        <f>HIPERLINK($A$1 &amp; "\Dados\Magnet_fields_2D.txt_283.txt.txt", "Magnet_fields_2D.txt_283.txt")</f>
        <v/>
      </c>
    </row>
    <row customHeight="1" ht="15.75" r="284" s="34">
      <c r="E284" s="15" t="n">
        <v>120</v>
      </c>
      <c r="F284" s="15" t="n">
        <v>170</v>
      </c>
      <c r="G284" s="15" t="n">
        <v>350</v>
      </c>
      <c r="H284" s="15" t="n">
        <v>32</v>
      </c>
      <c r="I284" s="15" t="n">
        <v>144</v>
      </c>
      <c r="J284" s="13" t="n">
        <v>25</v>
      </c>
      <c r="K284" t="n">
        <v>35</v>
      </c>
      <c r="L284" s="13" t="n">
        <v>1.900000000000001</v>
      </c>
      <c r="M284" s="12" t="n"/>
      <c r="N284" s="8" t="n">
        <v>1.105190312222331</v>
      </c>
      <c r="O284" s="15" t="n">
        <v>0.8772345095980488</v>
      </c>
      <c r="P284" s="15" t="n">
        <v>1.032885715119764</v>
      </c>
      <c r="Q284" s="15" t="n">
        <v>0.0009700486323320682</v>
      </c>
      <c r="R284" s="15" t="n">
        <v>0.02559579911777655</v>
      </c>
      <c r="S284" s="15" t="n">
        <v>0.001811787053674928</v>
      </c>
      <c r="T284" s="29">
        <f>HIPERLINK($A$1 &amp; "\Dados\Imagem_perfil_284.png", "Imagem_perfil_284")</f>
        <v/>
      </c>
      <c r="U284" s="29">
        <f>HIPERLINK($A$1 &amp; "\Dados\Results_airgap284.txt", "Results_airgap284")</f>
        <v/>
      </c>
      <c r="V284" s="19" t="n"/>
      <c r="W284" s="15" t="n">
        <v>1.396229565217391</v>
      </c>
      <c r="X284" s="15" t="n">
        <v>0.7115016015880233</v>
      </c>
      <c r="Y284" s="15" t="n">
        <v>0.5121099533090505</v>
      </c>
      <c r="Z284" s="15" t="n">
        <v>0.1394731053805028</v>
      </c>
      <c r="AA284" s="15" t="n">
        <v>0.007298457763493174</v>
      </c>
      <c r="AB284" s="15" t="n">
        <v>2.67061102720736</v>
      </c>
      <c r="AC284" s="15" t="n">
        <v>11.33522432265708</v>
      </c>
      <c r="AD284" s="15" t="n">
        <v>32.03369623188085</v>
      </c>
      <c r="AE284" s="15" t="n">
        <v>69.92991800030519</v>
      </c>
      <c r="AF284" s="15" t="n">
        <v>108.217987001736</v>
      </c>
      <c r="AH284" s="29">
        <f>HIPERLINK($A$1 &amp; "\Dados\Magnet_fields.txt_284.txt.txt", "Magnet_fields.txt_284.txt")</f>
        <v/>
      </c>
      <c r="AI284" t="n">
        <v>7856</v>
      </c>
      <c r="AJ284" t="n">
        <v>28</v>
      </c>
      <c r="AK284" s="29">
        <f>HIPERLINK($A$1 &amp; "\Dados\Magnet_3D_results.txt_284.txt.txt", "Magnet_3D_results.txt_284.txt")</f>
        <v/>
      </c>
      <c r="AL284" s="29">
        <f>HIPERLINK($A$1 &amp; "\Dados\Magnet_fields_2D.txt_284.txt.txt", "Magnet_fields_2D.txt_284.txt")</f>
        <v/>
      </c>
    </row>
    <row customHeight="1" ht="15.75" r="285" s="34">
      <c r="E285" s="15" t="n">
        <v>120</v>
      </c>
      <c r="F285" s="15" t="n">
        <v>170</v>
      </c>
      <c r="G285" s="15" t="n">
        <v>350</v>
      </c>
      <c r="H285" s="15" t="n">
        <v>32</v>
      </c>
      <c r="I285" s="15" t="n">
        <v>144</v>
      </c>
      <c r="J285" s="13" t="n">
        <v>25</v>
      </c>
      <c r="K285" t="n">
        <v>35</v>
      </c>
      <c r="L285" s="13" t="n">
        <v>2.000000000000001</v>
      </c>
      <c r="M285" s="12" t="n"/>
      <c r="N285" s="8" t="n">
        <v>1.10598862570156</v>
      </c>
      <c r="O285" s="15" t="n">
        <v>0.8778761222542997</v>
      </c>
      <c r="P285" s="15" t="n">
        <v>1.033626238965861</v>
      </c>
      <c r="Q285" s="15" t="n">
        <v>0.0009686402191068906</v>
      </c>
      <c r="R285" s="15" t="n">
        <v>0.02568482746671517</v>
      </c>
      <c r="S285" s="15" t="n">
        <v>0.001812167788652638</v>
      </c>
      <c r="T285" s="29">
        <f>HIPERLINK($A$1 &amp; "\Dados\Imagem_perfil_285.png", "Imagem_perfil_285")</f>
        <v/>
      </c>
      <c r="U285" s="29">
        <f>HIPERLINK($A$1 &amp; "\Dados\Results_airgap285.txt", "Results_airgap285")</f>
        <v/>
      </c>
      <c r="V285" s="19" t="n"/>
      <c r="W285" s="15" t="n">
        <v>1.397787608695652</v>
      </c>
      <c r="X285" s="15" t="n">
        <v>0.7120846848138599</v>
      </c>
      <c r="Y285" s="15" t="n">
        <v>0.6063365327361582</v>
      </c>
      <c r="Z285" s="15" t="n">
        <v>0.1288397006031588</v>
      </c>
      <c r="AA285" s="15" t="n">
        <v>0.007298457763493174</v>
      </c>
      <c r="AB285" s="15" t="n">
        <v>2.84126079888927</v>
      </c>
      <c r="AC285" s="15" t="n">
        <v>11.69749105431054</v>
      </c>
      <c r="AD285" s="15" t="n">
        <v>32.33640240100517</v>
      </c>
      <c r="AE285" s="15" t="n">
        <v>70.08071245026586</v>
      </c>
      <c r="AF285" s="15" t="n">
        <v>108.2586112679659</v>
      </c>
      <c r="AH285" s="29">
        <f>HIPERLINK($A$1 &amp; "\Dados\Magnet_fields.txt_285.txt.txt", "Magnet_fields.txt_285.txt")</f>
        <v/>
      </c>
      <c r="AI285" t="n">
        <v>7856</v>
      </c>
      <c r="AJ285" t="n">
        <v>28</v>
      </c>
      <c r="AK285" s="29">
        <f>HIPERLINK($A$1 &amp; "\Dados\Magnet_3D_results.txt_285.txt.txt", "Magnet_3D_results.txt_285.txt")</f>
        <v/>
      </c>
      <c r="AL285" s="29">
        <f>HIPERLINK($A$1 &amp; "\Dados\Magnet_fields_2D.txt_285.txt.txt", "Magnet_fields_2D.txt_285.txt")</f>
        <v/>
      </c>
    </row>
    <row customHeight="1" ht="15.75" r="286" s="34">
      <c r="E286" s="15" t="n">
        <v>120</v>
      </c>
      <c r="F286" s="15" t="n">
        <v>170</v>
      </c>
      <c r="G286" s="15" t="n">
        <v>350</v>
      </c>
      <c r="H286" s="15" t="n">
        <v>32</v>
      </c>
      <c r="I286" s="15" t="n">
        <v>144</v>
      </c>
      <c r="J286" s="13" t="n">
        <v>25</v>
      </c>
      <c r="K286" t="n">
        <v>35</v>
      </c>
      <c r="L286" s="13" t="n">
        <v>2.100000000000001</v>
      </c>
      <c r="M286" s="12" t="n"/>
      <c r="N286" s="8" t="n">
        <v>1.107412755181371</v>
      </c>
      <c r="O286" s="15" t="n">
        <v>0.8789993617237247</v>
      </c>
      <c r="P286" s="15" t="n">
        <v>1.035029035346664</v>
      </c>
      <c r="Q286" s="15" t="n">
        <v>0.0009687857000509912</v>
      </c>
      <c r="R286" s="15" t="n">
        <v>0.02572053692103235</v>
      </c>
      <c r="S286" s="15" t="n">
        <v>0.001812984913393027</v>
      </c>
      <c r="T286" s="29">
        <f>HIPERLINK($A$1 &amp; "\Dados\Imagem_perfil_286.png", "Imagem_perfil_286")</f>
        <v/>
      </c>
      <c r="U286" s="29">
        <f>HIPERLINK($A$1 &amp; "\Dados\Results_airgap286.txt", "Results_airgap286")</f>
        <v/>
      </c>
      <c r="V286" s="19" t="n"/>
      <c r="W286" s="15" t="n">
        <v>1.399066739130435</v>
      </c>
      <c r="X286" s="15" t="n">
        <v>0.7130510604025022</v>
      </c>
      <c r="Y286" s="15" t="n">
        <v>0.6988385623587693</v>
      </c>
      <c r="Z286" s="15" t="n">
        <v>0.1288397006031588</v>
      </c>
      <c r="AA286" s="15" t="n">
        <v>0.007298457763493174</v>
      </c>
      <c r="AB286" s="15" t="n">
        <v>2.90680459809734</v>
      </c>
      <c r="AC286" s="15" t="n">
        <v>12.04670127774014</v>
      </c>
      <c r="AD286" s="15" t="n">
        <v>32.56619146270623</v>
      </c>
      <c r="AE286" s="15" t="n">
        <v>70.22463810063027</v>
      </c>
      <c r="AF286" s="15" t="n">
        <v>108.2588712549124</v>
      </c>
      <c r="AH286" s="29">
        <f>HIPERLINK($A$1 &amp; "\Dados\Magnet_fields.txt_286.txt.txt", "Magnet_fields.txt_286.txt")</f>
        <v/>
      </c>
      <c r="AI286" t="n">
        <v>7856</v>
      </c>
      <c r="AJ286" t="n">
        <v>29</v>
      </c>
      <c r="AK286" s="29">
        <f>HIPERLINK($A$1 &amp; "\Dados\Magnet_3D_results.txt_286.txt.txt", "Magnet_3D_results.txt_286.txt")</f>
        <v/>
      </c>
      <c r="AL286" s="29">
        <f>HIPERLINK($A$1 &amp; "\Dados\Magnet_fields_2D.txt_286.txt.txt", "Magnet_fields_2D.txt_286.txt")</f>
        <v/>
      </c>
    </row>
    <row customHeight="1" ht="15.75" r="287" s="34">
      <c r="E287" s="15" t="n">
        <v>120</v>
      </c>
      <c r="F287" s="15" t="n">
        <v>170</v>
      </c>
      <c r="G287" s="15" t="n">
        <v>350</v>
      </c>
      <c r="H287" s="15" t="n">
        <v>34</v>
      </c>
      <c r="I287" s="15" t="n">
        <v>144</v>
      </c>
      <c r="J287" s="13" t="n">
        <v>25</v>
      </c>
      <c r="K287" t="n">
        <v>35</v>
      </c>
      <c r="L287" s="13" t="n">
        <v>1.3</v>
      </c>
      <c r="M287" s="12" t="n"/>
      <c r="N287" s="8" t="n">
        <v>1.056119062705085</v>
      </c>
      <c r="O287" s="15" t="n">
        <v>0.8377430360947773</v>
      </c>
      <c r="P287" s="15" t="n">
        <v>0.987793183724438</v>
      </c>
      <c r="Q287" s="15" t="n">
        <v>0.0009709380514863286</v>
      </c>
      <c r="R287" s="15" t="n">
        <v>0.02391373163761991</v>
      </c>
      <c r="S287" s="15" t="n">
        <v>0.001797656168142636</v>
      </c>
      <c r="T287" s="29">
        <f>HIPERLINK($A$1 &amp; "\Dados\Imagem_perfil_287.png", "Imagem_perfil_287")</f>
        <v/>
      </c>
      <c r="U287" s="29">
        <f>HIPERLINK($A$1 &amp; "\Dados\Results_airgap287.txt", "Results_airgap287")</f>
        <v/>
      </c>
      <c r="V287" s="19" t="n"/>
      <c r="W287" s="43" t="n">
        <v>1.332680434782609</v>
      </c>
      <c r="X287" s="15" t="n">
        <v>0.6712347961202686</v>
      </c>
      <c r="Y287" s="15" t="n">
        <v>0.03209054677321552</v>
      </c>
      <c r="Z287" s="15" t="n">
        <v>0.4472042040025083</v>
      </c>
      <c r="AA287" s="15" t="n">
        <v>0.2222887934935844</v>
      </c>
      <c r="AB287" s="15" t="n">
        <v>0</v>
      </c>
      <c r="AC287" s="15" t="n">
        <v>0</v>
      </c>
      <c r="AD287" s="15" t="n">
        <v>20.61384009059807</v>
      </c>
      <c r="AE287" s="15" t="n">
        <v>64.72099387020519</v>
      </c>
      <c r="AF287" s="15" t="n">
        <v>107.0564318374723</v>
      </c>
      <c r="AH287" s="29">
        <f>HIPERLINK($A$1 &amp; "\Dados\Magnet_fields.txt_287.txt.txt", "Magnet_fields.txt_287.txt")</f>
        <v/>
      </c>
      <c r="AI287" t="n">
        <v>7598</v>
      </c>
      <c r="AJ287" t="n">
        <v>28</v>
      </c>
      <c r="AK287" s="29">
        <f>HIPERLINK($A$1 &amp; "\Dados\Magnet_3D_results.txt_287.txt.txt", "Magnet_3D_results.txt_287.txt")</f>
        <v/>
      </c>
      <c r="AL287" s="29">
        <f>HIPERLINK($A$1 &amp; "\Dados\Magnet_fields_2D.txt_287.txt.txt", "Magnet_fields_2D.txt_287.txt")</f>
        <v/>
      </c>
    </row>
    <row customHeight="1" ht="15.75" r="288" s="34">
      <c r="E288" s="15" t="n">
        <v>120</v>
      </c>
      <c r="F288" s="15" t="n">
        <v>170</v>
      </c>
      <c r="G288" s="15" t="n">
        <v>350</v>
      </c>
      <c r="H288" s="15" t="n">
        <v>34</v>
      </c>
      <c r="I288" s="15" t="n">
        <v>144</v>
      </c>
      <c r="J288" s="13" t="n">
        <v>25</v>
      </c>
      <c r="K288" t="n">
        <v>35</v>
      </c>
      <c r="L288" s="13" t="n">
        <v>1.4</v>
      </c>
      <c r="M288" s="12" t="n"/>
      <c r="N288" s="8" t="n">
        <v>1.080373770599137</v>
      </c>
      <c r="O288" s="15" t="n">
        <v>0.856944518897257</v>
      </c>
      <c r="P288" s="15" t="n">
        <v>1.010304796320791</v>
      </c>
      <c r="Q288" s="15" t="n">
        <v>0.0009725664963003302</v>
      </c>
      <c r="R288" s="15" t="n">
        <v>0.02493510126272065</v>
      </c>
      <c r="S288" s="15" t="n">
        <v>0.001821515552077731</v>
      </c>
      <c r="T288" s="29">
        <f>HIPERLINK($A$1 &amp; "\Dados\Imagem_perfil_288.png", "Imagem_perfil_288")</f>
        <v/>
      </c>
      <c r="U288" s="29">
        <f>HIPERLINK($A$1 &amp; "\Dados\Results_airgap288.txt", "Results_airgap288")</f>
        <v/>
      </c>
      <c r="V288" s="19" t="n"/>
      <c r="W288" s="43" t="n">
        <v>1.363198913043478</v>
      </c>
      <c r="X288" s="15" t="n">
        <v>0.6875630891004317</v>
      </c>
      <c r="Y288" s="15" t="n">
        <v>0.08124557592196832</v>
      </c>
      <c r="Z288" s="15" t="n">
        <v>0.2669342892021327</v>
      </c>
      <c r="AA288" s="15" t="n">
        <v>0.00782155637079354</v>
      </c>
      <c r="AB288" s="15" t="n">
        <v>0</v>
      </c>
      <c r="AC288" s="15" t="n">
        <v>4.364669919985446</v>
      </c>
      <c r="AD288" s="15" t="n">
        <v>26.43916490554769</v>
      </c>
      <c r="AE288" s="15" t="n">
        <v>67.29510451810451</v>
      </c>
      <c r="AF288" s="15" t="n">
        <v>107.7212555578575</v>
      </c>
      <c r="AH288" s="29">
        <f>HIPERLINK($A$1 &amp; "\Dados\Magnet_fields.txt_288.txt.txt", "Magnet_fields.txt_288.txt")</f>
        <v/>
      </c>
      <c r="AI288" t="n">
        <v>7598</v>
      </c>
      <c r="AJ288" t="n">
        <v>28</v>
      </c>
      <c r="AK288" s="29">
        <f>HIPERLINK($A$1 &amp; "\Dados\Magnet_3D_results.txt_288.txt.txt", "Magnet_3D_results.txt_288.txt")</f>
        <v/>
      </c>
      <c r="AL288" s="29">
        <f>HIPERLINK($A$1 &amp; "\Dados\Magnet_fields_2D.txt_288.txt.txt", "Magnet_fields_2D.txt_288.txt")</f>
        <v/>
      </c>
    </row>
    <row customHeight="1" ht="15.75" r="289" s="34">
      <c r="E289" s="15" t="n">
        <v>120</v>
      </c>
      <c r="F289" s="15" t="n">
        <v>170</v>
      </c>
      <c r="G289" s="15" t="n">
        <v>350</v>
      </c>
      <c r="H289" s="15" t="n">
        <v>34</v>
      </c>
      <c r="I289" s="15" t="n">
        <v>144</v>
      </c>
      <c r="J289" s="13" t="n">
        <v>25</v>
      </c>
      <c r="K289" t="n">
        <v>35</v>
      </c>
      <c r="L289" s="13" t="n">
        <v>1.5</v>
      </c>
      <c r="M289" s="12" t="n"/>
      <c r="N289" s="8" t="n">
        <v>1.090543317111463</v>
      </c>
      <c r="O289" s="15" t="n">
        <v>0.8649946653429946</v>
      </c>
      <c r="P289" s="15" t="n">
        <v>1.019864331786416</v>
      </c>
      <c r="Q289" s="15" t="n">
        <v>0.000972933390454255</v>
      </c>
      <c r="R289" s="15" t="n">
        <v>0.02530429468209574</v>
      </c>
      <c r="S289" s="15" t="n">
        <v>0.001829670809250089</v>
      </c>
      <c r="T289" s="29">
        <f>HIPERLINK($A$1 &amp; "\Dados\Imagem_perfil_289.png", "Imagem_perfil_289")</f>
        <v/>
      </c>
      <c r="U289" s="29">
        <f>HIPERLINK($A$1 &amp; "\Dados\Results_airgap289.txt", "Results_airgap289")</f>
        <v/>
      </c>
      <c r="V289" s="19" t="n"/>
      <c r="W289" s="43" t="n">
        <v>1.378582608695652</v>
      </c>
      <c r="X289" s="15" t="n">
        <v>0.6943752073269183</v>
      </c>
      <c r="Y289" s="15" t="n">
        <v>0.1507873669031966</v>
      </c>
      <c r="Z289" s="15" t="n">
        <v>0.2278925077552196</v>
      </c>
      <c r="AA289" s="15" t="n">
        <v>0.00782155637079354</v>
      </c>
      <c r="AB289" s="15" t="n">
        <v>0.8739004862367215</v>
      </c>
      <c r="AC289" s="15" t="n">
        <v>7.493859158256091</v>
      </c>
      <c r="AD289" s="15" t="n">
        <v>28.89912015012915</v>
      </c>
      <c r="AE289" s="15" t="n">
        <v>68.45729485531066</v>
      </c>
      <c r="AF289" s="15" t="n">
        <v>107.9269195151131</v>
      </c>
      <c r="AH289" s="29">
        <f>HIPERLINK($A$1 &amp; "\Dados\Magnet_fields.txt_289.txt.txt", "Magnet_fields.txt_289.txt")</f>
        <v/>
      </c>
      <c r="AI289" t="n">
        <v>7598</v>
      </c>
      <c r="AJ289" t="n">
        <v>28</v>
      </c>
      <c r="AK289" s="29">
        <f>HIPERLINK($A$1 &amp; "\Dados\Magnet_3D_results.txt_289.txt.txt", "Magnet_3D_results.txt_289.txt")</f>
        <v/>
      </c>
      <c r="AL289" s="29">
        <f>HIPERLINK($A$1 &amp; "\Dados\Magnet_fields_2D.txt_289.txt.txt", "Magnet_fields_2D.txt_289.txt")</f>
        <v/>
      </c>
    </row>
    <row customHeight="1" ht="15.75" r="290" s="34">
      <c r="E290" s="15" t="n">
        <v>120</v>
      </c>
      <c r="F290" s="15" t="n">
        <v>170</v>
      </c>
      <c r="G290" s="15" t="n">
        <v>350</v>
      </c>
      <c r="H290" s="15" t="n">
        <v>34</v>
      </c>
      <c r="I290" s="15" t="n">
        <v>144</v>
      </c>
      <c r="J290" s="13" t="n">
        <v>25</v>
      </c>
      <c r="K290" t="n">
        <v>35</v>
      </c>
      <c r="L290" s="13" t="n">
        <v>1.6</v>
      </c>
      <c r="M290" s="12" t="n"/>
      <c r="N290" s="8" t="n">
        <v>1.099092206381454</v>
      </c>
      <c r="O290" s="15" t="n">
        <v>0.8717570797702696</v>
      </c>
      <c r="P290" s="15" t="n">
        <v>1.027823453599496</v>
      </c>
      <c r="Q290" s="15" t="n">
        <v>0.0009706269954231796</v>
      </c>
      <c r="R290" s="15" t="n">
        <v>0.02566607244641635</v>
      </c>
      <c r="S290" s="15" t="n">
        <v>0.001834804444572732</v>
      </c>
      <c r="T290" s="29">
        <f>HIPERLINK($A$1 &amp; "\Dados\Imagem_perfil_290.png", "Imagem_perfil_290")</f>
        <v/>
      </c>
      <c r="U290" s="29">
        <f>HIPERLINK($A$1 &amp; "\Dados\Results_airgap290.txt", "Results_airgap290")</f>
        <v/>
      </c>
      <c r="V290" s="19" t="n"/>
      <c r="W290" s="15" t="n">
        <v>1.386476304347826</v>
      </c>
      <c r="X290" s="15" t="n">
        <v>0.7001334336894961</v>
      </c>
      <c r="Y290" s="15" t="n">
        <v>0.2333901991019897</v>
      </c>
      <c r="Z290" s="15" t="n">
        <v>0.1793650733887112</v>
      </c>
      <c r="AA290" s="15" t="n">
        <v>0.005168630818126727</v>
      </c>
      <c r="AB290" s="15" t="n">
        <v>1.675399738070668</v>
      </c>
      <c r="AC290" s="15" t="n">
        <v>9.162683080034236</v>
      </c>
      <c r="AD290" s="15" t="n">
        <v>30.21795224042015</v>
      </c>
      <c r="AE290" s="15" t="n">
        <v>69.07607469303737</v>
      </c>
      <c r="AF290" s="15" t="n">
        <v>108.0392466268026</v>
      </c>
      <c r="AH290" s="29">
        <f>HIPERLINK($A$1 &amp; "\Dados\Magnet_fields.txt_290.txt.txt", "Magnet_fields.txt_290.txt")</f>
        <v/>
      </c>
      <c r="AI290" t="n">
        <v>7598</v>
      </c>
      <c r="AJ290" t="n">
        <v>28</v>
      </c>
      <c r="AK290" s="29">
        <f>HIPERLINK($A$1 &amp; "\Dados\Magnet_3D_results.txt_290.txt.txt", "Magnet_3D_results.txt_290.txt")</f>
        <v/>
      </c>
      <c r="AL290" s="29">
        <f>HIPERLINK($A$1 &amp; "\Dados\Magnet_fields_2D.txt_290.txt.txt", "Magnet_fields_2D.txt_290.txt")</f>
        <v/>
      </c>
    </row>
    <row customHeight="1" ht="15.75" r="291" s="34">
      <c r="E291" s="15" t="n">
        <v>120</v>
      </c>
      <c r="F291" s="15" t="n">
        <v>170</v>
      </c>
      <c r="G291" s="15" t="n">
        <v>350</v>
      </c>
      <c r="H291" s="15" t="n">
        <v>34</v>
      </c>
      <c r="I291" s="15" t="n">
        <v>144</v>
      </c>
      <c r="J291" s="13" t="n">
        <v>25</v>
      </c>
      <c r="K291" t="n">
        <v>35</v>
      </c>
      <c r="L291" s="13" t="n">
        <v>1.7</v>
      </c>
      <c r="M291" s="12" t="n"/>
      <c r="N291" s="8" t="n">
        <v>1.102960257174146</v>
      </c>
      <c r="O291" s="15" t="n">
        <v>0.8747952973898674</v>
      </c>
      <c r="P291" s="15" t="n">
        <v>1.031402123524369</v>
      </c>
      <c r="Q291" s="15" t="n">
        <v>0.0009708938256735669</v>
      </c>
      <c r="R291" s="15" t="n">
        <v>0.02578020793574668</v>
      </c>
      <c r="S291" s="15" t="n">
        <v>0.001837343374567954</v>
      </c>
      <c r="T291" s="29">
        <f>HIPERLINK($A$1 &amp; "\Dados\Imagem_perfil_291.png", "Imagem_perfil_291")</f>
        <v/>
      </c>
      <c r="U291" s="29">
        <f>HIPERLINK($A$1 &amp; "\Dados\Results_airgap291.txt", "Results_airgap291")</f>
        <v/>
      </c>
      <c r="V291" s="19" t="n"/>
      <c r="W291" s="15" t="n">
        <v>1.391085</v>
      </c>
      <c r="X291" s="15" t="n">
        <v>0.7026898955439833</v>
      </c>
      <c r="Y291" s="15" t="n">
        <v>0.3234926239803933</v>
      </c>
      <c r="Z291" s="15" t="n">
        <v>0.1847030304414156</v>
      </c>
      <c r="AA291" s="15" t="n">
        <v>0.005168630818126727</v>
      </c>
      <c r="AB291" s="15" t="n">
        <v>2.142389175538843</v>
      </c>
      <c r="AC291" s="15" t="n">
        <v>10.16841645589175</v>
      </c>
      <c r="AD291" s="15" t="n">
        <v>31.04500214198376</v>
      </c>
      <c r="AE291" s="15" t="n">
        <v>69.47645615415598</v>
      </c>
      <c r="AF291" s="15" t="n">
        <v>108.1341944478069</v>
      </c>
      <c r="AH291" s="29">
        <f>HIPERLINK($A$1 &amp; "\Dados\Magnet_fields.txt_291.txt.txt", "Magnet_fields.txt_291.txt")</f>
        <v/>
      </c>
      <c r="AI291" t="n">
        <v>7598</v>
      </c>
      <c r="AJ291" t="n">
        <v>28</v>
      </c>
      <c r="AK291" s="29">
        <f>HIPERLINK($A$1 &amp; "\Dados\Magnet_3D_results.txt_291.txt.txt", "Magnet_3D_results.txt_291.txt")</f>
        <v/>
      </c>
      <c r="AL291" s="29">
        <f>HIPERLINK($A$1 &amp; "\Dados\Magnet_fields_2D.txt_291.txt.txt", "Magnet_fields_2D.txt_291.txt")</f>
        <v/>
      </c>
    </row>
    <row customHeight="1" ht="15.75" r="292" s="34">
      <c r="E292" s="15" t="n">
        <v>120</v>
      </c>
      <c r="F292" s="15" t="n">
        <v>170</v>
      </c>
      <c r="G292" s="15" t="n">
        <v>350</v>
      </c>
      <c r="H292" s="15" t="n">
        <v>34</v>
      </c>
      <c r="I292" s="15" t="n">
        <v>144</v>
      </c>
      <c r="J292" s="13" t="n">
        <v>25</v>
      </c>
      <c r="K292" t="n">
        <v>35</v>
      </c>
      <c r="L292" s="13" t="n">
        <v>1.8</v>
      </c>
      <c r="M292" s="12" t="n"/>
      <c r="N292" s="8" t="n">
        <v>1.102960257174146</v>
      </c>
      <c r="O292" s="15" t="n">
        <v>0.8747952973898674</v>
      </c>
      <c r="P292" s="15" t="n">
        <v>1.031402123524369</v>
      </c>
      <c r="Q292" s="15" t="n">
        <v>0.0009708938256735672</v>
      </c>
      <c r="R292" s="15" t="n">
        <v>0.02578020793574668</v>
      </c>
      <c r="S292" s="15" t="n">
        <v>0.001837343374567954</v>
      </c>
      <c r="T292" s="29">
        <f>HIPERLINK($A$1 &amp; "\Dados\Imagem_perfil_292.png", "Imagem_perfil_292")</f>
        <v/>
      </c>
      <c r="U292" s="29">
        <f>HIPERLINK($A$1 &amp; "\Dados\Results_airgap292.txt", "Results_airgap292")</f>
        <v/>
      </c>
      <c r="V292" s="19" t="n"/>
      <c r="W292" s="15" t="n">
        <v>1.394147391304348</v>
      </c>
      <c r="X292" s="15" t="n">
        <v>0.7026898955439829</v>
      </c>
      <c r="Y292" s="15" t="n">
        <v>0.4172534513014861</v>
      </c>
      <c r="Z292" s="15" t="n">
        <v>0.1847030304414156</v>
      </c>
      <c r="AA292" s="15" t="n">
        <v>0.005168630818126727</v>
      </c>
      <c r="AB292" s="15" t="n">
        <v>2.439581900602922</v>
      </c>
      <c r="AC292" s="15" t="n">
        <v>10.86153989278458</v>
      </c>
      <c r="AD292" s="15" t="n">
        <v>31.62412394595621</v>
      </c>
      <c r="AE292" s="15" t="n">
        <v>69.74613482965465</v>
      </c>
      <c r="AF292" s="15" t="n">
        <v>108.1832813417187</v>
      </c>
      <c r="AH292" s="29">
        <f>HIPERLINK($A$1 &amp; "\Dados\Magnet_fields.txt_292.txt.txt", "Magnet_fields.txt_292.txt")</f>
        <v/>
      </c>
      <c r="AI292" t="n">
        <v>7598</v>
      </c>
      <c r="AJ292" t="n">
        <v>28</v>
      </c>
      <c r="AK292" s="29">
        <f>HIPERLINK($A$1 &amp; "\Dados\Magnet_3D_results.txt_292.txt.txt", "Magnet_3D_results.txt_292.txt")</f>
        <v/>
      </c>
      <c r="AL292" s="29">
        <f>HIPERLINK($A$1 &amp; "\Dados\Magnet_fields_2D.txt_292.txt.txt", "Magnet_fields_2D.txt_292.txt")</f>
        <v/>
      </c>
    </row>
    <row customHeight="1" ht="15.75" r="293" s="34">
      <c r="E293" s="15" t="n">
        <v>120</v>
      </c>
      <c r="F293" s="15" t="n">
        <v>170</v>
      </c>
      <c r="G293" s="15" t="n">
        <v>350</v>
      </c>
      <c r="H293" s="15" t="n">
        <v>34</v>
      </c>
      <c r="I293" s="15" t="n">
        <v>144</v>
      </c>
      <c r="J293" s="13" t="n">
        <v>25</v>
      </c>
      <c r="K293" t="n">
        <v>35</v>
      </c>
      <c r="L293" s="13" t="n">
        <v>1.900000000000001</v>
      </c>
      <c r="M293" s="12" t="n"/>
      <c r="N293" s="8" t="n">
        <v>1.105987777637411</v>
      </c>
      <c r="O293" s="15" t="n">
        <v>0.8771850314973766</v>
      </c>
      <c r="P293" s="15" t="n">
        <v>1.034230942918942</v>
      </c>
      <c r="Q293" s="15" t="n">
        <v>0.0009708802565381056</v>
      </c>
      <c r="R293" s="15" t="n">
        <v>0.02587961424293257</v>
      </c>
      <c r="S293" s="15" t="n">
        <v>0.001839275710829085</v>
      </c>
      <c r="T293" s="29">
        <f>HIPERLINK($A$1 &amp; "\Dados\Imagem_perfil_293.png", "Imagem_perfil_293")</f>
        <v/>
      </c>
      <c r="U293" s="29">
        <f>HIPERLINK($A$1 &amp; "\Dados\Results_airgap293.txt", "Results_airgap293")</f>
        <v/>
      </c>
      <c r="V293" s="19" t="n"/>
      <c r="W293" s="15" t="n">
        <v>1.396202608695652</v>
      </c>
      <c r="X293" s="15" t="n">
        <v>0.7047310536423163</v>
      </c>
      <c r="Y293" s="15" t="n">
        <v>0.5120976835844339</v>
      </c>
      <c r="Z293" s="15" t="n">
        <v>0.1681304652573084</v>
      </c>
      <c r="AA293" s="15" t="n">
        <v>0.005168630818126727</v>
      </c>
      <c r="AB293" s="15" t="n">
        <v>2.656684559389628</v>
      </c>
      <c r="AC293" s="15" t="n">
        <v>11.32263519045216</v>
      </c>
      <c r="AD293" s="15" t="n">
        <v>32.03247239098698</v>
      </c>
      <c r="AE293" s="15" t="n">
        <v>69.93062015956022</v>
      </c>
      <c r="AF293" s="15" t="n">
        <v>108.2141289561465</v>
      </c>
      <c r="AH293" s="29">
        <f>HIPERLINK($A$1 &amp; "\Dados\Magnet_fields.txt_293.txt.txt", "Magnet_fields.txt_293.txt")</f>
        <v/>
      </c>
      <c r="AI293" t="n">
        <v>7598</v>
      </c>
      <c r="AJ293" t="n">
        <v>28</v>
      </c>
      <c r="AK293" s="29">
        <f>HIPERLINK($A$1 &amp; "\Dados\Magnet_3D_results.txt_293.txt.txt", "Magnet_3D_results.txt_293.txt")</f>
        <v/>
      </c>
      <c r="AL293" s="29">
        <f>HIPERLINK($A$1 &amp; "\Dados\Magnet_fields_2D.txt_293.txt.txt", "Magnet_fields_2D.txt_293.txt")</f>
        <v/>
      </c>
    </row>
    <row customHeight="1" ht="15.75" r="294" s="34">
      <c r="E294" s="15" t="n">
        <v>120</v>
      </c>
      <c r="F294" s="15" t="n">
        <v>170</v>
      </c>
      <c r="G294" s="15" t="n">
        <v>350</v>
      </c>
      <c r="H294" s="15" t="n">
        <v>34</v>
      </c>
      <c r="I294" s="15" t="n">
        <v>144</v>
      </c>
      <c r="J294" s="13" t="n">
        <v>25</v>
      </c>
      <c r="K294" t="n">
        <v>35</v>
      </c>
      <c r="L294" s="13" t="n">
        <v>2.000000000000001</v>
      </c>
      <c r="M294" s="12" t="n"/>
      <c r="N294" s="8" t="n">
        <v>1.106741617941967</v>
      </c>
      <c r="O294" s="15" t="n">
        <v>0.8777768200181296</v>
      </c>
      <c r="P294" s="15" t="n">
        <v>1.034927523114241</v>
      </c>
      <c r="Q294" s="15" t="n">
        <v>0.0009694207804149927</v>
      </c>
      <c r="R294" s="15" t="n">
        <v>0.02595609470739673</v>
      </c>
      <c r="S294" s="15" t="n">
        <v>0.001839359411120711</v>
      </c>
      <c r="T294" s="29">
        <f>HIPERLINK($A$1 &amp; "\Dados\Imagem_perfil_294.png", "Imagem_perfil_294")</f>
        <v/>
      </c>
      <c r="U294" s="29">
        <f>HIPERLINK($A$1 &amp; "\Dados\Results_airgap294.txt", "Results_airgap294")</f>
        <v/>
      </c>
      <c r="V294" s="19" t="n"/>
      <c r="W294" s="15" t="n">
        <v>1.397798043478261</v>
      </c>
      <c r="X294" s="15" t="n">
        <v>0.7052772255144143</v>
      </c>
      <c r="Y294" s="15" t="n">
        <v>0.606323869927558</v>
      </c>
      <c r="Z294" s="15" t="n">
        <v>0.1324712117721204</v>
      </c>
      <c r="AA294" s="15" t="n">
        <v>0.005168630818126727</v>
      </c>
      <c r="AB294" s="15" t="n">
        <v>2.840817731593669</v>
      </c>
      <c r="AC294" s="15" t="n">
        <v>11.70401908005798</v>
      </c>
      <c r="AD294" s="15" t="n">
        <v>32.3289696582242</v>
      </c>
      <c r="AE294" s="15" t="n">
        <v>70.08417275082628</v>
      </c>
      <c r="AF294" s="15" t="n">
        <v>108.2606483775111</v>
      </c>
      <c r="AH294" s="29">
        <f>HIPERLINK($A$1 &amp; "\Dados\Magnet_fields.txt_294.txt.txt", "Magnet_fields.txt_294.txt")</f>
        <v/>
      </c>
      <c r="AI294" t="n">
        <v>7598</v>
      </c>
      <c r="AJ294" t="n">
        <v>29</v>
      </c>
      <c r="AK294" s="29">
        <f>HIPERLINK($A$1 &amp; "\Dados\Magnet_3D_results.txt_294.txt.txt", "Magnet_3D_results.txt_294.txt")</f>
        <v/>
      </c>
      <c r="AL294" s="29">
        <f>HIPERLINK($A$1 &amp; "\Dados\Magnet_fields_2D.txt_294.txt.txt", "Magnet_fields_2D.txt_294.txt")</f>
        <v/>
      </c>
    </row>
    <row customHeight="1" ht="15.75" r="295" s="34">
      <c r="E295" s="15" t="n">
        <v>120</v>
      </c>
      <c r="F295" s="15" t="n">
        <v>170</v>
      </c>
      <c r="G295" s="15" t="n">
        <v>350</v>
      </c>
      <c r="H295" s="15" t="n">
        <v>34</v>
      </c>
      <c r="I295" s="15" t="n">
        <v>144</v>
      </c>
      <c r="J295" s="13" t="n">
        <v>25</v>
      </c>
      <c r="K295" t="n">
        <v>35</v>
      </c>
      <c r="L295" s="13" t="n">
        <v>2.100000000000001</v>
      </c>
      <c r="M295" s="12" t="n"/>
      <c r="N295" s="8" t="n">
        <v>1.108768948628083</v>
      </c>
      <c r="O295" s="15" t="n">
        <v>0.8793731646933532</v>
      </c>
      <c r="P295" s="15" t="n">
        <v>1.036852636806897</v>
      </c>
      <c r="Q295" s="15" t="n">
        <v>0.0009696441624746064</v>
      </c>
      <c r="R295" s="15" t="n">
        <v>0.02599976106349785</v>
      </c>
      <c r="S295" s="15" t="n">
        <v>0.00184040329360243</v>
      </c>
      <c r="T295" s="29">
        <f>HIPERLINK($A$1 &amp; "\Dados\Imagem_perfil_295.png", "Imagem_perfil_295")</f>
        <v/>
      </c>
      <c r="U295" s="29">
        <f>HIPERLINK($A$1 &amp; "\Dados\Results_airgap295.txt", "Results_airgap295")</f>
        <v/>
      </c>
      <c r="V295" s="19" t="n"/>
      <c r="W295" s="15" t="n">
        <v>1.399185434782609</v>
      </c>
      <c r="X295" s="15" t="n">
        <v>0.7065867953966197</v>
      </c>
      <c r="Y295" s="15" t="n">
        <v>0.6988257680863089</v>
      </c>
      <c r="Z295" s="15" t="n">
        <v>0.1324712117721204</v>
      </c>
      <c r="AA295" s="15" t="n">
        <v>0.005168630818126727</v>
      </c>
      <c r="AB295" s="15" t="n">
        <v>3.027794135139221</v>
      </c>
      <c r="AC295" s="15" t="n">
        <v>12.05080961059206</v>
      </c>
      <c r="AD295" s="15" t="n">
        <v>32.57893538877062</v>
      </c>
      <c r="AE295" s="15" t="n">
        <v>70.20626270858573</v>
      </c>
      <c r="AF295" s="15" t="n">
        <v>108.2877468461206</v>
      </c>
      <c r="AH295" s="29">
        <f>HIPERLINK($A$1 &amp; "\Dados\Magnet_fields.txt_295.txt.txt", "Magnet_fields.txt_295.txt")</f>
        <v/>
      </c>
      <c r="AI295" t="n">
        <v>7598</v>
      </c>
      <c r="AJ295" t="n">
        <v>28</v>
      </c>
      <c r="AK295" s="29">
        <f>HIPERLINK($A$1 &amp; "\Dados\Magnet_3D_results.txt_295.txt.txt", "Magnet_3D_results.txt_295.txt")</f>
        <v/>
      </c>
      <c r="AL295" s="29">
        <f>HIPERLINK($A$1 &amp; "\Dados\Magnet_fields_2D.txt_295.txt.txt", "Magnet_fields_2D.txt_295.txt")</f>
        <v/>
      </c>
    </row>
    <row customHeight="1" ht="15.75" r="296" s="34">
      <c r="E296" s="15" t="n">
        <v>120</v>
      </c>
      <c r="F296" s="15" t="n">
        <v>170</v>
      </c>
      <c r="G296" s="15" t="n">
        <v>350</v>
      </c>
      <c r="H296" s="15" t="n">
        <v>36</v>
      </c>
      <c r="I296" s="15" t="n">
        <v>144</v>
      </c>
      <c r="J296" s="13" t="n">
        <v>25</v>
      </c>
      <c r="K296" t="n">
        <v>35</v>
      </c>
      <c r="L296" s="13" t="n">
        <v>1.3</v>
      </c>
      <c r="M296" s="12" t="n"/>
      <c r="N296" s="8" t="n">
        <v>1.057271550442753</v>
      </c>
      <c r="O296" s="15" t="n">
        <v>0.8392742033808708</v>
      </c>
      <c r="P296" s="15" t="n">
        <v>0.9888517155680628</v>
      </c>
      <c r="Q296" s="15" t="n">
        <v>0.0009764925029395445</v>
      </c>
      <c r="R296" s="15" t="n">
        <v>0.02433486143441989</v>
      </c>
      <c r="S296" s="15" t="n">
        <v>0.001813040820573042</v>
      </c>
      <c r="T296" s="29">
        <f>HIPERLINK($A$1 &amp; "\Dados\Imagem_perfil_296.png", "Imagem_perfil_296")</f>
        <v/>
      </c>
      <c r="U296" s="29">
        <f>HIPERLINK($A$1 &amp; "\Dados\Results_airgap296.txt", "Results_airgap296")</f>
        <v/>
      </c>
      <c r="V296" s="19" t="n"/>
      <c r="W296" s="43" t="n">
        <v>1.332155</v>
      </c>
      <c r="X296" s="15" t="n">
        <v>0.6768650822485799</v>
      </c>
      <c r="Y296" s="15" t="n">
        <v>0.03208931789742233</v>
      </c>
      <c r="Z296" s="15" t="n">
        <v>0.4245953915871959</v>
      </c>
      <c r="AA296" s="15" t="n">
        <v>0.06688289071001824</v>
      </c>
      <c r="AB296" s="15" t="n">
        <v>0</v>
      </c>
      <c r="AC296" s="15" t="n">
        <v>0</v>
      </c>
      <c r="AD296" s="15" t="n">
        <v>20.52752890119451</v>
      </c>
      <c r="AE296" s="15" t="n">
        <v>64.53082566903184</v>
      </c>
      <c r="AF296" s="15" t="n">
        <v>106.8299390824056</v>
      </c>
      <c r="AH296" s="29">
        <f>HIPERLINK($A$1 &amp; "\Dados\Magnet_fields.txt_296.txt.txt", "Magnet_fields.txt_296.txt")</f>
        <v/>
      </c>
      <c r="AI296" t="n">
        <v>7313</v>
      </c>
      <c r="AJ296" t="n">
        <v>29</v>
      </c>
      <c r="AK296" s="29">
        <f>HIPERLINK($A$1 &amp; "\Dados\Magnet_3D_results.txt_296.txt.txt", "Magnet_3D_results.txt_296.txt")</f>
        <v/>
      </c>
      <c r="AL296" s="29">
        <f>HIPERLINK($A$1 &amp; "\Dados\Magnet_fields_2D.txt_296.txt.txt", "Magnet_fields_2D.txt_296.txt")</f>
        <v/>
      </c>
    </row>
    <row customHeight="1" ht="15.75" r="297" s="34">
      <c r="E297" s="15" t="n">
        <v>120</v>
      </c>
      <c r="F297" s="15" t="n">
        <v>170</v>
      </c>
      <c r="G297" s="15" t="n">
        <v>350</v>
      </c>
      <c r="H297" s="15" t="n">
        <v>36</v>
      </c>
      <c r="I297" s="15" t="n">
        <v>144</v>
      </c>
      <c r="J297" s="13" t="n">
        <v>25</v>
      </c>
      <c r="K297" t="n">
        <v>35</v>
      </c>
      <c r="L297" s="13" t="n">
        <v>1.4</v>
      </c>
      <c r="M297" s="12" t="n"/>
      <c r="N297" s="8" t="n">
        <v>1.081351322766374</v>
      </c>
      <c r="O297" s="15" t="n">
        <v>0.8582664501901199</v>
      </c>
      <c r="P297" s="15" t="n">
        <v>1.011186227787127</v>
      </c>
      <c r="Q297" s="15" t="n">
        <v>0.0009757547663269067</v>
      </c>
      <c r="R297" s="15" t="n">
        <v>0.02530784917745224</v>
      </c>
      <c r="S297" s="15" t="n">
        <v>0.001833436464322636</v>
      </c>
      <c r="T297" s="29">
        <f>HIPERLINK($A$1 &amp; "\Dados\Imagem_perfil_297.png", "Imagem_perfil_297")</f>
        <v/>
      </c>
      <c r="U297" s="29">
        <f>HIPERLINK($A$1 &amp; "\Dados\Results_airgap297.txt", "Results_airgap297")</f>
        <v/>
      </c>
      <c r="V297" s="19" t="n"/>
      <c r="W297" s="43" t="n">
        <v>1.363186956521739</v>
      </c>
      <c r="X297" s="15" t="n">
        <v>0.6930189898435924</v>
      </c>
      <c r="Y297" s="15" t="n">
        <v>0.08123991784043869</v>
      </c>
      <c r="Z297" s="15" t="n">
        <v>0.2681428175224211</v>
      </c>
      <c r="AA297" s="15" t="n">
        <v>0.04755541502624343</v>
      </c>
      <c r="AB297" s="15" t="n">
        <v>0</v>
      </c>
      <c r="AC297" s="15" t="n">
        <v>4.365433570845313</v>
      </c>
      <c r="AD297" s="15" t="n">
        <v>26.4337089030893</v>
      </c>
      <c r="AE297" s="15" t="n">
        <v>67.28449165429267</v>
      </c>
      <c r="AF297" s="15" t="n">
        <v>107.7259760333296</v>
      </c>
      <c r="AH297" s="29">
        <f>HIPERLINK($A$1 &amp; "\Dados\Magnet_fields.txt_297.txt.txt", "Magnet_fields.txt_297.txt")</f>
        <v/>
      </c>
      <c r="AI297" t="n">
        <v>7313</v>
      </c>
      <c r="AJ297" t="n">
        <v>28</v>
      </c>
      <c r="AK297" s="29">
        <f>HIPERLINK($A$1 &amp; "\Dados\Magnet_3D_results.txt_297.txt.txt", "Magnet_3D_results.txt_297.txt")</f>
        <v/>
      </c>
      <c r="AL297" s="29">
        <f>HIPERLINK($A$1 &amp; "\Dados\Magnet_fields_2D.txt_297.txt.txt", "Magnet_fields_2D.txt_297.txt")</f>
        <v/>
      </c>
    </row>
    <row customHeight="1" ht="15.75" r="298" s="34">
      <c r="E298" s="15" t="n">
        <v>120</v>
      </c>
      <c r="F298" s="15" t="n">
        <v>170</v>
      </c>
      <c r="G298" s="15" t="n">
        <v>350</v>
      </c>
      <c r="H298" s="15" t="n">
        <v>36</v>
      </c>
      <c r="I298" s="15" t="n">
        <v>144</v>
      </c>
      <c r="J298" s="13" t="n">
        <v>25</v>
      </c>
      <c r="K298" t="n">
        <v>35</v>
      </c>
      <c r="L298" s="13" t="n">
        <v>1.5</v>
      </c>
      <c r="M298" s="12" t="n"/>
      <c r="N298" s="8" t="n">
        <v>1.091374164642467</v>
      </c>
      <c r="O298" s="15" t="n">
        <v>0.8661563894399704</v>
      </c>
      <c r="P298" s="15" t="n">
        <v>1.020599583612219</v>
      </c>
      <c r="Q298" s="15" t="n">
        <v>0.0009758854719623126</v>
      </c>
      <c r="R298" s="15" t="n">
        <v>0.02563875539591284</v>
      </c>
      <c r="S298" s="15" t="n">
        <v>0.001840498767530411</v>
      </c>
      <c r="T298" s="29">
        <f>HIPERLINK($A$1 &amp; "\Dados\Imagem_perfil_298.png", "Imagem_perfil_298")</f>
        <v/>
      </c>
      <c r="U298" s="29">
        <f>HIPERLINK($A$1 &amp; "\Dados\Results_airgap298.txt", "Results_airgap298")</f>
        <v/>
      </c>
      <c r="V298" s="19" t="n"/>
      <c r="W298" s="43" t="n">
        <v>1.378600869565217</v>
      </c>
      <c r="X298" s="15" t="n">
        <v>0.6997051052301935</v>
      </c>
      <c r="Y298" s="15" t="n">
        <v>0.150779868295343</v>
      </c>
      <c r="Z298" s="15" t="n">
        <v>0.2245707483179511</v>
      </c>
      <c r="AA298" s="15" t="n">
        <v>0.04755541502624343</v>
      </c>
      <c r="AB298" s="15" t="n">
        <v>0.8761269813710231</v>
      </c>
      <c r="AC298" s="15" t="n">
        <v>7.50192788775613</v>
      </c>
      <c r="AD298" s="15" t="n">
        <v>28.90088068638847</v>
      </c>
      <c r="AE298" s="15" t="n">
        <v>68.44049171774276</v>
      </c>
      <c r="AF298" s="15" t="n">
        <v>107.9406112145071</v>
      </c>
      <c r="AH298" s="29">
        <f>HIPERLINK($A$1 &amp; "\Dados\Magnet_fields.txt_298.txt.txt", "Magnet_fields.txt_298.txt")</f>
        <v/>
      </c>
      <c r="AI298" t="n">
        <v>7313</v>
      </c>
      <c r="AJ298" t="n">
        <v>28</v>
      </c>
      <c r="AK298" s="29">
        <f>HIPERLINK($A$1 &amp; "\Dados\Magnet_3D_results.txt_298.txt.txt", "Magnet_3D_results.txt_298.txt")</f>
        <v/>
      </c>
      <c r="AL298" s="29">
        <f>HIPERLINK($A$1 &amp; "\Dados\Magnet_fields_2D.txt_298.txt.txt", "Magnet_fields_2D.txt_298.txt")</f>
        <v/>
      </c>
    </row>
    <row customHeight="1" ht="15.75" r="299" s="34">
      <c r="E299" s="15" t="n">
        <v>120</v>
      </c>
      <c r="F299" s="15" t="n">
        <v>170</v>
      </c>
      <c r="G299" s="15" t="n">
        <v>350</v>
      </c>
      <c r="H299" s="15" t="n">
        <v>36</v>
      </c>
      <c r="I299" s="15" t="n">
        <v>144</v>
      </c>
      <c r="J299" s="13" t="n">
        <v>25</v>
      </c>
      <c r="K299" t="n">
        <v>35</v>
      </c>
      <c r="L299" s="13" t="n">
        <v>1.6</v>
      </c>
      <c r="M299" s="12" t="n"/>
      <c r="N299" s="8" t="n">
        <v>1.099779573618847</v>
      </c>
      <c r="O299" s="15" t="n">
        <v>0.8727691563047193</v>
      </c>
      <c r="P299" s="15" t="n">
        <v>1.028414508458574</v>
      </c>
      <c r="Q299" s="15" t="n">
        <v>0.0009733166657777943</v>
      </c>
      <c r="R299" s="15" t="n">
        <v>0.02596146086197159</v>
      </c>
      <c r="S299" s="15" t="n">
        <v>0.001844468946246139</v>
      </c>
      <c r="T299" s="29">
        <f>HIPERLINK($A$1 &amp; "\Dados\Imagem_perfil_299.png", "Imagem_perfil_299")</f>
        <v/>
      </c>
      <c r="U299" s="29">
        <f>HIPERLINK($A$1 &amp; "\Dados\Results_airgap299.txt", "Results_airgap299")</f>
        <v/>
      </c>
      <c r="V299" s="19" t="n"/>
      <c r="W299" s="15" t="n">
        <v>1.386484565217391</v>
      </c>
      <c r="X299" s="15" t="n">
        <v>0.705333978534071</v>
      </c>
      <c r="Y299" s="15" t="n">
        <v>0.2333812402705474</v>
      </c>
      <c r="Z299" s="15" t="n">
        <v>0.1867070756364361</v>
      </c>
      <c r="AA299" s="15" t="n">
        <v>0.04755541502624343</v>
      </c>
      <c r="AB299" s="15" t="n">
        <v>1.666051257879533</v>
      </c>
      <c r="AC299" s="15" t="n">
        <v>9.157763045522927</v>
      </c>
      <c r="AD299" s="15" t="n">
        <v>30.22254853756294</v>
      </c>
      <c r="AE299" s="15" t="n">
        <v>69.08316791292306</v>
      </c>
      <c r="AF299" s="15" t="n">
        <v>108.0413360167909</v>
      </c>
      <c r="AH299" s="29">
        <f>HIPERLINK($A$1 &amp; "\Dados\Magnet_fields.txt_299.txt.txt", "Magnet_fields.txt_299.txt")</f>
        <v/>
      </c>
      <c r="AI299" t="n">
        <v>7313</v>
      </c>
      <c r="AJ299" t="n">
        <v>28</v>
      </c>
      <c r="AK299" s="29">
        <f>HIPERLINK($A$1 &amp; "\Dados\Magnet_3D_results.txt_299.txt.txt", "Magnet_3D_results.txt_299.txt")</f>
        <v/>
      </c>
      <c r="AL299" s="29">
        <f>HIPERLINK($A$1 &amp; "\Dados\Magnet_fields_2D.txt_299.txt.txt", "Magnet_fields_2D.txt_299.txt")</f>
        <v/>
      </c>
    </row>
    <row customHeight="1" ht="15.75" r="300" s="34">
      <c r="E300" s="15" t="n">
        <v>120</v>
      </c>
      <c r="F300" s="15" t="n">
        <v>170</v>
      </c>
      <c r="G300" s="15" t="n">
        <v>350</v>
      </c>
      <c r="H300" s="15" t="n">
        <v>36</v>
      </c>
      <c r="I300" s="15" t="n">
        <v>144</v>
      </c>
      <c r="J300" s="13" t="n">
        <v>25</v>
      </c>
      <c r="K300" t="n">
        <v>35</v>
      </c>
      <c r="L300" s="13" t="n">
        <v>1.7</v>
      </c>
      <c r="M300" s="12" t="n"/>
      <c r="N300" s="8" t="n">
        <v>1.10202849067834</v>
      </c>
      <c r="O300" s="15" t="n">
        <v>0.8745353582682713</v>
      </c>
      <c r="P300" s="15" t="n">
        <v>1.030546946194165</v>
      </c>
      <c r="Q300" s="15" t="n">
        <v>0.0009737000885663937</v>
      </c>
      <c r="R300" s="15" t="n">
        <v>0.02600605931981572</v>
      </c>
      <c r="S300" s="15" t="n">
        <v>0.001845728252148169</v>
      </c>
      <c r="T300" s="29">
        <f>HIPERLINK($A$1 &amp; "\Dados\Imagem_perfil_300.png", "Imagem_perfil_300")</f>
        <v/>
      </c>
      <c r="U300" s="29">
        <f>HIPERLINK($A$1 &amp; "\Dados\Results_airgap300.txt", "Results_airgap300")</f>
        <v/>
      </c>
      <c r="V300" s="19" t="n"/>
      <c r="W300" s="15" t="n">
        <v>1.390815434782609</v>
      </c>
      <c r="X300" s="15" t="n">
        <v>0.7067860928394967</v>
      </c>
      <c r="Y300" s="15" t="n">
        <v>0.3234832198982115</v>
      </c>
      <c r="Z300" s="15" t="n">
        <v>0.1784299006781514</v>
      </c>
      <c r="AA300" s="15" t="n">
        <v>0.04755541502624343</v>
      </c>
      <c r="AB300" s="15" t="n">
        <v>2.15133134398355</v>
      </c>
      <c r="AC300" s="15" t="n">
        <v>10.11638392605311</v>
      </c>
      <c r="AD300" s="15" t="n">
        <v>30.98297398595292</v>
      </c>
      <c r="AE300" s="15" t="n">
        <v>69.42039597013792</v>
      </c>
      <c r="AF300" s="15" t="n">
        <v>108.1386207603696</v>
      </c>
      <c r="AH300" s="29">
        <f>HIPERLINK($A$1 &amp; "\Dados\Magnet_fields.txt_300.txt.txt", "Magnet_fields.txt_300.txt")</f>
        <v/>
      </c>
      <c r="AI300" t="n">
        <v>7313</v>
      </c>
      <c r="AJ300" t="n">
        <v>28</v>
      </c>
      <c r="AK300" s="29">
        <f>HIPERLINK($A$1 &amp; "\Dados\Magnet_3D_results.txt_300.txt.txt", "Magnet_3D_results.txt_300.txt")</f>
        <v/>
      </c>
      <c r="AL300" s="29">
        <f>HIPERLINK($A$1 &amp; "\Dados\Magnet_fields_2D.txt_300.txt.txt", "Magnet_fields_2D.txt_300.txt")</f>
        <v/>
      </c>
    </row>
    <row customHeight="1" ht="15.75" r="301" s="34">
      <c r="E301" s="15" t="n">
        <v>120</v>
      </c>
      <c r="F301" s="15" t="n">
        <v>170</v>
      </c>
      <c r="G301" s="15" t="n">
        <v>350</v>
      </c>
      <c r="H301" s="15" t="n">
        <v>36</v>
      </c>
      <c r="I301" s="15" t="n">
        <v>144</v>
      </c>
      <c r="J301" s="13" t="n">
        <v>25</v>
      </c>
      <c r="K301" t="n">
        <v>35</v>
      </c>
      <c r="L301" s="13" t="n">
        <v>1.8</v>
      </c>
      <c r="M301" s="12" t="n"/>
      <c r="N301" s="8" t="n">
        <v>1.103609854882108</v>
      </c>
      <c r="O301" s="15" t="n">
        <v>0.8757668177785114</v>
      </c>
      <c r="P301" s="15" t="n">
        <v>1.031955263229779</v>
      </c>
      <c r="Q301" s="15" t="n">
        <v>0.0009735122504477966</v>
      </c>
      <c r="R301" s="15" t="n">
        <v>0.0260658445234036</v>
      </c>
      <c r="S301" s="15" t="n">
        <v>0.001846714785313751</v>
      </c>
      <c r="T301" s="29">
        <f>HIPERLINK($A$1 &amp; "\Dados\Imagem_perfil_301.png", "Imagem_perfil_301")</f>
        <v/>
      </c>
      <c r="U301" s="29">
        <f>HIPERLINK($A$1 &amp; "\Dados\Results_airgap301.txt", "Results_airgap301")</f>
        <v/>
      </c>
      <c r="V301" s="19" t="n"/>
      <c r="W301" s="15" t="n">
        <v>1.394135</v>
      </c>
      <c r="X301" s="15" t="n">
        <v>0.7078604108063291</v>
      </c>
      <c r="Y301" s="15" t="n">
        <v>0.4172427794965</v>
      </c>
      <c r="Z301" s="15" t="n">
        <v>0.1723024835593626</v>
      </c>
      <c r="AA301" s="15" t="n">
        <v>0.04755541502624343</v>
      </c>
      <c r="AB301" s="15" t="n">
        <v>2.452064329920904</v>
      </c>
      <c r="AC301" s="15" t="n">
        <v>10.85059852705272</v>
      </c>
      <c r="AD301" s="15" t="n">
        <v>31.62215837179117</v>
      </c>
      <c r="AE301" s="15" t="n">
        <v>69.74001833689654</v>
      </c>
      <c r="AF301" s="15" t="n">
        <v>108.1781516388215</v>
      </c>
      <c r="AH301" s="29">
        <f>HIPERLINK($A$1 &amp; "\Dados\Magnet_fields.txt_301.txt.txt", "Magnet_fields.txt_301.txt")</f>
        <v/>
      </c>
      <c r="AI301" t="n">
        <v>7313</v>
      </c>
      <c r="AJ301" t="n">
        <v>28</v>
      </c>
      <c r="AK301" s="29">
        <f>HIPERLINK($A$1 &amp; "\Dados\Magnet_3D_results.txt_301.txt.txt", "Magnet_3D_results.txt_301.txt")</f>
        <v/>
      </c>
      <c r="AL301" s="29">
        <f>HIPERLINK($A$1 &amp; "\Dados\Magnet_fields_2D.txt_301.txt.txt", "Magnet_fields_2D.txt_301.txt")</f>
        <v/>
      </c>
    </row>
    <row customHeight="1" ht="15.75" r="302" s="34">
      <c r="E302" s="15" t="n">
        <v>120</v>
      </c>
      <c r="F302" s="15" t="n">
        <v>170</v>
      </c>
      <c r="G302" s="15" t="n">
        <v>350</v>
      </c>
      <c r="H302" s="15" t="n">
        <v>36</v>
      </c>
      <c r="I302" s="15" t="n">
        <v>144</v>
      </c>
      <c r="J302" s="13" t="n">
        <v>25</v>
      </c>
      <c r="K302" t="n">
        <v>35</v>
      </c>
      <c r="L302" s="13" t="n">
        <v>1.900000000000001</v>
      </c>
      <c r="M302" s="12" t="n"/>
      <c r="N302" s="8" t="n">
        <v>1.106601290846377</v>
      </c>
      <c r="O302" s="15" t="n">
        <v>0.8781152184445186</v>
      </c>
      <c r="P302" s="15" t="n">
        <v>1.034747643902517</v>
      </c>
      <c r="Q302" s="15" t="n">
        <v>0.0009734314638260636</v>
      </c>
      <c r="R302" s="15" t="n">
        <v>0.02615588512346304</v>
      </c>
      <c r="S302" s="15" t="n">
        <v>0.001848366719404488</v>
      </c>
      <c r="T302" s="29">
        <f>HIPERLINK($A$1 &amp; "\Dados\Imagem_perfil_302.png", "Imagem_perfil_302")</f>
        <v/>
      </c>
      <c r="U302" s="29">
        <f>HIPERLINK($A$1 &amp; "\Dados\Results_airgap302.txt", "Results_airgap302")</f>
        <v/>
      </c>
      <c r="V302" s="19" t="n"/>
      <c r="W302" s="15" t="n">
        <v>1.396276304347826</v>
      </c>
      <c r="X302" s="15" t="n">
        <v>0.7098684422269308</v>
      </c>
      <c r="Y302" s="15" t="n">
        <v>0.5120865062641418</v>
      </c>
      <c r="Z302" s="15" t="n">
        <v>0.1652459338150289</v>
      </c>
      <c r="AA302" s="15" t="n">
        <v>0.04755541502624343</v>
      </c>
      <c r="AB302" s="15" t="n">
        <v>2.681188552034337</v>
      </c>
      <c r="AC302" s="15" t="n">
        <v>11.34290039204411</v>
      </c>
      <c r="AD302" s="15" t="n">
        <v>32.03316412282054</v>
      </c>
      <c r="AE302" s="15" t="n">
        <v>69.93506521594334</v>
      </c>
      <c r="AF302" s="15" t="n">
        <v>108.2255797849661</v>
      </c>
      <c r="AH302" s="29">
        <f>HIPERLINK($A$1 &amp; "\Dados\Magnet_fields.txt_302.txt.txt", "Magnet_fields.txt_302.txt")</f>
        <v/>
      </c>
      <c r="AI302" t="n">
        <v>7313</v>
      </c>
      <c r="AJ302" t="n">
        <v>29</v>
      </c>
      <c r="AK302" s="29">
        <f>HIPERLINK($A$1 &amp; "\Dados\Magnet_3D_results.txt_302.txt.txt", "Magnet_3D_results.txt_302.txt")</f>
        <v/>
      </c>
      <c r="AL302" s="29">
        <f>HIPERLINK($A$1 &amp; "\Dados\Magnet_fields_2D.txt_302.txt.txt", "Magnet_fields_2D.txt_302.txt")</f>
        <v/>
      </c>
    </row>
    <row customHeight="1" ht="15.75" r="303" s="34">
      <c r="E303" s="15" t="n">
        <v>120</v>
      </c>
      <c r="F303" s="15" t="n">
        <v>170</v>
      </c>
      <c r="G303" s="15" t="n">
        <v>350</v>
      </c>
      <c r="H303" s="15" t="n">
        <v>36</v>
      </c>
      <c r="I303" s="15" t="n">
        <v>144</v>
      </c>
      <c r="J303" s="13" t="n">
        <v>25</v>
      </c>
      <c r="K303" t="n">
        <v>35</v>
      </c>
      <c r="L303" s="13" t="n">
        <v>2.000000000000001</v>
      </c>
      <c r="M303" s="12" t="n"/>
      <c r="N303" s="8" t="n">
        <v>1.107319607087513</v>
      </c>
      <c r="O303" s="15" t="n">
        <v>0.8786722970381738</v>
      </c>
      <c r="P303" s="15" t="n">
        <v>1.035409531024944</v>
      </c>
      <c r="Q303" s="15" t="n">
        <v>0.0009718997174674518</v>
      </c>
      <c r="R303" s="15" t="n">
        <v>0.02622248647898719</v>
      </c>
      <c r="S303" s="15" t="n">
        <v>0.001848160705298143</v>
      </c>
      <c r="T303" s="29">
        <f>HIPERLINK($A$1 &amp; "\Dados\Imagem_perfil_303.png", "Imagem_perfil_303")</f>
        <v/>
      </c>
      <c r="U303" s="29">
        <f>HIPERLINK($A$1 &amp; "\Dados\Results_airgap303.txt", "Results_airgap303")</f>
        <v/>
      </c>
      <c r="V303" s="19" t="n"/>
      <c r="W303" s="15" t="n">
        <v>1.397760217391304</v>
      </c>
      <c r="X303" s="15" t="n">
        <v>0.7103770040083647</v>
      </c>
      <c r="Y303" s="15" t="n">
        <v>0.6063122947335349</v>
      </c>
      <c r="Z303" s="15" t="n">
        <v>0.1138217830103666</v>
      </c>
      <c r="AA303" s="15" t="n">
        <v>0.04755541502624343</v>
      </c>
      <c r="AB303" s="15" t="n">
        <v>2.809247241786928</v>
      </c>
      <c r="AC303" s="15" t="n">
        <v>11.68609425136175</v>
      </c>
      <c r="AD303" s="15" t="n">
        <v>32.33410595214398</v>
      </c>
      <c r="AE303" s="15" t="n">
        <v>70.08458979984979</v>
      </c>
      <c r="AF303" s="15" t="n">
        <v>108.2604651138386</v>
      </c>
      <c r="AH303" s="29">
        <f>HIPERLINK($A$1 &amp; "\Dados\Magnet_fields.txt_303.txt.txt", "Magnet_fields.txt_303.txt")</f>
        <v/>
      </c>
      <c r="AI303" t="n">
        <v>7313</v>
      </c>
      <c r="AJ303" t="n">
        <v>28</v>
      </c>
      <c r="AK303" s="29">
        <f>HIPERLINK($A$1 &amp; "\Dados\Magnet_3D_results.txt_303.txt.txt", "Magnet_3D_results.txt_303.txt")</f>
        <v/>
      </c>
      <c r="AL303" s="29">
        <f>HIPERLINK($A$1 &amp; "\Dados\Magnet_fields_2D.txt_303.txt.txt", "Magnet_fields_2D.txt_303.txt")</f>
        <v/>
      </c>
    </row>
    <row customHeight="1" ht="15.75" r="304" s="34">
      <c r="E304" s="15" t="n">
        <v>120</v>
      </c>
      <c r="F304" s="15" t="n">
        <v>170</v>
      </c>
      <c r="G304" s="15" t="n">
        <v>350</v>
      </c>
      <c r="H304" s="15" t="n">
        <v>36</v>
      </c>
      <c r="I304" s="15" t="n">
        <v>144</v>
      </c>
      <c r="J304" s="13" t="n">
        <v>25</v>
      </c>
      <c r="K304" t="n">
        <v>35</v>
      </c>
      <c r="L304" s="13" t="n">
        <v>2.100000000000001</v>
      </c>
      <c r="M304" s="12" t="n"/>
      <c r="N304" s="8" t="n">
        <v>1.109338136430207</v>
      </c>
      <c r="O304" s="15" t="n">
        <v>0.880256648251897</v>
      </c>
      <c r="P304" s="15" t="n">
        <v>1.037326413393713</v>
      </c>
      <c r="Q304" s="15" t="n">
        <v>0.0009721078540398326</v>
      </c>
      <c r="R304" s="15" t="n">
        <v>0.0262637242623719</v>
      </c>
      <c r="S304" s="15" t="n">
        <v>0.001849131707542317</v>
      </c>
      <c r="T304" s="29">
        <f>HIPERLINK($A$1 &amp; "\Dados\Imagem_perfil_304.png", "Imagem_perfil_304")</f>
        <v/>
      </c>
      <c r="U304" s="29">
        <f>HIPERLINK($A$1 &amp; "\Dados\Results_airgap304.txt", "Results_airgap304")</f>
        <v/>
      </c>
      <c r="V304" s="19" t="n"/>
      <c r="W304" s="15" t="n">
        <v>1.399128695652174</v>
      </c>
      <c r="X304" s="15" t="n">
        <v>0.7116835814958463</v>
      </c>
      <c r="Y304" s="15" t="n">
        <v>0.6988137903980117</v>
      </c>
      <c r="Z304" s="15" t="n">
        <v>0.1138217830103666</v>
      </c>
      <c r="AA304" s="15" t="n">
        <v>0.04755541502624343</v>
      </c>
      <c r="AB304" s="15" t="n">
        <v>3.040173442020571</v>
      </c>
      <c r="AC304" s="15" t="n">
        <v>12.00438120341571</v>
      </c>
      <c r="AD304" s="15" t="n">
        <v>32.58286272207591</v>
      </c>
      <c r="AE304" s="15" t="n">
        <v>70.21120093701725</v>
      </c>
      <c r="AF304" s="15" t="n">
        <v>108.2778169027635</v>
      </c>
      <c r="AH304" s="29">
        <f>HIPERLINK($A$1 &amp; "\Dados\Magnet_fields.txt_304.txt.txt", "Magnet_fields.txt_304.txt")</f>
        <v/>
      </c>
      <c r="AI304" t="n">
        <v>7313</v>
      </c>
      <c r="AJ304" t="n">
        <v>28</v>
      </c>
      <c r="AK304" s="29">
        <f>HIPERLINK($A$1 &amp; "\Dados\Magnet_3D_results.txt_304.txt.txt", "Magnet_3D_results.txt_304.txt")</f>
        <v/>
      </c>
      <c r="AL304" s="29">
        <f>HIPERLINK($A$1 &amp; "\Dados\Magnet_fields_2D.txt_304.txt.txt", "Magnet_fields_2D.txt_304.txt")</f>
        <v/>
      </c>
    </row>
    <row customHeight="1" ht="15.75" r="305" s="34">
      <c r="E305" s="15" t="n">
        <v>120</v>
      </c>
      <c r="F305" s="15" t="n">
        <v>170</v>
      </c>
      <c r="G305" s="15" t="n">
        <v>350</v>
      </c>
      <c r="H305" s="15" t="n">
        <v>38</v>
      </c>
      <c r="I305" s="15" t="n">
        <v>144</v>
      </c>
      <c r="J305" s="13" t="n">
        <v>25</v>
      </c>
      <c r="K305" t="n">
        <v>35</v>
      </c>
      <c r="L305" s="13" t="n">
        <v>1.3</v>
      </c>
      <c r="M305" s="12" t="n"/>
      <c r="N305" s="8" t="n">
        <v>1.058475570550167</v>
      </c>
      <c r="O305" s="15" t="n">
        <v>0.8411742249052091</v>
      </c>
      <c r="P305" s="15" t="n">
        <v>0.9901916285591352</v>
      </c>
      <c r="Q305" s="15" t="n">
        <v>0.0009799343404770697</v>
      </c>
      <c r="R305" s="15" t="n">
        <v>0.02459528586657204</v>
      </c>
      <c r="S305" s="15" t="n">
        <v>0.001822397681242844</v>
      </c>
      <c r="T305" s="29">
        <f>HIPERLINK($A$1 &amp; "\Dados\Imagem_perfil_305.png", "Imagem_perfil_305")</f>
        <v/>
      </c>
      <c r="U305" s="29">
        <f>HIPERLINK($A$1 &amp; "\Dados\Results_airgap305.txt", "Results_airgap305")</f>
        <v/>
      </c>
      <c r="V305" s="19" t="n"/>
      <c r="W305" s="43" t="n">
        <v>1.332258478260869</v>
      </c>
      <c r="X305" s="15" t="n">
        <v>0.6796007671320125</v>
      </c>
      <c r="Y305" s="15" t="n">
        <v>0.03208575311853042</v>
      </c>
      <c r="Z305" s="15" t="n">
        <v>0.4195428533881549</v>
      </c>
      <c r="AA305" s="15" t="n">
        <v>0.04498557365448973</v>
      </c>
      <c r="AB305" s="15" t="n">
        <v>0</v>
      </c>
      <c r="AC305" s="15" t="n">
        <v>0</v>
      </c>
      <c r="AD305" s="15" t="n">
        <v>20.54949960742706</v>
      </c>
      <c r="AE305" s="15" t="n">
        <v>64.54789982012528</v>
      </c>
      <c r="AF305" s="15" t="n">
        <v>106.8654235276258</v>
      </c>
      <c r="AH305" s="29">
        <f>HIPERLINK($A$1 &amp; "\Dados\Magnet_fields.txt_305.txt.txt", "Magnet_fields.txt_305.txt")</f>
        <v/>
      </c>
      <c r="AI305" t="n">
        <v>6846</v>
      </c>
      <c r="AJ305" t="n">
        <v>28</v>
      </c>
      <c r="AK305" s="29">
        <f>HIPERLINK($A$1 &amp; "\Dados\Magnet_3D_results.txt_305.txt.txt", "Magnet_3D_results.txt_305.txt")</f>
        <v/>
      </c>
      <c r="AL305" s="29">
        <f>HIPERLINK($A$1 &amp; "\Dados\Magnet_fields_2D.txt_305.txt.txt", "Magnet_fields_2D.txt_305.txt")</f>
        <v/>
      </c>
    </row>
    <row customHeight="1" ht="15.75" r="306" s="34">
      <c r="E306" s="15" t="n">
        <v>120</v>
      </c>
      <c r="F306" s="15" t="n">
        <v>170</v>
      </c>
      <c r="G306" s="15" t="n">
        <v>350</v>
      </c>
      <c r="H306" s="15" t="n">
        <v>38</v>
      </c>
      <c r="I306" s="15" t="n">
        <v>144</v>
      </c>
      <c r="J306" s="13" t="n">
        <v>25</v>
      </c>
      <c r="K306" t="n">
        <v>35</v>
      </c>
      <c r="L306" s="13" t="n">
        <v>1.4</v>
      </c>
      <c r="M306" s="12" t="n"/>
      <c r="N306" s="8" t="n">
        <v>1.082192538184453</v>
      </c>
      <c r="O306" s="15" t="n">
        <v>0.859879609117191</v>
      </c>
      <c r="P306" s="15" t="n">
        <v>1.012174579534523</v>
      </c>
      <c r="Q306" s="15" t="n">
        <v>0.0009783335365052377</v>
      </c>
      <c r="R306" s="15" t="n">
        <v>0.02547996820163188</v>
      </c>
      <c r="S306" s="15" t="n">
        <v>0.001839963078983476</v>
      </c>
      <c r="T306" s="29">
        <f>HIPERLINK($A$1 &amp; "\Dados\Imagem_perfil_306.png", "Imagem_perfil_306")</f>
        <v/>
      </c>
      <c r="U306" s="29">
        <f>HIPERLINK($A$1 &amp; "\Dados\Results_airgap306.txt", "Results_airgap306")</f>
        <v/>
      </c>
      <c r="V306" s="19" t="n"/>
      <c r="W306" s="43" t="n">
        <v>1.363207826086956</v>
      </c>
      <c r="X306" s="15" t="n">
        <v>0.6956507159794681</v>
      </c>
      <c r="Y306" s="15" t="n">
        <v>0.08123460319689932</v>
      </c>
      <c r="Z306" s="15" t="n">
        <v>0.2716528741078125</v>
      </c>
      <c r="AA306" s="15" t="n">
        <v>0.02021342786700182</v>
      </c>
      <c r="AB306" s="15" t="n">
        <v>0</v>
      </c>
      <c r="AC306" s="15" t="n">
        <v>4.366577359896495</v>
      </c>
      <c r="AD306" s="15" t="n">
        <v>26.43649710295822</v>
      </c>
      <c r="AE306" s="15" t="n">
        <v>67.28651335807065</v>
      </c>
      <c r="AF306" s="15" t="n">
        <v>107.7203400826799</v>
      </c>
      <c r="AH306" s="29">
        <f>HIPERLINK($A$1 &amp; "\Dados\Magnet_fields.txt_306.txt.txt", "Magnet_fields.txt_306.txt")</f>
        <v/>
      </c>
      <c r="AI306" t="n">
        <v>6846</v>
      </c>
      <c r="AJ306" t="n">
        <v>28</v>
      </c>
      <c r="AK306" s="29">
        <f>HIPERLINK($A$1 &amp; "\Dados\Magnet_3D_results.txt_306.txt.txt", "Magnet_3D_results.txt_306.txt")</f>
        <v/>
      </c>
      <c r="AL306" s="29">
        <f>HIPERLINK($A$1 &amp; "\Dados\Magnet_fields_2D.txt_306.txt.txt", "Magnet_fields_2D.txt_306.txt")</f>
        <v/>
      </c>
    </row>
    <row customHeight="1" ht="15.75" r="307" s="34">
      <c r="E307" s="15" t="n">
        <v>120</v>
      </c>
      <c r="F307" s="15" t="n">
        <v>170</v>
      </c>
      <c r="G307" s="15" t="n">
        <v>350</v>
      </c>
      <c r="H307" s="15" t="n">
        <v>38</v>
      </c>
      <c r="I307" s="15" t="n">
        <v>144</v>
      </c>
      <c r="J307" s="13" t="n">
        <v>25</v>
      </c>
      <c r="K307" t="n">
        <v>35</v>
      </c>
      <c r="L307" s="13" t="n">
        <v>1.5</v>
      </c>
      <c r="M307" s="12" t="n"/>
      <c r="N307" s="8" t="n">
        <v>1.092111681364725</v>
      </c>
      <c r="O307" s="15" t="n">
        <v>0.8677049086697842</v>
      </c>
      <c r="P307" s="15" t="n">
        <v>1.021488336844224</v>
      </c>
      <c r="Q307" s="15" t="n">
        <v>0.0009782339333897893</v>
      </c>
      <c r="R307" s="15" t="n">
        <v>0.02578532557855921</v>
      </c>
      <c r="S307" s="15" t="n">
        <v>0.001846221134416893</v>
      </c>
      <c r="T307" s="29">
        <f>HIPERLINK($A$1 &amp; "\Dados\Imagem_perfil_307.png", "Imagem_perfil_307")</f>
        <v/>
      </c>
      <c r="U307" s="29">
        <f>HIPERLINK($A$1 &amp; "\Dados\Results_airgap307.txt", "Results_airgap307")</f>
        <v/>
      </c>
      <c r="V307" s="19" t="n"/>
      <c r="W307" s="43" t="n">
        <v>1.378599347826087</v>
      </c>
      <c r="X307" s="15" t="n">
        <v>0.7023468710206803</v>
      </c>
      <c r="Y307" s="15" t="n">
        <v>0.1507729185838726</v>
      </c>
      <c r="Z307" s="15" t="n">
        <v>0.2217894232035752</v>
      </c>
      <c r="AA307" s="15" t="n">
        <v>0.01502717312242149</v>
      </c>
      <c r="AB307" s="15" t="n">
        <v>0.878153367307476</v>
      </c>
      <c r="AC307" s="15" t="n">
        <v>7.499769774269426</v>
      </c>
      <c r="AD307" s="15" t="n">
        <v>28.89509715719028</v>
      </c>
      <c r="AE307" s="15" t="n">
        <v>68.44428502166861</v>
      </c>
      <c r="AF307" s="15" t="n">
        <v>107.9449136218499</v>
      </c>
      <c r="AH307" s="29">
        <f>HIPERLINK($A$1 &amp; "\Dados\Magnet_fields.txt_307.txt.txt", "Magnet_fields.txt_307.txt")</f>
        <v/>
      </c>
      <c r="AI307" t="n">
        <v>6846</v>
      </c>
      <c r="AJ307" t="n">
        <v>28</v>
      </c>
      <c r="AK307" s="29">
        <f>HIPERLINK($A$1 &amp; "\Dados\Magnet_3D_results.txt_307.txt.txt", "Magnet_3D_results.txt_307.txt")</f>
        <v/>
      </c>
      <c r="AL307" s="29">
        <f>HIPERLINK($A$1 &amp; "\Dados\Magnet_fields_2D.txt_307.txt.txt", "Magnet_fields_2D.txt_307.txt")</f>
        <v/>
      </c>
    </row>
    <row customHeight="1" ht="15.75" r="308" s="34">
      <c r="E308" s="15" t="n">
        <v>120</v>
      </c>
      <c r="F308" s="15" t="n">
        <v>170</v>
      </c>
      <c r="G308" s="15" t="n">
        <v>350</v>
      </c>
      <c r="H308" s="15" t="n">
        <v>38</v>
      </c>
      <c r="I308" s="15" t="n">
        <v>144</v>
      </c>
      <c r="J308" s="13" t="n">
        <v>25</v>
      </c>
      <c r="K308" t="n">
        <v>35</v>
      </c>
      <c r="L308" s="13" t="n">
        <v>1.6</v>
      </c>
      <c r="M308" s="12" t="n"/>
      <c r="N308" s="8" t="n">
        <v>1.100412390270666</v>
      </c>
      <c r="O308" s="15" t="n">
        <v>0.8742440170050293</v>
      </c>
      <c r="P308" s="15" t="n">
        <v>1.029203470275025</v>
      </c>
      <c r="Q308" s="15" t="n">
        <v>0.0009753615208443866</v>
      </c>
      <c r="R308" s="15" t="n">
        <v>0.02608251520096338</v>
      </c>
      <c r="S308" s="15" t="n">
        <v>0.001849334028217382</v>
      </c>
      <c r="T308" s="29">
        <f>HIPERLINK($A$1 &amp; "\Dados\Imagem_perfil_308.png", "Imagem_perfil_308")</f>
        <v/>
      </c>
      <c r="U308" s="29">
        <f>HIPERLINK($A$1 &amp; "\Dados\Results_airgap308.txt", "Results_airgap308")</f>
        <v/>
      </c>
      <c r="V308" s="19" t="n"/>
      <c r="W308" s="15" t="n">
        <v>1.38647652173913</v>
      </c>
      <c r="X308" s="15" t="n">
        <v>0.7079775923913281</v>
      </c>
      <c r="Y308" s="15" t="n">
        <v>0.2333730658053494</v>
      </c>
      <c r="Z308" s="15" t="n">
        <v>0.1799238001937332</v>
      </c>
      <c r="AA308" s="15" t="n">
        <v>0.009433797380391611</v>
      </c>
      <c r="AB308" s="15" t="n">
        <v>1.668983275999777</v>
      </c>
      <c r="AC308" s="15" t="n">
        <v>9.159637283740681</v>
      </c>
      <c r="AD308" s="15" t="n">
        <v>30.21571054126757</v>
      </c>
      <c r="AE308" s="15" t="n">
        <v>69.07437971419998</v>
      </c>
      <c r="AF308" s="15" t="n">
        <v>108.0412279856257</v>
      </c>
      <c r="AH308" s="29">
        <f>HIPERLINK($A$1 &amp; "\Dados\Magnet_fields.txt_308.txt.txt", "Magnet_fields.txt_308.txt")</f>
        <v/>
      </c>
      <c r="AI308" t="n">
        <v>6846</v>
      </c>
      <c r="AJ308" t="n">
        <v>28</v>
      </c>
      <c r="AK308" s="29">
        <f>HIPERLINK($A$1 &amp; "\Dados\Magnet_3D_results.txt_308.txt.txt", "Magnet_3D_results.txt_308.txt")</f>
        <v/>
      </c>
      <c r="AL308" s="29">
        <f>HIPERLINK($A$1 &amp; "\Dados\Magnet_fields_2D.txt_308.txt.txt", "Magnet_fields_2D.txt_308.txt")</f>
        <v/>
      </c>
    </row>
    <row customHeight="1" ht="15.75" r="309" s="34">
      <c r="E309" s="15" t="n">
        <v>120</v>
      </c>
      <c r="F309" s="15" t="n">
        <v>170</v>
      </c>
      <c r="G309" s="15" t="n">
        <v>350</v>
      </c>
      <c r="H309" s="15" t="n">
        <v>38</v>
      </c>
      <c r="I309" s="15" t="n">
        <v>144</v>
      </c>
      <c r="J309" s="13" t="n">
        <v>25</v>
      </c>
      <c r="K309" t="n">
        <v>35</v>
      </c>
      <c r="L309" s="13" t="n">
        <v>1.7</v>
      </c>
      <c r="M309" s="12" t="n"/>
      <c r="N309" s="8" t="n">
        <v>1.10421420641229</v>
      </c>
      <c r="O309" s="15" t="n">
        <v>0.8772263785322744</v>
      </c>
      <c r="P309" s="15" t="n">
        <v>1.032717581138598</v>
      </c>
      <c r="Q309" s="15" t="n">
        <v>0.000975492882145565</v>
      </c>
      <c r="R309" s="15" t="n">
        <v>0.02618014928302536</v>
      </c>
      <c r="S309" s="15" t="n">
        <v>0.001851366973738917</v>
      </c>
      <c r="T309" s="29">
        <f>HIPERLINK($A$1 &amp; "\Dados\Imagem_perfil_309.png", "Imagem_perfil_309")</f>
        <v/>
      </c>
      <c r="U309" s="29">
        <f>HIPERLINK($A$1 &amp; "\Dados\Results_airgap309.txt", "Results_airgap309")</f>
        <v/>
      </c>
      <c r="V309" s="19" t="n"/>
      <c r="W309" s="15" t="n">
        <v>1.391089565217391</v>
      </c>
      <c r="X309" s="15" t="n">
        <v>0.710521150114953</v>
      </c>
      <c r="Y309" s="15" t="n">
        <v>0.3234735991699586</v>
      </c>
      <c r="Z309" s="15" t="n">
        <v>0.16318726740941</v>
      </c>
      <c r="AA309" s="15" t="n">
        <v>0.006941801975620765</v>
      </c>
      <c r="AB309" s="15" t="n">
        <v>2.142600026774272</v>
      </c>
      <c r="AC309" s="15" t="n">
        <v>10.17331860243747</v>
      </c>
      <c r="AD309" s="15" t="n">
        <v>31.03734280357504</v>
      </c>
      <c r="AE309" s="15" t="n">
        <v>69.46813286757008</v>
      </c>
      <c r="AF309" s="15" t="n">
        <v>108.1317644560888</v>
      </c>
      <c r="AH309" s="29">
        <f>HIPERLINK($A$1 &amp; "\Dados\Magnet_fields.txt_309.txt.txt", "Magnet_fields.txt_309.txt")</f>
        <v/>
      </c>
      <c r="AI309" t="n">
        <v>6846</v>
      </c>
      <c r="AJ309" t="n">
        <v>28</v>
      </c>
      <c r="AK309" s="29">
        <f>HIPERLINK($A$1 &amp; "\Dados\Magnet_3D_results.txt_309.txt.txt", "Magnet_3D_results.txt_309.txt")</f>
        <v/>
      </c>
      <c r="AL309" s="29">
        <f>HIPERLINK($A$1 &amp; "\Dados\Magnet_fields_2D.txt_309.txt.txt", "Magnet_fields_2D.txt_309.txt")</f>
        <v/>
      </c>
    </row>
    <row customHeight="1" ht="15.75" r="310" s="34">
      <c r="E310" s="15" t="n">
        <v>120</v>
      </c>
      <c r="F310" s="15" t="n">
        <v>170</v>
      </c>
      <c r="G310" s="15" t="n">
        <v>350</v>
      </c>
      <c r="H310" s="15" t="n">
        <v>38</v>
      </c>
      <c r="I310" s="15" t="n">
        <v>144</v>
      </c>
      <c r="J310" s="13" t="n">
        <v>25</v>
      </c>
      <c r="K310" t="n">
        <v>35</v>
      </c>
      <c r="L310" s="13" t="n">
        <v>1.8</v>
      </c>
      <c r="M310" s="12" t="n"/>
      <c r="N310" s="8" t="n">
        <v>1.10421420641229</v>
      </c>
      <c r="O310" s="15" t="n">
        <v>0.8772263785322744</v>
      </c>
      <c r="P310" s="15" t="n">
        <v>1.032717581138598</v>
      </c>
      <c r="Q310" s="15" t="n">
        <v>0.0009754928821455648</v>
      </c>
      <c r="R310" s="15" t="n">
        <v>0.02618014928302536</v>
      </c>
      <c r="S310" s="15" t="n">
        <v>0.001851366973738917</v>
      </c>
      <c r="T310" s="29">
        <f>HIPERLINK($A$1 &amp; "\Dados\Imagem_perfil_310.png", "Imagem_perfil_310")</f>
        <v/>
      </c>
      <c r="U310" s="29">
        <f>HIPERLINK($A$1 &amp; "\Dados\Results_airgap310.txt", "Results_airgap310")</f>
        <v/>
      </c>
      <c r="V310" s="19" t="n"/>
      <c r="W310" s="15" t="n">
        <v>1.394141956521739</v>
      </c>
      <c r="X310" s="15" t="n">
        <v>0.710521150114953</v>
      </c>
      <c r="Y310" s="15" t="n">
        <v>0.4172329882153225</v>
      </c>
      <c r="Z310" s="15" t="n">
        <v>0.16318726740941</v>
      </c>
      <c r="AA310" s="15" t="n">
        <v>0.006941801975620765</v>
      </c>
      <c r="AB310" s="15" t="n">
        <v>2.443373671888504</v>
      </c>
      <c r="AC310" s="15" t="n">
        <v>10.85358549493687</v>
      </c>
      <c r="AD310" s="15" t="n">
        <v>31.61940577174985</v>
      </c>
      <c r="AE310" s="15" t="n">
        <v>69.74484767544067</v>
      </c>
      <c r="AF310" s="15" t="n">
        <v>108.1841439532797</v>
      </c>
      <c r="AH310" s="29">
        <f>HIPERLINK($A$1 &amp; "\Dados\Magnet_fields.txt_310.txt.txt", "Magnet_fields.txt_310.txt")</f>
        <v/>
      </c>
      <c r="AI310" t="n">
        <v>6846</v>
      </c>
      <c r="AJ310" t="n">
        <v>28</v>
      </c>
      <c r="AK310" s="29">
        <f>HIPERLINK($A$1 &amp; "\Dados\Magnet_3D_results.txt_310.txt.txt", "Magnet_3D_results.txt_310.txt")</f>
        <v/>
      </c>
      <c r="AL310" s="29">
        <f>HIPERLINK($A$1 &amp; "\Dados\Magnet_fields_2D.txt_310.txt.txt", "Magnet_fields_2D.txt_310.txt")</f>
        <v/>
      </c>
    </row>
    <row customHeight="1" ht="15.75" r="311" s="34">
      <c r="E311" s="15" t="n">
        <v>120</v>
      </c>
      <c r="F311" s="15" t="n">
        <v>170</v>
      </c>
      <c r="G311" s="15" t="n">
        <v>350</v>
      </c>
      <c r="H311" s="15" t="n">
        <v>38</v>
      </c>
      <c r="I311" s="15" t="n">
        <v>144</v>
      </c>
      <c r="J311" s="13" t="n">
        <v>25</v>
      </c>
      <c r="K311" t="n">
        <v>35</v>
      </c>
      <c r="L311" s="13" t="n">
        <v>1.900000000000001</v>
      </c>
      <c r="M311" s="12" t="n"/>
      <c r="N311" s="8" t="n">
        <v>1.107178462952023</v>
      </c>
      <c r="O311" s="15" t="n">
        <v>0.8795599241375797</v>
      </c>
      <c r="P311" s="15" t="n">
        <v>1.035484187430366</v>
      </c>
      <c r="Q311" s="15" t="n">
        <v>0.0009753481041008198</v>
      </c>
      <c r="R311" s="15" t="n">
        <v>0.02626349342881901</v>
      </c>
      <c r="S311" s="15" t="n">
        <v>0.001852807814366631</v>
      </c>
      <c r="T311" s="29">
        <f>HIPERLINK($A$1 &amp; "\Dados\Imagem_perfil_311.png", "Imagem_perfil_311")</f>
        <v/>
      </c>
      <c r="U311" s="29">
        <f>HIPERLINK($A$1 &amp; "\Dados\Results_airgap311.txt", "Results_airgap311")</f>
        <v/>
      </c>
      <c r="V311" s="19" t="n"/>
      <c r="W311" s="15" t="n">
        <v>1.396268913043478</v>
      </c>
      <c r="X311" s="15" t="n">
        <v>0.7125389202385403</v>
      </c>
      <c r="Y311" s="15" t="n">
        <v>0.5120762642494505</v>
      </c>
      <c r="Z311" s="15" t="n">
        <v>0.1684827160987895</v>
      </c>
      <c r="AA311" s="15" t="n">
        <v>0.006941801975620765</v>
      </c>
      <c r="AB311" s="15" t="n">
        <v>2.682810973739095</v>
      </c>
      <c r="AC311" s="15" t="n">
        <v>11.34014006714435</v>
      </c>
      <c r="AD311" s="15" t="n">
        <v>32.03064220957785</v>
      </c>
      <c r="AE311" s="15" t="n">
        <v>69.92833875538187</v>
      </c>
      <c r="AF311" s="15" t="n">
        <v>108.2183538843117</v>
      </c>
      <c r="AH311" s="29">
        <f>HIPERLINK($A$1 &amp; "\Dados\Magnet_fields.txt_311.txt.txt", "Magnet_fields.txt_311.txt")</f>
        <v/>
      </c>
      <c r="AI311" t="n">
        <v>6846</v>
      </c>
      <c r="AJ311" t="n">
        <v>28</v>
      </c>
      <c r="AK311" s="29">
        <f>HIPERLINK($A$1 &amp; "\Dados\Magnet_3D_results.txt_311.txt.txt", "Magnet_3D_results.txt_311.txt")</f>
        <v/>
      </c>
      <c r="AL311" s="29">
        <f>HIPERLINK($A$1 &amp; "\Dados\Magnet_fields_2D.txt_311.txt.txt", "Magnet_fields_2D.txt_311.txt")</f>
        <v/>
      </c>
    </row>
    <row customHeight="1" ht="15.75" r="312" s="34">
      <c r="E312" s="15" t="n">
        <v>120</v>
      </c>
      <c r="F312" s="15" t="n">
        <v>170</v>
      </c>
      <c r="G312" s="15" t="n">
        <v>350</v>
      </c>
      <c r="H312" s="15" t="n">
        <v>38</v>
      </c>
      <c r="I312" s="15" t="n">
        <v>144</v>
      </c>
      <c r="J312" s="13" t="n">
        <v>25</v>
      </c>
      <c r="K312" t="n">
        <v>35</v>
      </c>
      <c r="L312" s="13" t="n">
        <v>2.000000000000001</v>
      </c>
      <c r="M312" s="12" t="n"/>
      <c r="N312" s="8" t="n">
        <v>1.107867116638764</v>
      </c>
      <c r="O312" s="15" t="n">
        <v>0.8800911579016318</v>
      </c>
      <c r="P312" s="15" t="n">
        <v>1.036116851039272</v>
      </c>
      <c r="Q312" s="15" t="n">
        <v>0.0009737409718215135</v>
      </c>
      <c r="R312" s="15" t="n">
        <v>0.02632250734394575</v>
      </c>
      <c r="S312" s="15" t="n">
        <v>0.001852358138683042</v>
      </c>
      <c r="T312" s="29">
        <f>HIPERLINK($A$1 &amp; "\Dados\Imagem_perfil_312.png", "Imagem_perfil_312")</f>
        <v/>
      </c>
      <c r="U312" s="29">
        <f>HIPERLINK($A$1 &amp; "\Dados\Results_airgap312.txt", "Results_airgap312")</f>
        <v/>
      </c>
      <c r="V312" s="19" t="n"/>
      <c r="W312" s="15" t="n">
        <v>1.397828913043478</v>
      </c>
      <c r="X312" s="15" t="n">
        <v>0.7130345473807667</v>
      </c>
      <c r="Y312" s="15" t="n">
        <v>0.606301739982828</v>
      </c>
      <c r="Z312" s="15" t="n">
        <v>0.1335096782523028</v>
      </c>
      <c r="AA312" s="15" t="n">
        <v>0.006941801975620765</v>
      </c>
      <c r="AB312" s="15" t="n">
        <v>2.851439022017038</v>
      </c>
      <c r="AC312" s="15" t="n">
        <v>11.70445173569199</v>
      </c>
      <c r="AD312" s="15" t="n">
        <v>32.33104245222604</v>
      </c>
      <c r="AE312" s="15" t="n">
        <v>70.08440709571516</v>
      </c>
      <c r="AF312" s="15" t="n">
        <v>108.2619214735279</v>
      </c>
      <c r="AH312" s="29">
        <f>HIPERLINK($A$1 &amp; "\Dados\Magnet_fields.txt_312.txt.txt", "Magnet_fields.txt_312.txt")</f>
        <v/>
      </c>
      <c r="AI312" t="n">
        <v>6846</v>
      </c>
      <c r="AJ312" t="n">
        <v>28</v>
      </c>
      <c r="AK312" s="29">
        <f>HIPERLINK($A$1 &amp; "\Dados\Magnet_3D_results.txt_312.txt.txt", "Magnet_3D_results.txt_312.txt")</f>
        <v/>
      </c>
      <c r="AL312" s="29">
        <f>HIPERLINK($A$1 &amp; "\Dados\Magnet_fields_2D.txt_312.txt.txt", "Magnet_fields_2D.txt_312.txt")</f>
        <v/>
      </c>
    </row>
    <row customHeight="1" ht="15.75" r="313" s="34">
      <c r="E313" s="15" t="n">
        <v>120</v>
      </c>
      <c r="F313" s="15" t="n">
        <v>170</v>
      </c>
      <c r="G313" s="15" t="n">
        <v>350</v>
      </c>
      <c r="H313" s="15" t="n">
        <v>38</v>
      </c>
      <c r="I313" s="15" t="n">
        <v>144</v>
      </c>
      <c r="J313" s="13" t="n">
        <v>25</v>
      </c>
      <c r="K313" t="n">
        <v>35</v>
      </c>
      <c r="L313" s="13" t="n">
        <v>2.100000000000001</v>
      </c>
      <c r="M313" s="12" t="n"/>
      <c r="N313" s="8" t="n">
        <v>1.107867116638764</v>
      </c>
      <c r="O313" s="15" t="n">
        <v>0.8800911579016318</v>
      </c>
      <c r="P313" s="15" t="n">
        <v>1.036116851039272</v>
      </c>
      <c r="Q313" s="15" t="n">
        <v>0.0009737409718215135</v>
      </c>
      <c r="R313" s="15" t="n">
        <v>0.02632250734394575</v>
      </c>
      <c r="S313" s="15" t="n">
        <v>0.001852358138683042</v>
      </c>
      <c r="T313" s="29">
        <f>HIPERLINK($A$1 &amp; "\Dados\Imagem_perfil_313.png", "Imagem_perfil_313")</f>
        <v/>
      </c>
      <c r="U313" s="29">
        <f>HIPERLINK($A$1 &amp; "\Dados\Results_airgap313.txt", "Results_airgap313")</f>
        <v/>
      </c>
      <c r="V313" s="19" t="n"/>
      <c r="W313" s="15" t="n">
        <v>1.398985652173913</v>
      </c>
      <c r="X313" s="15" t="n">
        <v>0.7130345473807667</v>
      </c>
      <c r="Y313" s="15" t="n">
        <v>0.6988025152681064</v>
      </c>
      <c r="Z313" s="15" t="n">
        <v>0.1335096782523028</v>
      </c>
      <c r="AA313" s="15" t="n">
        <v>0.006941801975620765</v>
      </c>
      <c r="AB313" s="15" t="n">
        <v>2.975255430383619</v>
      </c>
      <c r="AC313" s="15" t="n">
        <v>11.96483993752599</v>
      </c>
      <c r="AD313" s="15" t="n">
        <v>32.57134341199811</v>
      </c>
      <c r="AE313" s="15" t="n">
        <v>70.20092301981859</v>
      </c>
      <c r="AF313" s="15" t="n">
        <v>108.2880933625001</v>
      </c>
      <c r="AH313" s="29">
        <f>HIPERLINK($A$1 &amp; "\Dados\Magnet_fields.txt_313.txt.txt", "Magnet_fields.txt_313.txt")</f>
        <v/>
      </c>
      <c r="AI313" t="n">
        <v>6846</v>
      </c>
      <c r="AJ313" t="n">
        <v>28</v>
      </c>
      <c r="AK313" s="29">
        <f>HIPERLINK($A$1 &amp; "\Dados\Magnet_3D_results.txt_313.txt.txt", "Magnet_3D_results.txt_313.txt")</f>
        <v/>
      </c>
      <c r="AL313" s="29">
        <f>HIPERLINK($A$1 &amp; "\Dados\Magnet_fields_2D.txt_313.txt.txt", "Magnet_fields_2D.txt_313.txt")</f>
        <v/>
      </c>
    </row>
    <row customHeight="1" ht="15.75" r="314" s="34">
      <c r="E314" s="15" t="n">
        <v>120</v>
      </c>
      <c r="F314" s="15" t="n">
        <v>170</v>
      </c>
      <c r="G314" s="15" t="n">
        <v>350</v>
      </c>
      <c r="H314" s="15" t="n">
        <v>40</v>
      </c>
      <c r="I314" s="15" t="n">
        <v>144</v>
      </c>
      <c r="J314" s="13" t="n">
        <v>25</v>
      </c>
      <c r="K314" t="n">
        <v>35</v>
      </c>
      <c r="L314" s="13" t="n">
        <v>1.3</v>
      </c>
      <c r="M314" s="12" t="n"/>
      <c r="N314" s="8" t="n">
        <v>1.059283574895298</v>
      </c>
      <c r="O314" s="15" t="n">
        <v>0.8372404900451582</v>
      </c>
      <c r="P314" s="15" t="n">
        <v>0.9896414602702837</v>
      </c>
      <c r="Q314" s="15" t="n">
        <v>0.0009795243275651099</v>
      </c>
      <c r="R314" s="15" t="n">
        <v>0.02475055296796684</v>
      </c>
      <c r="S314" s="15" t="n">
        <v>0.001821552217414605</v>
      </c>
      <c r="T314" s="29">
        <f>HIPERLINK($A$1 &amp; "\Dados\Imagem_perfil_314.png", "Imagem_perfil_314")</f>
        <v/>
      </c>
      <c r="U314" s="29">
        <f>HIPERLINK($A$1 &amp; "\Dados\Results_airgap314.txt", "Results_airgap314")</f>
        <v/>
      </c>
      <c r="V314" s="19" t="n"/>
      <c r="W314" s="43" t="n">
        <v>1.33226652173913</v>
      </c>
      <c r="X314" s="15" t="n">
        <v>0.6805558082701495</v>
      </c>
      <c r="Y314" s="15" t="n">
        <v>0.03208282568766826</v>
      </c>
      <c r="Z314" s="15" t="n">
        <v>0.4185226293287332</v>
      </c>
      <c r="AA314" s="15" t="n">
        <v>0.04765786451154853</v>
      </c>
      <c r="AB314" s="15" t="n">
        <v>0</v>
      </c>
      <c r="AC314" s="15" t="n">
        <v>0</v>
      </c>
      <c r="AD314" s="15" t="n">
        <v>20.5426320400456</v>
      </c>
      <c r="AE314" s="15" t="n">
        <v>64.56228106353235</v>
      </c>
      <c r="AF314" s="15" t="n">
        <v>106.8677460973319</v>
      </c>
      <c r="AH314" s="29">
        <f>HIPERLINK($A$1 &amp; "\Dados\Magnet_fields.txt_314.txt.txt", "Magnet_fields.txt_314.txt")</f>
        <v/>
      </c>
      <c r="AI314" t="n">
        <v>7141</v>
      </c>
      <c r="AJ314" t="n">
        <v>28</v>
      </c>
      <c r="AK314" s="29">
        <f>HIPERLINK($A$1 &amp; "\Dados\Magnet_3D_results.txt_314.txt.txt", "Magnet_3D_results.txt_314.txt")</f>
        <v/>
      </c>
      <c r="AL314" s="29">
        <f>HIPERLINK($A$1 &amp; "\Dados\Magnet_fields_2D.txt_314.txt.txt", "Magnet_fields_2D.txt_314.txt")</f>
        <v/>
      </c>
    </row>
    <row customHeight="1" ht="15.75" r="315" s="34">
      <c r="E315" s="15" t="n">
        <v>120</v>
      </c>
      <c r="F315" s="15" t="n">
        <v>170</v>
      </c>
      <c r="G315" s="15" t="n">
        <v>350</v>
      </c>
      <c r="H315" s="15" t="n">
        <v>40</v>
      </c>
      <c r="I315" s="15" t="n">
        <v>144</v>
      </c>
      <c r="J315" s="13" t="n">
        <v>25</v>
      </c>
      <c r="K315" t="n">
        <v>35</v>
      </c>
      <c r="L315" s="13" t="n">
        <v>1.4</v>
      </c>
      <c r="M315" s="12" t="n"/>
      <c r="N315" s="8" t="n">
        <v>1.08274414002644</v>
      </c>
      <c r="O315" s="15" t="n">
        <v>0.8557342220162658</v>
      </c>
      <c r="P315" s="15" t="n">
        <v>1.011334720440261</v>
      </c>
      <c r="Q315" s="15" t="n">
        <v>0.0009774708157700212</v>
      </c>
      <c r="R315" s="15" t="n">
        <v>0.02556310666895334</v>
      </c>
      <c r="S315" s="15" t="n">
        <v>0.001837192170953217</v>
      </c>
      <c r="T315" s="29">
        <f>HIPERLINK($A$1 &amp; "\Dados\Imagem_perfil_315.png", "Imagem_perfil_315")</f>
        <v/>
      </c>
      <c r="U315" s="29">
        <f>HIPERLINK($A$1 &amp; "\Dados\Results_airgap315.txt", "Results_airgap315")</f>
        <v/>
      </c>
      <c r="V315" s="19" t="n"/>
      <c r="W315" s="43" t="n">
        <v>1.363172391304348</v>
      </c>
      <c r="X315" s="15" t="n">
        <v>0.6961474981016457</v>
      </c>
      <c r="Y315" s="15" t="n">
        <v>0.08122990569555974</v>
      </c>
      <c r="Z315" s="15" t="n">
        <v>0.285268007091286</v>
      </c>
      <c r="AA315" s="15" t="n">
        <v>0.03343486711403872</v>
      </c>
      <c r="AB315" s="15" t="n">
        <v>0</v>
      </c>
      <c r="AC315" s="15" t="n">
        <v>4.364750523199226</v>
      </c>
      <c r="AD315" s="15" t="n">
        <v>26.42436739945913</v>
      </c>
      <c r="AE315" s="15" t="n">
        <v>67.27591287581586</v>
      </c>
      <c r="AF315" s="15" t="n">
        <v>107.7309938130064</v>
      </c>
      <c r="AH315" s="29">
        <f>HIPERLINK($A$1 &amp; "\Dados\Magnet_fields.txt_315.txt.txt", "Magnet_fields.txt_315.txt")</f>
        <v/>
      </c>
      <c r="AI315" t="n">
        <v>7141</v>
      </c>
      <c r="AJ315" t="n">
        <v>29</v>
      </c>
      <c r="AK315" s="29">
        <f>HIPERLINK($A$1 &amp; "\Dados\Magnet_3D_results.txt_315.txt.txt", "Magnet_3D_results.txt_315.txt")</f>
        <v/>
      </c>
      <c r="AL315" s="29">
        <f>HIPERLINK($A$1 &amp; "\Dados\Magnet_fields_2D.txt_315.txt.txt", "Magnet_fields_2D.txt_315.txt")</f>
        <v/>
      </c>
    </row>
    <row customHeight="1" ht="15.75" r="316" s="34">
      <c r="E316" s="15" t="n">
        <v>120</v>
      </c>
      <c r="F316" s="15" t="n">
        <v>170</v>
      </c>
      <c r="G316" s="15" t="n">
        <v>350</v>
      </c>
      <c r="H316" s="15" t="n">
        <v>40</v>
      </c>
      <c r="I316" s="15" t="n">
        <v>144</v>
      </c>
      <c r="J316" s="13" t="n">
        <v>25</v>
      </c>
      <c r="K316" t="n">
        <v>35</v>
      </c>
      <c r="L316" s="13" t="n">
        <v>1.5</v>
      </c>
      <c r="M316" s="12" t="n"/>
      <c r="N316" s="8" t="n">
        <v>1.092593144768051</v>
      </c>
      <c r="O316" s="15" t="n">
        <v>0.8634766154756761</v>
      </c>
      <c r="P316" s="15" t="n">
        <v>1.020572350935636</v>
      </c>
      <c r="Q316" s="15" t="n">
        <v>0.000977243917879924</v>
      </c>
      <c r="R316" s="15" t="n">
        <v>0.02584828320166032</v>
      </c>
      <c r="S316" s="15" t="n">
        <v>0.001842918244504653</v>
      </c>
      <c r="T316" s="29">
        <f>HIPERLINK($A$1 &amp; "\Dados\Imagem_perfil_316.png", "Imagem_perfil_316")</f>
        <v/>
      </c>
      <c r="U316" s="29">
        <f>HIPERLINK($A$1 &amp; "\Dados\Results_airgap316.txt", "Results_airgap316")</f>
        <v/>
      </c>
      <c r="V316" s="19" t="n"/>
      <c r="W316" s="43" t="n">
        <v>1.378585217391304</v>
      </c>
      <c r="X316" s="15" t="n">
        <v>0.7026537763870648</v>
      </c>
      <c r="Y316" s="15" t="n">
        <v>0.1507665985871314</v>
      </c>
      <c r="Z316" s="15" t="n">
        <v>0.2305888557160876</v>
      </c>
      <c r="AA316" s="15" t="n">
        <v>0.03343486711403872</v>
      </c>
      <c r="AB316" s="15" t="n">
        <v>0.8821465155851641</v>
      </c>
      <c r="AC316" s="15" t="n">
        <v>7.495614833423208</v>
      </c>
      <c r="AD316" s="15" t="n">
        <v>28.88988472982944</v>
      </c>
      <c r="AE316" s="15" t="n">
        <v>68.43809378195088</v>
      </c>
      <c r="AF316" s="15" t="n">
        <v>107.9607904661973</v>
      </c>
      <c r="AH316" s="29">
        <f>HIPERLINK($A$1 &amp; "\Dados\Magnet_fields.txt_316.txt.txt", "Magnet_fields.txt_316.txt")</f>
        <v/>
      </c>
      <c r="AI316" t="n">
        <v>7141</v>
      </c>
      <c r="AJ316" t="n">
        <v>28</v>
      </c>
      <c r="AK316" s="29">
        <f>HIPERLINK($A$1 &amp; "\Dados\Magnet_3D_results.txt_316.txt.txt", "Magnet_3D_results.txt_316.txt")</f>
        <v/>
      </c>
      <c r="AL316" s="29">
        <f>HIPERLINK($A$1 &amp; "\Dados\Magnet_fields_2D.txt_316.txt.txt", "Magnet_fields_2D.txt_316.txt")</f>
        <v/>
      </c>
    </row>
    <row customHeight="1" ht="15.75" r="317" s="34">
      <c r="E317" s="15" t="n">
        <v>120</v>
      </c>
      <c r="F317" s="15" t="n">
        <v>170</v>
      </c>
      <c r="G317" s="15" t="n">
        <v>350</v>
      </c>
      <c r="H317" s="15" t="n">
        <v>40</v>
      </c>
      <c r="I317" s="15" t="n">
        <v>144</v>
      </c>
      <c r="J317" s="13" t="n">
        <v>25</v>
      </c>
      <c r="K317" t="n">
        <v>35</v>
      </c>
      <c r="L317" s="13" t="n">
        <v>1.6</v>
      </c>
      <c r="M317" s="12" t="n"/>
      <c r="N317" s="8" t="n">
        <v>1.100807104522864</v>
      </c>
      <c r="O317" s="15" t="n">
        <v>0.8699251801507625</v>
      </c>
      <c r="P317" s="15" t="n">
        <v>1.028207429489737</v>
      </c>
      <c r="Q317" s="15" t="n">
        <v>0.0009742058970127282</v>
      </c>
      <c r="R317" s="15" t="n">
        <v>0.02612065986366612</v>
      </c>
      <c r="S317" s="15" t="n">
        <v>0.001845375611229599</v>
      </c>
      <c r="T317" s="29">
        <f>HIPERLINK($A$1 &amp; "\Dados\Imagem_perfil_317.png", "Imagem_perfil_317")</f>
        <v/>
      </c>
      <c r="U317" s="29">
        <f>HIPERLINK($A$1 &amp; "\Dados\Results_airgap317.txt", "Results_airgap317")</f>
        <v/>
      </c>
      <c r="V317" s="19" t="n"/>
      <c r="W317" s="15" t="n">
        <v>1.386472391304348</v>
      </c>
      <c r="X317" s="15" t="n">
        <v>0.7081047088189523</v>
      </c>
      <c r="Y317" s="15" t="n">
        <v>0.2333655035074086</v>
      </c>
      <c r="Z317" s="15" t="n">
        <v>0.1465236077721883</v>
      </c>
      <c r="AA317" s="15" t="n">
        <v>0.01472468593597166</v>
      </c>
      <c r="AB317" s="15" t="n">
        <v>1.664725727910335</v>
      </c>
      <c r="AC317" s="15" t="n">
        <v>9.153873274254275</v>
      </c>
      <c r="AD317" s="15" t="n">
        <v>30.21524925232755</v>
      </c>
      <c r="AE317" s="15" t="n">
        <v>69.07816483255031</v>
      </c>
      <c r="AF317" s="15" t="n">
        <v>108.0463182637847</v>
      </c>
      <c r="AH317" s="29">
        <f>HIPERLINK($A$1 &amp; "\Dados\Magnet_fields.txt_317.txt.txt", "Magnet_fields.txt_317.txt")</f>
        <v/>
      </c>
      <c r="AI317" t="n">
        <v>7141</v>
      </c>
      <c r="AJ317" t="n">
        <v>28</v>
      </c>
      <c r="AK317" s="29">
        <f>HIPERLINK($A$1 &amp; "\Dados\Magnet_3D_results.txt_317.txt.txt", "Magnet_3D_results.txt_317.txt")</f>
        <v/>
      </c>
      <c r="AL317" s="29">
        <f>HIPERLINK($A$1 &amp; "\Dados\Magnet_fields_2D.txt_317.txt.txt", "Magnet_fields_2D.txt_317.txt")</f>
        <v/>
      </c>
    </row>
    <row customHeight="1" ht="15.75" r="318" s="34">
      <c r="E318" s="15" t="n">
        <v>120</v>
      </c>
      <c r="F318" s="15" t="n">
        <v>170</v>
      </c>
      <c r="G318" s="15" t="n">
        <v>350</v>
      </c>
      <c r="H318" s="15" t="n">
        <v>40</v>
      </c>
      <c r="I318" s="15" t="n">
        <v>144</v>
      </c>
      <c r="J318" s="13" t="n">
        <v>25</v>
      </c>
      <c r="K318" t="n">
        <v>35</v>
      </c>
      <c r="L318" s="13" t="n">
        <v>1.7</v>
      </c>
      <c r="M318" s="12" t="n"/>
      <c r="N318" s="8" t="n">
        <v>1.104574389230865</v>
      </c>
      <c r="O318" s="15" t="n">
        <v>0.8728667270114966</v>
      </c>
      <c r="P318" s="15" t="n">
        <v>1.031696215683929</v>
      </c>
      <c r="Q318" s="15" t="n">
        <v>0.0009742704459828413</v>
      </c>
      <c r="R318" s="15" t="n">
        <v>0.02620911790468477</v>
      </c>
      <c r="S318" s="15" t="n">
        <v>0.001847150491450092</v>
      </c>
      <c r="T318" s="29">
        <f>HIPERLINK($A$1 &amp; "\Dados\Imagem_perfil_318.png", "Imagem_perfil_318")</f>
        <v/>
      </c>
      <c r="U318" s="29">
        <f>HIPERLINK($A$1 &amp; "\Dados\Results_airgap318.txt", "Results_airgap318")</f>
        <v/>
      </c>
      <c r="V318" s="19" t="n"/>
      <c r="W318" s="15" t="n">
        <v>1.391337608695652</v>
      </c>
      <c r="X318" s="15" t="n">
        <v>0.7105679448706538</v>
      </c>
      <c r="Y318" s="15" t="n">
        <v>0.32346563414069</v>
      </c>
      <c r="Z318" s="15" t="n">
        <v>0.1553230402847008</v>
      </c>
      <c r="AA318" s="15" t="n">
        <v>0.01472468593597166</v>
      </c>
      <c r="AB318" s="15" t="n">
        <v>2.162187427895023</v>
      </c>
      <c r="AC318" s="15" t="n">
        <v>10.1784006561511</v>
      </c>
      <c r="AD318" s="15" t="n">
        <v>31.1127529559677</v>
      </c>
      <c r="AE318" s="15" t="n">
        <v>69.53253660236571</v>
      </c>
      <c r="AF318" s="15" t="n">
        <v>108.1118492511078</v>
      </c>
      <c r="AH318" s="29">
        <f>HIPERLINK($A$1 &amp; "\Dados\Magnet_fields.txt_318.txt.txt", "Magnet_fields.txt_318.txt")</f>
        <v/>
      </c>
      <c r="AI318" t="n">
        <v>7141</v>
      </c>
      <c r="AJ318" t="n">
        <v>28</v>
      </c>
      <c r="AK318" s="29">
        <f>HIPERLINK($A$1 &amp; "\Dados\Magnet_3D_results.txt_318.txt.txt", "Magnet_3D_results.txt_318.txt")</f>
        <v/>
      </c>
      <c r="AL318" s="29">
        <f>HIPERLINK($A$1 &amp; "\Dados\Magnet_fields_2D.txt_318.txt.txt", "Magnet_fields_2D.txt_318.txt")</f>
        <v/>
      </c>
    </row>
    <row customHeight="1" ht="15.75" r="319" s="34">
      <c r="E319" s="15" t="n">
        <v>120</v>
      </c>
      <c r="F319" s="15" t="n">
        <v>170</v>
      </c>
      <c r="G319" s="15" t="n">
        <v>350</v>
      </c>
      <c r="H319" s="15" t="n">
        <v>40</v>
      </c>
      <c r="I319" s="15" t="n">
        <v>144</v>
      </c>
      <c r="J319" s="13" t="n">
        <v>25</v>
      </c>
      <c r="K319" t="n">
        <v>35</v>
      </c>
      <c r="L319" s="13" t="n">
        <v>1.8</v>
      </c>
      <c r="M319" s="12" t="n"/>
      <c r="N319" s="8" t="n">
        <v>1.104574389230865</v>
      </c>
      <c r="O319" s="15" t="n">
        <v>0.8728667270114968</v>
      </c>
      <c r="P319" s="15" t="n">
        <v>1.031696215683929</v>
      </c>
      <c r="Q319" s="15" t="n">
        <v>0.0009742704459828411</v>
      </c>
      <c r="R319" s="15" t="n">
        <v>0.02620911790468477</v>
      </c>
      <c r="S319" s="15" t="n">
        <v>0.001847150491450092</v>
      </c>
      <c r="T319" s="29">
        <f>HIPERLINK($A$1 &amp; "\Dados\Imagem_perfil_319.png", "Imagem_perfil_319")</f>
        <v/>
      </c>
      <c r="U319" s="29">
        <f>HIPERLINK($A$1 &amp; "\Dados\Results_airgap319.txt", "Results_airgap319")</f>
        <v/>
      </c>
      <c r="V319" s="19" t="n"/>
      <c r="W319" s="15" t="n">
        <v>1.394157173913044</v>
      </c>
      <c r="X319" s="15" t="n">
        <v>0.710567944870654</v>
      </c>
      <c r="Y319" s="15" t="n">
        <v>0.4172239730113257</v>
      </c>
      <c r="Z319" s="15" t="n">
        <v>0.1553230402847008</v>
      </c>
      <c r="AA319" s="15" t="n">
        <v>0.01472468593597166</v>
      </c>
      <c r="AB319" s="15" t="n">
        <v>2.447104366075033</v>
      </c>
      <c r="AC319" s="15" t="n">
        <v>10.85441750490567</v>
      </c>
      <c r="AD319" s="15" t="n">
        <v>31.61807386405435</v>
      </c>
      <c r="AE319" s="15" t="n">
        <v>69.7504539729857</v>
      </c>
      <c r="AF319" s="15" t="n">
        <v>108.186572404169</v>
      </c>
      <c r="AH319" s="29">
        <f>HIPERLINK($A$1 &amp; "\Dados\Magnet_fields.txt_319.txt.txt", "Magnet_fields.txt_319.txt")</f>
        <v/>
      </c>
      <c r="AI319" t="n">
        <v>7141</v>
      </c>
      <c r="AJ319" t="n">
        <v>27</v>
      </c>
      <c r="AK319" s="29">
        <f>HIPERLINK($A$1 &amp; "\Dados\Magnet_3D_results.txt_319.txt.txt", "Magnet_3D_results.txt_319.txt")</f>
        <v/>
      </c>
      <c r="AL319" s="29">
        <f>HIPERLINK($A$1 &amp; "\Dados\Magnet_fields_2D.txt_319.txt.txt", "Magnet_fields_2D.txt_319.txt")</f>
        <v/>
      </c>
    </row>
    <row customHeight="1" ht="15.75" r="320" s="34">
      <c r="E320" s="15" t="n">
        <v>120</v>
      </c>
      <c r="F320" s="15" t="n">
        <v>170</v>
      </c>
      <c r="G320" s="15" t="n">
        <v>350</v>
      </c>
      <c r="H320" s="15" t="n">
        <v>40</v>
      </c>
      <c r="I320" s="15" t="n">
        <v>144</v>
      </c>
      <c r="J320" s="13" t="n">
        <v>25</v>
      </c>
      <c r="K320" t="n">
        <v>35</v>
      </c>
      <c r="L320" s="13" t="n">
        <v>1.900000000000001</v>
      </c>
      <c r="M320" s="12" t="n"/>
      <c r="N320" s="8" t="n">
        <v>1.107501933825817</v>
      </c>
      <c r="O320" s="15" t="n">
        <v>0.8751671812009443</v>
      </c>
      <c r="P320" s="15" t="n">
        <v>1.034422805948112</v>
      </c>
      <c r="Q320" s="15" t="n">
        <v>0.0009740602769695386</v>
      </c>
      <c r="R320" s="15" t="n">
        <v>0.02628206260818443</v>
      </c>
      <c r="S320" s="15" t="n">
        <v>0.001848313480318039</v>
      </c>
      <c r="T320" s="29">
        <f>HIPERLINK($A$1 &amp; "\Dados\Imagem_perfil_320.png", "Imagem_perfil_320")</f>
        <v/>
      </c>
      <c r="U320" s="29">
        <f>HIPERLINK($A$1 &amp; "\Dados\Results_airgap320.txt", "Results_airgap320")</f>
        <v/>
      </c>
      <c r="V320" s="19" t="n"/>
      <c r="W320" s="15" t="n">
        <v>1.396213695652174</v>
      </c>
      <c r="X320" s="15" t="n">
        <v>0.7125067942145131</v>
      </c>
      <c r="Y320" s="15" t="n">
        <v>0.5120667829070182</v>
      </c>
      <c r="Z320" s="15" t="n">
        <v>0.1502522837988844</v>
      </c>
      <c r="AA320" s="15" t="n">
        <v>0.01472468593597166</v>
      </c>
      <c r="AB320" s="15" t="n">
        <v>2.663583154488069</v>
      </c>
      <c r="AC320" s="15" t="n">
        <v>11.31704557195832</v>
      </c>
      <c r="AD320" s="15" t="n">
        <v>32.02876661603559</v>
      </c>
      <c r="AE320" s="15" t="n">
        <v>69.92816560945057</v>
      </c>
      <c r="AF320" s="15" t="n">
        <v>108.2102392406575</v>
      </c>
      <c r="AH320" s="29">
        <f>HIPERLINK($A$1 &amp; "\Dados\Magnet_fields.txt_320.txt.txt", "Magnet_fields.txt_320.txt")</f>
        <v/>
      </c>
      <c r="AI320" t="n">
        <v>7141</v>
      </c>
      <c r="AJ320" t="n">
        <v>28</v>
      </c>
      <c r="AK320" s="29">
        <f>HIPERLINK($A$1 &amp; "\Dados\Magnet_3D_results.txt_320.txt.txt", "Magnet_3D_results.txt_320.txt")</f>
        <v/>
      </c>
      <c r="AL320" s="29">
        <f>HIPERLINK($A$1 &amp; "\Dados\Magnet_fields_2D.txt_320.txt.txt", "Magnet_fields_2D.txt_320.txt")</f>
        <v/>
      </c>
    </row>
    <row customHeight="1" ht="15.75" r="321" s="34">
      <c r="E321" s="15" t="n">
        <v>120</v>
      </c>
      <c r="F321" s="15" t="n">
        <v>170</v>
      </c>
      <c r="G321" s="15" t="n">
        <v>350</v>
      </c>
      <c r="H321" s="15" t="n">
        <v>40</v>
      </c>
      <c r="I321" s="15" t="n">
        <v>144</v>
      </c>
      <c r="J321" s="13" t="n">
        <v>25</v>
      </c>
      <c r="K321" t="n">
        <v>35</v>
      </c>
      <c r="L321" s="13" t="n">
        <v>2.000000000000001</v>
      </c>
      <c r="M321" s="12" t="n"/>
      <c r="N321" s="8" t="n">
        <v>1.108148701632649</v>
      </c>
      <c r="O321" s="15" t="n">
        <v>0.8756586666638211</v>
      </c>
      <c r="P321" s="15" t="n">
        <v>1.035016171900429</v>
      </c>
      <c r="Q321" s="15" t="n">
        <v>0.0009723729934364444</v>
      </c>
      <c r="R321" s="15" t="n">
        <v>0.02632908627398494</v>
      </c>
      <c r="S321" s="15" t="n">
        <v>0.001847536138102449</v>
      </c>
      <c r="T321" s="29">
        <f>HIPERLINK($A$1 &amp; "\Dados\Imagem_perfil_321.png", "Imagem_perfil_321")</f>
        <v/>
      </c>
      <c r="U321" s="29">
        <f>HIPERLINK($A$1 &amp; "\Dados\Results_airgap321.txt", "Results_airgap321")</f>
        <v/>
      </c>
      <c r="V321" s="19" t="n"/>
      <c r="W321" s="15" t="n">
        <v>1.397756304347826</v>
      </c>
      <c r="X321" s="15" t="n">
        <v>0.7129606657185212</v>
      </c>
      <c r="Y321" s="15" t="n">
        <v>0.6062919357248775</v>
      </c>
      <c r="Z321" s="15" t="n">
        <v>0.1109190026508214</v>
      </c>
      <c r="AA321" s="15" t="n">
        <v>0.01472468593597166</v>
      </c>
      <c r="AB321" s="15" t="n">
        <v>2.810930904198641</v>
      </c>
      <c r="AC321" s="15" t="n">
        <v>11.67646757166772</v>
      </c>
      <c r="AD321" s="15" t="n">
        <v>32.33294423225604</v>
      </c>
      <c r="AE321" s="15" t="n">
        <v>70.08390586657534</v>
      </c>
      <c r="AF321" s="15" t="n">
        <v>108.2556902535856</v>
      </c>
      <c r="AH321" s="29">
        <f>HIPERLINK($A$1 &amp; "\Dados\Magnet_fields.txt_321.txt.txt", "Magnet_fields.txt_321.txt")</f>
        <v/>
      </c>
      <c r="AI321" t="n">
        <v>7141</v>
      </c>
      <c r="AJ321" t="n">
        <v>29</v>
      </c>
      <c r="AK321" s="29">
        <f>HIPERLINK($A$1 &amp; "\Dados\Magnet_3D_results.txt_321.txt.txt", "Magnet_3D_results.txt_321.txt")</f>
        <v/>
      </c>
      <c r="AL321" s="29">
        <f>HIPERLINK($A$1 &amp; "\Dados\Magnet_fields_2D.txt_321.txt.txt", "Magnet_fields_2D.txt_321.txt")</f>
        <v/>
      </c>
    </row>
    <row customHeight="1" ht="15.75" r="322" s="34">
      <c r="E322" s="15" t="n">
        <v>120</v>
      </c>
      <c r="F322" s="15" t="n">
        <v>170</v>
      </c>
      <c r="G322" s="15" t="n">
        <v>350</v>
      </c>
      <c r="H322" s="15" t="n">
        <v>40</v>
      </c>
      <c r="I322" s="15" t="n">
        <v>144</v>
      </c>
      <c r="J322" s="13" t="n">
        <v>25</v>
      </c>
      <c r="K322" t="n">
        <v>35</v>
      </c>
      <c r="L322" s="13" t="n">
        <v>2.100000000000001</v>
      </c>
      <c r="M322" s="12" t="n"/>
      <c r="N322" s="8" t="n">
        <v>1.108148701632649</v>
      </c>
      <c r="O322" s="15" t="n">
        <v>0.8756586666638212</v>
      </c>
      <c r="P322" s="15" t="n">
        <v>1.035016171900429</v>
      </c>
      <c r="Q322" s="15" t="n">
        <v>0.0009723729934364443</v>
      </c>
      <c r="R322" s="15" t="n">
        <v>0.02632908627398494</v>
      </c>
      <c r="S322" s="15" t="n">
        <v>0.001847536138102449</v>
      </c>
      <c r="T322" s="29">
        <f>HIPERLINK($A$1 &amp; "\Dados\Imagem_perfil_322.png", "Imagem_perfil_322")</f>
        <v/>
      </c>
      <c r="U322" s="29">
        <f>HIPERLINK($A$1 &amp; "\Dados\Results_airgap322.txt", "Results_airgap322")</f>
        <v/>
      </c>
      <c r="V322" s="19" t="n"/>
      <c r="W322" s="15" t="n">
        <v>1.398976956521739</v>
      </c>
      <c r="X322" s="15" t="n">
        <v>0.7129606657185212</v>
      </c>
      <c r="Y322" s="15" t="n">
        <v>0.6987925490582643</v>
      </c>
      <c r="Z322" s="15" t="n">
        <v>0.1109190026508214</v>
      </c>
      <c r="AA322" s="15" t="n">
        <v>0.01472468593597166</v>
      </c>
      <c r="AB322" s="15" t="n">
        <v>2.92231967414039</v>
      </c>
      <c r="AC322" s="15" t="n">
        <v>11.97813333675134</v>
      </c>
      <c r="AD322" s="15" t="n">
        <v>32.57037939739186</v>
      </c>
      <c r="AE322" s="15" t="n">
        <v>70.20079304481384</v>
      </c>
      <c r="AF322" s="15" t="n">
        <v>108.2854146402391</v>
      </c>
      <c r="AH322" s="29">
        <f>HIPERLINK($A$1 &amp; "\Dados\Magnet_fields.txt_322.txt.txt", "Magnet_fields.txt_322.txt")</f>
        <v/>
      </c>
      <c r="AI322" t="n">
        <v>7141</v>
      </c>
      <c r="AJ322" t="n">
        <v>28</v>
      </c>
      <c r="AK322" s="29">
        <f>HIPERLINK($A$1 &amp; "\Dados\Magnet_3D_results.txt_322.txt.txt", "Magnet_3D_results.txt_322.txt")</f>
        <v/>
      </c>
      <c r="AL322" s="29">
        <f>HIPERLINK($A$1 &amp; "\Dados\Magnet_fields_2D.txt_322.txt.txt", "Magnet_fields_2D.txt_322.txt")</f>
        <v/>
      </c>
    </row>
    <row customHeight="1" ht="15.75" r="323" s="34">
      <c r="E323" s="15" t="n">
        <v>120</v>
      </c>
      <c r="F323" s="15" t="n">
        <v>170</v>
      </c>
      <c r="G323" s="15" t="n">
        <v>350</v>
      </c>
      <c r="H323" s="15" t="n">
        <v>42</v>
      </c>
      <c r="I323" s="15" t="n">
        <v>144</v>
      </c>
      <c r="J323" s="13" t="n">
        <v>25</v>
      </c>
      <c r="K323" t="n">
        <v>35</v>
      </c>
      <c r="L323" s="13" t="n">
        <v>1.3</v>
      </c>
      <c r="M323" s="12" t="n"/>
      <c r="N323" s="8" t="n">
        <v>1.059878561274359</v>
      </c>
      <c r="O323" s="15" t="n">
        <v>0.8435658307244636</v>
      </c>
      <c r="P323" s="15" t="n">
        <v>0.9917246135709114</v>
      </c>
      <c r="Q323" s="15" t="n">
        <v>0.0009778459853733085</v>
      </c>
      <c r="R323" s="15" t="n">
        <v>0.02486960724395695</v>
      </c>
      <c r="S323" s="15" t="n">
        <v>0.001792658985247846</v>
      </c>
      <c r="T323" s="29">
        <f>HIPERLINK($A$1 &amp; "\Dados\Imagem_perfil_323.png", "Imagem_perfil_323")</f>
        <v/>
      </c>
      <c r="U323" s="29">
        <f>HIPERLINK($A$1 &amp; "\Dados\Results_airgap323.txt", "Results_airgap323")</f>
        <v/>
      </c>
      <c r="V323" s="19" t="n"/>
      <c r="W323" s="43" t="n">
        <v>1.332708695652174</v>
      </c>
      <c r="X323" s="15" t="n">
        <v>0.6870653035873177</v>
      </c>
      <c r="Y323" s="15" t="n">
        <v>0.03207874854425719</v>
      </c>
      <c r="Z323" s="15" t="n">
        <v>0.4473682500564311</v>
      </c>
      <c r="AA323" s="15" t="n">
        <v>0.04604887379509137</v>
      </c>
      <c r="AB323" s="15" t="n">
        <v>0</v>
      </c>
      <c r="AC323" s="15" t="n">
        <v>0</v>
      </c>
      <c r="AD323" s="15" t="n">
        <v>20.6098379606222</v>
      </c>
      <c r="AE323" s="15" t="n">
        <v>64.7217287206211</v>
      </c>
      <c r="AF323" s="15" t="n">
        <v>107.0562985523553</v>
      </c>
      <c r="AH323" s="29">
        <f>HIPERLINK($A$1 &amp; "\Dados\Magnet_fields.txt_323.txt.txt", "Magnet_fields.txt_323.txt")</f>
        <v/>
      </c>
      <c r="AI323" t="n">
        <v>6785</v>
      </c>
      <c r="AJ323" t="n">
        <v>28</v>
      </c>
      <c r="AK323" s="29">
        <f>HIPERLINK($A$1 &amp; "\Dados\Magnet_3D_results.txt_323.txt.txt", "Magnet_3D_results.txt_323.txt")</f>
        <v/>
      </c>
      <c r="AL323" s="29">
        <f>HIPERLINK($A$1 &amp; "\Dados\Magnet_fields_2D.txt_323.txt.txt", "Magnet_fields_2D.txt_323.txt")</f>
        <v/>
      </c>
    </row>
    <row customHeight="1" ht="15.75" r="324" s="34">
      <c r="E324" s="15" t="n">
        <v>120</v>
      </c>
      <c r="F324" s="15" t="n">
        <v>170</v>
      </c>
      <c r="G324" s="15" t="n">
        <v>350</v>
      </c>
      <c r="H324" s="15" t="n">
        <v>42</v>
      </c>
      <c r="I324" s="15" t="n">
        <v>144</v>
      </c>
      <c r="J324" s="13" t="n">
        <v>25</v>
      </c>
      <c r="K324" t="n">
        <v>35</v>
      </c>
      <c r="L324" s="13" t="n">
        <v>1.4</v>
      </c>
      <c r="M324" s="12" t="n"/>
      <c r="N324" s="8" t="n">
        <v>1.082981167574844</v>
      </c>
      <c r="O324" s="15" t="n">
        <v>0.8616610061580778</v>
      </c>
      <c r="P324" s="15" t="n">
        <v>1.013092305009248</v>
      </c>
      <c r="Q324" s="15" t="n">
        <v>0.0009775700463610249</v>
      </c>
      <c r="R324" s="15" t="n">
        <v>0.02559009158033897</v>
      </c>
      <c r="S324" s="15" t="n">
        <v>0.00180750475626752</v>
      </c>
      <c r="T324" s="29">
        <f>HIPERLINK($A$1 &amp; "\Dados\Imagem_perfil_324.png", "Imagem_perfil_324")</f>
        <v/>
      </c>
      <c r="U324" s="29">
        <f>HIPERLINK($A$1 &amp; "\Dados\Results_airgap324.txt", "Results_airgap324")</f>
        <v/>
      </c>
      <c r="V324" s="19" t="n"/>
      <c r="W324" s="43" t="n">
        <v>1.363185</v>
      </c>
      <c r="X324" s="15" t="n">
        <v>0.7024967498263142</v>
      </c>
      <c r="Y324" s="15" t="n">
        <v>0.0812254113235646</v>
      </c>
      <c r="Z324" s="15" t="n">
        <v>0.269794608856723</v>
      </c>
      <c r="AA324" s="15" t="n">
        <v>0.03305572676707612</v>
      </c>
      <c r="AB324" s="15" t="n">
        <v>0</v>
      </c>
      <c r="AC324" s="15" t="n">
        <v>4.36378523454708</v>
      </c>
      <c r="AD324" s="15" t="n">
        <v>26.42658375990583</v>
      </c>
      <c r="AE324" s="15" t="n">
        <v>67.27676502010578</v>
      </c>
      <c r="AF324" s="15" t="n">
        <v>107.7331425519458</v>
      </c>
      <c r="AH324" s="29">
        <f>HIPERLINK($A$1 &amp; "\Dados\Magnet_fields.txt_324.txt.txt", "Magnet_fields.txt_324.txt")</f>
        <v/>
      </c>
      <c r="AI324" t="n">
        <v>6785</v>
      </c>
      <c r="AJ324" t="n">
        <v>28</v>
      </c>
      <c r="AK324" s="29">
        <f>HIPERLINK($A$1 &amp; "\Dados\Magnet_3D_results.txt_324.txt.txt", "Magnet_3D_results.txt_324.txt")</f>
        <v/>
      </c>
      <c r="AL324" s="29">
        <f>HIPERLINK($A$1 &amp; "\Dados\Magnet_fields_2D.txt_324.txt.txt", "Magnet_fields_2D.txt_324.txt")</f>
        <v/>
      </c>
    </row>
    <row customHeight="1" ht="15.75" r="325" s="34">
      <c r="E325" s="15" t="n">
        <v>120</v>
      </c>
      <c r="F325" s="15" t="n">
        <v>170</v>
      </c>
      <c r="G325" s="15" t="n">
        <v>350</v>
      </c>
      <c r="H325" s="15" t="n">
        <v>42</v>
      </c>
      <c r="I325" s="15" t="n">
        <v>144</v>
      </c>
      <c r="J325" s="13" t="n">
        <v>25</v>
      </c>
      <c r="K325" t="n">
        <v>35</v>
      </c>
      <c r="L325" s="13" t="n">
        <v>1.5</v>
      </c>
      <c r="M325" s="12" t="n"/>
      <c r="N325" s="8" t="n">
        <v>1.092752770923997</v>
      </c>
      <c r="O325" s="15" t="n">
        <v>0.8693259380714693</v>
      </c>
      <c r="P325" s="15" t="n">
        <v>1.022255638485326</v>
      </c>
      <c r="Q325" s="15" t="n">
        <v>0.0009772648513745653</v>
      </c>
      <c r="R325" s="15" t="n">
        <v>0.02585384261678101</v>
      </c>
      <c r="S325" s="15" t="n">
        <v>0.001812482893625261</v>
      </c>
      <c r="T325" s="29">
        <f>HIPERLINK($A$1 &amp; "\Dados\Imagem_perfil_325.png", "Imagem_perfil_325")</f>
        <v/>
      </c>
      <c r="U325" s="29">
        <f>HIPERLINK($A$1 &amp; "\Dados\Results_airgap325.txt", "Results_airgap325")</f>
        <v/>
      </c>
      <c r="V325" s="19" t="n"/>
      <c r="W325" s="43" t="n">
        <v>1.378616086956522</v>
      </c>
      <c r="X325" s="15" t="n">
        <v>0.7089893454907247</v>
      </c>
      <c r="Y325" s="15" t="n">
        <v>0.1507606553477345</v>
      </c>
      <c r="Z325" s="15" t="n">
        <v>0.2233319048172247</v>
      </c>
      <c r="AA325" s="15" t="n">
        <v>0.03305572676707612</v>
      </c>
      <c r="AB325" s="15" t="n">
        <v>0.8847646305785604</v>
      </c>
      <c r="AC325" s="15" t="n">
        <v>7.504162096667354</v>
      </c>
      <c r="AD325" s="15" t="n">
        <v>28.88879672896504</v>
      </c>
      <c r="AE325" s="15" t="n">
        <v>68.44133561671458</v>
      </c>
      <c r="AF325" s="15" t="n">
        <v>107.9588384246434</v>
      </c>
      <c r="AH325" s="29">
        <f>HIPERLINK($A$1 &amp; "\Dados\Magnet_fields.txt_325.txt.txt", "Magnet_fields.txt_325.txt")</f>
        <v/>
      </c>
      <c r="AI325" t="n">
        <v>6785</v>
      </c>
      <c r="AJ325" t="n">
        <v>28</v>
      </c>
      <c r="AK325" s="29">
        <f>HIPERLINK($A$1 &amp; "\Dados\Magnet_3D_results.txt_325.txt.txt", "Magnet_3D_results.txt_325.txt")</f>
        <v/>
      </c>
      <c r="AL325" s="29">
        <f>HIPERLINK($A$1 &amp; "\Dados\Magnet_fields_2D.txt_325.txt.txt", "Magnet_fields_2D.txt_325.txt")</f>
        <v/>
      </c>
    </row>
    <row customHeight="1" ht="15.75" r="326" s="34">
      <c r="E326" s="15" t="n">
        <v>120</v>
      </c>
      <c r="F326" s="15" t="n">
        <v>170</v>
      </c>
      <c r="G326" s="15" t="n">
        <v>350</v>
      </c>
      <c r="H326" s="15" t="n">
        <v>42</v>
      </c>
      <c r="I326" s="15" t="n">
        <v>144</v>
      </c>
      <c r="J326" s="13" t="n">
        <v>25</v>
      </c>
      <c r="K326" t="n">
        <v>35</v>
      </c>
      <c r="L326" s="13" t="n">
        <v>1.6</v>
      </c>
      <c r="M326" s="12" t="n"/>
      <c r="N326" s="8" t="n">
        <v>1.100834306239481</v>
      </c>
      <c r="O326" s="15" t="n">
        <v>0.8756378787708539</v>
      </c>
      <c r="P326" s="15" t="n">
        <v>1.029749972618599</v>
      </c>
      <c r="Q326" s="15" t="n">
        <v>0.000974100135332365</v>
      </c>
      <c r="R326" s="15" t="n">
        <v>0.02608749401014132</v>
      </c>
      <c r="S326" s="15" t="n">
        <v>0.001813766029373079</v>
      </c>
      <c r="T326" s="29">
        <f>HIPERLINK($A$1 &amp; "\Dados\Imagem_perfil_326.png", "Imagem_perfil_326")</f>
        <v/>
      </c>
      <c r="U326" s="29">
        <f>HIPERLINK($A$1 &amp; "\Dados\Results_airgap326.txt", "Results_airgap326")</f>
        <v/>
      </c>
      <c r="V326" s="19" t="n"/>
      <c r="W326" s="15" t="n">
        <v>1.386499565217391</v>
      </c>
      <c r="X326" s="15" t="n">
        <v>0.7143548650955157</v>
      </c>
      <c r="Y326" s="15" t="n">
        <v>0.2333585172543559</v>
      </c>
      <c r="Z326" s="15" t="n">
        <v>0.1752720643037508</v>
      </c>
      <c r="AA326" s="15" t="n">
        <v>0.01454161795800012</v>
      </c>
      <c r="AB326" s="15" t="n">
        <v>1.676569643290035</v>
      </c>
      <c r="AC326" s="15" t="n">
        <v>9.156495878004325</v>
      </c>
      <c r="AD326" s="15" t="n">
        <v>30.21677133909444</v>
      </c>
      <c r="AE326" s="15" t="n">
        <v>69.07982208727275</v>
      </c>
      <c r="AF326" s="15" t="n">
        <v>108.0367664808079</v>
      </c>
      <c r="AH326" s="29">
        <f>HIPERLINK($A$1 &amp; "\Dados\Magnet_fields.txt_326.txt.txt", "Magnet_fields.txt_326.txt")</f>
        <v/>
      </c>
      <c r="AI326" t="n">
        <v>6785</v>
      </c>
      <c r="AJ326" t="n">
        <v>28</v>
      </c>
      <c r="AK326" s="29">
        <f>HIPERLINK($A$1 &amp; "\Dados\Magnet_3D_results.txt_326.txt.txt", "Magnet_3D_results.txt_326.txt")</f>
        <v/>
      </c>
      <c r="AL326" s="29">
        <f>HIPERLINK($A$1 &amp; "\Dados\Magnet_fields_2D.txt_326.txt.txt", "Magnet_fields_2D.txt_326.txt")</f>
        <v/>
      </c>
    </row>
    <row customHeight="1" ht="15.75" r="327" s="34">
      <c r="E327" s="15" t="n">
        <v>120</v>
      </c>
      <c r="F327" s="15" t="n">
        <v>170</v>
      </c>
      <c r="G327" s="15" t="n">
        <v>350</v>
      </c>
      <c r="H327" s="15" t="n">
        <v>42</v>
      </c>
      <c r="I327" s="15" t="n">
        <v>144</v>
      </c>
      <c r="J327" s="13" t="n">
        <v>25</v>
      </c>
      <c r="K327" t="n">
        <v>35</v>
      </c>
      <c r="L327" s="13" t="n">
        <v>1.7</v>
      </c>
      <c r="M327" s="12" t="n"/>
      <c r="N327" s="8" t="n">
        <v>1.103056349828635</v>
      </c>
      <c r="O327" s="15" t="n">
        <v>0.8773810227963391</v>
      </c>
      <c r="P327" s="15" t="n">
        <v>1.031854624092212</v>
      </c>
      <c r="Q327" s="15" t="n">
        <v>0.0009744334509728165</v>
      </c>
      <c r="R327" s="15" t="n">
        <v>0.02612505219506341</v>
      </c>
      <c r="S327" s="15" t="n">
        <v>0.001814797253144506</v>
      </c>
      <c r="T327" s="29">
        <f>HIPERLINK($A$1 &amp; "\Dados\Imagem_perfil_327.png", "Imagem_perfil_327")</f>
        <v/>
      </c>
      <c r="U327" s="29">
        <f>HIPERLINK($A$1 &amp; "\Dados\Results_airgap327.txt", "Results_airgap327")</f>
        <v/>
      </c>
      <c r="V327" s="19" t="n"/>
      <c r="W327" s="15" t="n">
        <v>1.390735217391304</v>
      </c>
      <c r="X327" s="15" t="n">
        <v>0.7157769411045067</v>
      </c>
      <c r="Y327" s="15" t="n">
        <v>0.3234582744042919</v>
      </c>
      <c r="Z327" s="15" t="n">
        <v>0.1714219330318854</v>
      </c>
      <c r="AA327" s="15" t="n">
        <v>0.01454161795800012</v>
      </c>
      <c r="AB327" s="15" t="n">
        <v>2.103087095844676</v>
      </c>
      <c r="AC327" s="15" t="n">
        <v>10.11251560582742</v>
      </c>
      <c r="AD327" s="15" t="n">
        <v>30.9676781487541</v>
      </c>
      <c r="AE327" s="15" t="n">
        <v>69.39515506655866</v>
      </c>
      <c r="AF327" s="15" t="n">
        <v>108.1320740390954</v>
      </c>
      <c r="AH327" s="29">
        <f>HIPERLINK($A$1 &amp; "\Dados\Magnet_fields.txt_327.txt.txt", "Magnet_fields.txt_327.txt")</f>
        <v/>
      </c>
      <c r="AI327" t="n">
        <v>6785</v>
      </c>
      <c r="AJ327" t="n">
        <v>28</v>
      </c>
      <c r="AK327" s="29">
        <f>HIPERLINK($A$1 &amp; "\Dados\Magnet_3D_results.txt_327.txt.txt", "Magnet_3D_results.txt_327.txt")</f>
        <v/>
      </c>
      <c r="AL327" s="29">
        <f>HIPERLINK($A$1 &amp; "\Dados\Magnet_fields_2D.txt_327.txt.txt", "Magnet_fields_2D.txt_327.txt")</f>
        <v/>
      </c>
    </row>
    <row customHeight="1" ht="15.75" r="328" s="34">
      <c r="E328" s="15" t="n">
        <v>120</v>
      </c>
      <c r="F328" s="15" t="n">
        <v>170</v>
      </c>
      <c r="G328" s="15" t="n">
        <v>350</v>
      </c>
      <c r="H328" s="15" t="n">
        <v>42</v>
      </c>
      <c r="I328" s="15" t="n">
        <v>144</v>
      </c>
      <c r="J328" s="13" t="n">
        <v>25</v>
      </c>
      <c r="K328" t="n">
        <v>35</v>
      </c>
      <c r="L328" s="13" t="n">
        <v>1.8</v>
      </c>
      <c r="M328" s="12" t="n"/>
      <c r="N328" s="8" t="n">
        <v>1.104561976169421</v>
      </c>
      <c r="O328" s="15" t="n">
        <v>0.8785384248429076</v>
      </c>
      <c r="P328" s="15" t="n">
        <v>1.033188623598964</v>
      </c>
      <c r="Q328" s="15" t="n">
        <v>0.0009741043221895017</v>
      </c>
      <c r="R328" s="15" t="n">
        <v>0.02616464757275197</v>
      </c>
      <c r="S328" s="15" t="n">
        <v>0.001815182887642391</v>
      </c>
      <c r="T328" s="29">
        <f>HIPERLINK($A$1 &amp; "\Dados\Imagem_perfil_328.png", "Imagem_perfil_328")</f>
        <v/>
      </c>
      <c r="U328" s="29">
        <f>HIPERLINK($A$1 &amp; "\Dados\Results_airgap328.txt", "Results_airgap328")</f>
        <v/>
      </c>
      <c r="V328" s="19" t="n"/>
      <c r="W328" s="15" t="n">
        <v>1.394136304347826</v>
      </c>
      <c r="X328" s="15" t="n">
        <v>0.7167879255305517</v>
      </c>
      <c r="Y328" s="15" t="n">
        <v>0.4172156326674897</v>
      </c>
      <c r="Z328" s="15" t="n">
        <v>0.1647054579740257</v>
      </c>
      <c r="AA328" s="15" t="n">
        <v>0.01454161795800012</v>
      </c>
      <c r="AB328" s="15" t="n">
        <v>2.438352577989393</v>
      </c>
      <c r="AC328" s="15" t="n">
        <v>10.84756368132408</v>
      </c>
      <c r="AD328" s="15" t="n">
        <v>31.62026461657591</v>
      </c>
      <c r="AE328" s="15" t="n">
        <v>69.73842608351943</v>
      </c>
      <c r="AF328" s="15" t="n">
        <v>108.1771596642901</v>
      </c>
      <c r="AH328" s="29">
        <f>HIPERLINK($A$1 &amp; "\Dados\Magnet_fields.txt_328.txt.txt", "Magnet_fields.txt_328.txt")</f>
        <v/>
      </c>
      <c r="AI328" t="n">
        <v>6785</v>
      </c>
      <c r="AJ328" t="n">
        <v>28</v>
      </c>
      <c r="AK328" s="29">
        <f>HIPERLINK($A$1 &amp; "\Dados\Magnet_3D_results.txt_328.txt.txt", "Magnet_3D_results.txt_328.txt")</f>
        <v/>
      </c>
      <c r="AL328" s="29">
        <f>HIPERLINK($A$1 &amp; "\Dados\Magnet_fields_2D.txt_328.txt.txt", "Magnet_fields_2D.txt_328.txt")</f>
        <v/>
      </c>
    </row>
    <row customHeight="1" ht="15.75" r="329" s="34">
      <c r="E329" s="15" t="n">
        <v>120</v>
      </c>
      <c r="F329" s="15" t="n">
        <v>170</v>
      </c>
      <c r="G329" s="15" t="n">
        <v>350</v>
      </c>
      <c r="H329" s="15" t="n">
        <v>42</v>
      </c>
      <c r="I329" s="15" t="n">
        <v>144</v>
      </c>
      <c r="J329" s="13" t="n">
        <v>25</v>
      </c>
      <c r="K329" t="n">
        <v>35</v>
      </c>
      <c r="L329" s="13" t="n">
        <v>1.900000000000001</v>
      </c>
      <c r="M329" s="12" t="n"/>
      <c r="N329" s="8" t="n">
        <v>1.107452938434378</v>
      </c>
      <c r="O329" s="15" t="n">
        <v>0.8807915565148311</v>
      </c>
      <c r="P329" s="15" t="n">
        <v>1.035880469510639</v>
      </c>
      <c r="Q329" s="15" t="n">
        <v>0.0009738351376925006</v>
      </c>
      <c r="R329" s="15" t="n">
        <v>0.02622771088365774</v>
      </c>
      <c r="S329" s="15" t="n">
        <v>0.001816025991244214</v>
      </c>
      <c r="T329" s="29">
        <f>HIPERLINK($A$1 &amp; "\Dados\Imagem_perfil_329.png", "Imagem_perfil_329")</f>
        <v/>
      </c>
      <c r="U329" s="29">
        <f>HIPERLINK($A$1 &amp; "\Dados\Results_airgap329.txt", "Results_airgap329")</f>
        <v/>
      </c>
      <c r="V329" s="19" t="n"/>
      <c r="W329" s="15" t="n">
        <v>1.39628</v>
      </c>
      <c r="X329" s="15" t="n">
        <v>0.7187054946414625</v>
      </c>
      <c r="Y329" s="15" t="n">
        <v>0.5120580842300501</v>
      </c>
      <c r="Z329" s="15" t="n">
        <v>0.1585173132326522</v>
      </c>
      <c r="AA329" s="15" t="n">
        <v>0.01454161795800012</v>
      </c>
      <c r="AB329" s="15" t="n">
        <v>2.693900558240503</v>
      </c>
      <c r="AC329" s="15" t="n">
        <v>11.33705070844186</v>
      </c>
      <c r="AD329" s="15" t="n">
        <v>32.02937187111223</v>
      </c>
      <c r="AE329" s="15" t="n">
        <v>69.92473415591155</v>
      </c>
      <c r="AF329" s="15" t="n">
        <v>108.2114542366745</v>
      </c>
      <c r="AH329" s="29">
        <f>HIPERLINK($A$1 &amp; "\Dados\Magnet_fields.txt_329.txt.txt", "Magnet_fields.txt_329.txt")</f>
        <v/>
      </c>
      <c r="AI329" t="n">
        <v>6785</v>
      </c>
      <c r="AJ329" t="n">
        <v>28</v>
      </c>
      <c r="AK329" s="29">
        <f>HIPERLINK($A$1 &amp; "\Dados\Magnet_3D_results.txt_329.txt.txt", "Magnet_3D_results.txt_329.txt")</f>
        <v/>
      </c>
      <c r="AL329" s="29">
        <f>HIPERLINK($A$1 &amp; "\Dados\Magnet_fields_2D.txt_329.txt.txt", "Magnet_fields_2D.txt_329.txt")</f>
        <v/>
      </c>
    </row>
    <row customHeight="1" ht="15.75" r="330" s="34">
      <c r="E330" s="15" t="n">
        <v>120</v>
      </c>
      <c r="F330" s="15" t="n">
        <v>170</v>
      </c>
      <c r="G330" s="15" t="n">
        <v>350</v>
      </c>
      <c r="H330" s="15" t="n">
        <v>42</v>
      </c>
      <c r="I330" s="15" t="n">
        <v>144</v>
      </c>
      <c r="J330" s="13" t="n">
        <v>25</v>
      </c>
      <c r="K330" t="n">
        <v>35</v>
      </c>
      <c r="L330" s="13" t="n">
        <v>2.000000000000001</v>
      </c>
      <c r="M330" s="12" t="n"/>
      <c r="N330" s="8" t="n">
        <v>1.10805883046017</v>
      </c>
      <c r="O330" s="15" t="n">
        <v>0.8812445402075839</v>
      </c>
      <c r="P330" s="15" t="n">
        <v>1.036431206438728</v>
      </c>
      <c r="Q330" s="15" t="n">
        <v>0.0009720839415032652</v>
      </c>
      <c r="R330" s="15" t="n">
        <v>0.0262628741493852</v>
      </c>
      <c r="S330" s="15" t="n">
        <v>0.001814904971736903</v>
      </c>
      <c r="T330" s="29">
        <f>HIPERLINK($A$1 &amp; "\Dados\Imagem_perfil_330.png", "Imagem_perfil_330")</f>
        <v/>
      </c>
      <c r="U330" s="29">
        <f>HIPERLINK($A$1 &amp; "\Dados\Results_airgap330.txt", "Results_airgap330")</f>
        <v/>
      </c>
      <c r="V330" s="19" t="n"/>
      <c r="W330" s="15" t="n">
        <v>1.397793043478261</v>
      </c>
      <c r="X330" s="15" t="n">
        <v>0.7191290716533956</v>
      </c>
      <c r="Y330" s="15" t="n">
        <v>0.6062828798484859</v>
      </c>
      <c r="Z330" s="15" t="n">
        <v>0.1314206480353916</v>
      </c>
      <c r="AA330" s="15" t="n">
        <v>0.01157976079951532</v>
      </c>
      <c r="AB330" s="15" t="n">
        <v>2.834240067668489</v>
      </c>
      <c r="AC330" s="15" t="n">
        <v>11.68944788677532</v>
      </c>
      <c r="AD330" s="15" t="n">
        <v>32.32856183369191</v>
      </c>
      <c r="AE330" s="15" t="n">
        <v>70.0793300179344</v>
      </c>
      <c r="AF330" s="15" t="n">
        <v>108.2539212861188</v>
      </c>
      <c r="AH330" s="29">
        <f>HIPERLINK($A$1 &amp; "\Dados\Magnet_fields.txt_330.txt.txt", "Magnet_fields.txt_330.txt")</f>
        <v/>
      </c>
      <c r="AI330" t="n">
        <v>6785</v>
      </c>
      <c r="AJ330" t="n">
        <v>28</v>
      </c>
      <c r="AK330" s="29">
        <f>HIPERLINK($A$1 &amp; "\Dados\Magnet_3D_results.txt_330.txt.txt", "Magnet_3D_results.txt_330.txt")</f>
        <v/>
      </c>
      <c r="AL330" s="29">
        <f>HIPERLINK($A$1 &amp; "\Dados\Magnet_fields_2D.txt_330.txt.txt", "Magnet_fields_2D.txt_330.txt")</f>
        <v/>
      </c>
    </row>
    <row customHeight="1" ht="15.75" r="331" s="34">
      <c r="E331" s="15" t="n">
        <v>120</v>
      </c>
      <c r="F331" s="15" t="n">
        <v>170</v>
      </c>
      <c r="G331" s="15" t="n">
        <v>350</v>
      </c>
      <c r="H331" s="15" t="n">
        <v>42</v>
      </c>
      <c r="I331" s="15" t="n">
        <v>144</v>
      </c>
      <c r="J331" s="13" t="n">
        <v>25</v>
      </c>
      <c r="K331" t="n">
        <v>35</v>
      </c>
      <c r="L331" s="13" t="n">
        <v>2.100000000000001</v>
      </c>
      <c r="M331" s="12" t="n"/>
      <c r="N331" s="8" t="n">
        <v>1.10805883046017</v>
      </c>
      <c r="O331" s="15" t="n">
        <v>0.8812445402075839</v>
      </c>
      <c r="P331" s="15" t="n">
        <v>1.036431206438728</v>
      </c>
      <c r="Q331" s="15" t="n">
        <v>0.0009720839415032653</v>
      </c>
      <c r="R331" s="15" t="n">
        <v>0.02626287414938521</v>
      </c>
      <c r="S331" s="15" t="n">
        <v>0.001814904971736903</v>
      </c>
      <c r="T331" s="29">
        <f>HIPERLINK($A$1 &amp; "\Dados\Imagem_perfil_331.png", "Imagem_perfil_331")</f>
        <v/>
      </c>
      <c r="U331" s="29">
        <f>HIPERLINK($A$1 &amp; "\Dados\Results_airgap331.txt", "Results_airgap331")</f>
        <v/>
      </c>
      <c r="V331" s="19" t="n"/>
      <c r="W331" s="15" t="n">
        <v>1.398997608695652</v>
      </c>
      <c r="X331" s="15" t="n">
        <v>0.7191290716533956</v>
      </c>
      <c r="Y331" s="15" t="n">
        <v>0.6987832678152127</v>
      </c>
      <c r="Z331" s="15" t="n">
        <v>0.1314206480353916</v>
      </c>
      <c r="AA331" s="15" t="n">
        <v>0.01157976079951532</v>
      </c>
      <c r="AB331" s="15" t="n">
        <v>2.941725399578682</v>
      </c>
      <c r="AC331" s="15" t="n">
        <v>11.98066834346228</v>
      </c>
      <c r="AD331" s="15" t="n">
        <v>32.56870642736052</v>
      </c>
      <c r="AE331" s="15" t="n">
        <v>70.19872951548142</v>
      </c>
      <c r="AF331" s="15" t="n">
        <v>108.2880863124568</v>
      </c>
      <c r="AH331" s="29">
        <f>HIPERLINK($A$1 &amp; "\Dados\Magnet_fields.txt_331.txt.txt", "Magnet_fields.txt_331.txt")</f>
        <v/>
      </c>
      <c r="AI331" t="n">
        <v>6785</v>
      </c>
      <c r="AJ331" t="n">
        <v>27</v>
      </c>
      <c r="AK331" s="29">
        <f>HIPERLINK($A$1 &amp; "\Dados\Magnet_3D_results.txt_331.txt.txt", "Magnet_3D_results.txt_331.txt")</f>
        <v/>
      </c>
      <c r="AL331" s="29">
        <f>HIPERLINK($A$1 &amp; "\Dados\Magnet_fields_2D.txt_331.txt.txt", "Magnet_fields_2D.txt_331.txt")</f>
        <v/>
      </c>
    </row>
    <row customHeight="1" ht="15.75" r="332" s="34">
      <c r="E332" s="15" t="n">
        <v>120</v>
      </c>
      <c r="F332" s="15" t="n">
        <v>170</v>
      </c>
      <c r="G332" s="15" t="n">
        <v>350</v>
      </c>
      <c r="H332" s="15" t="n">
        <v>44</v>
      </c>
      <c r="I332" s="15" t="n">
        <v>144</v>
      </c>
      <c r="J332" s="13" t="n">
        <v>25</v>
      </c>
      <c r="K332" t="n">
        <v>35</v>
      </c>
      <c r="L332" s="13" t="n">
        <v>1.3</v>
      </c>
      <c r="M332" s="12" t="n"/>
      <c r="N332" s="8" t="n">
        <v>1.060263413516848</v>
      </c>
      <c r="O332" s="15" t="n">
        <v>0.8445006106589978</v>
      </c>
      <c r="P332" s="15" t="n">
        <v>0.9922589832622349</v>
      </c>
      <c r="Q332" s="15" t="n">
        <v>0.0009848441166084086</v>
      </c>
      <c r="R332" s="15" t="n">
        <v>0.02495076047855104</v>
      </c>
      <c r="S332" s="15" t="n">
        <v>0.001829490325452032</v>
      </c>
      <c r="T332" s="29">
        <f>HIPERLINK($A$1 &amp; "\Dados\Imagem_perfil_332.png", "Imagem_perfil_332")</f>
        <v/>
      </c>
      <c r="U332" s="29">
        <f>HIPERLINK($A$1 &amp; "\Dados\Results_airgap332.txt", "Results_airgap332")</f>
        <v/>
      </c>
      <c r="V332" s="19" t="n"/>
      <c r="W332" s="43" t="n">
        <v>1.332102173913043</v>
      </c>
      <c r="X332" s="15" t="n">
        <v>0.6894495077616515</v>
      </c>
      <c r="Y332" s="15" t="n">
        <v>0.03207886624595173</v>
      </c>
      <c r="Z332" s="15" t="n">
        <v>0.4491779332094529</v>
      </c>
      <c r="AA332" s="15" t="n">
        <v>0.05103466240155445</v>
      </c>
      <c r="AB332" s="15" t="n">
        <v>0</v>
      </c>
      <c r="AC332" s="15" t="n">
        <v>0</v>
      </c>
      <c r="AD332" s="15" t="n">
        <v>20.50193588613905</v>
      </c>
      <c r="AE332" s="15" t="n">
        <v>64.52469337540762</v>
      </c>
      <c r="AF332" s="15" t="n">
        <v>106.7917602206725</v>
      </c>
      <c r="AH332" s="29">
        <f>HIPERLINK($A$1 &amp; "\Dados\Magnet_fields.txt_332.txt.txt", "Magnet_fields.txt_332.txt")</f>
        <v/>
      </c>
      <c r="AI332" t="n">
        <v>6688</v>
      </c>
      <c r="AJ332" t="n">
        <v>28</v>
      </c>
      <c r="AK332" s="29">
        <f>HIPERLINK($A$1 &amp; "\Dados\Magnet_3D_results.txt_332.txt.txt", "Magnet_3D_results.txt_332.txt")</f>
        <v/>
      </c>
      <c r="AL332" s="29">
        <f>HIPERLINK($A$1 &amp; "\Dados\Magnet_fields_2D.txt_332.txt.txt", "Magnet_fields_2D.txt_332.txt")</f>
        <v/>
      </c>
    </row>
    <row customHeight="1" ht="15.75" r="333" s="34">
      <c r="E333" s="15" t="n">
        <v>120</v>
      </c>
      <c r="F333" s="15" t="n">
        <v>170</v>
      </c>
      <c r="G333" s="15" t="n">
        <v>350</v>
      </c>
      <c r="H333" s="15" t="n">
        <v>44</v>
      </c>
      <c r="I333" s="15" t="n">
        <v>144</v>
      </c>
      <c r="J333" s="13" t="n">
        <v>25</v>
      </c>
      <c r="K333" t="n">
        <v>35</v>
      </c>
      <c r="L333" s="13" t="n">
        <v>1.4</v>
      </c>
      <c r="M333" s="12" t="n"/>
      <c r="N333" s="8" t="n">
        <v>1.083313205161167</v>
      </c>
      <c r="O333" s="15" t="n">
        <v>0.8625560215952497</v>
      </c>
      <c r="P333" s="15" t="n">
        <v>1.013578681429837</v>
      </c>
      <c r="Q333" s="15" t="n">
        <v>0.0009816116225824986</v>
      </c>
      <c r="R333" s="15" t="n">
        <v>0.02565568616263295</v>
      </c>
      <c r="S333" s="15" t="n">
        <v>0.001841634668650294</v>
      </c>
      <c r="T333" s="29">
        <f>HIPERLINK($A$1 &amp; "\Dados\Imagem_perfil_333.png", "Imagem_perfil_333")</f>
        <v/>
      </c>
      <c r="U333" s="29">
        <f>HIPERLINK($A$1 &amp; "\Dados\Results_airgap333.txt", "Results_airgap333")</f>
        <v/>
      </c>
      <c r="V333" s="19" t="n"/>
      <c r="W333" s="43" t="n">
        <v>1.363249130434783</v>
      </c>
      <c r="X333" s="15" t="n">
        <v>0.7049081088287262</v>
      </c>
      <c r="Y333" s="15" t="n">
        <v>0.08122099987012805</v>
      </c>
      <c r="Z333" s="15" t="n">
        <v>0.2476290266133341</v>
      </c>
      <c r="AA333" s="15" t="n">
        <v>0.04970742691239825</v>
      </c>
      <c r="AB333" s="15" t="n">
        <v>0</v>
      </c>
      <c r="AC333" s="15" t="n">
        <v>4.365177611897091</v>
      </c>
      <c r="AD333" s="15" t="n">
        <v>26.44226480599014</v>
      </c>
      <c r="AE333" s="15" t="n">
        <v>67.29429759015147</v>
      </c>
      <c r="AF333" s="15" t="n">
        <v>107.7115629342126</v>
      </c>
      <c r="AH333" s="29">
        <f>HIPERLINK($A$1 &amp; "\Dados\Magnet_fields.txt_333.txt.txt", "Magnet_fields.txt_333.txt")</f>
        <v/>
      </c>
      <c r="AI333" t="n">
        <v>6688</v>
      </c>
      <c r="AJ333" t="n">
        <v>28</v>
      </c>
      <c r="AK333" s="29">
        <f>HIPERLINK($A$1 &amp; "\Dados\Magnet_3D_results.txt_333.txt.txt", "Magnet_3D_results.txt_333.txt")</f>
        <v/>
      </c>
      <c r="AL333" s="29">
        <f>HIPERLINK($A$1 &amp; "\Dados\Magnet_fields_2D.txt_333.txt.txt", "Magnet_fields_2D.txt_333.txt")</f>
        <v/>
      </c>
    </row>
    <row customHeight="1" ht="15.75" r="334" s="34">
      <c r="E334" s="15" t="n">
        <v>120</v>
      </c>
      <c r="F334" s="15" t="n">
        <v>170</v>
      </c>
      <c r="G334" s="15" t="n">
        <v>350</v>
      </c>
      <c r="H334" s="15" t="n">
        <v>44</v>
      </c>
      <c r="I334" s="15" t="n">
        <v>144</v>
      </c>
      <c r="J334" s="13" t="n">
        <v>25</v>
      </c>
      <c r="K334" t="n">
        <v>35</v>
      </c>
      <c r="L334" s="13" t="n">
        <v>1.5</v>
      </c>
      <c r="M334" s="12" t="n"/>
      <c r="N334" s="8" t="n">
        <v>1.092967567536808</v>
      </c>
      <c r="O334" s="15" t="n">
        <v>0.8701189513985481</v>
      </c>
      <c r="P334" s="15" t="n">
        <v>1.022630060797189</v>
      </c>
      <c r="Q334" s="15" t="n">
        <v>0.0009809362904850793</v>
      </c>
      <c r="R334" s="15" t="n">
        <v>0.02588956400447835</v>
      </c>
      <c r="S334" s="15" t="n">
        <v>0.00184579859570346</v>
      </c>
      <c r="T334" s="29">
        <f>HIPERLINK($A$1 &amp; "\Dados\Imagem_perfil_334.png", "Imagem_perfil_334")</f>
        <v/>
      </c>
      <c r="U334" s="29">
        <f>HIPERLINK($A$1 &amp; "\Dados\Results_airgap334.txt", "Results_airgap334")</f>
        <v/>
      </c>
      <c r="V334" s="19" t="n"/>
      <c r="W334" s="43" t="n">
        <v>1.378604565217391</v>
      </c>
      <c r="X334" s="15" t="n">
        <v>0.711352625265924</v>
      </c>
      <c r="Y334" s="15" t="n">
        <v>0.1507551306489353</v>
      </c>
      <c r="Z334" s="15" t="n">
        <v>0.2027270224742607</v>
      </c>
      <c r="AA334" s="15" t="n">
        <v>0.04703575102959679</v>
      </c>
      <c r="AB334" s="15" t="n">
        <v>0.882671935897587</v>
      </c>
      <c r="AC334" s="15" t="n">
        <v>7.494787845260248</v>
      </c>
      <c r="AD334" s="15" t="n">
        <v>28.8922359565949</v>
      </c>
      <c r="AE334" s="15" t="n">
        <v>68.43988772462872</v>
      </c>
      <c r="AF334" s="15" t="n">
        <v>107.9507691561053</v>
      </c>
      <c r="AH334" s="29">
        <f>HIPERLINK($A$1 &amp; "\Dados\Magnet_fields.txt_334.txt.txt", "Magnet_fields.txt_334.txt")</f>
        <v/>
      </c>
      <c r="AI334" t="n">
        <v>6688</v>
      </c>
      <c r="AJ334" t="n">
        <v>27</v>
      </c>
      <c r="AK334" s="29">
        <f>HIPERLINK($A$1 &amp; "\Dados\Magnet_3D_results.txt_334.txt.txt", "Magnet_3D_results.txt_334.txt")</f>
        <v/>
      </c>
      <c r="AL334" s="29">
        <f>HIPERLINK($A$1 &amp; "\Dados\Magnet_fields_2D.txt_334.txt.txt", "Magnet_fields_2D.txt_334.txt")</f>
        <v/>
      </c>
    </row>
    <row customHeight="1" ht="15.75" r="335" s="34">
      <c r="E335" s="15" t="n">
        <v>120</v>
      </c>
      <c r="F335" s="15" t="n">
        <v>170</v>
      </c>
      <c r="G335" s="15" t="n">
        <v>350</v>
      </c>
      <c r="H335" s="15" t="n">
        <v>44</v>
      </c>
      <c r="I335" s="15" t="n">
        <v>144</v>
      </c>
      <c r="J335" s="13" t="n">
        <v>25</v>
      </c>
      <c r="K335" t="n">
        <v>35</v>
      </c>
      <c r="L335" s="13" t="n">
        <v>1.6</v>
      </c>
      <c r="M335" s="12" t="n"/>
      <c r="N335" s="8" t="n">
        <v>1.100919143857602</v>
      </c>
      <c r="O335" s="15" t="n">
        <v>0.8763169573126861</v>
      </c>
      <c r="P335" s="15" t="n">
        <v>1.029997832862413</v>
      </c>
      <c r="Q335" s="15" t="n">
        <v>0.0009771500430723536</v>
      </c>
      <c r="R335" s="15" t="n">
        <v>0.02609064943094944</v>
      </c>
      <c r="S335" s="15" t="n">
        <v>0.001845968093571337</v>
      </c>
      <c r="T335" s="29">
        <f>HIPERLINK($A$1 &amp; "\Dados\Imagem_perfil_335.png", "Imagem_perfil_335")</f>
        <v/>
      </c>
      <c r="U335" s="29">
        <f>HIPERLINK($A$1 &amp; "\Dados\Results_airgap335.txt", "Results_airgap335")</f>
        <v/>
      </c>
      <c r="V335" s="19" t="n"/>
      <c r="W335" s="15" t="n">
        <v>1.38648152173913</v>
      </c>
      <c r="X335" s="15" t="n">
        <v>0.7166499628250549</v>
      </c>
      <c r="Y335" s="15" t="n">
        <v>0.23335200581079</v>
      </c>
      <c r="Z335" s="15" t="n">
        <v>0.1690049736530173</v>
      </c>
      <c r="AA335" s="15" t="n">
        <v>0.04539882725963747</v>
      </c>
      <c r="AB335" s="15" t="n">
        <v>1.664404466616479</v>
      </c>
      <c r="AC335" s="15" t="n">
        <v>9.152791883976056</v>
      </c>
      <c r="AD335" s="15" t="n">
        <v>30.21149436945188</v>
      </c>
      <c r="AE335" s="15" t="n">
        <v>69.08276949283116</v>
      </c>
      <c r="AF335" s="15" t="n">
        <v>108.0475145856866</v>
      </c>
      <c r="AH335" s="29">
        <f>HIPERLINK($A$1 &amp; "\Dados\Magnet_fields.txt_335.txt.txt", "Magnet_fields.txt_335.txt")</f>
        <v/>
      </c>
      <c r="AI335" t="n">
        <v>6688</v>
      </c>
      <c r="AJ335" t="n">
        <v>28</v>
      </c>
      <c r="AK335" s="29">
        <f>HIPERLINK($A$1 &amp; "\Dados\Magnet_3D_results.txt_335.txt.txt", "Magnet_3D_results.txt_335.txt")</f>
        <v/>
      </c>
      <c r="AL335" s="29">
        <f>HIPERLINK($A$1 &amp; "\Dados\Magnet_fields_2D.txt_335.txt.txt", "Magnet_fields_2D.txt_335.txt")</f>
        <v/>
      </c>
    </row>
    <row customHeight="1" ht="15.75" r="336" s="34">
      <c r="E336" s="15" t="n">
        <v>120</v>
      </c>
      <c r="F336" s="15" t="n">
        <v>170</v>
      </c>
      <c r="G336" s="15" t="n">
        <v>350</v>
      </c>
      <c r="H336" s="15" t="n">
        <v>44</v>
      </c>
      <c r="I336" s="15" t="n">
        <v>144</v>
      </c>
      <c r="J336" s="13" t="n">
        <v>25</v>
      </c>
      <c r="K336" t="n">
        <v>35</v>
      </c>
      <c r="L336" s="13" t="n">
        <v>1.7</v>
      </c>
      <c r="M336" s="12" t="n"/>
      <c r="N336" s="8" t="n">
        <v>1.103133502781142</v>
      </c>
      <c r="O336" s="15" t="n">
        <v>0.8780575972249817</v>
      </c>
      <c r="P336" s="15" t="n">
        <v>1.03209717214468</v>
      </c>
      <c r="Q336" s="15" t="n">
        <v>0.0009774531202396523</v>
      </c>
      <c r="R336" s="15" t="n">
        <v>0.02612621018205107</v>
      </c>
      <c r="S336" s="15" t="n">
        <v>0.00184695593935738</v>
      </c>
      <c r="T336" s="29">
        <f>HIPERLINK($A$1 &amp; "\Dados\Imagem_perfil_336.png", "Imagem_perfil_336")</f>
        <v/>
      </c>
      <c r="U336" s="29">
        <f>HIPERLINK($A$1 &amp; "\Dados\Results_airgap336.txt", "Results_airgap336")</f>
        <v/>
      </c>
      <c r="V336" s="19" t="n"/>
      <c r="W336" s="15" t="n">
        <v>1.390911739130435</v>
      </c>
      <c r="X336" s="15" t="n">
        <v>0.7180862950602998</v>
      </c>
      <c r="Y336" s="15" t="n">
        <v>0.3234505607016296</v>
      </c>
      <c r="Z336" s="15" t="n">
        <v>0.1504709032401891</v>
      </c>
      <c r="AA336" s="15" t="n">
        <v>0.04539882725963747</v>
      </c>
      <c r="AB336" s="15" t="n">
        <v>2.176350433892976</v>
      </c>
      <c r="AC336" s="15" t="n">
        <v>10.11838141565524</v>
      </c>
      <c r="AD336" s="15" t="n">
        <v>30.99914153509778</v>
      </c>
      <c r="AE336" s="15" t="n">
        <v>69.42992389440762</v>
      </c>
      <c r="AF336" s="15" t="n">
        <v>108.1292381644649</v>
      </c>
      <c r="AH336" s="29">
        <f>HIPERLINK($A$1 &amp; "\Dados\Magnet_fields.txt_336.txt.txt", "Magnet_fields.txt_336.txt")</f>
        <v/>
      </c>
      <c r="AI336" t="n">
        <v>6688</v>
      </c>
      <c r="AJ336" t="n">
        <v>28</v>
      </c>
      <c r="AK336" s="29">
        <f>HIPERLINK($A$1 &amp; "\Dados\Magnet_3D_results.txt_336.txt.txt", "Magnet_3D_results.txt_336.txt")</f>
        <v/>
      </c>
      <c r="AL336" s="29">
        <f>HIPERLINK($A$1 &amp; "\Dados\Magnet_fields_2D.txt_336.txt.txt", "Magnet_fields_2D.txt_336.txt")</f>
        <v/>
      </c>
    </row>
    <row customHeight="1" ht="15.75" r="337" s="34">
      <c r="E337" s="15" t="n">
        <v>120</v>
      </c>
      <c r="F337" s="15" t="n">
        <v>170</v>
      </c>
      <c r="G337" s="15" t="n">
        <v>350</v>
      </c>
      <c r="H337" s="15" t="n">
        <v>44</v>
      </c>
      <c r="I337" s="15" t="n">
        <v>144</v>
      </c>
      <c r="J337" s="13" t="n">
        <v>25</v>
      </c>
      <c r="K337" t="n">
        <v>35</v>
      </c>
      <c r="L337" s="13" t="n">
        <v>1.8</v>
      </c>
      <c r="M337" s="12" t="n"/>
      <c r="N337" s="8" t="n">
        <v>1.104621356359099</v>
      </c>
      <c r="O337" s="15" t="n">
        <v>0.8791991427768067</v>
      </c>
      <c r="P337" s="15" t="n">
        <v>1.033412370294842</v>
      </c>
      <c r="Q337" s="15" t="n">
        <v>0.0009770647084435041</v>
      </c>
      <c r="R337" s="15" t="n">
        <v>0.02616113874616277</v>
      </c>
      <c r="S337" s="15" t="n">
        <v>0.001847206920857427</v>
      </c>
      <c r="T337" s="29">
        <f>HIPERLINK($A$1 &amp; "\Dados\Imagem_perfil_337.png", "Imagem_perfil_337")</f>
        <v/>
      </c>
      <c r="U337" s="29">
        <f>HIPERLINK($A$1 &amp; "\Dados\Results_airgap337.txt", "Results_airgap337")</f>
        <v/>
      </c>
      <c r="V337" s="19" t="n"/>
      <c r="W337" s="15" t="n">
        <v>1.394153913043479</v>
      </c>
      <c r="X337" s="15" t="n">
        <v>0.7190883920741941</v>
      </c>
      <c r="Y337" s="15" t="n">
        <v>0.4172078570682823</v>
      </c>
      <c r="Z337" s="15" t="n">
        <v>0.1504709032401891</v>
      </c>
      <c r="AA337" s="15" t="n">
        <v>0.04539882725963747</v>
      </c>
      <c r="AB337" s="15" t="n">
        <v>2.43960940861459</v>
      </c>
      <c r="AC337" s="15" t="n">
        <v>10.85263149291175</v>
      </c>
      <c r="AD337" s="15" t="n">
        <v>31.61587108859891</v>
      </c>
      <c r="AE337" s="15" t="n">
        <v>69.74665539260204</v>
      </c>
      <c r="AF337" s="15" t="n">
        <v>108.1860138032357</v>
      </c>
      <c r="AH337" s="29">
        <f>HIPERLINK($A$1 &amp; "\Dados\Magnet_fields.txt_337.txt.txt", "Magnet_fields.txt_337.txt")</f>
        <v/>
      </c>
      <c r="AI337" t="n">
        <v>6688</v>
      </c>
      <c r="AJ337" t="n">
        <v>27</v>
      </c>
      <c r="AK337" s="29">
        <f>HIPERLINK($A$1 &amp; "\Dados\Magnet_3D_results.txt_337.txt.txt", "Magnet_3D_results.txt_337.txt")</f>
        <v/>
      </c>
      <c r="AL337" s="29">
        <f>HIPERLINK($A$1 &amp; "\Dados\Magnet_fields_2D.txt_337.txt.txt", "Magnet_fields_2D.txt_337.txt")</f>
        <v/>
      </c>
    </row>
    <row customHeight="1" ht="15.75" r="338" s="34">
      <c r="E338" s="15" t="n">
        <v>120</v>
      </c>
      <c r="F338" s="15" t="n">
        <v>170</v>
      </c>
      <c r="G338" s="15" t="n">
        <v>350</v>
      </c>
      <c r="H338" s="15" t="n">
        <v>44</v>
      </c>
      <c r="I338" s="15" t="n">
        <v>144</v>
      </c>
      <c r="J338" s="13" t="n">
        <v>25</v>
      </c>
      <c r="K338" t="n">
        <v>35</v>
      </c>
      <c r="L338" s="13" t="n">
        <v>1.900000000000001</v>
      </c>
      <c r="M338" s="12" t="n"/>
      <c r="N338" s="8" t="n">
        <v>1.107490584942614</v>
      </c>
      <c r="O338" s="15" t="n">
        <v>0.8814366664748108</v>
      </c>
      <c r="P338" s="15" t="n">
        <v>1.036084029814845</v>
      </c>
      <c r="Q338" s="15" t="n">
        <v>0.000976719956416695</v>
      </c>
      <c r="R338" s="15" t="n">
        <v>0.0262186967515574</v>
      </c>
      <c r="S338" s="15" t="n">
        <v>0.001847889531072122</v>
      </c>
      <c r="T338" s="29">
        <f>HIPERLINK($A$1 &amp; "\Dados\Imagem_perfil_338.png", "Imagem_perfil_338")</f>
        <v/>
      </c>
      <c r="U338" s="29">
        <f>HIPERLINK($A$1 &amp; "\Dados\Results_airgap338.txt", "Results_airgap338")</f>
        <v/>
      </c>
      <c r="V338" s="19" t="n"/>
      <c r="W338" s="15" t="n">
        <v>1.396253913043478</v>
      </c>
      <c r="X338" s="15" t="n">
        <v>0.7210109114984866</v>
      </c>
      <c r="Y338" s="15" t="n">
        <v>0.512049935299695</v>
      </c>
      <c r="Z338" s="15" t="n">
        <v>0.153422265697802</v>
      </c>
      <c r="AA338" s="15" t="n">
        <v>0.04539882725963747</v>
      </c>
      <c r="AB338" s="15" t="n">
        <v>2.638873503912977</v>
      </c>
      <c r="AC338" s="15" t="n">
        <v>11.34386613110003</v>
      </c>
      <c r="AD338" s="15" t="n">
        <v>32.02855281842299</v>
      </c>
      <c r="AE338" s="15" t="n">
        <v>69.9234598865655</v>
      </c>
      <c r="AF338" s="15" t="n">
        <v>108.2079823416856</v>
      </c>
      <c r="AH338" s="29">
        <f>HIPERLINK($A$1 &amp; "\Dados\Magnet_fields.txt_338.txt.txt", "Magnet_fields.txt_338.txt")</f>
        <v/>
      </c>
      <c r="AI338" t="n">
        <v>6688</v>
      </c>
      <c r="AJ338" t="n">
        <v>28</v>
      </c>
      <c r="AK338" s="29">
        <f>HIPERLINK($A$1 &amp; "\Dados\Magnet_3D_results.txt_338.txt.txt", "Magnet_3D_results.txt_338.txt")</f>
        <v/>
      </c>
      <c r="AL338" s="29">
        <f>HIPERLINK($A$1 &amp; "\Dados\Magnet_fields_2D.txt_338.txt.txt", "Magnet_fields_2D.txt_338.txt")</f>
        <v/>
      </c>
    </row>
    <row customHeight="1" ht="15.75" r="339" s="34">
      <c r="E339" s="15" t="n">
        <v>120</v>
      </c>
      <c r="F339" s="15" t="n">
        <v>170</v>
      </c>
      <c r="G339" s="15" t="n">
        <v>350</v>
      </c>
      <c r="H339" s="15" t="n">
        <v>44</v>
      </c>
      <c r="I339" s="15" t="n">
        <v>144</v>
      </c>
      <c r="J339" s="13" t="n">
        <v>25</v>
      </c>
      <c r="K339" t="n">
        <v>35</v>
      </c>
      <c r="L339" s="13" t="n">
        <v>2.000000000000001</v>
      </c>
      <c r="M339" s="12" t="n"/>
      <c r="N339" s="8" t="n">
        <v>1.108074269809584</v>
      </c>
      <c r="O339" s="15" t="n">
        <v>0.88186964499369</v>
      </c>
      <c r="P339" s="15" t="n">
        <v>1.036613188712789</v>
      </c>
      <c r="Q339" s="15" t="n">
        <v>0.0009748735876072278</v>
      </c>
      <c r="R339" s="15" t="n">
        <v>0.02624841475973994</v>
      </c>
      <c r="S339" s="15" t="n">
        <v>0.001846573711241071</v>
      </c>
      <c r="T339" s="29">
        <f>HIPERLINK($A$1 &amp; "\Dados\Imagem_perfil_339.png", "Imagem_perfil_339")</f>
        <v/>
      </c>
      <c r="U339" s="29">
        <f>HIPERLINK($A$1 &amp; "\Dados\Results_airgap339.txt", "Results_airgap339")</f>
        <v/>
      </c>
      <c r="V339" s="19" t="n"/>
      <c r="W339" s="15" t="n">
        <v>1.397819347826087</v>
      </c>
      <c r="X339" s="15" t="n">
        <v>0.721412466945108</v>
      </c>
      <c r="Y339" s="15" t="n">
        <v>0.6062744767638967</v>
      </c>
      <c r="Z339" s="15" t="n">
        <v>0.136309221653454</v>
      </c>
      <c r="AA339" s="15" t="n">
        <v>0.04539882725963747</v>
      </c>
      <c r="AB339" s="15" t="n">
        <v>2.839292242837206</v>
      </c>
      <c r="AC339" s="15" t="n">
        <v>11.69982702801993</v>
      </c>
      <c r="AD339" s="15" t="n">
        <v>32.32691763822908</v>
      </c>
      <c r="AE339" s="15" t="n">
        <v>70.07938103576876</v>
      </c>
      <c r="AF339" s="15" t="n">
        <v>108.2566361654907</v>
      </c>
      <c r="AH339" s="29">
        <f>HIPERLINK($A$1 &amp; "\Dados\Magnet_fields.txt_339.txt.txt", "Magnet_fields.txt_339.txt")</f>
        <v/>
      </c>
      <c r="AI339" t="n">
        <v>6688</v>
      </c>
      <c r="AJ339" t="n">
        <v>28</v>
      </c>
      <c r="AK339" s="29">
        <f>HIPERLINK($A$1 &amp; "\Dados\Magnet_3D_results.txt_339.txt.txt", "Magnet_3D_results.txt_339.txt")</f>
        <v/>
      </c>
      <c r="AL339" s="29">
        <f>HIPERLINK($A$1 &amp; "\Dados\Magnet_fields_2D.txt_339.txt.txt", "Magnet_fields_2D.txt_339.txt")</f>
        <v/>
      </c>
    </row>
    <row customHeight="1" ht="15.75" r="340" s="34">
      <c r="E340" s="15" t="n">
        <v>120</v>
      </c>
      <c r="F340" s="15" t="n">
        <v>170</v>
      </c>
      <c r="G340" s="15" t="n">
        <v>350</v>
      </c>
      <c r="H340" s="15" t="n">
        <v>44</v>
      </c>
      <c r="I340" s="15" t="n">
        <v>144</v>
      </c>
      <c r="J340" s="13" t="n">
        <v>25</v>
      </c>
      <c r="K340" t="n">
        <v>35</v>
      </c>
      <c r="L340" s="13" t="n">
        <v>2.100000000000001</v>
      </c>
      <c r="M340" s="12" t="n"/>
      <c r="N340" s="8" t="n">
        <v>1.108074269809584</v>
      </c>
      <c r="O340" s="15" t="n">
        <v>0.88186964499369</v>
      </c>
      <c r="P340" s="15" t="n">
        <v>1.036613188712789</v>
      </c>
      <c r="Q340" s="15" t="n">
        <v>0.0009748735876072278</v>
      </c>
      <c r="R340" s="15" t="n">
        <v>0.02624841475973994</v>
      </c>
      <c r="S340" s="15" t="n">
        <v>0.001846573711241071</v>
      </c>
      <c r="T340" s="29">
        <f>HIPERLINK($A$1 &amp; "\Dados\Imagem_perfil_340.png", "Imagem_perfil_340")</f>
        <v/>
      </c>
      <c r="U340" s="29">
        <f>HIPERLINK($A$1 &amp; "\Dados\Results_airgap340.txt", "Results_airgap340")</f>
        <v/>
      </c>
      <c r="V340" s="19" t="n"/>
      <c r="W340" s="15" t="n">
        <v>1.398979565217391</v>
      </c>
      <c r="X340" s="15" t="n">
        <v>0.721412466945108</v>
      </c>
      <c r="Y340" s="15" t="n">
        <v>0.6987746591239007</v>
      </c>
      <c r="Z340" s="15" t="n">
        <v>0.136309221653454</v>
      </c>
      <c r="AA340" s="15" t="n">
        <v>0.04539882725963747</v>
      </c>
      <c r="AB340" s="15" t="n">
        <v>2.942580832468749</v>
      </c>
      <c r="AC340" s="15" t="n">
        <v>11.96589243366446</v>
      </c>
      <c r="AD340" s="15" t="n">
        <v>32.56885894529594</v>
      </c>
      <c r="AE340" s="15" t="n">
        <v>70.20096378372857</v>
      </c>
      <c r="AF340" s="15" t="n">
        <v>108.2868066542652</v>
      </c>
      <c r="AH340" s="29">
        <f>HIPERLINK($A$1 &amp; "\Dados\Magnet_fields.txt_340.txt.txt", "Magnet_fields.txt_340.txt")</f>
        <v/>
      </c>
      <c r="AI340" t="n">
        <v>6688</v>
      </c>
      <c r="AJ340" t="n">
        <v>27</v>
      </c>
      <c r="AK340" s="29">
        <f>HIPERLINK($A$1 &amp; "\Dados\Magnet_3D_results.txt_340.txt.txt", "Magnet_3D_results.txt_340.txt")</f>
        <v/>
      </c>
      <c r="AL340" s="29">
        <f>HIPERLINK($A$1 &amp; "\Dados\Magnet_fields_2D.txt_340.txt.txt", "Magnet_fields_2D.txt_340.txt")</f>
        <v/>
      </c>
    </row>
    <row customHeight="1" ht="15.75" r="341" s="34">
      <c r="E341" s="15" t="n">
        <v>120</v>
      </c>
      <c r="F341" s="15" t="n">
        <v>170</v>
      </c>
      <c r="G341" s="15" t="n">
        <v>350</v>
      </c>
      <c r="H341" s="15" t="n">
        <v>20</v>
      </c>
      <c r="I341" s="15" t="n">
        <v>146</v>
      </c>
      <c r="J341" s="13" t="n">
        <v>25</v>
      </c>
      <c r="K341" t="n">
        <v>35</v>
      </c>
      <c r="L341" s="13" t="n">
        <v>2.000000000000001</v>
      </c>
      <c r="M341" s="12" t="n"/>
      <c r="N341" s="8" t="n">
        <v>1.101480386204075</v>
      </c>
      <c r="O341" s="15" t="n">
        <v>0.8825832126273633</v>
      </c>
      <c r="P341" s="15" t="n">
        <v>1.032348676958934</v>
      </c>
      <c r="Q341" s="15" t="n">
        <v>0.0009589408805736729</v>
      </c>
      <c r="R341" s="15" t="n">
        <v>0.0234064314722148</v>
      </c>
      <c r="S341" s="15" t="n">
        <v>0.001779020475960234</v>
      </c>
      <c r="T341" s="29">
        <f>HIPERLINK($A$1 &amp; "\Dados\Imagem_perfil_341.png", "Imagem_perfil_341")</f>
        <v/>
      </c>
      <c r="U341" s="29">
        <f>HIPERLINK($A$1 &amp; "\Dados\Results_airgap341.txt", "Results_airgap341")</f>
        <v/>
      </c>
      <c r="V341" s="19" t="n"/>
      <c r="W341" s="15" t="n">
        <v>1.397772391304348</v>
      </c>
      <c r="X341" s="15" t="n">
        <v>0.6930193933370115</v>
      </c>
      <c r="Y341" s="15" t="n">
        <v>0.6064529447899036</v>
      </c>
      <c r="Z341" s="15" t="n">
        <v>0.09592301146625885</v>
      </c>
      <c r="AA341" s="15" t="n">
        <v>2.619322609140219</v>
      </c>
      <c r="AB341" s="15" t="n">
        <v>2.856319712965268</v>
      </c>
      <c r="AC341" s="15" t="n">
        <v>11.7109939573218</v>
      </c>
      <c r="AD341" s="15" t="n">
        <v>32.34971210350639</v>
      </c>
      <c r="AE341" s="15" t="n">
        <v>70.09587317886907</v>
      </c>
      <c r="AF341" s="15" t="n">
        <v>108.2688848247221</v>
      </c>
      <c r="AH341" s="29">
        <f>HIPERLINK($A$1 &amp; "\Dados\Magnet_fields.txt_341.txt.txt", "Magnet_fields.txt_341.txt")</f>
        <v/>
      </c>
      <c r="AI341" t="n">
        <v>9986</v>
      </c>
      <c r="AJ341" t="n">
        <v>30</v>
      </c>
      <c r="AK341" s="29">
        <f>HIPERLINK($A$1 &amp; "\Dados\Magnet_3D_results.txt_341.txt.txt", "Magnet_3D_results.txt_341.txt")</f>
        <v/>
      </c>
      <c r="AL341" s="29">
        <f>HIPERLINK($A$1 &amp; "\Dados\Magnet_fields_2D.txt_341.txt.txt", "Magnet_fields_2D.txt_341.txt")</f>
        <v/>
      </c>
    </row>
    <row customHeight="1" ht="15.75" r="342" s="34">
      <c r="E342" s="15" t="n">
        <v>120</v>
      </c>
      <c r="F342" s="15" t="n">
        <v>170</v>
      </c>
      <c r="G342" s="15" t="n">
        <v>350</v>
      </c>
      <c r="H342" s="15" t="n">
        <v>20</v>
      </c>
      <c r="I342" s="15" t="n">
        <v>146</v>
      </c>
      <c r="J342" s="13" t="n">
        <v>25</v>
      </c>
      <c r="K342" t="n">
        <v>35</v>
      </c>
      <c r="L342" s="13" t="n">
        <v>2.100000000000001</v>
      </c>
      <c r="M342" s="12" t="n"/>
      <c r="N342" s="8" t="n">
        <v>1.103570588819172</v>
      </c>
      <c r="O342" s="15" t="n">
        <v>0.8842233068188625</v>
      </c>
      <c r="P342" s="15" t="n">
        <v>1.034331923634243</v>
      </c>
      <c r="Q342" s="15" t="n">
        <v>0.0009592864873043974</v>
      </c>
      <c r="R342" s="15" t="n">
        <v>0.02347198667327341</v>
      </c>
      <c r="S342" s="15" t="n">
        <v>0.001780739808529745</v>
      </c>
      <c r="T342" s="29">
        <f>HIPERLINK($A$1 &amp; "\Dados\Imagem_perfil_342.png", "Imagem_perfil_342")</f>
        <v/>
      </c>
      <c r="U342" s="29">
        <f>HIPERLINK($A$1 &amp; "\Dados\Results_airgap342.txt", "Results_airgap342")</f>
        <v/>
      </c>
      <c r="V342" s="19" t="n"/>
      <c r="W342" s="15" t="n">
        <v>1.399000217391304</v>
      </c>
      <c r="X342" s="15" t="n">
        <v>0.6944383984020949</v>
      </c>
      <c r="Y342" s="15" t="n">
        <v>0.6989572221623466</v>
      </c>
      <c r="Z342" s="15" t="n">
        <v>0.09592301146625885</v>
      </c>
      <c r="AA342" s="15" t="n">
        <v>2.585733508196003</v>
      </c>
      <c r="AB342" s="15" t="n">
        <v>3.006786288048286</v>
      </c>
      <c r="AC342" s="15" t="n">
        <v>12.00675980068816</v>
      </c>
      <c r="AD342" s="15" t="n">
        <v>32.56846272533162</v>
      </c>
      <c r="AE342" s="15" t="n">
        <v>70.24903255094335</v>
      </c>
      <c r="AF342" s="15" t="n">
        <v>108.2682653128805</v>
      </c>
      <c r="AH342" s="29">
        <f>HIPERLINK($A$1 &amp; "\Dados\Magnet_fields.txt_342.txt.txt", "Magnet_fields.txt_342.txt")</f>
        <v/>
      </c>
      <c r="AI342" t="n">
        <v>9986</v>
      </c>
      <c r="AJ342" t="n">
        <v>29</v>
      </c>
      <c r="AK342" s="29">
        <f>HIPERLINK($A$1 &amp; "\Dados\Magnet_3D_results.txt_342.txt.txt", "Magnet_3D_results.txt_342.txt")</f>
        <v/>
      </c>
      <c r="AL342" s="29">
        <f>HIPERLINK($A$1 &amp; "\Dados\Magnet_fields_2D.txt_342.txt.txt", "Magnet_fields_2D.txt_342.txt")</f>
        <v/>
      </c>
    </row>
    <row customHeight="1" ht="15.75" r="343" s="34">
      <c r="E343" s="15" t="n">
        <v>120</v>
      </c>
      <c r="F343" s="15" t="n">
        <v>170</v>
      </c>
      <c r="G343" s="15" t="n">
        <v>350</v>
      </c>
      <c r="H343" s="15" t="n">
        <v>22</v>
      </c>
      <c r="I343" s="15" t="n">
        <v>146</v>
      </c>
      <c r="J343" s="13" t="n">
        <v>25</v>
      </c>
      <c r="K343" t="n">
        <v>35</v>
      </c>
      <c r="L343" s="13" t="n">
        <v>1.3</v>
      </c>
      <c r="M343" s="12" t="n"/>
      <c r="N343" s="8" t="n">
        <v>1.04878058095146</v>
      </c>
      <c r="O343" s="15" t="n">
        <v>0.8415748647959889</v>
      </c>
      <c r="P343" s="15" t="n">
        <v>0.9832087033467484</v>
      </c>
      <c r="Q343" s="15" t="n">
        <v>0.0009607721888012833</v>
      </c>
      <c r="R343" s="15" t="n">
        <v>0.02100958815374841</v>
      </c>
      <c r="S343" s="15" t="n">
        <v>0.001714538793952906</v>
      </c>
      <c r="T343" s="29">
        <f>HIPERLINK($A$1 &amp; "\Dados\Imagem_perfil_343.png", "Imagem_perfil_343")</f>
        <v/>
      </c>
      <c r="U343" s="29">
        <f>HIPERLINK($A$1 &amp; "\Dados\Results_airgap343.txt", "Results_airgap343")</f>
        <v/>
      </c>
      <c r="V343" s="19" t="n"/>
      <c r="W343" s="43" t="n">
        <v>1.332108043478261</v>
      </c>
      <c r="X343" s="15" t="n">
        <v>0.6585827631409191</v>
      </c>
      <c r="Y343" s="15" t="n">
        <v>0.03212243692503856</v>
      </c>
      <c r="Z343" s="15" t="n">
        <v>0.4056617995995491</v>
      </c>
      <c r="AA343" s="15" t="n">
        <v>4.413698967763517</v>
      </c>
      <c r="AB343" s="15" t="n">
        <v>0</v>
      </c>
      <c r="AC343" s="15" t="n">
        <v>0</v>
      </c>
      <c r="AD343" s="15" t="n">
        <v>20.53911901917932</v>
      </c>
      <c r="AE343" s="15" t="n">
        <v>64.55521227158511</v>
      </c>
      <c r="AF343" s="15" t="n">
        <v>106.8389761001902</v>
      </c>
      <c r="AH343" s="29">
        <f>HIPERLINK($A$1 &amp; "\Dados\Magnet_fields.txt_343.txt.txt", "Magnet_fields.txt_343.txt")</f>
        <v/>
      </c>
      <c r="AI343" t="n">
        <v>9573</v>
      </c>
      <c r="AJ343" t="n">
        <v>29</v>
      </c>
      <c r="AK343" s="29">
        <f>HIPERLINK($A$1 &amp; "\Dados\Magnet_3D_results.txt_343.txt.txt", "Magnet_3D_results.txt_343.txt")</f>
        <v/>
      </c>
      <c r="AL343" s="29">
        <f>HIPERLINK($A$1 &amp; "\Dados\Magnet_fields_2D.txt_343.txt.txt", "Magnet_fields_2D.txt_343.txt")</f>
        <v/>
      </c>
    </row>
    <row customHeight="1" ht="15.75" r="344" s="34">
      <c r="E344" s="15" t="n">
        <v>120</v>
      </c>
      <c r="F344" s="15" t="n">
        <v>170</v>
      </c>
      <c r="G344" s="15" t="n">
        <v>350</v>
      </c>
      <c r="H344" s="15" t="n">
        <v>22</v>
      </c>
      <c r="I344" s="15" t="n">
        <v>146</v>
      </c>
      <c r="J344" s="13" t="n">
        <v>25</v>
      </c>
      <c r="K344" t="n">
        <v>35</v>
      </c>
      <c r="L344" s="13" t="n">
        <v>1.4</v>
      </c>
      <c r="M344" s="12" t="n"/>
      <c r="N344" s="8" t="n">
        <v>1.074958952603656</v>
      </c>
      <c r="O344" s="15" t="n">
        <v>0.8626575272030895</v>
      </c>
      <c r="P344" s="15" t="n">
        <v>1.00772554362156</v>
      </c>
      <c r="Q344" s="15" t="n">
        <v>0.0009625371865670458</v>
      </c>
      <c r="R344" s="15" t="n">
        <v>0.02242707453118446</v>
      </c>
      <c r="S344" s="15" t="n">
        <v>0.001748794406390259</v>
      </c>
      <c r="T344" s="29">
        <f>HIPERLINK($A$1 &amp; "\Dados\Imagem_perfil_344.png", "Imagem_perfil_344")</f>
        <v/>
      </c>
      <c r="U344" s="29">
        <f>HIPERLINK($A$1 &amp; "\Dados\Results_airgap344.txt", "Results_airgap344")</f>
        <v/>
      </c>
      <c r="V344" s="19" t="n"/>
      <c r="W344" s="43" t="n">
        <v>1.363151521739131</v>
      </c>
      <c r="X344" s="15" t="n">
        <v>0.6762299505750657</v>
      </c>
      <c r="Y344" s="15" t="n">
        <v>0.08129704009051861</v>
      </c>
      <c r="Z344" s="15" t="n">
        <v>0.2240579464832851</v>
      </c>
      <c r="AA344" s="15" t="n">
        <v>3.34860911948951</v>
      </c>
      <c r="AB344" s="15" t="n">
        <v>0</v>
      </c>
      <c r="AC344" s="15" t="n">
        <v>4.373095924436655</v>
      </c>
      <c r="AD344" s="15" t="n">
        <v>26.44624779350806</v>
      </c>
      <c r="AE344" s="15" t="n">
        <v>67.29992561259321</v>
      </c>
      <c r="AF344" s="15" t="n">
        <v>107.7287304030222</v>
      </c>
      <c r="AH344" s="29">
        <f>HIPERLINK($A$1 &amp; "\Dados\Magnet_fields.txt_344.txt.txt", "Magnet_fields.txt_344.txt")</f>
        <v/>
      </c>
      <c r="AI344" t="n">
        <v>9573</v>
      </c>
      <c r="AJ344" t="n">
        <v>29</v>
      </c>
      <c r="AK344" s="29">
        <f>HIPERLINK($A$1 &amp; "\Dados\Magnet_3D_results.txt_344.txt.txt", "Magnet_3D_results.txt_344.txt")</f>
        <v/>
      </c>
      <c r="AL344" s="29">
        <f>HIPERLINK($A$1 &amp; "\Dados\Magnet_fields_2D.txt_344.txt.txt", "Magnet_fields_2D.txt_344.txt")</f>
        <v/>
      </c>
    </row>
    <row customHeight="1" ht="15.75" r="345" s="34">
      <c r="E345" s="15" t="n">
        <v>120</v>
      </c>
      <c r="F345" s="15" t="n">
        <v>170</v>
      </c>
      <c r="G345" s="15" t="n">
        <v>350</v>
      </c>
      <c r="H345" s="15" t="n">
        <v>22</v>
      </c>
      <c r="I345" s="15" t="n">
        <v>146</v>
      </c>
      <c r="J345" s="13" t="n">
        <v>25</v>
      </c>
      <c r="K345" t="n">
        <v>35</v>
      </c>
      <c r="L345" s="13" t="n">
        <v>1.5</v>
      </c>
      <c r="M345" s="12" t="n"/>
      <c r="N345" s="8" t="n">
        <v>1.085881348848335</v>
      </c>
      <c r="O345" s="15" t="n">
        <v>0.8713663110259411</v>
      </c>
      <c r="P345" s="15" t="n">
        <v>1.017974300863579</v>
      </c>
      <c r="Q345" s="15" t="n">
        <v>0.0009638013542868071</v>
      </c>
      <c r="R345" s="15" t="n">
        <v>0.02294775737425559</v>
      </c>
      <c r="S345" s="15" t="n">
        <v>0.001761698698546015</v>
      </c>
      <c r="T345" s="29">
        <f>HIPERLINK($A$1 &amp; "\Dados\Imagem_perfil_345.png", "Imagem_perfil_345")</f>
        <v/>
      </c>
      <c r="U345" s="29">
        <f>HIPERLINK($A$1 &amp; "\Dados\Results_airgap345.txt", "Results_airgap345")</f>
        <v/>
      </c>
      <c r="V345" s="19" t="n"/>
      <c r="W345" s="43" t="n">
        <v>1.378543913043478</v>
      </c>
      <c r="X345" s="15" t="n">
        <v>0.683587740724098</v>
      </c>
      <c r="Y345" s="15" t="n">
        <v>0.1508551071988917</v>
      </c>
      <c r="Z345" s="15" t="n">
        <v>0.1445343858690161</v>
      </c>
      <c r="AA345" s="15" t="n">
        <v>3.005693718384452</v>
      </c>
      <c r="AB345" s="15" t="n">
        <v>0.8829745556135179</v>
      </c>
      <c r="AC345" s="15" t="n">
        <v>7.501483276045322</v>
      </c>
      <c r="AD345" s="15" t="n">
        <v>28.90851963227274</v>
      </c>
      <c r="AE345" s="15" t="n">
        <v>68.45750489470504</v>
      </c>
      <c r="AF345" s="15" t="n">
        <v>107.9482977049147</v>
      </c>
      <c r="AH345" s="29">
        <f>HIPERLINK($A$1 &amp; "\Dados\Magnet_fields.txt_345.txt.txt", "Magnet_fields.txt_345.txt")</f>
        <v/>
      </c>
      <c r="AI345" t="n">
        <v>9573</v>
      </c>
      <c r="AJ345" t="n">
        <v>30</v>
      </c>
      <c r="AK345" s="29">
        <f>HIPERLINK($A$1 &amp; "\Dados\Magnet_3D_results.txt_345.txt.txt", "Magnet_3D_results.txt_345.txt")</f>
        <v/>
      </c>
      <c r="AL345" s="29">
        <f>HIPERLINK($A$1 &amp; "\Dados\Magnet_fields_2D.txt_345.txt.txt", "Magnet_fields_2D.txt_345.txt")</f>
        <v/>
      </c>
    </row>
    <row customHeight="1" ht="15.75" r="346" s="34">
      <c r="E346" s="15" t="n">
        <v>120</v>
      </c>
      <c r="F346" s="15" t="n">
        <v>170</v>
      </c>
      <c r="G346" s="15" t="n">
        <v>350</v>
      </c>
      <c r="H346" s="15" t="n">
        <v>22</v>
      </c>
      <c r="I346" s="15" t="n">
        <v>146</v>
      </c>
      <c r="J346" s="13" t="n">
        <v>25</v>
      </c>
      <c r="K346" t="n">
        <v>35</v>
      </c>
      <c r="L346" s="13" t="n">
        <v>1.6</v>
      </c>
      <c r="M346" s="12" t="n"/>
      <c r="N346" s="8" t="n">
        <v>1.095268686065477</v>
      </c>
      <c r="O346" s="15" t="n">
        <v>0.8789153147624635</v>
      </c>
      <c r="P346" s="15" t="n">
        <v>1.02679621320735</v>
      </c>
      <c r="Q346" s="15" t="n">
        <v>0.0009626884786058633</v>
      </c>
      <c r="R346" s="15" t="n">
        <v>0.02351164463073547</v>
      </c>
      <c r="S346" s="15" t="n">
        <v>0.001773190189099453</v>
      </c>
      <c r="T346" s="29">
        <f>HIPERLINK($A$1 &amp; "\Dados\Imagem_perfil_346.png", "Imagem_perfil_346")</f>
        <v/>
      </c>
      <c r="U346" s="29">
        <f>HIPERLINK($A$1 &amp; "\Dados\Results_airgap346.txt", "Results_airgap346")</f>
        <v/>
      </c>
      <c r="V346" s="19" t="n"/>
      <c r="W346" s="15" t="n">
        <v>1.386431304347826</v>
      </c>
      <c r="X346" s="15" t="n">
        <v>0.690017082933994</v>
      </c>
      <c r="Y346" s="15" t="n">
        <v>0.2334699602646277</v>
      </c>
      <c r="Z346" s="15" t="n">
        <v>0.1145685521902341</v>
      </c>
      <c r="AA346" s="15" t="n">
        <v>2.48496502815387</v>
      </c>
      <c r="AB346" s="15" t="n">
        <v>1.677179311608767</v>
      </c>
      <c r="AC346" s="15" t="n">
        <v>9.165047437572595</v>
      </c>
      <c r="AD346" s="15" t="n">
        <v>30.23242841282308</v>
      </c>
      <c r="AE346" s="15" t="n">
        <v>69.0789410313577</v>
      </c>
      <c r="AF346" s="15" t="n">
        <v>108.0442688232274</v>
      </c>
      <c r="AH346" s="29">
        <f>HIPERLINK($A$1 &amp; "\Dados\Magnet_fields.txt_346.txt.txt", "Magnet_fields.txt_346.txt")</f>
        <v/>
      </c>
      <c r="AI346" t="n">
        <v>9573</v>
      </c>
      <c r="AJ346" t="n">
        <v>30</v>
      </c>
      <c r="AK346" s="29">
        <f>HIPERLINK($A$1 &amp; "\Dados\Magnet_3D_results.txt_346.txt.txt", "Magnet_3D_results.txt_346.txt")</f>
        <v/>
      </c>
      <c r="AL346" s="29">
        <f>HIPERLINK($A$1 &amp; "\Dados\Magnet_fields_2D.txt_346.txt.txt", "Magnet_fields_2D.txt_346.txt")</f>
        <v/>
      </c>
    </row>
    <row customHeight="1" ht="15.75" r="347" s="34">
      <c r="E347" s="15" t="n">
        <v>120</v>
      </c>
      <c r="F347" s="15" t="n">
        <v>170</v>
      </c>
      <c r="G347" s="15" t="n">
        <v>350</v>
      </c>
      <c r="H347" s="15" t="n">
        <v>22</v>
      </c>
      <c r="I347" s="15" t="n">
        <v>146</v>
      </c>
      <c r="J347" s="13" t="n">
        <v>25</v>
      </c>
      <c r="K347" t="n">
        <v>35</v>
      </c>
      <c r="L347" s="13" t="n">
        <v>1.7</v>
      </c>
      <c r="M347" s="12" t="n"/>
      <c r="N347" s="8" t="n">
        <v>1.099395015966368</v>
      </c>
      <c r="O347" s="15" t="n">
        <v>0.8821849498660451</v>
      </c>
      <c r="P347" s="15" t="n">
        <v>1.030671724476371</v>
      </c>
      <c r="Q347" s="15" t="n">
        <v>0.0009633044682127266</v>
      </c>
      <c r="R347" s="15" t="n">
        <v>0.02368595602119372</v>
      </c>
      <c r="S347" s="15" t="n">
        <v>0.001777563049359883</v>
      </c>
      <c r="T347" s="29">
        <f>HIPERLINK($A$1 &amp; "\Dados\Imagem_perfil_347.png", "Imagem_perfil_347")</f>
        <v/>
      </c>
      <c r="U347" s="29">
        <f>HIPERLINK($A$1 &amp; "\Dados\Results_airgap347.txt", "Results_airgap347")</f>
        <v/>
      </c>
      <c r="V347" s="19" t="n"/>
      <c r="W347" s="15" t="n">
        <v>1.391191956521739</v>
      </c>
      <c r="X347" s="15" t="n">
        <v>0.6928004212074497</v>
      </c>
      <c r="Y347" s="15" t="n">
        <v>0.3235814381713665</v>
      </c>
      <c r="Z347" s="15" t="n">
        <v>0.1145685521902341</v>
      </c>
      <c r="AA347" s="15" t="n">
        <v>2.358858576266421</v>
      </c>
      <c r="AB347" s="15" t="n">
        <v>2.127704330769995</v>
      </c>
      <c r="AC347" s="15" t="n">
        <v>10.18124293414134</v>
      </c>
      <c r="AD347" s="15" t="n">
        <v>31.10436024843505</v>
      </c>
      <c r="AE347" s="15" t="n">
        <v>69.53580558859069</v>
      </c>
      <c r="AF347" s="15" t="n">
        <v>108.1278677923997</v>
      </c>
      <c r="AH347" s="29">
        <f>HIPERLINK($A$1 &amp; "\Dados\Magnet_fields.txt_347.txt.txt", "Magnet_fields.txt_347.txt")</f>
        <v/>
      </c>
      <c r="AI347" t="n">
        <v>9573</v>
      </c>
      <c r="AJ347" t="n">
        <v>29</v>
      </c>
      <c r="AK347" s="29">
        <f>HIPERLINK($A$1 &amp; "\Dados\Magnet_3D_results.txt_347.txt.txt", "Magnet_3D_results.txt_347.txt")</f>
        <v/>
      </c>
      <c r="AL347" s="29">
        <f>HIPERLINK($A$1 &amp; "\Dados\Magnet_fields_2D.txt_347.txt.txt", "Magnet_fields_2D.txt_347.txt")</f>
        <v/>
      </c>
    </row>
    <row customHeight="1" ht="15.75" r="348" s="34">
      <c r="E348" s="15" t="n">
        <v>120</v>
      </c>
      <c r="F348" s="15" t="n">
        <v>170</v>
      </c>
      <c r="G348" s="15" t="n">
        <v>350</v>
      </c>
      <c r="H348" s="15" t="n">
        <v>22</v>
      </c>
      <c r="I348" s="15" t="n">
        <v>146</v>
      </c>
      <c r="J348" s="13" t="n">
        <v>25</v>
      </c>
      <c r="K348" t="n">
        <v>35</v>
      </c>
      <c r="L348" s="13" t="n">
        <v>1.8</v>
      </c>
      <c r="M348" s="12" t="n"/>
      <c r="N348" s="8" t="n">
        <v>1.099395015966368</v>
      </c>
      <c r="O348" s="15" t="n">
        <v>0.8821849498660447</v>
      </c>
      <c r="P348" s="15" t="n">
        <v>1.030671724476371</v>
      </c>
      <c r="Q348" s="15" t="n">
        <v>0.0009633044682127266</v>
      </c>
      <c r="R348" s="15" t="n">
        <v>0.02368595602119373</v>
      </c>
      <c r="S348" s="15" t="n">
        <v>0.001777563049359883</v>
      </c>
      <c r="T348" s="29">
        <f>HIPERLINK($A$1 &amp; "\Dados\Imagem_perfil_348.png", "Imagem_perfil_348")</f>
        <v/>
      </c>
      <c r="U348" s="29">
        <f>HIPERLINK($A$1 &amp; "\Dados\Results_airgap348.txt", "Results_airgap348")</f>
        <v/>
      </c>
      <c r="V348" s="19" t="n"/>
      <c r="W348" s="15" t="n">
        <v>1.394104130434783</v>
      </c>
      <c r="X348" s="15" t="n">
        <v>0.6928004212074497</v>
      </c>
      <c r="Y348" s="15" t="n">
        <v>0.417348462037209</v>
      </c>
      <c r="Z348" s="15" t="n">
        <v>0.1145685521902341</v>
      </c>
      <c r="AA348" s="15" t="n">
        <v>2.358858576266421</v>
      </c>
      <c r="AB348" s="15" t="n">
        <v>2.457655869370682</v>
      </c>
      <c r="AC348" s="15" t="n">
        <v>10.85876924528217</v>
      </c>
      <c r="AD348" s="15" t="n">
        <v>31.63111393944077</v>
      </c>
      <c r="AE348" s="15" t="n">
        <v>69.76417716821983</v>
      </c>
      <c r="AF348" s="15" t="n">
        <v>108.1955797635465</v>
      </c>
      <c r="AH348" s="29">
        <f>HIPERLINK($A$1 &amp; "\Dados\Magnet_fields.txt_348.txt.txt", "Magnet_fields.txt_348.txt")</f>
        <v/>
      </c>
      <c r="AI348" t="n">
        <v>9573</v>
      </c>
      <c r="AJ348" t="n">
        <v>29</v>
      </c>
      <c r="AK348" s="29">
        <f>HIPERLINK($A$1 &amp; "\Dados\Magnet_3D_results.txt_348.txt.txt", "Magnet_3D_results.txt_348.txt")</f>
        <v/>
      </c>
      <c r="AL348" s="29">
        <f>HIPERLINK($A$1 &amp; "\Dados\Magnet_fields_2D.txt_348.txt.txt", "Magnet_fields_2D.txt_348.txt")</f>
        <v/>
      </c>
    </row>
    <row customHeight="1" ht="15.75" r="349" s="34">
      <c r="E349" s="15" t="n">
        <v>120</v>
      </c>
      <c r="F349" s="15" t="n">
        <v>170</v>
      </c>
      <c r="G349" s="15" t="n">
        <v>350</v>
      </c>
      <c r="H349" s="15" t="n">
        <v>22</v>
      </c>
      <c r="I349" s="15" t="n">
        <v>146</v>
      </c>
      <c r="J349" s="13" t="n">
        <v>25</v>
      </c>
      <c r="K349" t="n">
        <v>35</v>
      </c>
      <c r="L349" s="13" t="n">
        <v>1.900000000000001</v>
      </c>
      <c r="M349" s="12" t="n"/>
      <c r="N349" s="8" t="n">
        <v>1.102725915548102</v>
      </c>
      <c r="O349" s="15" t="n">
        <v>0.884821386183248</v>
      </c>
      <c r="P349" s="15" t="n">
        <v>1.033791037110756</v>
      </c>
      <c r="Q349" s="15" t="n">
        <v>0.0009636672177510487</v>
      </c>
      <c r="R349" s="15" t="n">
        <v>0.02384569404777419</v>
      </c>
      <c r="S349" s="15" t="n">
        <v>0.001781361782542292</v>
      </c>
      <c r="T349" s="29">
        <f>HIPERLINK($A$1 &amp; "\Dados\Imagem_perfil_349.png", "Imagem_perfil_349")</f>
        <v/>
      </c>
      <c r="U349" s="29">
        <f>HIPERLINK($A$1 &amp; "\Dados\Results_airgap349.txt", "Results_airgap349")</f>
        <v/>
      </c>
      <c r="V349" s="19" t="n"/>
      <c r="W349" s="15" t="n">
        <v>1.396209347826087</v>
      </c>
      <c r="X349" s="15" t="n">
        <v>0.6950555829721131</v>
      </c>
      <c r="Y349" s="15" t="n">
        <v>0.5121973602948225</v>
      </c>
      <c r="Z349" s="15" t="n">
        <v>0.1121966812854175</v>
      </c>
      <c r="AA349" s="15" t="n">
        <v>2.233769376527948</v>
      </c>
      <c r="AB349" s="15" t="n">
        <v>2.688373242052587</v>
      </c>
      <c r="AC349" s="15" t="n">
        <v>11.34364853740896</v>
      </c>
      <c r="AD349" s="15" t="n">
        <v>32.03898955337251</v>
      </c>
      <c r="AE349" s="15" t="n">
        <v>69.94249943992206</v>
      </c>
      <c r="AF349" s="15" t="n">
        <v>108.2249403025482</v>
      </c>
      <c r="AH349" s="29">
        <f>HIPERLINK($A$1 &amp; "\Dados\Magnet_fields.txt_349.txt.txt", "Magnet_fields.txt_349.txt")</f>
        <v/>
      </c>
      <c r="AI349" t="n">
        <v>9573</v>
      </c>
      <c r="AJ349" t="n">
        <v>29</v>
      </c>
      <c r="AK349" s="29">
        <f>HIPERLINK($A$1 &amp; "\Dados\Magnet_3D_results.txt_349.txt.txt", "Magnet_3D_results.txt_349.txt")</f>
        <v/>
      </c>
      <c r="AL349" s="29">
        <f>HIPERLINK($A$1 &amp; "\Dados\Magnet_fields_2D.txt_349.txt.txt", "Magnet_fields_2D.txt_349.txt")</f>
        <v/>
      </c>
    </row>
    <row customHeight="1" ht="15.75" r="350" s="34">
      <c r="E350" s="15" t="n">
        <v>120</v>
      </c>
      <c r="F350" s="15" t="n">
        <v>170</v>
      </c>
      <c r="G350" s="15" t="n">
        <v>350</v>
      </c>
      <c r="H350" s="15" t="n">
        <v>22</v>
      </c>
      <c r="I350" s="15" t="n">
        <v>146</v>
      </c>
      <c r="J350" s="13" t="n">
        <v>25</v>
      </c>
      <c r="K350" t="n">
        <v>35</v>
      </c>
      <c r="L350" s="13" t="n">
        <v>2.000000000000001</v>
      </c>
      <c r="M350" s="12" t="n"/>
      <c r="N350" s="8" t="n">
        <v>1.103724210448128</v>
      </c>
      <c r="O350" s="15" t="n">
        <v>0.8856806083212675</v>
      </c>
      <c r="P350" s="15" t="n">
        <v>1.034735517869723</v>
      </c>
      <c r="Q350" s="15" t="n">
        <v>0.000962648932220581</v>
      </c>
      <c r="R350" s="15" t="n">
        <v>0.02399022883376767</v>
      </c>
      <c r="S350" s="15" t="n">
        <v>0.001783619051960267</v>
      </c>
      <c r="T350" s="29">
        <f>HIPERLINK($A$1 &amp; "\Dados\Imagem_perfil_350.png", "Imagem_perfil_350")</f>
        <v/>
      </c>
      <c r="U350" s="29">
        <f>HIPERLINK($A$1 &amp; "\Dados\Results_airgap350.txt", "Results_airgap350")</f>
        <v/>
      </c>
      <c r="V350" s="19" t="n"/>
      <c r="W350" s="15" t="n">
        <v>1.397716739130435</v>
      </c>
      <c r="X350" s="15" t="n">
        <v>0.695806660332538</v>
      </c>
      <c r="Y350" s="15" t="n">
        <v>0.6064267414935823</v>
      </c>
      <c r="Z350" s="15" t="n">
        <v>0.1101901743331105</v>
      </c>
      <c r="AA350" s="15" t="n">
        <v>2.087756403848387</v>
      </c>
      <c r="AB350" s="15" t="n">
        <v>2.82382984167387</v>
      </c>
      <c r="AC350" s="15" t="n">
        <v>11.69516949458123</v>
      </c>
      <c r="AD350" s="15" t="n">
        <v>32.34047441844299</v>
      </c>
      <c r="AE350" s="15" t="n">
        <v>70.0923533988106</v>
      </c>
      <c r="AF350" s="15" t="n">
        <v>108.2616173464826</v>
      </c>
      <c r="AH350" s="29">
        <f>HIPERLINK($A$1 &amp; "\Dados\Magnet_fields.txt_350.txt.txt", "Magnet_fields.txt_350.txt")</f>
        <v/>
      </c>
      <c r="AI350" t="n">
        <v>9573</v>
      </c>
      <c r="AJ350" t="n">
        <v>29</v>
      </c>
      <c r="AK350" s="29">
        <f>HIPERLINK($A$1 &amp; "\Dados\Magnet_3D_results.txt_350.txt.txt", "Magnet_3D_results.txt_350.txt")</f>
        <v/>
      </c>
      <c r="AL350" s="29">
        <f>HIPERLINK($A$1 &amp; "\Dados\Magnet_fields_2D.txt_350.txt.txt", "Magnet_fields_2D.txt_350.txt")</f>
        <v/>
      </c>
    </row>
    <row customHeight="1" ht="15.75" r="351" s="34">
      <c r="E351" s="15" t="n">
        <v>120</v>
      </c>
      <c r="F351" s="15" t="n">
        <v>170</v>
      </c>
      <c r="G351" s="15" t="n">
        <v>350</v>
      </c>
      <c r="H351" s="15" t="n">
        <v>22</v>
      </c>
      <c r="I351" s="15" t="n">
        <v>146</v>
      </c>
      <c r="J351" s="13" t="n">
        <v>25</v>
      </c>
      <c r="K351" t="n">
        <v>35</v>
      </c>
      <c r="L351" s="13" t="n">
        <v>2.100000000000001</v>
      </c>
      <c r="M351" s="12" t="n"/>
      <c r="N351" s="8" t="n">
        <v>1.103724210448128</v>
      </c>
      <c r="O351" s="15" t="n">
        <v>0.8856806083212676</v>
      </c>
      <c r="P351" s="15" t="n">
        <v>1.034735517869723</v>
      </c>
      <c r="Q351" s="15" t="n">
        <v>0.0009626489322205811</v>
      </c>
      <c r="R351" s="15" t="n">
        <v>0.02399022883376767</v>
      </c>
      <c r="S351" s="15" t="n">
        <v>0.001783619051960267</v>
      </c>
      <c r="T351" s="29">
        <f>HIPERLINK($A$1 &amp; "\Dados\Imagem_perfil_351.png", "Imagem_perfil_351")</f>
        <v/>
      </c>
      <c r="U351" s="29">
        <f>HIPERLINK($A$1 &amp; "\Dados\Results_airgap351.txt", "Results_airgap351")</f>
        <v/>
      </c>
      <c r="V351" s="19" t="n"/>
      <c r="W351" s="15" t="n">
        <v>1.398925</v>
      </c>
      <c r="X351" s="15" t="n">
        <v>0.6958066603325379</v>
      </c>
      <c r="Y351" s="15" t="n">
        <v>0.6989301810166064</v>
      </c>
      <c r="Z351" s="15" t="n">
        <v>0.1101901743331105</v>
      </c>
      <c r="AA351" s="15" t="n">
        <v>2.087756403848387</v>
      </c>
      <c r="AB351" s="15" t="n">
        <v>2.948951119260473</v>
      </c>
      <c r="AC351" s="15" t="n">
        <v>11.97542296818804</v>
      </c>
      <c r="AD351" s="15" t="n">
        <v>32.58420343558431</v>
      </c>
      <c r="AE351" s="15" t="n">
        <v>70.21425218241592</v>
      </c>
      <c r="AF351" s="15" t="n">
        <v>108.3008457109484</v>
      </c>
      <c r="AH351" s="29">
        <f>HIPERLINK($A$1 &amp; "\Dados\Magnet_fields.txt_351.txt.txt", "Magnet_fields.txt_351.txt")</f>
        <v/>
      </c>
      <c r="AI351" t="n">
        <v>9573</v>
      </c>
      <c r="AJ351" t="n">
        <v>29</v>
      </c>
      <c r="AK351" s="29">
        <f>HIPERLINK($A$1 &amp; "\Dados\Magnet_3D_results.txt_351.txt.txt", "Magnet_3D_results.txt_351.txt")</f>
        <v/>
      </c>
      <c r="AL351" s="29">
        <f>HIPERLINK($A$1 &amp; "\Dados\Magnet_fields_2D.txt_351.txt.txt", "Magnet_fields_2D.txt_351.txt")</f>
        <v/>
      </c>
    </row>
    <row customHeight="1" ht="15.75" r="352" s="34">
      <c r="E352" s="15" t="n">
        <v>120</v>
      </c>
      <c r="F352" s="15" t="n">
        <v>170</v>
      </c>
      <c r="G352" s="15" t="n">
        <v>350</v>
      </c>
      <c r="H352" s="15" t="n">
        <v>24</v>
      </c>
      <c r="I352" s="15" t="n">
        <v>146</v>
      </c>
      <c r="J352" s="13" t="n">
        <v>25</v>
      </c>
      <c r="K352" t="n">
        <v>35</v>
      </c>
      <c r="L352" s="13" t="n">
        <v>1.3</v>
      </c>
      <c r="M352" s="12" t="n"/>
      <c r="N352" s="8" t="n">
        <v>1.050823250576704</v>
      </c>
      <c r="O352" s="15" t="n">
        <v>0.8388146965893282</v>
      </c>
      <c r="P352" s="15" t="n">
        <v>0.9846288066932328</v>
      </c>
      <c r="Q352" s="15" t="n">
        <v>0.000958226165741152</v>
      </c>
      <c r="R352" s="15" t="n">
        <v>0.02160473651058476</v>
      </c>
      <c r="S352" s="15" t="n">
        <v>0.001752981959376278</v>
      </c>
      <c r="T352" s="29">
        <f>HIPERLINK($A$1 &amp; "\Dados\Imagem_perfil_352.png", "Imagem_perfil_352")</f>
        <v/>
      </c>
      <c r="U352" s="29">
        <f>HIPERLINK($A$1 &amp; "\Dados\Results_airgap352.txt", "Results_airgap352")</f>
        <v/>
      </c>
      <c r="V352" s="19" t="n"/>
      <c r="W352" s="43" t="n">
        <v>1.332152826086957</v>
      </c>
      <c r="X352" s="15" t="n">
        <v>0.6608513427915444</v>
      </c>
      <c r="Y352" s="15" t="n">
        <v>0.03211565532956819</v>
      </c>
      <c r="Z352" s="15" t="n">
        <v>0.3947428080352038</v>
      </c>
      <c r="AA352" s="15" t="n">
        <v>3.950334581515402</v>
      </c>
      <c r="AB352" s="15" t="n">
        <v>0</v>
      </c>
      <c r="AC352" s="15" t="n">
        <v>0</v>
      </c>
      <c r="AD352" s="15" t="n">
        <v>20.55080306142392</v>
      </c>
      <c r="AE352" s="15" t="n">
        <v>64.54473914893013</v>
      </c>
      <c r="AF352" s="15" t="n">
        <v>106.8413965612425</v>
      </c>
      <c r="AH352" s="29">
        <f>HIPERLINK($A$1 &amp; "\Dados\Magnet_fields.txt_352.txt.txt", "Magnet_fields.txt_352.txt")</f>
        <v/>
      </c>
      <c r="AI352" t="n">
        <v>9802</v>
      </c>
      <c r="AJ352" t="n">
        <v>30</v>
      </c>
      <c r="AK352" s="29">
        <f>HIPERLINK($A$1 &amp; "\Dados\Magnet_3D_results.txt_352.txt.txt", "Magnet_3D_results.txt_352.txt")</f>
        <v/>
      </c>
      <c r="AL352" s="29">
        <f>HIPERLINK($A$1 &amp; "\Dados\Magnet_fields_2D.txt_352.txt.txt", "Magnet_fields_2D.txt_352.txt")</f>
        <v/>
      </c>
    </row>
    <row customHeight="1" ht="15.75" r="353" s="34">
      <c r="E353" s="15" t="n">
        <v>120</v>
      </c>
      <c r="F353" s="15" t="n">
        <v>170</v>
      </c>
      <c r="G353" s="15" t="n">
        <v>350</v>
      </c>
      <c r="H353" s="15" t="n">
        <v>24</v>
      </c>
      <c r="I353" s="15" t="n">
        <v>146</v>
      </c>
      <c r="J353" s="13" t="n">
        <v>25</v>
      </c>
      <c r="K353" t="n">
        <v>35</v>
      </c>
      <c r="L353" s="13" t="n">
        <v>1.4</v>
      </c>
      <c r="M353" s="12" t="n"/>
      <c r="N353" s="8" t="n">
        <v>1.076840317036546</v>
      </c>
      <c r="O353" s="15" t="n">
        <v>0.8598083332000647</v>
      </c>
      <c r="P353" s="15" t="n">
        <v>1.009162468391782</v>
      </c>
      <c r="Q353" s="15" t="n">
        <v>0.0009601798014013264</v>
      </c>
      <c r="R353" s="15" t="n">
        <v>0.02299284365229895</v>
      </c>
      <c r="S353" s="15" t="n">
        <v>0.001786828411914103</v>
      </c>
      <c r="T353" s="29">
        <f>HIPERLINK($A$1 &amp; "\Dados\Imagem_perfil_353.png", "Imagem_perfil_353")</f>
        <v/>
      </c>
      <c r="U353" s="29">
        <f>HIPERLINK($A$1 &amp; "\Dados\Results_airgap353.txt", "Results_airgap353")</f>
        <v/>
      </c>
      <c r="V353" s="19" t="n"/>
      <c r="W353" s="43" t="n">
        <v>1.363150434782609</v>
      </c>
      <c r="X353" s="15" t="n">
        <v>0.6783564585626678</v>
      </c>
      <c r="Y353" s="15" t="n">
        <v>0.08128551001595589</v>
      </c>
      <c r="Z353" s="15" t="n">
        <v>0.2239381550234459</v>
      </c>
      <c r="AA353" s="15" t="n">
        <v>2.803922140708941</v>
      </c>
      <c r="AB353" s="15" t="n">
        <v>0</v>
      </c>
      <c r="AC353" s="15" t="n">
        <v>4.372612259163021</v>
      </c>
      <c r="AD353" s="15" t="n">
        <v>26.44055974176639</v>
      </c>
      <c r="AE353" s="15" t="n">
        <v>67.2937154042485</v>
      </c>
      <c r="AF353" s="15" t="n">
        <v>107.7310748637239</v>
      </c>
      <c r="AH353" s="29">
        <f>HIPERLINK($A$1 &amp; "\Dados\Magnet_fields.txt_353.txt.txt", "Magnet_fields.txt_353.txt")</f>
        <v/>
      </c>
      <c r="AI353" t="n">
        <v>9802</v>
      </c>
      <c r="AJ353" t="n">
        <v>30</v>
      </c>
      <c r="AK353" s="29">
        <f>HIPERLINK($A$1 &amp; "\Dados\Magnet_3D_results.txt_353.txt.txt", "Magnet_3D_results.txt_353.txt")</f>
        <v/>
      </c>
      <c r="AL353" s="29">
        <f>HIPERLINK($A$1 &amp; "\Dados\Magnet_fields_2D.txt_353.txt.txt", "Magnet_fields_2D.txt_353.txt")</f>
        <v/>
      </c>
    </row>
    <row customHeight="1" ht="15.75" r="354" s="34">
      <c r="E354" s="15" t="n">
        <v>120</v>
      </c>
      <c r="F354" s="15" t="n">
        <v>170</v>
      </c>
      <c r="G354" s="15" t="n">
        <v>350</v>
      </c>
      <c r="H354" s="15" t="n">
        <v>24</v>
      </c>
      <c r="I354" s="15" t="n">
        <v>146</v>
      </c>
      <c r="J354" s="13" t="n">
        <v>25</v>
      </c>
      <c r="K354" t="n">
        <v>35</v>
      </c>
      <c r="L354" s="13" t="n">
        <v>1.5</v>
      </c>
      <c r="M354" s="12" t="n"/>
      <c r="N354" s="8" t="n">
        <v>1.087671350035561</v>
      </c>
      <c r="O354" s="15" t="n">
        <v>0.8684312790706139</v>
      </c>
      <c r="P354" s="15" t="n">
        <v>1.019383281580272</v>
      </c>
      <c r="Q354" s="15" t="n">
        <v>0.0009614457314248009</v>
      </c>
      <c r="R354" s="15" t="n">
        <v>0.02349985155381564</v>
      </c>
      <c r="S354" s="15" t="n">
        <v>0.001799428202235304</v>
      </c>
      <c r="T354" s="29">
        <f>HIPERLINK($A$1 &amp; "\Dados\Imagem_perfil_354.png", "Imagem_perfil_354")</f>
        <v/>
      </c>
      <c r="U354" s="29">
        <f>HIPERLINK($A$1 &amp; "\Dados\Results_airgap354.txt", "Results_airgap354")</f>
        <v/>
      </c>
      <c r="V354" s="19" t="n"/>
      <c r="W354" s="43" t="n">
        <v>1.378550869565218</v>
      </c>
      <c r="X354" s="15" t="n">
        <v>0.6856368542056456</v>
      </c>
      <c r="Y354" s="15" t="n">
        <v>0.1508399252798198</v>
      </c>
      <c r="Z354" s="15" t="n">
        <v>0.1516679673024419</v>
      </c>
      <c r="AA354" s="15" t="n">
        <v>2.40094914303666</v>
      </c>
      <c r="AB354" s="15" t="n">
        <v>0.8811162406917286</v>
      </c>
      <c r="AC354" s="15" t="n">
        <v>7.502170289925598</v>
      </c>
      <c r="AD354" s="15" t="n">
        <v>28.90301666385043</v>
      </c>
      <c r="AE354" s="15" t="n">
        <v>68.45583938734445</v>
      </c>
      <c r="AF354" s="15" t="n">
        <v>107.9606017697008</v>
      </c>
      <c r="AH354" s="29">
        <f>HIPERLINK($A$1 &amp; "\Dados\Magnet_fields.txt_354.txt.txt", "Magnet_fields.txt_354.txt")</f>
        <v/>
      </c>
      <c r="AI354" t="n">
        <v>9802</v>
      </c>
      <c r="AJ354" t="n">
        <v>29</v>
      </c>
      <c r="AK354" s="29">
        <f>HIPERLINK($A$1 &amp; "\Dados\Magnet_3D_results.txt_354.txt.txt", "Magnet_3D_results.txt_354.txt")</f>
        <v/>
      </c>
      <c r="AL354" s="29">
        <f>HIPERLINK($A$1 &amp; "\Dados\Magnet_fields_2D.txt_354.txt.txt", "Magnet_fields_2D.txt_354.txt")</f>
        <v/>
      </c>
    </row>
    <row customHeight="1" ht="15.75" r="355" s="34">
      <c r="E355" s="15" t="n">
        <v>120</v>
      </c>
      <c r="F355" s="15" t="n">
        <v>170</v>
      </c>
      <c r="G355" s="15" t="n">
        <v>350</v>
      </c>
      <c r="H355" s="15" t="n">
        <v>24</v>
      </c>
      <c r="I355" s="15" t="n">
        <v>146</v>
      </c>
      <c r="J355" s="13" t="n">
        <v>25</v>
      </c>
      <c r="K355" t="n">
        <v>35</v>
      </c>
      <c r="L355" s="13" t="n">
        <v>1.6</v>
      </c>
      <c r="M355" s="12" t="n"/>
      <c r="N355" s="8" t="n">
        <v>1.096993492397937</v>
      </c>
      <c r="O355" s="15" t="n">
        <v>0.8759359011421424</v>
      </c>
      <c r="P355" s="15" t="n">
        <v>1.028178362208128</v>
      </c>
      <c r="Q355" s="15" t="n">
        <v>0.0009604395066500458</v>
      </c>
      <c r="R355" s="15" t="n">
        <v>0.02404582331752124</v>
      </c>
      <c r="S355" s="15" t="n">
        <v>0.001810599854424343</v>
      </c>
      <c r="T355" s="29">
        <f>HIPERLINK($A$1 &amp; "\Dados\Imagem_perfil_355.png", "Imagem_perfil_355")</f>
        <v/>
      </c>
      <c r="U355" s="29">
        <f>HIPERLINK($A$1 &amp; "\Dados\Results_airgap355.txt", "Results_airgap355")</f>
        <v/>
      </c>
      <c r="V355" s="19" t="n"/>
      <c r="W355" s="15" t="n">
        <v>1.386403695652174</v>
      </c>
      <c r="X355" s="15" t="n">
        <v>0.6919971435675099</v>
      </c>
      <c r="Y355" s="15" t="n">
        <v>0.2334520031870151</v>
      </c>
      <c r="Z355" s="15" t="n">
        <v>0.1247208784116084</v>
      </c>
      <c r="AA355" s="15" t="n">
        <v>1.974243476600343</v>
      </c>
      <c r="AB355" s="15" t="n">
        <v>1.654644512566286</v>
      </c>
      <c r="AC355" s="15" t="n">
        <v>9.161591047749502</v>
      </c>
      <c r="AD355" s="15" t="n">
        <v>30.21764650872515</v>
      </c>
      <c r="AE355" s="15" t="n">
        <v>69.09007107698433</v>
      </c>
      <c r="AF355" s="15" t="n">
        <v>108.0517260567036</v>
      </c>
      <c r="AH355" s="29">
        <f>HIPERLINK($A$1 &amp; "\Dados\Magnet_fields.txt_355.txt.txt", "Magnet_fields.txt_355.txt")</f>
        <v/>
      </c>
      <c r="AI355" t="n">
        <v>9802</v>
      </c>
      <c r="AJ355" t="n">
        <v>30</v>
      </c>
      <c r="AK355" s="29">
        <f>HIPERLINK($A$1 &amp; "\Dados\Magnet_3D_results.txt_355.txt.txt", "Magnet_3D_results.txt_355.txt")</f>
        <v/>
      </c>
      <c r="AL355" s="29">
        <f>HIPERLINK($A$1 &amp; "\Dados\Magnet_fields_2D.txt_355.txt.txt", "Magnet_fields_2D.txt_355.txt")</f>
        <v/>
      </c>
    </row>
    <row customHeight="1" ht="15.75" r="356" s="34">
      <c r="E356" s="15" t="n">
        <v>120</v>
      </c>
      <c r="F356" s="15" t="n">
        <v>170</v>
      </c>
      <c r="G356" s="15" t="n">
        <v>350</v>
      </c>
      <c r="H356" s="15" t="n">
        <v>24</v>
      </c>
      <c r="I356" s="15" t="n">
        <v>146</v>
      </c>
      <c r="J356" s="13" t="n">
        <v>25</v>
      </c>
      <c r="K356" t="n">
        <v>35</v>
      </c>
      <c r="L356" s="13" t="n">
        <v>1.7</v>
      </c>
      <c r="M356" s="12" t="n"/>
      <c r="N356" s="8" t="n">
        <v>1.101096143742795</v>
      </c>
      <c r="O356" s="15" t="n">
        <v>0.879208052259129</v>
      </c>
      <c r="P356" s="15" t="n">
        <v>1.032052754230445</v>
      </c>
      <c r="Q356" s="15" t="n">
        <v>0.0009610615379553271</v>
      </c>
      <c r="R356" s="15" t="n">
        <v>0.02421440240823653</v>
      </c>
      <c r="S356" s="15" t="n">
        <v>0.001814849845972309</v>
      </c>
      <c r="T356" s="29">
        <f>HIPERLINK($A$1 &amp; "\Dados\Imagem_perfil_356.png", "Imagem_perfil_356")</f>
        <v/>
      </c>
      <c r="U356" s="29">
        <f>HIPERLINK($A$1 &amp; "\Dados\Results_airgap356.txt", "Results_airgap356")</f>
        <v/>
      </c>
      <c r="V356" s="19" t="n"/>
      <c r="W356" s="15" t="n">
        <v>1.391029130434783</v>
      </c>
      <c r="X356" s="15" t="n">
        <v>0.6947525547395099</v>
      </c>
      <c r="Y356" s="15" t="n">
        <v>0.3235613205949411</v>
      </c>
      <c r="Z356" s="15" t="n">
        <v>0.109645123190842</v>
      </c>
      <c r="AA356" s="15" t="n">
        <v>1.863751210532744</v>
      </c>
      <c r="AB356" s="15" t="n">
        <v>2.14434487525369</v>
      </c>
      <c r="AC356" s="15" t="n">
        <v>10.1689904112376</v>
      </c>
      <c r="AD356" s="15" t="n">
        <v>31.04505041100044</v>
      </c>
      <c r="AE356" s="15" t="n">
        <v>69.48391970771321</v>
      </c>
      <c r="AF356" s="15" t="n">
        <v>108.1390486204959</v>
      </c>
      <c r="AH356" s="29">
        <f>HIPERLINK($A$1 &amp; "\Dados\Magnet_fields.txt_356.txt.txt", "Magnet_fields.txt_356.txt")</f>
        <v/>
      </c>
      <c r="AI356" t="n">
        <v>9802</v>
      </c>
      <c r="AJ356" t="n">
        <v>30</v>
      </c>
      <c r="AK356" s="29">
        <f>HIPERLINK($A$1 &amp; "\Dados\Magnet_3D_results.txt_356.txt.txt", "Magnet_3D_results.txt_356.txt")</f>
        <v/>
      </c>
      <c r="AL356" s="29">
        <f>HIPERLINK($A$1 &amp; "\Dados\Magnet_fields_2D.txt_356.txt.txt", "Magnet_fields_2D.txt_356.txt")</f>
        <v/>
      </c>
    </row>
    <row customHeight="1" ht="15.75" r="357" s="34">
      <c r="E357" s="15" t="n">
        <v>120</v>
      </c>
      <c r="F357" s="15" t="n">
        <v>170</v>
      </c>
      <c r="G357" s="15" t="n">
        <v>350</v>
      </c>
      <c r="H357" s="15" t="n">
        <v>24</v>
      </c>
      <c r="I357" s="15" t="n">
        <v>146</v>
      </c>
      <c r="J357" s="13" t="n">
        <v>25</v>
      </c>
      <c r="K357" t="n">
        <v>35</v>
      </c>
      <c r="L357" s="13" t="n">
        <v>1.8</v>
      </c>
      <c r="M357" s="12" t="n"/>
      <c r="N357" s="8" t="n">
        <v>1.101096143742795</v>
      </c>
      <c r="O357" s="15" t="n">
        <v>0.879208052259129</v>
      </c>
      <c r="P357" s="15" t="n">
        <v>1.032052754230445</v>
      </c>
      <c r="Q357" s="15" t="n">
        <v>0.0009610615379553269</v>
      </c>
      <c r="R357" s="15" t="n">
        <v>0.02421440240823653</v>
      </c>
      <c r="S357" s="15" t="n">
        <v>0.001814849845972309</v>
      </c>
      <c r="T357" s="29">
        <f>HIPERLINK($A$1 &amp; "\Dados\Imagem_perfil_357.png", "Imagem_perfil_357")</f>
        <v/>
      </c>
      <c r="U357" s="29">
        <f>HIPERLINK($A$1 &amp; "\Dados\Results_airgap357.txt", "Results_airgap357")</f>
        <v/>
      </c>
      <c r="V357" s="19" t="n"/>
      <c r="W357" s="15" t="n">
        <v>1.394085217391304</v>
      </c>
      <c r="X357" s="15" t="n">
        <v>0.6947525547395101</v>
      </c>
      <c r="Y357" s="15" t="n">
        <v>0.4173271179259804</v>
      </c>
      <c r="Z357" s="15" t="n">
        <v>0.109645123190842</v>
      </c>
      <c r="AA357" s="15" t="n">
        <v>1.863751210532744</v>
      </c>
      <c r="AB357" s="15" t="n">
        <v>2.450994838291013</v>
      </c>
      <c r="AC357" s="15" t="n">
        <v>10.85269411947143</v>
      </c>
      <c r="AD357" s="15" t="n">
        <v>31.62503081280007</v>
      </c>
      <c r="AE357" s="15" t="n">
        <v>69.7554475049061</v>
      </c>
      <c r="AF357" s="15" t="n">
        <v>108.1912259279069</v>
      </c>
      <c r="AH357" s="29">
        <f>HIPERLINK($A$1 &amp; "\Dados\Magnet_fields.txt_357.txt.txt", "Magnet_fields.txt_357.txt")</f>
        <v/>
      </c>
      <c r="AI357" t="n">
        <v>9802</v>
      </c>
      <c r="AJ357" t="n">
        <v>30</v>
      </c>
      <c r="AK357" s="29">
        <f>HIPERLINK($A$1 &amp; "\Dados\Magnet_3D_results.txt_357.txt.txt", "Magnet_3D_results.txt_357.txt")</f>
        <v/>
      </c>
      <c r="AL357" s="29">
        <f>HIPERLINK($A$1 &amp; "\Dados\Magnet_fields_2D.txt_357.txt.txt", "Magnet_fields_2D.txt_357.txt")</f>
        <v/>
      </c>
    </row>
    <row customHeight="1" ht="15.75" r="358" s="34">
      <c r="E358" s="15" t="n">
        <v>120</v>
      </c>
      <c r="F358" s="15" t="n">
        <v>170</v>
      </c>
      <c r="G358" s="15" t="n">
        <v>350</v>
      </c>
      <c r="H358" s="15" t="n">
        <v>24</v>
      </c>
      <c r="I358" s="15" t="n">
        <v>146</v>
      </c>
      <c r="J358" s="13" t="n">
        <v>25</v>
      </c>
      <c r="K358" t="n">
        <v>35</v>
      </c>
      <c r="L358" s="13" t="n">
        <v>1.900000000000001</v>
      </c>
      <c r="M358" s="12" t="n"/>
      <c r="N358" s="8" t="n">
        <v>1.104380470990645</v>
      </c>
      <c r="O358" s="15" t="n">
        <v>0.8818245747586482</v>
      </c>
      <c r="P358" s="15" t="n">
        <v>1.035168425623775</v>
      </c>
      <c r="Q358" s="15" t="n">
        <v>0.000961423978757839</v>
      </c>
      <c r="R358" s="15" t="n">
        <v>0.02436836016731709</v>
      </c>
      <c r="S358" s="15" t="n">
        <v>0.001818509238739093</v>
      </c>
      <c r="T358" s="29">
        <f>HIPERLINK($A$1 &amp; "\Dados\Imagem_perfil_358.png", "Imagem_perfil_358")</f>
        <v/>
      </c>
      <c r="U358" s="29">
        <f>HIPERLINK($A$1 &amp; "\Dados\Results_airgap358.txt", "Results_airgap358")</f>
        <v/>
      </c>
      <c r="V358" s="19" t="n"/>
      <c r="W358" s="15" t="n">
        <v>1.396206739130435</v>
      </c>
      <c r="X358" s="15" t="n">
        <v>0.6969787218191332</v>
      </c>
      <c r="Y358" s="15" t="n">
        <v>0.5121749578408352</v>
      </c>
      <c r="Z358" s="15" t="n">
        <v>0.1015292517867346</v>
      </c>
      <c r="AA358" s="15" t="n">
        <v>1.697450044895614</v>
      </c>
      <c r="AB358" s="15" t="n">
        <v>2.668115870413466</v>
      </c>
      <c r="AC358" s="15" t="n">
        <v>11.34586623355602</v>
      </c>
      <c r="AD358" s="15" t="n">
        <v>32.03239091140896</v>
      </c>
      <c r="AE358" s="15" t="n">
        <v>69.94459641323007</v>
      </c>
      <c r="AF358" s="15" t="n">
        <v>108.2294345822323</v>
      </c>
      <c r="AH358" s="29">
        <f>HIPERLINK($A$1 &amp; "\Dados\Magnet_fields.txt_358.txt.txt", "Magnet_fields.txt_358.txt")</f>
        <v/>
      </c>
      <c r="AI358" t="n">
        <v>9802</v>
      </c>
      <c r="AJ358" t="n">
        <v>29</v>
      </c>
      <c r="AK358" s="29">
        <f>HIPERLINK($A$1 &amp; "\Dados\Magnet_3D_results.txt_358.txt.txt", "Magnet_3D_results.txt_358.txt")</f>
        <v/>
      </c>
      <c r="AL358" s="29">
        <f>HIPERLINK($A$1 &amp; "\Dados\Magnet_fields_2D.txt_358.txt.txt", "Magnet_fields_2D.txt_358.txt")</f>
        <v/>
      </c>
    </row>
    <row customHeight="1" ht="15.75" r="359" s="34">
      <c r="E359" s="15" t="n">
        <v>120</v>
      </c>
      <c r="F359" s="15" t="n">
        <v>170</v>
      </c>
      <c r="G359" s="15" t="n">
        <v>350</v>
      </c>
      <c r="H359" s="15" t="n">
        <v>24</v>
      </c>
      <c r="I359" s="15" t="n">
        <v>146</v>
      </c>
      <c r="J359" s="13" t="n">
        <v>25</v>
      </c>
      <c r="K359" t="n">
        <v>35</v>
      </c>
      <c r="L359" s="13" t="n">
        <v>2.000000000000001</v>
      </c>
      <c r="M359" s="12" t="n"/>
      <c r="N359" s="8" t="n">
        <v>1.105374537316712</v>
      </c>
      <c r="O359" s="15" t="n">
        <v>0.8826627495438066</v>
      </c>
      <c r="P359" s="15" t="n">
        <v>1.036090346288035</v>
      </c>
      <c r="Q359" s="15" t="n">
        <v>0.0009603858563843861</v>
      </c>
      <c r="R359" s="15" t="n">
        <v>0.02450692702831177</v>
      </c>
      <c r="S359" s="15" t="n">
        <v>0.001820577300924402</v>
      </c>
      <c r="T359" s="29">
        <f>HIPERLINK($A$1 &amp; "\Dados\Imagem_perfil_359.png", "Imagem_perfil_359")</f>
        <v/>
      </c>
      <c r="U359" s="29">
        <f>HIPERLINK($A$1 &amp; "\Dados\Results_airgap359.txt", "Results_airgap359")</f>
        <v/>
      </c>
      <c r="V359" s="19" t="n"/>
      <c r="W359" s="15" t="n">
        <v>1.397762173913043</v>
      </c>
      <c r="X359" s="15" t="n">
        <v>0.6977176228629481</v>
      </c>
      <c r="Y359" s="15" t="n">
        <v>0.6064036616095908</v>
      </c>
      <c r="Z359" s="15" t="n">
        <v>0.1015292517867346</v>
      </c>
      <c r="AA359" s="15" t="n">
        <v>1.570943051125454</v>
      </c>
      <c r="AB359" s="15" t="n">
        <v>2.829433483904053</v>
      </c>
      <c r="AC359" s="15" t="n">
        <v>11.70753716026494</v>
      </c>
      <c r="AD359" s="15" t="n">
        <v>32.34027261561329</v>
      </c>
      <c r="AE359" s="15" t="n">
        <v>70.09072867423768</v>
      </c>
      <c r="AF359" s="15" t="n">
        <v>108.2699603807282</v>
      </c>
      <c r="AH359" s="29">
        <f>HIPERLINK($A$1 &amp; "\Dados\Magnet_fields.txt_359.txt.txt", "Magnet_fields.txt_359.txt")</f>
        <v/>
      </c>
      <c r="AI359" t="n">
        <v>9802</v>
      </c>
      <c r="AJ359" t="n">
        <v>30</v>
      </c>
      <c r="AK359" s="29">
        <f>HIPERLINK($A$1 &amp; "\Dados\Magnet_3D_results.txt_359.txt.txt", "Magnet_3D_results.txt_359.txt")</f>
        <v/>
      </c>
      <c r="AL359" s="29">
        <f>HIPERLINK($A$1 &amp; "\Dados\Magnet_fields_2D.txt_359.txt.txt", "Magnet_fields_2D.txt_359.txt")</f>
        <v/>
      </c>
    </row>
    <row customHeight="1" ht="15.75" r="360" s="34">
      <c r="E360" s="15" t="n">
        <v>120</v>
      </c>
      <c r="F360" s="15" t="n">
        <v>170</v>
      </c>
      <c r="G360" s="15" t="n">
        <v>350</v>
      </c>
      <c r="H360" s="15" t="n">
        <v>24</v>
      </c>
      <c r="I360" s="15" t="n">
        <v>146</v>
      </c>
      <c r="J360" s="13" t="n">
        <v>25</v>
      </c>
      <c r="K360" t="n">
        <v>35</v>
      </c>
      <c r="L360" s="13" t="n">
        <v>2.100000000000001</v>
      </c>
      <c r="M360" s="12" t="n"/>
      <c r="N360" s="8" t="n">
        <v>1.105374537316712</v>
      </c>
      <c r="O360" s="15" t="n">
        <v>0.8826627495438066</v>
      </c>
      <c r="P360" s="15" t="n">
        <v>1.036090346288035</v>
      </c>
      <c r="Q360" s="15" t="n">
        <v>0.0009603858563843861</v>
      </c>
      <c r="R360" s="15" t="n">
        <v>0.02450692702831177</v>
      </c>
      <c r="S360" s="15" t="n">
        <v>0.001820577300924402</v>
      </c>
      <c r="T360" s="29">
        <f>HIPERLINK($A$1 &amp; "\Dados\Imagem_perfil_360.png", "Imagem_perfil_360")</f>
        <v/>
      </c>
      <c r="U360" s="29">
        <f>HIPERLINK($A$1 &amp; "\Dados\Results_airgap360.txt", "Results_airgap360")</f>
        <v/>
      </c>
      <c r="V360" s="19" t="n"/>
      <c r="W360" s="15" t="n">
        <v>1.398926956521739</v>
      </c>
      <c r="X360" s="15" t="n">
        <v>0.6977176228629481</v>
      </c>
      <c r="Y360" s="15" t="n">
        <v>0.6989066203806101</v>
      </c>
      <c r="Z360" s="15" t="n">
        <v>0.1015292517867346</v>
      </c>
      <c r="AA360" s="15" t="n">
        <v>1.570943051125454</v>
      </c>
      <c r="AB360" s="15" t="n">
        <v>2.939173622498716</v>
      </c>
      <c r="AC360" s="15" t="n">
        <v>11.97570788154152</v>
      </c>
      <c r="AD360" s="15" t="n">
        <v>32.58035665953841</v>
      </c>
      <c r="AE360" s="15" t="n">
        <v>70.21258140671968</v>
      </c>
      <c r="AF360" s="15" t="n">
        <v>108.2957079662176</v>
      </c>
      <c r="AH360" s="29">
        <f>HIPERLINK($A$1 &amp; "\Dados\Magnet_fields.txt_360.txt.txt", "Magnet_fields.txt_360.txt")</f>
        <v/>
      </c>
      <c r="AI360" t="n">
        <v>9802</v>
      </c>
      <c r="AJ360" t="n">
        <v>29</v>
      </c>
      <c r="AK360" s="29">
        <f>HIPERLINK($A$1 &amp; "\Dados\Magnet_3D_results.txt_360.txt.txt", "Magnet_3D_results.txt_360.txt")</f>
        <v/>
      </c>
      <c r="AL360" s="29">
        <f>HIPERLINK($A$1 &amp; "\Dados\Magnet_fields_2D.txt_360.txt.txt", "Magnet_fields_2D.txt_360.txt")</f>
        <v/>
      </c>
    </row>
    <row customHeight="1" ht="15.75" r="361" s="34">
      <c r="E361" s="15" t="n">
        <v>120</v>
      </c>
      <c r="F361" s="15" t="n">
        <v>170</v>
      </c>
      <c r="G361" s="15" t="n">
        <v>350</v>
      </c>
      <c r="H361" s="15" t="n">
        <v>26</v>
      </c>
      <c r="I361" s="15" t="n">
        <v>146</v>
      </c>
      <c r="J361" s="13" t="n">
        <v>25</v>
      </c>
      <c r="K361" t="n">
        <v>35</v>
      </c>
      <c r="L361" s="13" t="n">
        <v>1.3</v>
      </c>
      <c r="M361" s="12" t="n"/>
      <c r="N361" s="8" t="n">
        <v>1.05364931976229</v>
      </c>
      <c r="O361" s="15" t="n">
        <v>0.8396234480301947</v>
      </c>
      <c r="P361" s="15" t="n">
        <v>0.9870711282446167</v>
      </c>
      <c r="Q361" s="15" t="n">
        <v>0.0009623272866093684</v>
      </c>
      <c r="R361" s="15" t="n">
        <v>0.02222498540565149</v>
      </c>
      <c r="S361" s="15" t="n">
        <v>0.001783677205915064</v>
      </c>
      <c r="T361" s="29">
        <f>HIPERLINK($A$1 &amp; "\Dados\Imagem_perfil_361.png", "Imagem_perfil_361")</f>
        <v/>
      </c>
      <c r="U361" s="29">
        <f>HIPERLINK($A$1 &amp; "\Dados\Results_airgap361.txt", "Results_airgap361")</f>
        <v/>
      </c>
      <c r="V361" s="19" t="n"/>
      <c r="W361" s="43" t="n">
        <v>1.332670434782609</v>
      </c>
      <c r="X361" s="15" t="n">
        <v>0.6581704491786321</v>
      </c>
      <c r="Y361" s="15" t="n">
        <v>0.03210786848893905</v>
      </c>
      <c r="Z361" s="15" t="n">
        <v>0.4293864982207075</v>
      </c>
      <c r="AA361" s="15" t="n">
        <v>3.039386118309096</v>
      </c>
      <c r="AB361" s="15" t="n">
        <v>0</v>
      </c>
      <c r="AC361" s="15" t="n">
        <v>0</v>
      </c>
      <c r="AD361" s="15" t="n">
        <v>20.62489906306827</v>
      </c>
      <c r="AE361" s="15" t="n">
        <v>64.73305224513318</v>
      </c>
      <c r="AF361" s="15" t="n">
        <v>107.0602791351479</v>
      </c>
      <c r="AH361" s="29">
        <f>HIPERLINK($A$1 &amp; "\Dados\Magnet_fields.txt_361.txt.txt", "Magnet_fields.txt_361.txt")</f>
        <v/>
      </c>
      <c r="AI361" t="n">
        <v>9132</v>
      </c>
      <c r="AJ361" t="n">
        <v>30</v>
      </c>
      <c r="AK361" s="29">
        <f>HIPERLINK($A$1 &amp; "\Dados\Magnet_3D_results.txt_361.txt.txt", "Magnet_3D_results.txt_361.txt")</f>
        <v/>
      </c>
      <c r="AL361" s="29">
        <f>HIPERLINK($A$1 &amp; "\Dados\Magnet_fields_2D.txt_361.txt.txt", "Magnet_fields_2D.txt_361.txt")</f>
        <v/>
      </c>
    </row>
    <row customHeight="1" ht="15.75" r="362" s="34">
      <c r="E362" s="15" t="n">
        <v>120</v>
      </c>
      <c r="F362" s="15" t="n">
        <v>170</v>
      </c>
      <c r="G362" s="15" t="n">
        <v>350</v>
      </c>
      <c r="H362" s="15" t="n">
        <v>26</v>
      </c>
      <c r="I362" s="15" t="n">
        <v>146</v>
      </c>
      <c r="J362" s="13" t="n">
        <v>25</v>
      </c>
      <c r="K362" t="n">
        <v>35</v>
      </c>
      <c r="L362" s="13" t="n">
        <v>1.4</v>
      </c>
      <c r="M362" s="12" t="n"/>
      <c r="N362" s="8" t="n">
        <v>1.079169523031901</v>
      </c>
      <c r="O362" s="15" t="n">
        <v>0.8601448215850145</v>
      </c>
      <c r="P362" s="15" t="n">
        <v>1.011134596949937</v>
      </c>
      <c r="Q362" s="15" t="n">
        <v>0.0009654645396342233</v>
      </c>
      <c r="R362" s="15" t="n">
        <v>0.02349323611283978</v>
      </c>
      <c r="S362" s="15" t="n">
        <v>0.001816142893772981</v>
      </c>
      <c r="T362" s="29">
        <f>HIPERLINK($A$1 &amp; "\Dados\Imagem_perfil_362.png", "Imagem_perfil_362")</f>
        <v/>
      </c>
      <c r="U362" s="29">
        <f>HIPERLINK($A$1 &amp; "\Dados\Results_airgap362.txt", "Results_airgap362")</f>
        <v/>
      </c>
      <c r="V362" s="19" t="n"/>
      <c r="W362" s="43" t="n">
        <v>1.363180434782609</v>
      </c>
      <c r="X362" s="15" t="n">
        <v>0.6752982486764679</v>
      </c>
      <c r="Y362" s="15" t="n">
        <v>0.08127543246961187</v>
      </c>
      <c r="Z362" s="15" t="n">
        <v>0.2392654723098746</v>
      </c>
      <c r="AA362" s="15" t="n">
        <v>2.06712496869091</v>
      </c>
      <c r="AB362" s="15" t="n">
        <v>0</v>
      </c>
      <c r="AC362" s="15" t="n">
        <v>4.371590266367967</v>
      </c>
      <c r="AD362" s="15" t="n">
        <v>26.44542068603999</v>
      </c>
      <c r="AE362" s="15" t="n">
        <v>67.29694203327782</v>
      </c>
      <c r="AF362" s="15" t="n">
        <v>107.719857200965</v>
      </c>
      <c r="AH362" s="29">
        <f>HIPERLINK($A$1 &amp; "\Dados\Magnet_fields.txt_362.txt.txt", "Magnet_fields.txt_362.txt")</f>
        <v/>
      </c>
      <c r="AI362" t="n">
        <v>9132</v>
      </c>
      <c r="AJ362" t="n">
        <v>30</v>
      </c>
      <c r="AK362" s="29">
        <f>HIPERLINK($A$1 &amp; "\Dados\Magnet_3D_results.txt_362.txt.txt", "Magnet_3D_results.txt_362.txt")</f>
        <v/>
      </c>
      <c r="AL362" s="29">
        <f>HIPERLINK($A$1 &amp; "\Dados\Magnet_fields_2D.txt_362.txt.txt", "Magnet_fields_2D.txt_362.txt")</f>
        <v/>
      </c>
    </row>
    <row customHeight="1" ht="15.75" r="363" s="34">
      <c r="E363" s="15" t="n">
        <v>120</v>
      </c>
      <c r="F363" s="15" t="n">
        <v>170</v>
      </c>
      <c r="G363" s="15" t="n">
        <v>350</v>
      </c>
      <c r="H363" s="15" t="n">
        <v>26</v>
      </c>
      <c r="I363" s="15" t="n">
        <v>146</v>
      </c>
      <c r="J363" s="13" t="n">
        <v>25</v>
      </c>
      <c r="K363" t="n">
        <v>35</v>
      </c>
      <c r="L363" s="13" t="n">
        <v>1.5</v>
      </c>
      <c r="M363" s="12" t="n"/>
      <c r="N363" s="8" t="n">
        <v>1.089913646852398</v>
      </c>
      <c r="O363" s="15" t="n">
        <v>0.8686829193174427</v>
      </c>
      <c r="P363" s="15" t="n">
        <v>1.02127855941175</v>
      </c>
      <c r="Q363" s="15" t="n">
        <v>0.0009666087531759716</v>
      </c>
      <c r="R363" s="15" t="n">
        <v>0.02398386490777065</v>
      </c>
      <c r="S363" s="15" t="n">
        <v>0.001828357948331424</v>
      </c>
      <c r="T363" s="29">
        <f>HIPERLINK($A$1 &amp; "\Dados\Imagem_perfil_363.png", "Imagem_perfil_363")</f>
        <v/>
      </c>
      <c r="U363" s="29">
        <f>HIPERLINK($A$1 &amp; "\Dados\Results_airgap363.txt", "Results_airgap363")</f>
        <v/>
      </c>
      <c r="V363" s="19" t="n"/>
      <c r="W363" s="43" t="n">
        <v>1.378548913043478</v>
      </c>
      <c r="X363" s="15" t="n">
        <v>0.6825062311167125</v>
      </c>
      <c r="Y363" s="15" t="n">
        <v>0.1508268217262448</v>
      </c>
      <c r="Z363" s="15" t="n">
        <v>0.1670132533078465</v>
      </c>
      <c r="AA363" s="15" t="n">
        <v>1.707645034879902</v>
      </c>
      <c r="AB363" s="15" t="n">
        <v>0.8794081888644782</v>
      </c>
      <c r="AC363" s="15" t="n">
        <v>7.499839778089354</v>
      </c>
      <c r="AD363" s="15" t="n">
        <v>28.90395164742386</v>
      </c>
      <c r="AE363" s="15" t="n">
        <v>68.44251823822148</v>
      </c>
      <c r="AF363" s="15" t="n">
        <v>107.9557266744727</v>
      </c>
      <c r="AH363" s="29">
        <f>HIPERLINK($A$1 &amp; "\Dados\Magnet_fields.txt_363.txt.txt", "Magnet_fields.txt_363.txt")</f>
        <v/>
      </c>
      <c r="AI363" t="n">
        <v>9132</v>
      </c>
      <c r="AJ363" t="n">
        <v>30</v>
      </c>
      <c r="AK363" s="29">
        <f>HIPERLINK($A$1 &amp; "\Dados\Magnet_3D_results.txt_363.txt.txt", "Magnet_3D_results.txt_363.txt")</f>
        <v/>
      </c>
      <c r="AL363" s="29">
        <f>HIPERLINK($A$1 &amp; "\Dados\Magnet_fields_2D.txt_363.txt.txt", "Magnet_fields_2D.txt_363.txt")</f>
        <v/>
      </c>
    </row>
    <row customHeight="1" ht="15.75" r="364" s="34">
      <c r="E364" s="15" t="n">
        <v>120</v>
      </c>
      <c r="F364" s="15" t="n">
        <v>170</v>
      </c>
      <c r="G364" s="15" t="n">
        <v>350</v>
      </c>
      <c r="H364" s="15" t="n">
        <v>26</v>
      </c>
      <c r="I364" s="15" t="n">
        <v>146</v>
      </c>
      <c r="J364" s="13" t="n">
        <v>25</v>
      </c>
      <c r="K364" t="n">
        <v>35</v>
      </c>
      <c r="L364" s="13" t="n">
        <v>1.6</v>
      </c>
      <c r="M364" s="12" t="n"/>
      <c r="N364" s="8" t="n">
        <v>1.09913241947917</v>
      </c>
      <c r="O364" s="15" t="n">
        <v>0.876081121024158</v>
      </c>
      <c r="P364" s="15" t="n">
        <v>1.029974918149484</v>
      </c>
      <c r="Q364" s="15" t="n">
        <v>0.0009653687291240713</v>
      </c>
      <c r="R364" s="15" t="n">
        <v>0.0245060480561349</v>
      </c>
      <c r="S364" s="15" t="n">
        <v>0.001838828221503444</v>
      </c>
      <c r="T364" s="29">
        <f>HIPERLINK($A$1 &amp; "\Dados\Imagem_perfil_364.png", "Imagem_perfil_364")</f>
        <v/>
      </c>
      <c r="U364" s="29">
        <f>HIPERLINK($A$1 &amp; "\Dados\Results_airgap364.txt", "Results_airgap364")</f>
        <v/>
      </c>
      <c r="V364" s="19" t="n"/>
      <c r="W364" s="15" t="n">
        <v>1.386447173913044</v>
      </c>
      <c r="X364" s="15" t="n">
        <v>0.6887851756973369</v>
      </c>
      <c r="Y364" s="15" t="n">
        <v>0.2334365543090375</v>
      </c>
      <c r="Z364" s="15" t="n">
        <v>0.1357776301547688</v>
      </c>
      <c r="AA364" s="15" t="n">
        <v>1.270570143537489</v>
      </c>
      <c r="AB364" s="15" t="n">
        <v>1.663003114688745</v>
      </c>
      <c r="AC364" s="15" t="n">
        <v>9.165926182436142</v>
      </c>
      <c r="AD364" s="15" t="n">
        <v>30.2267588076856</v>
      </c>
      <c r="AE364" s="15" t="n">
        <v>69.0808358303422</v>
      </c>
      <c r="AF364" s="15" t="n">
        <v>108.0421757927961</v>
      </c>
      <c r="AH364" s="29">
        <f>HIPERLINK($A$1 &amp; "\Dados\Magnet_fields.txt_364.txt.txt", "Magnet_fields.txt_364.txt")</f>
        <v/>
      </c>
      <c r="AI364" t="n">
        <v>9132</v>
      </c>
      <c r="AJ364" t="n">
        <v>30</v>
      </c>
      <c r="AK364" s="29">
        <f>HIPERLINK($A$1 &amp; "\Dados\Magnet_3D_results.txt_364.txt.txt", "Magnet_3D_results.txt_364.txt")</f>
        <v/>
      </c>
      <c r="AL364" s="29">
        <f>HIPERLINK($A$1 &amp; "\Dados\Magnet_fields_2D.txt_364.txt.txt", "Magnet_fields_2D.txt_364.txt")</f>
        <v/>
      </c>
    </row>
    <row customHeight="1" ht="15.75" r="365" s="34">
      <c r="E365" s="15" t="n">
        <v>120</v>
      </c>
      <c r="F365" s="15" t="n">
        <v>170</v>
      </c>
      <c r="G365" s="15" t="n">
        <v>350</v>
      </c>
      <c r="H365" s="15" t="n">
        <v>26</v>
      </c>
      <c r="I365" s="15" t="n">
        <v>146</v>
      </c>
      <c r="J365" s="13" t="n">
        <v>25</v>
      </c>
      <c r="K365" t="n">
        <v>35</v>
      </c>
      <c r="L365" s="13" t="n">
        <v>1.7</v>
      </c>
      <c r="M365" s="12" t="n"/>
      <c r="N365" s="8" t="n">
        <v>1.101422040115425</v>
      </c>
      <c r="O365" s="15" t="n">
        <v>0.8778594947930309</v>
      </c>
      <c r="P365" s="15" t="n">
        <v>1.032125918859681</v>
      </c>
      <c r="Q365" s="15" t="n">
        <v>0.0009658379660031362</v>
      </c>
      <c r="R365" s="15" t="n">
        <v>0.02456575907291017</v>
      </c>
      <c r="S365" s="15" t="n">
        <v>0.001840564450728213</v>
      </c>
      <c r="T365" s="29">
        <f>HIPERLINK($A$1 &amp; "\Dados\Imagem_perfil_365.png", "Imagem_perfil_365")</f>
        <v/>
      </c>
      <c r="U365" s="29">
        <f>HIPERLINK($A$1 &amp; "\Dados\Results_airgap365.txt", "Results_airgap365")</f>
        <v/>
      </c>
      <c r="V365" s="19" t="n"/>
      <c r="W365" s="15" t="n">
        <v>1.390775</v>
      </c>
      <c r="X365" s="15" t="n">
        <v>0.6902923119385862</v>
      </c>
      <c r="Y365" s="15" t="n">
        <v>0.3235446334792189</v>
      </c>
      <c r="Z365" s="15" t="n">
        <v>0.133878935516317</v>
      </c>
      <c r="AA365" s="15" t="n">
        <v>1.221226445104347</v>
      </c>
      <c r="AB365" s="15" t="n">
        <v>2.091307105521211</v>
      </c>
      <c r="AC365" s="15" t="n">
        <v>10.13107849419114</v>
      </c>
      <c r="AD365" s="15" t="n">
        <v>30.99711230484871</v>
      </c>
      <c r="AE365" s="15" t="n">
        <v>69.42914401447113</v>
      </c>
      <c r="AF365" s="15" t="n">
        <v>108.138394131844</v>
      </c>
      <c r="AH365" s="29">
        <f>HIPERLINK($A$1 &amp; "\Dados\Magnet_fields.txt_365.txt.txt", "Magnet_fields.txt_365.txt")</f>
        <v/>
      </c>
      <c r="AI365" t="n">
        <v>9132</v>
      </c>
      <c r="AJ365" t="n">
        <v>30</v>
      </c>
      <c r="AK365" s="29">
        <f>HIPERLINK($A$1 &amp; "\Dados\Magnet_3D_results.txt_365.txt.txt", "Magnet_3D_results.txt_365.txt")</f>
        <v/>
      </c>
      <c r="AL365" s="29">
        <f>HIPERLINK($A$1 &amp; "\Dados\Magnet_fields_2D.txt_365.txt.txt", "Magnet_fields_2D.txt_365.txt")</f>
        <v/>
      </c>
    </row>
    <row customHeight="1" ht="15.75" r="366" s="34">
      <c r="E366" s="15" t="n">
        <v>120</v>
      </c>
      <c r="F366" s="15" t="n">
        <v>170</v>
      </c>
      <c r="G366" s="15" t="n">
        <v>350</v>
      </c>
      <c r="H366" s="15" t="n">
        <v>26</v>
      </c>
      <c r="I366" s="15" t="n">
        <v>146</v>
      </c>
      <c r="J366" s="13" t="n">
        <v>25</v>
      </c>
      <c r="K366" t="n">
        <v>35</v>
      </c>
      <c r="L366" s="13" t="n">
        <v>1.8</v>
      </c>
      <c r="M366" s="12" t="n"/>
      <c r="N366" s="8" t="n">
        <v>1.103201362624981</v>
      </c>
      <c r="O366" s="15" t="n">
        <v>0.8793151492138789</v>
      </c>
      <c r="P366" s="15" t="n">
        <v>1.033816777520437</v>
      </c>
      <c r="Q366" s="15" t="n">
        <v>0.0009659440940549288</v>
      </c>
      <c r="R366" s="15" t="n">
        <v>0.02466776108451125</v>
      </c>
      <c r="S366" s="15" t="n">
        <v>0.001842912046687972</v>
      </c>
      <c r="T366" s="29">
        <f>HIPERLINK($A$1 &amp; "\Dados\Imagem_perfil_366.png", "Imagem_perfil_366")</f>
        <v/>
      </c>
      <c r="U366" s="29">
        <f>HIPERLINK($A$1 &amp; "\Dados\Results_airgap366.txt", "Results_airgap366")</f>
        <v/>
      </c>
      <c r="V366" s="19" t="n"/>
      <c r="W366" s="15" t="n">
        <v>1.394092391304348</v>
      </c>
      <c r="X366" s="15" t="n">
        <v>0.6915078156630442</v>
      </c>
      <c r="Y366" s="15" t="n">
        <v>0.4173086996114569</v>
      </c>
      <c r="Z366" s="15" t="n">
        <v>0.12817686202797</v>
      </c>
      <c r="AA366" s="15" t="n">
        <v>1.043622947427668</v>
      </c>
      <c r="AB366" s="15" t="n">
        <v>2.447390158666864</v>
      </c>
      <c r="AC366" s="15" t="n">
        <v>10.84984988466714</v>
      </c>
      <c r="AD366" s="15" t="n">
        <v>31.6278501966977</v>
      </c>
      <c r="AE366" s="15" t="n">
        <v>69.74816188088985</v>
      </c>
      <c r="AF366" s="15" t="n">
        <v>108.184398928362</v>
      </c>
      <c r="AH366" s="29">
        <f>HIPERLINK($A$1 &amp; "\Dados\Magnet_fields.txt_366.txt.txt", "Magnet_fields.txt_366.txt")</f>
        <v/>
      </c>
      <c r="AI366" t="n">
        <v>9132</v>
      </c>
      <c r="AJ366" t="n">
        <v>29</v>
      </c>
      <c r="AK366" s="29">
        <f>HIPERLINK($A$1 &amp; "\Dados\Magnet_3D_results.txt_366.txt.txt", "Magnet_3D_results.txt_366.txt")</f>
        <v/>
      </c>
      <c r="AL366" s="29">
        <f>HIPERLINK($A$1 &amp; "\Dados\Magnet_fields_2D.txt_366.txt.txt", "Magnet_fields_2D.txt_366.txt")</f>
        <v/>
      </c>
    </row>
    <row customHeight="1" ht="15.75" r="367" s="34">
      <c r="E367" s="15" t="n">
        <v>120</v>
      </c>
      <c r="F367" s="15" t="n">
        <v>170</v>
      </c>
      <c r="G367" s="15" t="n">
        <v>350</v>
      </c>
      <c r="H367" s="15" t="n">
        <v>26</v>
      </c>
      <c r="I367" s="15" t="n">
        <v>146</v>
      </c>
      <c r="J367" s="13" t="n">
        <v>25</v>
      </c>
      <c r="K367" t="n">
        <v>35</v>
      </c>
      <c r="L367" s="13" t="n">
        <v>1.900000000000001</v>
      </c>
      <c r="M367" s="12" t="n"/>
      <c r="N367" s="8" t="n">
        <v>1.106449111189083</v>
      </c>
      <c r="O367" s="15" t="n">
        <v>0.8818941760331316</v>
      </c>
      <c r="P367" s="15" t="n">
        <v>1.036898655231027</v>
      </c>
      <c r="Q367" s="15" t="n">
        <v>0.0009662558449486639</v>
      </c>
      <c r="R367" s="15" t="n">
        <v>0.02481455774996538</v>
      </c>
      <c r="S367" s="15" t="n">
        <v>0.001846388627898602</v>
      </c>
      <c r="T367" s="29">
        <f>HIPERLINK($A$1 &amp; "\Dados\Imagem_perfil_367.png", "Imagem_perfil_367")</f>
        <v/>
      </c>
      <c r="U367" s="29">
        <f>HIPERLINK($A$1 &amp; "\Dados\Results_airgap367.txt", "Results_airgap367")</f>
        <v/>
      </c>
      <c r="V367" s="19" t="n"/>
      <c r="W367" s="15" t="n">
        <v>1.396231956521739</v>
      </c>
      <c r="X367" s="15" t="n">
        <v>0.6937024321707351</v>
      </c>
      <c r="Y367" s="15" t="n">
        <v>0.5121556722503939</v>
      </c>
      <c r="Z367" s="15" t="n">
        <v>0.1131430338181473</v>
      </c>
      <c r="AA367" s="15" t="n">
        <v>0.8713556076370678</v>
      </c>
      <c r="AB367" s="15" t="n">
        <v>2.681286329790648</v>
      </c>
      <c r="AC367" s="15" t="n">
        <v>11.34707248488803</v>
      </c>
      <c r="AD367" s="15" t="n">
        <v>32.0348902951181</v>
      </c>
      <c r="AE367" s="15" t="n">
        <v>69.93714198757058</v>
      </c>
      <c r="AF367" s="15" t="n">
        <v>108.2223976623675</v>
      </c>
      <c r="AH367" s="29">
        <f>HIPERLINK($A$1 &amp; "\Dados\Magnet_fields.txt_367.txt.txt", "Magnet_fields.txt_367.txt")</f>
        <v/>
      </c>
      <c r="AI367" t="n">
        <v>9132</v>
      </c>
      <c r="AJ367" t="n">
        <v>30</v>
      </c>
      <c r="AK367" s="29">
        <f>HIPERLINK($A$1 &amp; "\Dados\Magnet_3D_results.txt_367.txt.txt", "Magnet_3D_results.txt_367.txt")</f>
        <v/>
      </c>
      <c r="AL367" s="29">
        <f>HIPERLINK($A$1 &amp; "\Dados\Magnet_fields_2D.txt_367.txt.txt", "Magnet_fields_2D.txt_367.txt")</f>
        <v/>
      </c>
    </row>
    <row customHeight="1" ht="15.75" r="368" s="34">
      <c r="E368" s="15" t="n">
        <v>120</v>
      </c>
      <c r="F368" s="15" t="n">
        <v>170</v>
      </c>
      <c r="G368" s="15" t="n">
        <v>350</v>
      </c>
      <c r="H368" s="15" t="n">
        <v>26</v>
      </c>
      <c r="I368" s="15" t="n">
        <v>146</v>
      </c>
      <c r="J368" s="13" t="n">
        <v>25</v>
      </c>
      <c r="K368" t="n">
        <v>35</v>
      </c>
      <c r="L368" s="13" t="n">
        <v>2.000000000000001</v>
      </c>
      <c r="M368" s="12" t="n"/>
      <c r="N368" s="8" t="n">
        <v>1.107414805274427</v>
      </c>
      <c r="O368" s="15" t="n">
        <v>0.8827060266185659</v>
      </c>
      <c r="P368" s="15" t="n">
        <v>1.037792396557172</v>
      </c>
      <c r="Q368" s="15" t="n">
        <v>0.0009651535523600477</v>
      </c>
      <c r="R368" s="15" t="n">
        <v>0.02494529258578771</v>
      </c>
      <c r="S368" s="15" t="n">
        <v>0.001848226410693214</v>
      </c>
      <c r="T368" s="29">
        <f>HIPERLINK($A$1 &amp; "\Dados\Imagem_perfil_368.png", "Imagem_perfil_368")</f>
        <v/>
      </c>
      <c r="U368" s="29">
        <f>HIPERLINK($A$1 &amp; "\Dados\Results_airgap368.txt", "Results_airgap368")</f>
        <v/>
      </c>
      <c r="V368" s="19" t="n"/>
      <c r="W368" s="15" t="n">
        <v>1.397738695652174</v>
      </c>
      <c r="X368" s="15" t="n">
        <v>0.6944269085828642</v>
      </c>
      <c r="Y368" s="15" t="n">
        <v>0.6063837065143362</v>
      </c>
      <c r="Z368" s="15" t="n">
        <v>0.1089802805887343</v>
      </c>
      <c r="AA368" s="15" t="n">
        <v>0.7831112608979991</v>
      </c>
      <c r="AB368" s="15" t="n">
        <v>2.822580953974242</v>
      </c>
      <c r="AC368" s="15" t="n">
        <v>11.69557334556219</v>
      </c>
      <c r="AD368" s="15" t="n">
        <v>32.33608042370931</v>
      </c>
      <c r="AE368" s="15" t="n">
        <v>70.0883126181254</v>
      </c>
      <c r="AF368" s="15" t="n">
        <v>108.2589862777933</v>
      </c>
      <c r="AH368" s="29">
        <f>HIPERLINK($A$1 &amp; "\Dados\Magnet_fields.txt_368.txt.txt", "Magnet_fields.txt_368.txt")</f>
        <v/>
      </c>
      <c r="AI368" t="n">
        <v>9132</v>
      </c>
      <c r="AJ368" t="n">
        <v>29</v>
      </c>
      <c r="AK368" s="29">
        <f>HIPERLINK($A$1 &amp; "\Dados\Magnet_3D_results.txt_368.txt.txt", "Magnet_3D_results.txt_368.txt")</f>
        <v/>
      </c>
      <c r="AL368" s="29">
        <f>HIPERLINK($A$1 &amp; "\Dados\Magnet_fields_2D.txt_368.txt.txt", "Magnet_fields_2D.txt_368.txt")</f>
        <v/>
      </c>
    </row>
    <row customHeight="1" ht="15.75" r="369" s="34">
      <c r="E369" s="15" t="n">
        <v>120</v>
      </c>
      <c r="F369" s="15" t="n">
        <v>170</v>
      </c>
      <c r="G369" s="15" t="n">
        <v>350</v>
      </c>
      <c r="H369" s="15" t="n">
        <v>26</v>
      </c>
      <c r="I369" s="15" t="n">
        <v>146</v>
      </c>
      <c r="J369" s="13" t="n">
        <v>25</v>
      </c>
      <c r="K369" t="n">
        <v>35</v>
      </c>
      <c r="L369" s="13" t="n">
        <v>2.100000000000001</v>
      </c>
      <c r="M369" s="12" t="n"/>
      <c r="N369" s="8" t="n">
        <v>1.107414805274427</v>
      </c>
      <c r="O369" s="15" t="n">
        <v>0.882706026618566</v>
      </c>
      <c r="P369" s="15" t="n">
        <v>1.037792396557172</v>
      </c>
      <c r="Q369" s="15" t="n">
        <v>0.0009651535523600477</v>
      </c>
      <c r="R369" s="15" t="n">
        <v>0.02494529258578771</v>
      </c>
      <c r="S369" s="15" t="n">
        <v>0.001848226410693214</v>
      </c>
      <c r="T369" s="29">
        <f>HIPERLINK($A$1 &amp; "\Dados\Imagem_perfil_369.png", "Imagem_perfil_369")</f>
        <v/>
      </c>
      <c r="U369" s="29">
        <f>HIPERLINK($A$1 &amp; "\Dados\Results_airgap369.txt", "Results_airgap369")</f>
        <v/>
      </c>
      <c r="V369" s="19" t="n"/>
      <c r="W369" s="15" t="n">
        <v>1.398945434782609</v>
      </c>
      <c r="X369" s="15" t="n">
        <v>0.6944269085828643</v>
      </c>
      <c r="Y369" s="15" t="n">
        <v>0.6988862462287736</v>
      </c>
      <c r="Z369" s="15" t="n">
        <v>0.1089802805887343</v>
      </c>
      <c r="AA369" s="15" t="n">
        <v>0.7831112608979991</v>
      </c>
      <c r="AB369" s="15" t="n">
        <v>2.963268390752126</v>
      </c>
      <c r="AC369" s="15" t="n">
        <v>11.97279766556291</v>
      </c>
      <c r="AD369" s="15" t="n">
        <v>32.57711410336764</v>
      </c>
      <c r="AE369" s="15" t="n">
        <v>70.20978808656038</v>
      </c>
      <c r="AF369" s="15" t="n">
        <v>108.2935025456972</v>
      </c>
      <c r="AH369" s="29">
        <f>HIPERLINK($A$1 &amp; "\Dados\Magnet_fields.txt_369.txt.txt", "Magnet_fields.txt_369.txt")</f>
        <v/>
      </c>
      <c r="AI369" t="n">
        <v>9132</v>
      </c>
      <c r="AJ369" t="n">
        <v>29</v>
      </c>
      <c r="AK369" s="29">
        <f>HIPERLINK($A$1 &amp; "\Dados\Magnet_3D_results.txt_369.txt.txt", "Magnet_3D_results.txt_369.txt")</f>
        <v/>
      </c>
      <c r="AL369" s="29">
        <f>HIPERLINK($A$1 &amp; "\Dados\Magnet_fields_2D.txt_369.txt.txt", "Magnet_fields_2D.txt_369.txt")</f>
        <v/>
      </c>
    </row>
    <row customHeight="1" ht="15.75" r="370" s="34">
      <c r="E370" s="15" t="n">
        <v>120</v>
      </c>
      <c r="F370" s="15" t="n">
        <v>170</v>
      </c>
      <c r="G370" s="15" t="n">
        <v>350</v>
      </c>
      <c r="H370" s="15" t="n">
        <v>28</v>
      </c>
      <c r="I370" s="15" t="n">
        <v>146</v>
      </c>
      <c r="J370" s="13" t="n">
        <v>25</v>
      </c>
      <c r="K370" t="n">
        <v>35</v>
      </c>
      <c r="L370" s="13" t="n">
        <v>1.3</v>
      </c>
      <c r="M370" s="12" t="n"/>
      <c r="N370" s="8" t="n">
        <v>1.055378543107679</v>
      </c>
      <c r="O370" s="15" t="n">
        <v>0.8441784392258869</v>
      </c>
      <c r="P370" s="15" t="n">
        <v>0.9892458229760714</v>
      </c>
      <c r="Q370" s="15" t="n">
        <v>0.0009660994668936532</v>
      </c>
      <c r="R370" s="15" t="n">
        <v>0.02256150381792251</v>
      </c>
      <c r="S370" s="15" t="n">
        <v>0.001784751897007002</v>
      </c>
      <c r="T370" s="29">
        <f>HIPERLINK($A$1 &amp; "\Dados\Imagem_perfil_370.png", "Imagem_perfil_370")</f>
        <v/>
      </c>
      <c r="U370" s="29">
        <f>HIPERLINK($A$1 &amp; "\Dados\Results_airgap370.txt", "Results_airgap370")</f>
        <v/>
      </c>
      <c r="V370" s="19" t="n"/>
      <c r="W370" s="43" t="n">
        <v>1.332163913043478</v>
      </c>
      <c r="X370" s="15" t="n">
        <v>0.6712464979758903</v>
      </c>
      <c r="Y370" s="15" t="n">
        <v>0.03210472797744718</v>
      </c>
      <c r="Z370" s="15" t="n">
        <v>0.4061828924498498</v>
      </c>
      <c r="AA370" s="15" t="n">
        <v>2.690117853552931</v>
      </c>
      <c r="AB370" s="15" t="n">
        <v>0</v>
      </c>
      <c r="AC370" s="15" t="n">
        <v>0</v>
      </c>
      <c r="AD370" s="15" t="n">
        <v>20.54278586488367</v>
      </c>
      <c r="AE370" s="15" t="n">
        <v>64.54109974966622</v>
      </c>
      <c r="AF370" s="15" t="n">
        <v>106.8529554344819</v>
      </c>
      <c r="AH370" s="29">
        <f>HIPERLINK($A$1 &amp; "\Dados\Magnet_fields.txt_370.txt.txt", "Magnet_fields.txt_370.txt")</f>
        <v/>
      </c>
      <c r="AI370" t="n">
        <v>8936</v>
      </c>
      <c r="AJ370" t="n">
        <v>29</v>
      </c>
      <c r="AK370" s="29">
        <f>HIPERLINK($A$1 &amp; "\Dados\Magnet_3D_results.txt_370.txt.txt", "Magnet_3D_results.txt_370.txt")</f>
        <v/>
      </c>
      <c r="AL370" s="29">
        <f>HIPERLINK($A$1 &amp; "\Dados\Magnet_fields_2D.txt_370.txt.txt", "Magnet_fields_2D.txt_370.txt")</f>
        <v/>
      </c>
    </row>
    <row customHeight="1" ht="15.75" r="371" s="34">
      <c r="E371" s="15" t="n">
        <v>120</v>
      </c>
      <c r="F371" s="15" t="n">
        <v>170</v>
      </c>
      <c r="G371" s="15" t="n">
        <v>350</v>
      </c>
      <c r="H371" s="15" t="n">
        <v>28</v>
      </c>
      <c r="I371" s="15" t="n">
        <v>146</v>
      </c>
      <c r="J371" s="13" t="n">
        <v>25</v>
      </c>
      <c r="K371" t="n">
        <v>35</v>
      </c>
      <c r="L371" s="13" t="n">
        <v>1.4</v>
      </c>
      <c r="M371" s="12" t="n"/>
      <c r="N371" s="8" t="n">
        <v>1.081043435137965</v>
      </c>
      <c r="O371" s="15" t="n">
        <v>0.8648583729232476</v>
      </c>
      <c r="P371" s="15" t="n">
        <v>1.013432402601494</v>
      </c>
      <c r="Q371" s="15" t="n">
        <v>0.0009676954610076703</v>
      </c>
      <c r="R371" s="15" t="n">
        <v>0.02386646284502772</v>
      </c>
      <c r="S371" s="15" t="n">
        <v>0.001816310236223</v>
      </c>
      <c r="T371" s="29">
        <f>HIPERLINK($A$1 &amp; "\Dados\Imagem_perfil_371.png", "Imagem_perfil_371")</f>
        <v/>
      </c>
      <c r="U371" s="29">
        <f>HIPERLINK($A$1 &amp; "\Dados\Results_airgap371.txt", "Results_airgap371")</f>
        <v/>
      </c>
      <c r="V371" s="19" t="n"/>
      <c r="W371" s="43" t="n">
        <v>1.363164565217391</v>
      </c>
      <c r="X371" s="15" t="n">
        <v>0.6885761637438053</v>
      </c>
      <c r="Y371" s="15" t="n">
        <v>0.08126684133875037</v>
      </c>
      <c r="Z371" s="15" t="n">
        <v>0.2758617632907576</v>
      </c>
      <c r="AA371" s="15" t="n">
        <v>1.56304683146512</v>
      </c>
      <c r="AB371" s="15" t="n">
        <v>0</v>
      </c>
      <c r="AC371" s="15" t="n">
        <v>4.368352625810477</v>
      </c>
      <c r="AD371" s="15" t="n">
        <v>26.43795268100739</v>
      </c>
      <c r="AE371" s="15" t="n">
        <v>67.29088990495814</v>
      </c>
      <c r="AF371" s="15" t="n">
        <v>107.7304800907446</v>
      </c>
      <c r="AH371" s="29">
        <f>HIPERLINK($A$1 &amp; "\Dados\Magnet_fields.txt_371.txt.txt", "Magnet_fields.txt_371.txt")</f>
        <v/>
      </c>
      <c r="AI371" t="n">
        <v>8936</v>
      </c>
      <c r="AJ371" t="n">
        <v>29</v>
      </c>
      <c r="AK371" s="29">
        <f>HIPERLINK($A$1 &amp; "\Dados\Magnet_3D_results.txt_371.txt.txt", "Magnet_3D_results.txt_371.txt")</f>
        <v/>
      </c>
      <c r="AL371" s="29">
        <f>HIPERLINK($A$1 &amp; "\Dados\Magnet_fields_2D.txt_371.txt.txt", "Magnet_fields_2D.txt_371.txt")</f>
        <v/>
      </c>
    </row>
    <row customHeight="1" ht="15.75" r="372" s="34">
      <c r="E372" s="15" t="n">
        <v>120</v>
      </c>
      <c r="F372" s="15" t="n">
        <v>170</v>
      </c>
      <c r="G372" s="15" t="n">
        <v>350</v>
      </c>
      <c r="H372" s="15" t="n">
        <v>28</v>
      </c>
      <c r="I372" s="15" t="n">
        <v>146</v>
      </c>
      <c r="J372" s="13" t="n">
        <v>25</v>
      </c>
      <c r="K372" t="n">
        <v>35</v>
      </c>
      <c r="L372" s="13" t="n">
        <v>1.5</v>
      </c>
      <c r="M372" s="12" t="n"/>
      <c r="N372" s="8" t="n">
        <v>1.091715961432266</v>
      </c>
      <c r="O372" s="15" t="n">
        <v>0.8733325633332676</v>
      </c>
      <c r="P372" s="15" t="n">
        <v>1.02349640832855</v>
      </c>
      <c r="Q372" s="15" t="n">
        <v>0.0009687712554431523</v>
      </c>
      <c r="R372" s="15" t="n">
        <v>0.02433700010098883</v>
      </c>
      <c r="S372" s="15" t="n">
        <v>0.001827879842165322</v>
      </c>
      <c r="T372" s="29">
        <f>HIPERLINK($A$1 &amp; "\Dados\Imagem_perfil_372.png", "Imagem_perfil_372")</f>
        <v/>
      </c>
      <c r="U372" s="29">
        <f>HIPERLINK($A$1 &amp; "\Dados\Results_airgap372.txt", "Results_airgap372")</f>
        <v/>
      </c>
      <c r="V372" s="19" t="n"/>
      <c r="W372" s="43" t="n">
        <v>1.378552826086956</v>
      </c>
      <c r="X372" s="15" t="n">
        <v>0.6957603573637564</v>
      </c>
      <c r="Y372" s="15" t="n">
        <v>0.1508153027857038</v>
      </c>
      <c r="Z372" s="15" t="n">
        <v>0.1809809375251001</v>
      </c>
      <c r="AA372" s="15" t="n">
        <v>0.8715244807674096</v>
      </c>
      <c r="AB372" s="15" t="n">
        <v>0.8754602507296112</v>
      </c>
      <c r="AC372" s="15" t="n">
        <v>7.496488472930209</v>
      </c>
      <c r="AD372" s="15" t="n">
        <v>28.90134452848385</v>
      </c>
      <c r="AE372" s="15" t="n">
        <v>68.4512876253677</v>
      </c>
      <c r="AF372" s="15" t="n">
        <v>107.9352155092491</v>
      </c>
      <c r="AH372" s="29">
        <f>HIPERLINK($A$1 &amp; "\Dados\Magnet_fields.txt_372.txt.txt", "Magnet_fields.txt_372.txt")</f>
        <v/>
      </c>
      <c r="AI372" t="n">
        <v>8936</v>
      </c>
      <c r="AJ372" t="n">
        <v>29</v>
      </c>
      <c r="AK372" s="29">
        <f>HIPERLINK($A$1 &amp; "\Dados\Magnet_3D_results.txt_372.txt.txt", "Magnet_3D_results.txt_372.txt")</f>
        <v/>
      </c>
      <c r="AL372" s="29">
        <f>HIPERLINK($A$1 &amp; "\Dados\Magnet_fields_2D.txt_372.txt.txt", "Magnet_fields_2D.txt_372.txt")</f>
        <v/>
      </c>
    </row>
    <row customHeight="1" ht="15.75" r="373" s="34">
      <c r="E373" s="15" t="n">
        <v>120</v>
      </c>
      <c r="F373" s="15" t="n">
        <v>170</v>
      </c>
      <c r="G373" s="15" t="n">
        <v>350</v>
      </c>
      <c r="H373" s="15" t="n">
        <v>28</v>
      </c>
      <c r="I373" s="15" t="n">
        <v>146</v>
      </c>
      <c r="J373" s="13" t="n">
        <v>25</v>
      </c>
      <c r="K373" t="n">
        <v>35</v>
      </c>
      <c r="L373" s="13" t="n">
        <v>1.6</v>
      </c>
      <c r="M373" s="12" t="n"/>
      <c r="N373" s="8" t="n">
        <v>1.100832509747292</v>
      </c>
      <c r="O373" s="15" t="n">
        <v>0.8806479808558404</v>
      </c>
      <c r="P373" s="15" t="n">
        <v>1.032089031076719</v>
      </c>
      <c r="Q373" s="15" t="n">
        <v>0.0009674872140177276</v>
      </c>
      <c r="R373" s="15" t="n">
        <v>0.02483029076459352</v>
      </c>
      <c r="S373" s="15" t="n">
        <v>0.001837559005269965</v>
      </c>
      <c r="T373" s="29">
        <f>HIPERLINK($A$1 &amp; "\Dados\Imagem_perfil_373.png", "Imagem_perfil_373")</f>
        <v/>
      </c>
      <c r="U373" s="29">
        <f>HIPERLINK($A$1 &amp; "\Dados\Results_airgap373.txt", "Results_airgap373")</f>
        <v/>
      </c>
      <c r="V373" s="19" t="n"/>
      <c r="W373" s="15" t="n">
        <v>1.386414565217391</v>
      </c>
      <c r="X373" s="15" t="n">
        <v>0.7019862404128965</v>
      </c>
      <c r="Y373" s="15" t="n">
        <v>0.2334230634364884</v>
      </c>
      <c r="Z373" s="15" t="n">
        <v>0.1352445581584842</v>
      </c>
      <c r="AA373" s="15" t="n">
        <v>0.3969179746128289</v>
      </c>
      <c r="AB373" s="15" t="n">
        <v>1.650212343277735</v>
      </c>
      <c r="AC373" s="15" t="n">
        <v>9.152826001198775</v>
      </c>
      <c r="AD373" s="15" t="n">
        <v>30.2190014859743</v>
      </c>
      <c r="AE373" s="15" t="n">
        <v>69.09051907434623</v>
      </c>
      <c r="AF373" s="15" t="n">
        <v>108.0458394863993</v>
      </c>
      <c r="AH373" s="29">
        <f>HIPERLINK($A$1 &amp; "\Dados\Magnet_fields.txt_373.txt.txt", "Magnet_fields.txt_373.txt")</f>
        <v/>
      </c>
      <c r="AI373" t="n">
        <v>8936</v>
      </c>
      <c r="AJ373" t="n">
        <v>29</v>
      </c>
      <c r="AK373" s="29">
        <f>HIPERLINK($A$1 &amp; "\Dados\Magnet_3D_results.txt_373.txt.txt", "Magnet_3D_results.txt_373.txt")</f>
        <v/>
      </c>
      <c r="AL373" s="29">
        <f>HIPERLINK($A$1 &amp; "\Dados\Magnet_fields_2D.txt_373.txt.txt", "Magnet_fields_2D.txt_373.txt")</f>
        <v/>
      </c>
    </row>
    <row customHeight="1" ht="15.75" r="374" s="34">
      <c r="E374" s="15" t="n">
        <v>120</v>
      </c>
      <c r="F374" s="15" t="n">
        <v>170</v>
      </c>
      <c r="G374" s="15" t="n">
        <v>350</v>
      </c>
      <c r="H374" s="15" t="n">
        <v>28</v>
      </c>
      <c r="I374" s="15" t="n">
        <v>146</v>
      </c>
      <c r="J374" s="13" t="n">
        <v>25</v>
      </c>
      <c r="K374" t="n">
        <v>35</v>
      </c>
      <c r="L374" s="13" t="n">
        <v>1.7</v>
      </c>
      <c r="M374" s="12" t="n"/>
      <c r="N374" s="8" t="n">
        <v>1.104864948507253</v>
      </c>
      <c r="O374" s="15" t="n">
        <v>0.883854327320729</v>
      </c>
      <c r="P374" s="15" t="n">
        <v>1.0358944998357</v>
      </c>
      <c r="Q374" s="15" t="n">
        <v>0.0009680347506987933</v>
      </c>
      <c r="R374" s="15" t="n">
        <v>0.02498327629821358</v>
      </c>
      <c r="S374" s="15" t="n">
        <v>0.00184136953591219</v>
      </c>
      <c r="T374" s="29">
        <f>HIPERLINK($A$1 &amp; "\Dados\Imagem_perfil_374.png", "Imagem_perfil_374")</f>
        <v/>
      </c>
      <c r="U374" s="29">
        <f>HIPERLINK($A$1 &amp; "\Dados\Results_airgap374.txt", "Results_airgap374")</f>
        <v/>
      </c>
      <c r="V374" s="19" t="n"/>
      <c r="W374" s="15" t="n">
        <v>1.390938695652174</v>
      </c>
      <c r="X374" s="15" t="n">
        <v>0.7046963124569702</v>
      </c>
      <c r="Y374" s="15" t="n">
        <v>0.3235294449892092</v>
      </c>
      <c r="Z374" s="15" t="n">
        <v>0.1277635814915247</v>
      </c>
      <c r="AA374" s="15" t="n">
        <v>0.2833835735656665</v>
      </c>
      <c r="AB374" s="15" t="n">
        <v>2.187697246011608</v>
      </c>
      <c r="AC374" s="15" t="n">
        <v>10.13315816148518</v>
      </c>
      <c r="AD374" s="15" t="n">
        <v>31.0193210221219</v>
      </c>
      <c r="AE374" s="15" t="n">
        <v>69.45109110096502</v>
      </c>
      <c r="AF374" s="15" t="n">
        <v>108.1352487267234</v>
      </c>
      <c r="AH374" s="29">
        <f>HIPERLINK($A$1 &amp; "\Dados\Magnet_fields.txt_374.txt.txt", "Magnet_fields.txt_374.txt")</f>
        <v/>
      </c>
      <c r="AI374" t="n">
        <v>8936</v>
      </c>
      <c r="AJ374" t="n">
        <v>29</v>
      </c>
      <c r="AK374" s="29">
        <f>HIPERLINK($A$1 &amp; "\Dados\Magnet_3D_results.txt_374.txt.txt", "Magnet_3D_results.txt_374.txt")</f>
        <v/>
      </c>
      <c r="AL374" s="29">
        <f>HIPERLINK($A$1 &amp; "\Dados\Magnet_fields_2D.txt_374.txt.txt", "Magnet_fields_2D.txt_374.txt")</f>
        <v/>
      </c>
    </row>
    <row customHeight="1" ht="15.75" r="375" s="34">
      <c r="E375" s="15" t="n">
        <v>120</v>
      </c>
      <c r="F375" s="15" t="n">
        <v>170</v>
      </c>
      <c r="G375" s="15" t="n">
        <v>350</v>
      </c>
      <c r="H375" s="15" t="n">
        <v>28</v>
      </c>
      <c r="I375" s="15" t="n">
        <v>146</v>
      </c>
      <c r="J375" s="13" t="n">
        <v>25</v>
      </c>
      <c r="K375" t="n">
        <v>35</v>
      </c>
      <c r="L375" s="13" t="n">
        <v>1.8</v>
      </c>
      <c r="M375" s="12" t="n"/>
      <c r="N375" s="8" t="n">
        <v>1.104864948507253</v>
      </c>
      <c r="O375" s="15" t="n">
        <v>0.883854327320729</v>
      </c>
      <c r="P375" s="15" t="n">
        <v>1.0358944998357</v>
      </c>
      <c r="Q375" s="15" t="n">
        <v>0.0009680347506987933</v>
      </c>
      <c r="R375" s="15" t="n">
        <v>0.02498327629821358</v>
      </c>
      <c r="S375" s="15" t="n">
        <v>0.00184136953591219</v>
      </c>
      <c r="T375" s="29">
        <f>HIPERLINK($A$1 &amp; "\Dados\Imagem_perfil_375.png", "Imagem_perfil_375")</f>
        <v/>
      </c>
      <c r="U375" s="29">
        <f>HIPERLINK($A$1 &amp; "\Dados\Results_airgap375.txt", "Results_airgap375")</f>
        <v/>
      </c>
      <c r="V375" s="19" t="n"/>
      <c r="W375" s="15" t="n">
        <v>1.394125434782609</v>
      </c>
      <c r="X375" s="15" t="n">
        <v>0.7046963124569702</v>
      </c>
      <c r="Y375" s="15" t="n">
        <v>0.417292677402759</v>
      </c>
      <c r="Z375" s="15" t="n">
        <v>0.1277635814915247</v>
      </c>
      <c r="AA375" s="15" t="n">
        <v>0.2833835735656665</v>
      </c>
      <c r="AB375" s="15" t="n">
        <v>2.43903531333649</v>
      </c>
      <c r="AC375" s="15" t="n">
        <v>10.86239509379312</v>
      </c>
      <c r="AD375" s="15" t="n">
        <v>31.6282383411171</v>
      </c>
      <c r="AE375" s="15" t="n">
        <v>69.74914562310433</v>
      </c>
      <c r="AF375" s="15" t="n">
        <v>108.1836389344133</v>
      </c>
      <c r="AH375" s="29">
        <f>HIPERLINK($A$1 &amp; "\Dados\Magnet_fields.txt_375.txt.txt", "Magnet_fields.txt_375.txt")</f>
        <v/>
      </c>
      <c r="AI375" t="n">
        <v>8936</v>
      </c>
      <c r="AJ375" t="n">
        <v>28</v>
      </c>
      <c r="AK375" s="29">
        <f>HIPERLINK($A$1 &amp; "\Dados\Magnet_3D_results.txt_375.txt.txt", "Magnet_3D_results.txt_375.txt")</f>
        <v/>
      </c>
      <c r="AL375" s="29">
        <f>HIPERLINK($A$1 &amp; "\Dados\Magnet_fields_2D.txt_375.txt.txt", "Magnet_fields_2D.txt_375.txt")</f>
        <v/>
      </c>
    </row>
    <row customHeight="1" ht="15.75" r="376" s="34">
      <c r="E376" s="15" t="n">
        <v>120</v>
      </c>
      <c r="F376" s="15" t="n">
        <v>170</v>
      </c>
      <c r="G376" s="15" t="n">
        <v>350</v>
      </c>
      <c r="H376" s="15" t="n">
        <v>28</v>
      </c>
      <c r="I376" s="15" t="n">
        <v>146</v>
      </c>
      <c r="J376" s="13" t="n">
        <v>25</v>
      </c>
      <c r="K376" t="n">
        <v>35</v>
      </c>
      <c r="L376" s="13" t="n">
        <v>1.900000000000001</v>
      </c>
      <c r="M376" s="12" t="n"/>
      <c r="N376" s="8" t="n">
        <v>1.108076335440166</v>
      </c>
      <c r="O376" s="15" t="n">
        <v>0.8864021910221638</v>
      </c>
      <c r="P376" s="15" t="n">
        <v>1.03893814505632</v>
      </c>
      <c r="Q376" s="15" t="n">
        <v>0.0009683035855132993</v>
      </c>
      <c r="R376" s="15" t="n">
        <v>0.02512081936105816</v>
      </c>
      <c r="S376" s="15" t="n">
        <v>0.001844553645653523</v>
      </c>
      <c r="T376" s="29">
        <f>HIPERLINK($A$1 &amp; "\Dados\Imagem_perfil_376.png", "Imagem_perfil_376")</f>
        <v/>
      </c>
      <c r="U376" s="29">
        <f>HIPERLINK($A$1 &amp; "\Dados\Results_airgap376.txt", "Results_airgap376")</f>
        <v/>
      </c>
      <c r="V376" s="19" t="n"/>
      <c r="W376" s="15" t="n">
        <v>1.39622652173913</v>
      </c>
      <c r="X376" s="15" t="n">
        <v>0.7068701707618048</v>
      </c>
      <c r="Y376" s="15" t="n">
        <v>0.512138865380614</v>
      </c>
      <c r="Z376" s="15" t="n">
        <v>0.120294583970549</v>
      </c>
      <c r="AA376" s="15" t="n">
        <v>0.2415381014109886</v>
      </c>
      <c r="AB376" s="15" t="n">
        <v>2.678287851167123</v>
      </c>
      <c r="AC376" s="15" t="n">
        <v>11.34316199742335</v>
      </c>
      <c r="AD376" s="15" t="n">
        <v>32.0336579338265</v>
      </c>
      <c r="AE376" s="15" t="n">
        <v>69.93060962410225</v>
      </c>
      <c r="AF376" s="15" t="n">
        <v>108.2140689007956</v>
      </c>
      <c r="AH376" s="29">
        <f>HIPERLINK($A$1 &amp; "\Dados\Magnet_fields.txt_376.txt.txt", "Magnet_fields.txt_376.txt")</f>
        <v/>
      </c>
      <c r="AI376" t="n">
        <v>8936</v>
      </c>
      <c r="AJ376" t="n">
        <v>29</v>
      </c>
      <c r="AK376" s="29">
        <f>HIPERLINK($A$1 &amp; "\Dados\Magnet_3D_results.txt_376.txt.txt", "Magnet_3D_results.txt_376.txt")</f>
        <v/>
      </c>
      <c r="AL376" s="29">
        <f>HIPERLINK($A$1 &amp; "\Dados\Magnet_fields_2D.txt_376.txt.txt", "Magnet_fields_2D.txt_376.txt")</f>
        <v/>
      </c>
    </row>
    <row customHeight="1" ht="15.75" r="377" s="34">
      <c r="E377" s="15" t="n">
        <v>120</v>
      </c>
      <c r="F377" s="15" t="n">
        <v>170</v>
      </c>
      <c r="G377" s="15" t="n">
        <v>350</v>
      </c>
      <c r="H377" s="15" t="n">
        <v>28</v>
      </c>
      <c r="I377" s="15" t="n">
        <v>146</v>
      </c>
      <c r="J377" s="13" t="n">
        <v>25</v>
      </c>
      <c r="K377" t="n">
        <v>35</v>
      </c>
      <c r="L377" s="13" t="n">
        <v>2.000000000000001</v>
      </c>
      <c r="M377" s="12" t="n"/>
      <c r="N377" s="8" t="n">
        <v>1.109005419457445</v>
      </c>
      <c r="O377" s="15" t="n">
        <v>0.8871801467280988</v>
      </c>
      <c r="P377" s="15" t="n">
        <v>1.039795497642017</v>
      </c>
      <c r="Q377" s="15" t="n">
        <v>0.0009671521000614438</v>
      </c>
      <c r="R377" s="15" t="n">
        <v>0.02524083558286953</v>
      </c>
      <c r="S377" s="15" t="n">
        <v>0.001846084799874873</v>
      </c>
      <c r="T377" s="29">
        <f>HIPERLINK($A$1 &amp; "\Dados\Imagem_perfil_377.png", "Imagem_perfil_377")</f>
        <v/>
      </c>
      <c r="U377" s="29">
        <f>HIPERLINK($A$1 &amp; "\Dados\Results_airgap377.txt", "Results_airgap377")</f>
        <v/>
      </c>
      <c r="V377" s="19" t="n"/>
      <c r="W377" s="15" t="n">
        <v>1.397761956521739</v>
      </c>
      <c r="X377" s="15" t="n">
        <v>0.7075604462948122</v>
      </c>
      <c r="Y377" s="15" t="n">
        <v>0.6063663786356698</v>
      </c>
      <c r="Z377" s="15" t="n">
        <v>0.1103578823768854</v>
      </c>
      <c r="AA377" s="15" t="n">
        <v>0.1262895281783211</v>
      </c>
      <c r="AB377" s="15" t="n">
        <v>2.800781695964654</v>
      </c>
      <c r="AC377" s="15" t="n">
        <v>11.70727167351441</v>
      </c>
      <c r="AD377" s="15" t="n">
        <v>32.33818037050548</v>
      </c>
      <c r="AE377" s="15" t="n">
        <v>70.08759186354659</v>
      </c>
      <c r="AF377" s="15" t="n">
        <v>108.2597455499969</v>
      </c>
      <c r="AH377" s="29">
        <f>HIPERLINK($A$1 &amp; "\Dados\Magnet_fields.txt_377.txt.txt", "Magnet_fields.txt_377.txt")</f>
        <v/>
      </c>
      <c r="AI377" t="n">
        <v>8936</v>
      </c>
      <c r="AJ377" t="n">
        <v>28</v>
      </c>
      <c r="AK377" s="29">
        <f>HIPERLINK($A$1 &amp; "\Dados\Magnet_3D_results.txt_377.txt.txt", "Magnet_3D_results.txt_377.txt")</f>
        <v/>
      </c>
      <c r="AL377" s="29">
        <f>HIPERLINK($A$1 &amp; "\Dados\Magnet_fields_2D.txt_377.txt.txt", "Magnet_fields_2D.txt_377.txt")</f>
        <v/>
      </c>
    </row>
    <row customHeight="1" ht="15.75" r="378" s="34">
      <c r="E378" s="15" t="n">
        <v>120</v>
      </c>
      <c r="F378" s="15" t="n">
        <v>170</v>
      </c>
      <c r="G378" s="15" t="n">
        <v>350</v>
      </c>
      <c r="H378" s="15" t="n">
        <v>28</v>
      </c>
      <c r="I378" s="15" t="n">
        <v>146</v>
      </c>
      <c r="J378" s="13" t="n">
        <v>25</v>
      </c>
      <c r="K378" t="n">
        <v>35</v>
      </c>
      <c r="L378" s="13" t="n">
        <v>2.100000000000001</v>
      </c>
      <c r="M378" s="12" t="n"/>
      <c r="N378" s="8" t="n">
        <v>1.109005419457445</v>
      </c>
      <c r="O378" s="15" t="n">
        <v>0.8871801467280988</v>
      </c>
      <c r="P378" s="15" t="n">
        <v>1.039795497642017</v>
      </c>
      <c r="Q378" s="15" t="n">
        <v>0.0009671521000614438</v>
      </c>
      <c r="R378" s="15" t="n">
        <v>0.02524083558286953</v>
      </c>
      <c r="S378" s="15" t="n">
        <v>0.001846084799874873</v>
      </c>
      <c r="T378" s="29">
        <f>HIPERLINK($A$1 &amp; "\Dados\Imagem_perfil_378.png", "Imagem_perfil_378")</f>
        <v/>
      </c>
      <c r="U378" s="29">
        <f>HIPERLINK($A$1 &amp; "\Dados\Results_airgap378.txt", "Results_airgap378")</f>
        <v/>
      </c>
      <c r="V378" s="19" t="n"/>
      <c r="W378" s="15" t="n">
        <v>1.398940434782609</v>
      </c>
      <c r="X378" s="15" t="n">
        <v>0.7075604462948122</v>
      </c>
      <c r="Y378" s="15" t="n">
        <v>0.6988685042740205</v>
      </c>
      <c r="Z378" s="15" t="n">
        <v>0.1103578823768854</v>
      </c>
      <c r="AA378" s="15" t="n">
        <v>0.1262895281783211</v>
      </c>
      <c r="AB378" s="15" t="n">
        <v>2.945353290213929</v>
      </c>
      <c r="AC378" s="15" t="n">
        <v>11.97089717476733</v>
      </c>
      <c r="AD378" s="15" t="n">
        <v>32.57625753301439</v>
      </c>
      <c r="AE378" s="15" t="n">
        <v>70.20886297597742</v>
      </c>
      <c r="AF378" s="15" t="n">
        <v>108.2928908364822</v>
      </c>
      <c r="AH378" s="29">
        <f>HIPERLINK($A$1 &amp; "\Dados\Magnet_fields.txt_378.txt.txt", "Magnet_fields.txt_378.txt")</f>
        <v/>
      </c>
      <c r="AI378" t="n">
        <v>8936</v>
      </c>
      <c r="AJ378" t="n">
        <v>29</v>
      </c>
      <c r="AK378" s="29">
        <f>HIPERLINK($A$1 &amp; "\Dados\Magnet_3D_results.txt_378.txt.txt", "Magnet_3D_results.txt_378.txt")</f>
        <v/>
      </c>
      <c r="AL378" s="29">
        <f>HIPERLINK($A$1 &amp; "\Dados\Magnet_fields_2D.txt_378.txt.txt", "Magnet_fields_2D.txt_378.txt")</f>
        <v/>
      </c>
    </row>
    <row customHeight="1" ht="15.75" r="379" s="34">
      <c r="E379" s="15" t="n">
        <v>120</v>
      </c>
      <c r="F379" s="15" t="n">
        <v>170</v>
      </c>
      <c r="G379" s="15" t="n">
        <v>350</v>
      </c>
      <c r="H379" s="15" t="n">
        <v>30</v>
      </c>
      <c r="I379" s="15" t="n">
        <v>146</v>
      </c>
      <c r="J379" s="13" t="n">
        <v>25</v>
      </c>
      <c r="K379" t="n">
        <v>35</v>
      </c>
      <c r="L379" s="13" t="n">
        <v>1.3</v>
      </c>
      <c r="M379" s="12" t="n"/>
      <c r="N379" s="8" t="n">
        <v>1.057650444088145</v>
      </c>
      <c r="O379" s="15" t="n">
        <v>0.8436348044490732</v>
      </c>
      <c r="P379" s="15" t="n">
        <v>0.9910354142144121</v>
      </c>
      <c r="Q379" s="15" t="n">
        <v>0.000972389972785795</v>
      </c>
      <c r="R379" s="15" t="n">
        <v>0.02315040983073641</v>
      </c>
      <c r="S379" s="15" t="n">
        <v>0.001817362307389281</v>
      </c>
      <c r="T379" s="29">
        <f>HIPERLINK($A$1 &amp; "\Dados\Imagem_perfil_379.png", "Imagem_perfil_379")</f>
        <v/>
      </c>
      <c r="U379" s="29">
        <f>HIPERLINK($A$1 &amp; "\Dados\Results_airgap379.txt", "Results_airgap379")</f>
        <v/>
      </c>
      <c r="V379" s="19" t="n"/>
      <c r="W379" s="43" t="n">
        <v>1.332105869565217</v>
      </c>
      <c r="X379" s="15" t="n">
        <v>0.6654897024506568</v>
      </c>
      <c r="Y379" s="15" t="n">
        <v>0.03210067719079285</v>
      </c>
      <c r="Z379" s="15" t="n">
        <v>0.4297279038812493</v>
      </c>
      <c r="AA379" s="15" t="n">
        <v>2.085436590068707</v>
      </c>
      <c r="AB379" s="15" t="n">
        <v>0</v>
      </c>
      <c r="AC379" s="15" t="n">
        <v>0</v>
      </c>
      <c r="AD379" s="15" t="n">
        <v>20.52407593543489</v>
      </c>
      <c r="AE379" s="15" t="n">
        <v>64.53456576788444</v>
      </c>
      <c r="AF379" s="15" t="n">
        <v>106.795023718834</v>
      </c>
      <c r="AH379" s="29">
        <f>HIPERLINK($A$1 &amp; "\Dados\Magnet_fields.txt_379.txt.txt", "Magnet_fields.txt_379.txt")</f>
        <v/>
      </c>
      <c r="AI379" t="n">
        <v>8835</v>
      </c>
      <c r="AJ379" t="n">
        <v>29</v>
      </c>
      <c r="AK379" s="29">
        <f>HIPERLINK($A$1 &amp; "\Dados\Magnet_3D_results.txt_379.txt.txt", "Magnet_3D_results.txt_379.txt")</f>
        <v/>
      </c>
      <c r="AL379" s="29">
        <f>HIPERLINK($A$1 &amp; "\Dados\Magnet_fields_2D.txt_379.txt.txt", "Magnet_fields_2D.txt_379.txt")</f>
        <v/>
      </c>
    </row>
    <row customHeight="1" ht="15.75" r="380" s="34">
      <c r="E380" s="15" t="n">
        <v>120</v>
      </c>
      <c r="F380" s="15" t="n">
        <v>170</v>
      </c>
      <c r="G380" s="15" t="n">
        <v>350</v>
      </c>
      <c r="H380" s="15" t="n">
        <v>30</v>
      </c>
      <c r="I380" s="15" t="n">
        <v>146</v>
      </c>
      <c r="J380" s="13" t="n">
        <v>25</v>
      </c>
      <c r="K380" t="n">
        <v>35</v>
      </c>
      <c r="L380" s="13" t="n">
        <v>1.4</v>
      </c>
      <c r="M380" s="12" t="n"/>
      <c r="N380" s="8" t="n">
        <v>1.083081048185519</v>
      </c>
      <c r="O380" s="15" t="n">
        <v>0.8640579323038441</v>
      </c>
      <c r="P380" s="15" t="n">
        <v>1.014990882423731</v>
      </c>
      <c r="Q380" s="15" t="n">
        <v>0.0009734702259964335</v>
      </c>
      <c r="R380" s="15" t="n">
        <v>0.02440341089704082</v>
      </c>
      <c r="S380" s="15" t="n">
        <v>0.001847372636055656</v>
      </c>
      <c r="T380" s="29">
        <f>HIPERLINK($A$1 &amp; "\Dados\Imagem_perfil_380.png", "Imagem_perfil_380")</f>
        <v/>
      </c>
      <c r="U380" s="29">
        <f>HIPERLINK($A$1 &amp; "\Dados\Results_airgap380.txt", "Results_airgap380")</f>
        <v/>
      </c>
      <c r="V380" s="19" t="n"/>
      <c r="W380" s="43" t="n">
        <v>1.363154130434783</v>
      </c>
      <c r="X380" s="15" t="n">
        <v>0.6825270566105637</v>
      </c>
      <c r="Y380" s="15" t="n">
        <v>0.08125902431660831</v>
      </c>
      <c r="Z380" s="15" t="n">
        <v>0.2758797320097336</v>
      </c>
      <c r="AA380" s="15" t="n">
        <v>0.4654139424243564</v>
      </c>
      <c r="AB380" s="15" t="n">
        <v>0</v>
      </c>
      <c r="AC380" s="15" t="n">
        <v>4.369145145766375</v>
      </c>
      <c r="AD380" s="15" t="n">
        <v>26.43086298855022</v>
      </c>
      <c r="AE380" s="15" t="n">
        <v>67.2816138685055</v>
      </c>
      <c r="AF380" s="15" t="n">
        <v>107.7358896200814</v>
      </c>
      <c r="AH380" s="29">
        <f>HIPERLINK($A$1 &amp; "\Dados\Magnet_fields.txt_380.txt.txt", "Magnet_fields.txt_380.txt")</f>
        <v/>
      </c>
      <c r="AI380" t="n">
        <v>8835</v>
      </c>
      <c r="AJ380" t="n">
        <v>28</v>
      </c>
      <c r="AK380" s="29">
        <f>HIPERLINK($A$1 &amp; "\Dados\Magnet_3D_results.txt_380.txt.txt", "Magnet_3D_results.txt_380.txt")</f>
        <v/>
      </c>
      <c r="AL380" s="29">
        <f>HIPERLINK($A$1 &amp; "\Dados\Magnet_fields_2D.txt_380.txt.txt", "Magnet_fields_2D.txt_380.txt")</f>
        <v/>
      </c>
    </row>
    <row customHeight="1" ht="15.75" r="381" s="34">
      <c r="E381" s="15" t="n">
        <v>120</v>
      </c>
      <c r="F381" s="15" t="n">
        <v>170</v>
      </c>
      <c r="G381" s="15" t="n">
        <v>350</v>
      </c>
      <c r="H381" s="15" t="n">
        <v>30</v>
      </c>
      <c r="I381" s="15" t="n">
        <v>146</v>
      </c>
      <c r="J381" s="13" t="n">
        <v>25</v>
      </c>
      <c r="K381" t="n">
        <v>35</v>
      </c>
      <c r="L381" s="13" t="n">
        <v>1.5</v>
      </c>
      <c r="M381" s="12" t="n"/>
      <c r="N381" s="8" t="n">
        <v>1.093642326870141</v>
      </c>
      <c r="O381" s="15" t="n">
        <v>0.8724141050714025</v>
      </c>
      <c r="P381" s="15" t="n">
        <v>1.024947724364814</v>
      </c>
      <c r="Q381" s="15" t="n">
        <v>0.0009743569985530019</v>
      </c>
      <c r="R381" s="15" t="n">
        <v>0.02484999025055462</v>
      </c>
      <c r="S381" s="15" t="n">
        <v>0.001858268096159796</v>
      </c>
      <c r="T381" s="29">
        <f>HIPERLINK($A$1 &amp; "\Dados\Imagem_perfil_381.png", "Imagem_perfil_381")</f>
        <v/>
      </c>
      <c r="U381" s="29">
        <f>HIPERLINK($A$1 &amp; "\Dados\Results_airgap381.txt", "Results_airgap381")</f>
        <v/>
      </c>
      <c r="V381" s="19" t="n"/>
      <c r="W381" s="43" t="n">
        <v>1.378574347826087</v>
      </c>
      <c r="X381" s="15" t="n">
        <v>0.6895922782423832</v>
      </c>
      <c r="Y381" s="15" t="n">
        <v>0.150804905914273</v>
      </c>
      <c r="Z381" s="15" t="n">
        <v>0.1884679037650516</v>
      </c>
      <c r="AA381" s="15" t="n">
        <v>0.1485266297246859</v>
      </c>
      <c r="AB381" s="15" t="n">
        <v>0.879195951692971</v>
      </c>
      <c r="AC381" s="15" t="n">
        <v>7.498459951287263</v>
      </c>
      <c r="AD381" s="15" t="n">
        <v>28.89632719953811</v>
      </c>
      <c r="AE381" s="15" t="n">
        <v>68.45869314206429</v>
      </c>
      <c r="AF381" s="15" t="n">
        <v>107.9556433659969</v>
      </c>
      <c r="AH381" s="29">
        <f>HIPERLINK($A$1 &amp; "\Dados\Magnet_fields.txt_381.txt.txt", "Magnet_fields.txt_381.txt")</f>
        <v/>
      </c>
      <c r="AI381" t="n">
        <v>8835</v>
      </c>
      <c r="AJ381" t="n">
        <v>29</v>
      </c>
      <c r="AK381" s="29">
        <f>HIPERLINK($A$1 &amp; "\Dados\Magnet_3D_results.txt_381.txt.txt", "Magnet_3D_results.txt_381.txt")</f>
        <v/>
      </c>
      <c r="AL381" s="29">
        <f>HIPERLINK($A$1 &amp; "\Dados\Magnet_fields_2D.txt_381.txt.txt", "Magnet_fields_2D.txt_381.txt")</f>
        <v/>
      </c>
    </row>
    <row customHeight="1" ht="15.75" r="382" s="34">
      <c r="E382" s="15" t="n">
        <v>120</v>
      </c>
      <c r="F382" s="15" t="n">
        <v>170</v>
      </c>
      <c r="G382" s="15" t="n">
        <v>350</v>
      </c>
      <c r="H382" s="15" t="n">
        <v>30</v>
      </c>
      <c r="I382" s="15" t="n">
        <v>146</v>
      </c>
      <c r="J382" s="13" t="n">
        <v>25</v>
      </c>
      <c r="K382" t="n">
        <v>35</v>
      </c>
      <c r="L382" s="13" t="n">
        <v>1.6</v>
      </c>
      <c r="M382" s="12" t="n"/>
      <c r="N382" s="8" t="n">
        <v>1.102610247162742</v>
      </c>
      <c r="O382" s="15" t="n">
        <v>0.8795752604203149</v>
      </c>
      <c r="P382" s="15" t="n">
        <v>1.033392561222847</v>
      </c>
      <c r="Q382" s="15" t="n">
        <v>0.0009727136537875494</v>
      </c>
      <c r="R382" s="15" t="n">
        <v>0.02530689664616109</v>
      </c>
      <c r="S382" s="15" t="n">
        <v>0.00186677110889945</v>
      </c>
      <c r="T382" s="29">
        <f>HIPERLINK($A$1 &amp; "\Dados\Imagem_perfil_382.png", "Imagem_perfil_382")</f>
        <v/>
      </c>
      <c r="U382" s="29">
        <f>HIPERLINK($A$1 &amp; "\Dados\Results_airgap382.txt", "Results_airgap382")</f>
        <v/>
      </c>
      <c r="V382" s="19" t="n"/>
      <c r="W382" s="15" t="n">
        <v>1.386442173913043</v>
      </c>
      <c r="X382" s="15" t="n">
        <v>0.6956796784750757</v>
      </c>
      <c r="Y382" s="15" t="n">
        <v>0.2334107855803503</v>
      </c>
      <c r="Z382" s="15" t="n">
        <v>0.1363945561729408</v>
      </c>
      <c r="AA382" s="15" t="n">
        <v>0.05353485495838652</v>
      </c>
      <c r="AB382" s="15" t="n">
        <v>1.653819906006643</v>
      </c>
      <c r="AC382" s="15" t="n">
        <v>9.163098932544871</v>
      </c>
      <c r="AD382" s="15" t="n">
        <v>30.21638207171523</v>
      </c>
      <c r="AE382" s="15" t="n">
        <v>69.08476350800699</v>
      </c>
      <c r="AF382" s="15" t="n">
        <v>108.0427567795243</v>
      </c>
      <c r="AH382" s="29">
        <f>HIPERLINK($A$1 &amp; "\Dados\Magnet_fields.txt_382.txt.txt", "Magnet_fields.txt_382.txt")</f>
        <v/>
      </c>
      <c r="AI382" t="n">
        <v>8835</v>
      </c>
      <c r="AJ382" t="n">
        <v>29</v>
      </c>
      <c r="AK382" s="29">
        <f>HIPERLINK($A$1 &amp; "\Dados\Magnet_3D_results.txt_382.txt.txt", "Magnet_3D_results.txt_382.txt")</f>
        <v/>
      </c>
      <c r="AL382" s="29">
        <f>HIPERLINK($A$1 &amp; "\Dados\Magnet_fields_2D.txt_382.txt.txt", "Magnet_fields_2D.txt_382.txt")</f>
        <v/>
      </c>
    </row>
    <row customHeight="1" ht="15.75" r="383" s="34">
      <c r="E383" s="15" t="n">
        <v>120</v>
      </c>
      <c r="F383" s="15" t="n">
        <v>170</v>
      </c>
      <c r="G383" s="15" t="n">
        <v>350</v>
      </c>
      <c r="H383" s="15" t="n">
        <v>30</v>
      </c>
      <c r="I383" s="15" t="n">
        <v>146</v>
      </c>
      <c r="J383" s="13" t="n">
        <v>25</v>
      </c>
      <c r="K383" t="n">
        <v>35</v>
      </c>
      <c r="L383" s="13" t="n">
        <v>1.7</v>
      </c>
      <c r="M383" s="12" t="n"/>
      <c r="N383" s="8" t="n">
        <v>1.106591909256923</v>
      </c>
      <c r="O383" s="15" t="n">
        <v>0.8827290630019869</v>
      </c>
      <c r="P383" s="15" t="n">
        <v>1.037147212139972</v>
      </c>
      <c r="Q383" s="15" t="n">
        <v>0.0009731704807468366</v>
      </c>
      <c r="R383" s="15" t="n">
        <v>0.02544856700511879</v>
      </c>
      <c r="S383" s="15" t="n">
        <v>0.001870248759744519</v>
      </c>
      <c r="T383" s="29">
        <f>HIPERLINK($A$1 &amp; "\Dados\Imagem_perfil_383.png", "Imagem_perfil_383")</f>
        <v/>
      </c>
      <c r="U383" s="29">
        <f>HIPERLINK($A$1 &amp; "\Dados\Results_airgap383.txt", "Results_airgap383")</f>
        <v/>
      </c>
      <c r="V383" s="19" t="n"/>
      <c r="W383" s="15" t="n">
        <v>1.391090434782609</v>
      </c>
      <c r="X383" s="15" t="n">
        <v>0.6983513617020585</v>
      </c>
      <c r="Y383" s="15" t="n">
        <v>0.323515529060486</v>
      </c>
      <c r="Z383" s="15" t="n">
        <v>0.1270628014514652</v>
      </c>
      <c r="AA383" s="15" t="n">
        <v>0.03246875309734816</v>
      </c>
      <c r="AB383" s="15" t="n">
        <v>2.12815496571227</v>
      </c>
      <c r="AC383" s="15" t="n">
        <v>10.169422135295</v>
      </c>
      <c r="AD383" s="15" t="n">
        <v>31.05983905537702</v>
      </c>
      <c r="AE383" s="15" t="n">
        <v>69.4839579764199</v>
      </c>
      <c r="AF383" s="15" t="n">
        <v>108.125856615525</v>
      </c>
      <c r="AH383" s="29">
        <f>HIPERLINK($A$1 &amp; "\Dados\Magnet_fields.txt_383.txt.txt", "Magnet_fields.txt_383.txt")</f>
        <v/>
      </c>
      <c r="AI383" t="n">
        <v>8835</v>
      </c>
      <c r="AJ383" t="n">
        <v>29</v>
      </c>
      <c r="AK383" s="29">
        <f>HIPERLINK($A$1 &amp; "\Dados\Magnet_3D_results.txt_383.txt.txt", "Magnet_3D_results.txt_383.txt")</f>
        <v/>
      </c>
      <c r="AL383" s="29">
        <f>HIPERLINK($A$1 &amp; "\Dados\Magnet_fields_2D.txt_383.txt.txt", "Magnet_fields_2D.txt_383.txt")</f>
        <v/>
      </c>
    </row>
    <row customHeight="1" ht="15.75" r="384" s="34">
      <c r="E384" s="15" t="n">
        <v>120</v>
      </c>
      <c r="F384" s="15" t="n">
        <v>170</v>
      </c>
      <c r="G384" s="15" t="n">
        <v>350</v>
      </c>
      <c r="H384" s="15" t="n">
        <v>30</v>
      </c>
      <c r="I384" s="15" t="n">
        <v>146</v>
      </c>
      <c r="J384" s="13" t="n">
        <v>25</v>
      </c>
      <c r="K384" t="n">
        <v>35</v>
      </c>
      <c r="L384" s="13" t="n">
        <v>1.8</v>
      </c>
      <c r="M384" s="12" t="n"/>
      <c r="N384" s="8" t="n">
        <v>1.106591909256923</v>
      </c>
      <c r="O384" s="15" t="n">
        <v>0.8827290630019868</v>
      </c>
      <c r="P384" s="15" t="n">
        <v>1.037147212139972</v>
      </c>
      <c r="Q384" s="15" t="n">
        <v>0.0009731704807468364</v>
      </c>
      <c r="R384" s="15" t="n">
        <v>0.02544856700511879</v>
      </c>
      <c r="S384" s="15" t="n">
        <v>0.001870248759744519</v>
      </c>
      <c r="T384" s="29">
        <f>HIPERLINK($A$1 &amp; "\Dados\Imagem_perfil_384.png", "Imagem_perfil_384")</f>
        <v/>
      </c>
      <c r="U384" s="29">
        <f>HIPERLINK($A$1 &amp; "\Dados\Results_airgap384.txt", "Results_airgap384")</f>
        <v/>
      </c>
      <c r="V384" s="19" t="n"/>
      <c r="W384" s="15" t="n">
        <v>1.394106956521739</v>
      </c>
      <c r="X384" s="15" t="n">
        <v>0.6983513617020585</v>
      </c>
      <c r="Y384" s="15" t="n">
        <v>0.4172780347596537</v>
      </c>
      <c r="Z384" s="15" t="n">
        <v>0.1270628014514652</v>
      </c>
      <c r="AA384" s="15" t="n">
        <v>0.03246875309734816</v>
      </c>
      <c r="AB384" s="15" t="n">
        <v>2.428430545523348</v>
      </c>
      <c r="AC384" s="15" t="n">
        <v>10.853007815403</v>
      </c>
      <c r="AD384" s="15" t="n">
        <v>31.62893316993176</v>
      </c>
      <c r="AE384" s="15" t="n">
        <v>69.74338941578468</v>
      </c>
      <c r="AF384" s="15" t="n">
        <v>108.1764333759674</v>
      </c>
      <c r="AH384" s="29">
        <f>HIPERLINK($A$1 &amp; "\Dados\Magnet_fields.txt_384.txt.txt", "Magnet_fields.txt_384.txt")</f>
        <v/>
      </c>
      <c r="AI384" t="n">
        <v>8835</v>
      </c>
      <c r="AJ384" t="n">
        <v>28</v>
      </c>
      <c r="AK384" s="29">
        <f>HIPERLINK($A$1 &amp; "\Dados\Magnet_3D_results.txt_384.txt.txt", "Magnet_3D_results.txt_384.txt")</f>
        <v/>
      </c>
      <c r="AL384" s="29">
        <f>HIPERLINK($A$1 &amp; "\Dados\Magnet_fields_2D.txt_384.txt.txt", "Magnet_fields_2D.txt_384.txt")</f>
        <v/>
      </c>
    </row>
    <row customHeight="1" ht="15.75" r="385" s="34">
      <c r="E385" s="15" t="n">
        <v>120</v>
      </c>
      <c r="F385" s="15" t="n">
        <v>170</v>
      </c>
      <c r="G385" s="15" t="n">
        <v>350</v>
      </c>
      <c r="H385" s="15" t="n">
        <v>30</v>
      </c>
      <c r="I385" s="15" t="n">
        <v>146</v>
      </c>
      <c r="J385" s="13" t="n">
        <v>25</v>
      </c>
      <c r="K385" t="n">
        <v>35</v>
      </c>
      <c r="L385" s="13" t="n">
        <v>1.900000000000001</v>
      </c>
      <c r="M385" s="12" t="n"/>
      <c r="N385" s="8" t="n">
        <v>1.109750960963105</v>
      </c>
      <c r="O385" s="15" t="n">
        <v>0.8852233872697124</v>
      </c>
      <c r="P385" s="15" t="n">
        <v>1.040139795992872</v>
      </c>
      <c r="Q385" s="15" t="n">
        <v>0.0009733448268824845</v>
      </c>
      <c r="R385" s="15" t="n">
        <v>0.02557435553016427</v>
      </c>
      <c r="S385" s="15" t="n">
        <v>0.001873081866272358</v>
      </c>
      <c r="T385" s="29">
        <f>HIPERLINK($A$1 &amp; "\Dados\Imagem_perfil_385.png", "Imagem_perfil_385")</f>
        <v/>
      </c>
      <c r="U385" s="29">
        <f>HIPERLINK($A$1 &amp; "\Dados\Results_airgap385.txt", "Results_airgap385")</f>
        <v/>
      </c>
      <c r="V385" s="19" t="n"/>
      <c r="W385" s="15" t="n">
        <v>1.39623347826087</v>
      </c>
      <c r="X385" s="15" t="n">
        <v>0.7004750190697387</v>
      </c>
      <c r="Y385" s="15" t="n">
        <v>0.5121234726732699</v>
      </c>
      <c r="Z385" s="15" t="n">
        <v>0.1252779086998608</v>
      </c>
      <c r="AA385" s="15" t="n">
        <v>0.03246875309734816</v>
      </c>
      <c r="AB385" s="15" t="n">
        <v>2.687237177025352</v>
      </c>
      <c r="AC385" s="15" t="n">
        <v>11.33861304857223</v>
      </c>
      <c r="AD385" s="15" t="n">
        <v>32.02862118463371</v>
      </c>
      <c r="AE385" s="15" t="n">
        <v>69.93606210373885</v>
      </c>
      <c r="AF385" s="15" t="n">
        <v>108.2200135012449</v>
      </c>
      <c r="AH385" s="29">
        <f>HIPERLINK($A$1 &amp; "\Dados\Magnet_fields.txt_385.txt.txt", "Magnet_fields.txt_385.txt")</f>
        <v/>
      </c>
      <c r="AI385" t="n">
        <v>8835</v>
      </c>
      <c r="AJ385" t="n">
        <v>29</v>
      </c>
      <c r="AK385" s="29">
        <f>HIPERLINK($A$1 &amp; "\Dados\Magnet_3D_results.txt_385.txt.txt", "Magnet_3D_results.txt_385.txt")</f>
        <v/>
      </c>
      <c r="AL385" s="29">
        <f>HIPERLINK($A$1 &amp; "\Dados\Magnet_fields_2D.txt_385.txt.txt", "Magnet_fields_2D.txt_385.txt")</f>
        <v/>
      </c>
    </row>
    <row customHeight="1" ht="15.75" r="386" s="34">
      <c r="E386" s="15" t="n">
        <v>120</v>
      </c>
      <c r="F386" s="15" t="n">
        <v>170</v>
      </c>
      <c r="G386" s="15" t="n">
        <v>350</v>
      </c>
      <c r="H386" s="15" t="n">
        <v>30</v>
      </c>
      <c r="I386" s="15" t="n">
        <v>146</v>
      </c>
      <c r="J386" s="13" t="n">
        <v>25</v>
      </c>
      <c r="K386" t="n">
        <v>35</v>
      </c>
      <c r="L386" s="13" t="n">
        <v>2.000000000000001</v>
      </c>
      <c r="M386" s="12" t="n"/>
      <c r="N386" s="8" t="n">
        <v>1.110628966522483</v>
      </c>
      <c r="O386" s="15" t="n">
        <v>0.8859529574359388</v>
      </c>
      <c r="P386" s="15" t="n">
        <v>1.040946842467361</v>
      </c>
      <c r="Q386" s="15" t="n">
        <v>0.0009720863956906083</v>
      </c>
      <c r="R386" s="15" t="n">
        <v>0.02568062217628461</v>
      </c>
      <c r="S386" s="15" t="n">
        <v>0.001874193303356659</v>
      </c>
      <c r="T386" s="29">
        <f>HIPERLINK($A$1 &amp; "\Dados\Imagem_perfil_386.png", "Imagem_perfil_386")</f>
        <v/>
      </c>
      <c r="U386" s="29">
        <f>HIPERLINK($A$1 &amp; "\Dados\Results_airgap386.txt", "Results_airgap386")</f>
        <v/>
      </c>
      <c r="V386" s="19" t="n"/>
      <c r="W386" s="15" t="n">
        <v>1.397817391304348</v>
      </c>
      <c r="X386" s="15" t="n">
        <v>0.701122037601703</v>
      </c>
      <c r="Y386" s="15" t="n">
        <v>0.6063505038687851</v>
      </c>
      <c r="Z386" s="15" t="n">
        <v>0.1074170020378324</v>
      </c>
      <c r="AA386" s="15" t="n">
        <v>0.002709404439277864</v>
      </c>
      <c r="AB386" s="15" t="n">
        <v>2.846516834427067</v>
      </c>
      <c r="AC386" s="15" t="n">
        <v>11.71202139130516</v>
      </c>
      <c r="AD386" s="15" t="n">
        <v>32.33776484226951</v>
      </c>
      <c r="AE386" s="15" t="n">
        <v>70.08740450735192</v>
      </c>
      <c r="AF386" s="15" t="n">
        <v>108.266631185853</v>
      </c>
      <c r="AH386" s="29">
        <f>HIPERLINK($A$1 &amp; "\Dados\Magnet_fields.txt_386.txt.txt", "Magnet_fields.txt_386.txt")</f>
        <v/>
      </c>
      <c r="AI386" t="n">
        <v>8835</v>
      </c>
      <c r="AJ386" t="n">
        <v>29</v>
      </c>
      <c r="AK386" s="29">
        <f>HIPERLINK($A$1 &amp; "\Dados\Magnet_3D_results.txt_386.txt.txt", "Magnet_3D_results.txt_386.txt")</f>
        <v/>
      </c>
      <c r="AL386" s="29">
        <f>HIPERLINK($A$1 &amp; "\Dados\Magnet_fields_2D.txt_386.txt.txt", "Magnet_fields_2D.txt_386.txt")</f>
        <v/>
      </c>
    </row>
    <row customHeight="1" ht="15.75" r="387" s="34">
      <c r="E387" s="15" t="n">
        <v>120</v>
      </c>
      <c r="F387" s="15" t="n">
        <v>170</v>
      </c>
      <c r="G387" s="15" t="n">
        <v>350</v>
      </c>
      <c r="H387" s="15" t="n">
        <v>30</v>
      </c>
      <c r="I387" s="15" t="n">
        <v>146</v>
      </c>
      <c r="J387" s="13" t="n">
        <v>25</v>
      </c>
      <c r="K387" t="n">
        <v>35</v>
      </c>
      <c r="L387" s="13" t="n">
        <v>2.100000000000001</v>
      </c>
      <c r="M387" s="12" t="n"/>
      <c r="N387" s="8" t="n">
        <v>1.112066181881394</v>
      </c>
      <c r="O387" s="15" t="n">
        <v>0.887045067728425</v>
      </c>
      <c r="P387" s="15" t="n">
        <v>1.042305759403616</v>
      </c>
      <c r="Q387" s="15" t="n">
        <v>0.0009722671326062433</v>
      </c>
      <c r="R387" s="15" t="n">
        <v>0.02572041511072832</v>
      </c>
      <c r="S387" s="15" t="n">
        <v>0.001875174536532092</v>
      </c>
      <c r="T387" s="29">
        <f>HIPERLINK($A$1 &amp; "\Dados\Imagem_perfil_387.png", "Imagem_perfil_387")</f>
        <v/>
      </c>
      <c r="U387" s="29">
        <f>HIPERLINK($A$1 &amp; "\Dados\Results_airgap387.txt", "Results_airgap387")</f>
        <v/>
      </c>
      <c r="V387" s="19" t="n"/>
      <c r="W387" s="15" t="n">
        <v>1.399049347826087</v>
      </c>
      <c r="X387" s="15" t="n">
        <v>0.7020890378950055</v>
      </c>
      <c r="Y387" s="15" t="n">
        <v>0.6988525875855205</v>
      </c>
      <c r="Z387" s="15" t="n">
        <v>0.1074170020378324</v>
      </c>
      <c r="AA387" s="15" t="n">
        <v>0.002709404439277864</v>
      </c>
      <c r="AB387" s="15" t="n">
        <v>2.909702890524573</v>
      </c>
      <c r="AC387" s="15" t="n">
        <v>12.03226154231059</v>
      </c>
      <c r="AD387" s="15" t="n">
        <v>32.5751366630104</v>
      </c>
      <c r="AE387" s="15" t="n">
        <v>70.21930234295951</v>
      </c>
      <c r="AF387" s="15" t="n">
        <v>108.3021605539968</v>
      </c>
      <c r="AH387" s="29">
        <f>HIPERLINK($A$1 &amp; "\Dados\Magnet_fields.txt_387.txt.txt", "Magnet_fields.txt_387.txt")</f>
        <v/>
      </c>
      <c r="AI387" t="n">
        <v>8835</v>
      </c>
      <c r="AJ387" t="n">
        <v>29</v>
      </c>
      <c r="AK387" s="29">
        <f>HIPERLINK($A$1 &amp; "\Dados\Magnet_3D_results.txt_387.txt.txt", "Magnet_3D_results.txt_387.txt")</f>
        <v/>
      </c>
      <c r="AL387" s="29">
        <f>HIPERLINK($A$1 &amp; "\Dados\Magnet_fields_2D.txt_387.txt.txt", "Magnet_fields_2D.txt_387.txt")</f>
        <v/>
      </c>
    </row>
    <row customHeight="1" ht="15.75" r="388" s="34">
      <c r="E388" s="15" t="n">
        <v>120</v>
      </c>
      <c r="F388" s="15" t="n">
        <v>170</v>
      </c>
      <c r="G388" s="15" t="n">
        <v>350</v>
      </c>
      <c r="H388" s="15" t="n">
        <v>20</v>
      </c>
      <c r="I388" s="15" t="n">
        <v>150</v>
      </c>
      <c r="J388" s="13" t="n">
        <v>25</v>
      </c>
      <c r="K388" t="n">
        <v>35</v>
      </c>
      <c r="L388" s="13" t="n">
        <v>1.3</v>
      </c>
      <c r="M388" s="12" t="n"/>
      <c r="N388" s="8" t="n">
        <v>1.056091141186165</v>
      </c>
      <c r="O388" s="15" t="n">
        <v>0.8454168682743891</v>
      </c>
      <c r="P388" s="15" t="n">
        <v>0.9922882854975801</v>
      </c>
      <c r="Q388" s="15" t="n">
        <v>0.0009667824961686809</v>
      </c>
      <c r="R388" s="15" t="n">
        <v>0.02033132571434127</v>
      </c>
      <c r="S388" s="15" t="n">
        <v>0.001623038506131813</v>
      </c>
      <c r="T388" s="29">
        <f>HIPERLINK($A$1 &amp; "\Dados\Imagem_perfil_388.png", "Imagem_perfil_388")</f>
        <v/>
      </c>
      <c r="U388" s="29">
        <f>HIPERLINK($A$1 &amp; "\Dados\Results_airgap388.txt", "Results_airgap388")</f>
        <v/>
      </c>
      <c r="V388" s="19" t="n"/>
      <c r="W388" s="43" t="n">
        <v>1.332052608695652</v>
      </c>
      <c r="X388" s="15" t="n">
        <v>0.6636657176422729</v>
      </c>
      <c r="Y388" s="15" t="n">
        <v>0.03213041216033998</v>
      </c>
      <c r="Z388" s="15" t="n">
        <v>0.4199824917904034</v>
      </c>
      <c r="AA388" s="15" t="n">
        <v>4.723286785186215</v>
      </c>
      <c r="AB388" s="15" t="n">
        <v>0</v>
      </c>
      <c r="AC388" s="15" t="n">
        <v>0</v>
      </c>
      <c r="AD388" s="15" t="n">
        <v>20.5334744590271</v>
      </c>
      <c r="AE388" s="15" t="n">
        <v>64.54733814399769</v>
      </c>
      <c r="AF388" s="15" t="n">
        <v>106.8208706386016</v>
      </c>
      <c r="AH388" s="29">
        <f>HIPERLINK($A$1 &amp; "\Dados\Magnet_fields.txt_388.txt.txt", "Magnet_fields.txt_388.txt")</f>
        <v/>
      </c>
      <c r="AI388" t="n">
        <v>10072</v>
      </c>
      <c r="AJ388" t="n">
        <v>30</v>
      </c>
      <c r="AK388" s="29">
        <f>HIPERLINK($A$1 &amp; "\Dados\Magnet_3D_results.txt_388.txt.txt", "Magnet_3D_results.txt_388.txt")</f>
        <v/>
      </c>
      <c r="AL388" s="29">
        <f>HIPERLINK($A$1 &amp; "\Dados\Magnet_fields_2D.txt_388.txt.txt", "Magnet_fields_2D.txt_388.txt")</f>
        <v/>
      </c>
    </row>
    <row customHeight="1" ht="15.75" r="389" s="34">
      <c r="E389" s="15" t="n">
        <v>120</v>
      </c>
      <c r="F389" s="15" t="n">
        <v>170</v>
      </c>
      <c r="G389" s="15" t="n">
        <v>350</v>
      </c>
      <c r="H389" s="15" t="n">
        <v>20</v>
      </c>
      <c r="I389" s="15" t="n">
        <v>150</v>
      </c>
      <c r="J389" s="13" t="n">
        <v>25</v>
      </c>
      <c r="K389" t="n">
        <v>35</v>
      </c>
      <c r="L389" s="13" t="n">
        <v>1.5</v>
      </c>
      <c r="M389" s="12" t="n"/>
      <c r="N389" s="8" t="n">
        <v>1.093833732757021</v>
      </c>
      <c r="O389" s="15" t="n">
        <v>0.876037701279809</v>
      </c>
      <c r="P389" s="15" t="n">
        <v>1.027762540566145</v>
      </c>
      <c r="Q389" s="15" t="n">
        <v>0.000968662593173744</v>
      </c>
      <c r="R389" s="15" t="n">
        <v>0.02232891284735751</v>
      </c>
      <c r="S389" s="15" t="n">
        <v>0.001666407924051975</v>
      </c>
      <c r="T389" s="29">
        <f>HIPERLINK($A$1 &amp; "\Dados\Imagem_perfil_389.png", "Imagem_perfil_389")</f>
        <v/>
      </c>
      <c r="U389" s="29">
        <f>HIPERLINK($A$1 &amp; "\Dados\Results_airgap389.txt", "Results_airgap389")</f>
        <v/>
      </c>
      <c r="V389" s="19" t="n"/>
      <c r="W389" s="43" t="n">
        <v>1.37852152173913</v>
      </c>
      <c r="X389" s="15" t="n">
        <v>0.6890082820447598</v>
      </c>
      <c r="Y389" s="15" t="n">
        <v>0.1508724181447084</v>
      </c>
      <c r="Z389" s="15" t="n">
        <v>0.1938308979323616</v>
      </c>
      <c r="AA389" s="15" t="n">
        <v>3.628836135092736</v>
      </c>
      <c r="AB389" s="15" t="n">
        <v>0.8830518981029343</v>
      </c>
      <c r="AC389" s="15" t="n">
        <v>7.496787427115119</v>
      </c>
      <c r="AD389" s="15" t="n">
        <v>28.91158968239438</v>
      </c>
      <c r="AE389" s="15" t="n">
        <v>68.4608087316694</v>
      </c>
      <c r="AF389" s="15" t="n">
        <v>107.9588102205402</v>
      </c>
      <c r="AH389" s="29">
        <f>HIPERLINK($A$1 &amp; "\Dados\Magnet_fields.txt_389.txt.txt", "Magnet_fields.txt_389.txt")</f>
        <v/>
      </c>
      <c r="AI389" t="n">
        <v>10072</v>
      </c>
      <c r="AJ389" t="n">
        <v>30</v>
      </c>
      <c r="AK389" s="29">
        <f>HIPERLINK($A$1 &amp; "\Dados\Magnet_3D_results.txt_389.txt.txt", "Magnet_3D_results.txt_389.txt")</f>
        <v/>
      </c>
      <c r="AL389" s="29">
        <f>HIPERLINK($A$1 &amp; "\Dados\Magnet_fields_2D.txt_389.txt.txt", "Magnet_fields_2D.txt_389.txt")</f>
        <v/>
      </c>
    </row>
    <row customHeight="1" ht="15.75" r="390" s="34">
      <c r="E390" s="15" t="n">
        <v>120</v>
      </c>
      <c r="F390" s="15" t="n">
        <v>170</v>
      </c>
      <c r="G390" s="15" t="n">
        <v>350</v>
      </c>
      <c r="H390" s="15" t="n">
        <v>20</v>
      </c>
      <c r="I390" s="15" t="n">
        <v>150</v>
      </c>
      <c r="J390" s="13" t="n">
        <v>25</v>
      </c>
      <c r="K390" t="n">
        <v>35</v>
      </c>
      <c r="L390" s="13" t="n">
        <v>1.7</v>
      </c>
      <c r="M390" s="12" t="n"/>
      <c r="N390" s="8" t="n">
        <v>1.107652665353615</v>
      </c>
      <c r="O390" s="15" t="n">
        <v>0.8871132677878836</v>
      </c>
      <c r="P390" s="15" t="n">
        <v>1.040700003101294</v>
      </c>
      <c r="Q390" s="15" t="n">
        <v>0.0009677309175237725</v>
      </c>
      <c r="R390" s="15" t="n">
        <v>0.02309617154240809</v>
      </c>
      <c r="S390" s="15" t="n">
        <v>0.001681018601052381</v>
      </c>
      <c r="T390" s="29">
        <f>HIPERLINK($A$1 &amp; "\Dados\Imagem_perfil_390.png", "Imagem_perfil_390")</f>
        <v/>
      </c>
      <c r="U390" s="29">
        <f>HIPERLINK($A$1 &amp; "\Dados\Results_airgap390.txt", "Results_airgap390")</f>
        <v/>
      </c>
      <c r="V390" s="19" t="n"/>
      <c r="W390" s="15" t="n">
        <v>1.391065869565217</v>
      </c>
      <c r="X390" s="15" t="n">
        <v>0.6983846191393629</v>
      </c>
      <c r="Y390" s="15" t="n">
        <v>0.3236037773933973</v>
      </c>
      <c r="Z390" s="15" t="n">
        <v>0.156339123852627</v>
      </c>
      <c r="AA390" s="15" t="n">
        <v>3.047334762405936</v>
      </c>
      <c r="AB390" s="15" t="n">
        <v>2.150048834374301</v>
      </c>
      <c r="AC390" s="15" t="n">
        <v>10.17366093626561</v>
      </c>
      <c r="AD390" s="15" t="n">
        <v>31.06747894322119</v>
      </c>
      <c r="AE390" s="15" t="n">
        <v>69.50133932991889</v>
      </c>
      <c r="AF390" s="15" t="n">
        <v>108.1361105849157</v>
      </c>
      <c r="AH390" s="29">
        <f>HIPERLINK($A$1 &amp; "\Dados\Magnet_fields.txt_390.txt.txt", "Magnet_fields.txt_390.txt")</f>
        <v/>
      </c>
      <c r="AI390" t="n">
        <v>10072</v>
      </c>
      <c r="AJ390" t="n">
        <v>30</v>
      </c>
      <c r="AK390" s="29">
        <f>HIPERLINK($A$1 &amp; "\Dados\Magnet_3D_results.txt_390.txt.txt", "Magnet_3D_results.txt_390.txt")</f>
        <v/>
      </c>
      <c r="AL390" s="29">
        <f>HIPERLINK($A$1 &amp; "\Dados\Magnet_fields_2D.txt_390.txt.txt", "Magnet_fields_2D.txt_390.txt")</f>
        <v/>
      </c>
    </row>
    <row customHeight="1" ht="15.75" r="391" s="34">
      <c r="E391" s="15" t="n">
        <v>120</v>
      </c>
      <c r="F391" s="15" t="n">
        <v>170</v>
      </c>
      <c r="G391" s="15" t="n">
        <v>350</v>
      </c>
      <c r="H391" s="15" t="n">
        <v>20</v>
      </c>
      <c r="I391" s="15" t="n">
        <v>150</v>
      </c>
      <c r="J391" s="13" t="n">
        <v>25</v>
      </c>
      <c r="K391" t="n">
        <v>35</v>
      </c>
      <c r="L391" s="13" t="n">
        <v>1.9</v>
      </c>
      <c r="M391" s="12" t="n"/>
      <c r="N391" s="8" t="n">
        <v>1.111034216302012</v>
      </c>
      <c r="O391" s="15" t="n">
        <v>0.8898275351805005</v>
      </c>
      <c r="P391" s="15" t="n">
        <v>1.043872247662335</v>
      </c>
      <c r="Q391" s="15" t="n">
        <v>0.0009680718791256984</v>
      </c>
      <c r="R391" s="15" t="n">
        <v>0.02326253311140077</v>
      </c>
      <c r="S391" s="15" t="n">
        <v>0.00168462778636174</v>
      </c>
      <c r="T391" s="29">
        <f>HIPERLINK($A$1 &amp; "\Dados\Imagem_perfil_391.png", "Imagem_perfil_391")</f>
        <v/>
      </c>
      <c r="U391" s="29">
        <f>HIPERLINK($A$1 &amp; "\Dados\Results_airgap391.txt", "Results_airgap391")</f>
        <v/>
      </c>
      <c r="V391" s="19" t="n"/>
      <c r="W391" s="15" t="n">
        <v>1.396201086956522</v>
      </c>
      <c r="X391" s="15" t="n">
        <v>0.7006682294500491</v>
      </c>
      <c r="Y391" s="15" t="n">
        <v>0.5122226803046888</v>
      </c>
      <c r="Z391" s="15" t="n">
        <v>0.1544968908236741</v>
      </c>
      <c r="AA391" s="15" t="n">
        <v>2.898194685164648</v>
      </c>
      <c r="AB391" s="15" t="n">
        <v>2.674367910500096</v>
      </c>
      <c r="AC391" s="15" t="n">
        <v>11.35214541437801</v>
      </c>
      <c r="AD391" s="15" t="n">
        <v>32.0404556603047</v>
      </c>
      <c r="AE391" s="15" t="n">
        <v>69.9465129391227</v>
      </c>
      <c r="AF391" s="15" t="n">
        <v>108.2314582497747</v>
      </c>
      <c r="AH391" s="29">
        <f>HIPERLINK($A$1 &amp; "\Dados\Magnet_fields.txt_391.txt.txt", "Magnet_fields.txt_391.txt")</f>
        <v/>
      </c>
      <c r="AI391" t="n">
        <v>10072</v>
      </c>
      <c r="AJ391" t="n">
        <v>30</v>
      </c>
      <c r="AK391" s="29">
        <f>HIPERLINK($A$1 &amp; "\Dados\Magnet_3D_results.txt_391.txt.txt", "Magnet_3D_results.txt_391.txt")</f>
        <v/>
      </c>
      <c r="AL391" s="29">
        <f>HIPERLINK($A$1 &amp; "\Dados\Magnet_fields_2D.txt_391.txt.txt", "Magnet_fields_2D.txt_391.txt")</f>
        <v/>
      </c>
    </row>
    <row customHeight="1" ht="15.75" r="392" s="34">
      <c r="E392" s="15" t="n">
        <v>120</v>
      </c>
      <c r="F392" s="15" t="n">
        <v>170</v>
      </c>
      <c r="G392" s="15" t="n">
        <v>350</v>
      </c>
      <c r="H392" s="15" t="n">
        <v>20</v>
      </c>
      <c r="I392" s="15" t="n">
        <v>150</v>
      </c>
      <c r="J392" s="13" t="n">
        <v>25</v>
      </c>
      <c r="K392" t="n">
        <v>35</v>
      </c>
      <c r="L392" s="13" t="n">
        <v>2.1</v>
      </c>
      <c r="M392" s="12" t="n"/>
      <c r="N392" s="8" t="n">
        <v>1.11357870965192</v>
      </c>
      <c r="O392" s="15" t="n">
        <v>0.8919195421165153</v>
      </c>
      <c r="P392" s="15" t="n">
        <v>1.046259463480359</v>
      </c>
      <c r="Q392" s="15" t="n">
        <v>0.0009672051851397945</v>
      </c>
      <c r="R392" s="15" t="n">
        <v>0.02346521172499321</v>
      </c>
      <c r="S392" s="15" t="n">
        <v>0.001687853805473001</v>
      </c>
      <c r="T392" s="29">
        <f>HIPERLINK($A$1 &amp; "\Dados\Imagem_perfil_392.png", "Imagem_perfil_392")</f>
        <v/>
      </c>
      <c r="U392" s="29">
        <f>HIPERLINK($A$1 &amp; "\Dados\Results_airgap392.txt", "Results_airgap392")</f>
        <v/>
      </c>
      <c r="V392" s="19" t="n"/>
      <c r="W392" s="15" t="n">
        <v>1.39903652173913</v>
      </c>
      <c r="X392" s="15" t="n">
        <v>0.7024626565152361</v>
      </c>
      <c r="Y392" s="15" t="n">
        <v>0.698957184073517</v>
      </c>
      <c r="Z392" s="15" t="n">
        <v>0.1516810726180277</v>
      </c>
      <c r="AA392" s="15" t="n">
        <v>2.735859885563347</v>
      </c>
      <c r="AB392" s="15" t="n">
        <v>2.997283779743809</v>
      </c>
      <c r="AC392" s="15" t="n">
        <v>12.03339364145556</v>
      </c>
      <c r="AD392" s="15" t="n">
        <v>32.57495331591256</v>
      </c>
      <c r="AE392" s="15" t="n">
        <v>70.22537753526574</v>
      </c>
      <c r="AF392" s="15" t="n">
        <v>108.2831929734764</v>
      </c>
      <c r="AH392" s="29">
        <f>HIPERLINK($A$1 &amp; "\Dados\Magnet_fields.txt_392.txt.txt", "Magnet_fields.txt_392.txt")</f>
        <v/>
      </c>
      <c r="AI392" t="n">
        <v>10072</v>
      </c>
      <c r="AJ392" t="n">
        <v>31</v>
      </c>
      <c r="AK392" s="29">
        <f>HIPERLINK($A$1 &amp; "\Dados\Magnet_3D_results.txt_392.txt.txt", "Magnet_3D_results.txt_392.txt")</f>
        <v/>
      </c>
      <c r="AL392" s="29">
        <f>HIPERLINK($A$1 &amp; "\Dados\Magnet_fields_2D.txt_392.txt.txt", "Magnet_fields_2D.txt_392.txt")</f>
        <v/>
      </c>
    </row>
    <row customHeight="1" ht="15.75" r="393" s="34">
      <c r="E393" s="15" t="n">
        <v>120</v>
      </c>
      <c r="F393" s="15" t="n">
        <v>170</v>
      </c>
      <c r="G393" s="15" t="n">
        <v>350</v>
      </c>
      <c r="H393" s="15" t="n">
        <v>25</v>
      </c>
      <c r="I393" s="15" t="n">
        <v>150</v>
      </c>
      <c r="J393" s="13" t="n">
        <v>25</v>
      </c>
      <c r="K393" t="n">
        <v>35</v>
      </c>
      <c r="L393" s="13" t="n">
        <v>1.3</v>
      </c>
      <c r="M393" s="12" t="n"/>
      <c r="N393" s="8" t="n">
        <v>1.062884283550878</v>
      </c>
      <c r="O393" s="15" t="n">
        <v>0.8532526374898759</v>
      </c>
      <c r="P393" s="15" t="n">
        <v>1.001747651153193</v>
      </c>
      <c r="Q393" s="15" t="n">
        <v>0.00097196352860154</v>
      </c>
      <c r="R393" s="15" t="n">
        <v>0.02208931756509443</v>
      </c>
      <c r="S393" s="15" t="n">
        <v>0.001691442547656329</v>
      </c>
      <c r="T393" s="29">
        <f>HIPERLINK($A$1 &amp; "\Dados\Imagem_perfil_393.png", "Imagem_perfil_393")</f>
        <v/>
      </c>
      <c r="U393" s="29">
        <f>HIPERLINK($A$1 &amp; "\Dados\Results_airgap393.txt", "Results_airgap393")</f>
        <v/>
      </c>
      <c r="V393" s="19" t="n"/>
      <c r="W393" s="43" t="n">
        <v>1.332654782608696</v>
      </c>
      <c r="X393" s="15" t="n">
        <v>0.6633786778117784</v>
      </c>
      <c r="Y393" s="15" t="n">
        <v>0.03211067387592245</v>
      </c>
      <c r="Z393" s="15" t="n">
        <v>0.5017461570785823</v>
      </c>
      <c r="AA393" s="15" t="n">
        <v>3.398528808384825</v>
      </c>
      <c r="AB393" s="15" t="n">
        <v>0</v>
      </c>
      <c r="AC393" s="15" t="n">
        <v>0</v>
      </c>
      <c r="AD393" s="15" t="n">
        <v>20.6243013022674</v>
      </c>
      <c r="AE393" s="15" t="n">
        <v>64.73046185939369</v>
      </c>
      <c r="AF393" s="15" t="n">
        <v>107.0603639804519</v>
      </c>
      <c r="AH393" s="29">
        <f>HIPERLINK($A$1 &amp; "\Dados\Magnet_fields.txt_393.txt.txt", "Magnet_fields.txt_393.txt")</f>
        <v/>
      </c>
      <c r="AI393" t="n">
        <v>9610</v>
      </c>
      <c r="AJ393" t="n">
        <v>30</v>
      </c>
      <c r="AK393" s="29">
        <f>HIPERLINK($A$1 &amp; "\Dados\Magnet_3D_results.txt_393.txt.txt", "Magnet_3D_results.txt_393.txt")</f>
        <v/>
      </c>
      <c r="AL393" s="29">
        <f>HIPERLINK($A$1 &amp; "\Dados\Magnet_fields_2D.txt_393.txt.txt", "Magnet_fields_2D.txt_393.txt")</f>
        <v/>
      </c>
    </row>
    <row customHeight="1" ht="15.75" r="394" s="34">
      <c r="E394" s="15" t="n">
        <v>120</v>
      </c>
      <c r="F394" s="15" t="n">
        <v>170</v>
      </c>
      <c r="G394" s="15" t="n">
        <v>350</v>
      </c>
      <c r="H394" s="15" t="n">
        <v>25</v>
      </c>
      <c r="I394" s="15" t="n">
        <v>150</v>
      </c>
      <c r="J394" s="13" t="n">
        <v>25</v>
      </c>
      <c r="K394" t="n">
        <v>35</v>
      </c>
      <c r="L394" s="13" t="n">
        <v>1.5</v>
      </c>
      <c r="M394" s="12" t="n"/>
      <c r="N394" s="8" t="n">
        <v>1.099817555437089</v>
      </c>
      <c r="O394" s="15" t="n">
        <v>0.8828200182848438</v>
      </c>
      <c r="P394" s="15" t="n">
        <v>1.036719231243039</v>
      </c>
      <c r="Q394" s="15" t="n">
        <v>0.0009751182707648247</v>
      </c>
      <c r="R394" s="15" t="n">
        <v>0.02389921444735181</v>
      </c>
      <c r="S394" s="15" t="n">
        <v>0.001734162619575224</v>
      </c>
      <c r="T394" s="29">
        <f>HIPERLINK($A$1 &amp; "\Dados\Imagem_perfil_394.png", "Imagem_perfil_394")</f>
        <v/>
      </c>
      <c r="U394" s="29">
        <f>HIPERLINK($A$1 &amp; "\Dados\Results_airgap394.txt", "Results_airgap394")</f>
        <v/>
      </c>
      <c r="V394" s="19" t="n"/>
      <c r="W394" s="43" t="n">
        <v>1.37855347826087</v>
      </c>
      <c r="X394" s="15" t="n">
        <v>0.6878428669855698</v>
      </c>
      <c r="Y394" s="15" t="n">
        <v>0.1508332063353574</v>
      </c>
      <c r="Z394" s="15" t="n">
        <v>0.2206598738793277</v>
      </c>
      <c r="AA394" s="15" t="n">
        <v>2.140794301935614</v>
      </c>
      <c r="AB394" s="15" t="n">
        <v>0.8857701017161367</v>
      </c>
      <c r="AC394" s="15" t="n">
        <v>7.504038936673622</v>
      </c>
      <c r="AD394" s="15" t="n">
        <v>28.90064473845639</v>
      </c>
      <c r="AE394" s="15" t="n">
        <v>68.44427096912344</v>
      </c>
      <c r="AF394" s="15" t="n">
        <v>107.9713860480064</v>
      </c>
      <c r="AH394" s="29">
        <f>HIPERLINK($A$1 &amp; "\Dados\Magnet_fields.txt_394.txt.txt", "Magnet_fields.txt_394.txt")</f>
        <v/>
      </c>
      <c r="AI394" t="n">
        <v>9610</v>
      </c>
      <c r="AJ394" t="n">
        <v>29</v>
      </c>
      <c r="AK394" s="29">
        <f>HIPERLINK($A$1 &amp; "\Dados\Magnet_3D_results.txt_394.txt.txt", "Magnet_3D_results.txt_394.txt")</f>
        <v/>
      </c>
      <c r="AL394" s="29">
        <f>HIPERLINK($A$1 &amp; "\Dados\Magnet_fields_2D.txt_394.txt.txt", "Magnet_fields_2D.txt_394.txt")</f>
        <v/>
      </c>
    </row>
    <row customHeight="1" ht="15.75" r="395" s="34">
      <c r="E395" s="15" t="n">
        <v>120</v>
      </c>
      <c r="F395" s="15" t="n">
        <v>170</v>
      </c>
      <c r="G395" s="15" t="n">
        <v>350</v>
      </c>
      <c r="H395" s="15" t="n">
        <v>25</v>
      </c>
      <c r="I395" s="15" t="n">
        <v>150</v>
      </c>
      <c r="J395" s="13" t="n">
        <v>25</v>
      </c>
      <c r="K395" t="n">
        <v>35</v>
      </c>
      <c r="L395" s="13" t="n">
        <v>1.7</v>
      </c>
      <c r="M395" s="12" t="n"/>
      <c r="N395" s="8" t="n">
        <v>1.111542222255702</v>
      </c>
      <c r="O395" s="15" t="n">
        <v>0.8922082802818875</v>
      </c>
      <c r="P395" s="15" t="n">
        <v>1.047769303154521</v>
      </c>
      <c r="Q395" s="15" t="n">
        <v>0.0009736572818272072</v>
      </c>
      <c r="R395" s="15" t="n">
        <v>0.0245017572101025</v>
      </c>
      <c r="S395" s="15" t="n">
        <v>0.00174564203322048</v>
      </c>
      <c r="T395" s="29">
        <f>HIPERLINK($A$1 &amp; "\Dados\Imagem_perfil_395.png", "Imagem_perfil_395")</f>
        <v/>
      </c>
      <c r="U395" s="29">
        <f>HIPERLINK($A$1 &amp; "\Dados\Results_airgap395.txt", "Results_airgap395")</f>
        <v/>
      </c>
      <c r="V395" s="19" t="n"/>
      <c r="W395" s="15" t="n">
        <v>1.390832826086956</v>
      </c>
      <c r="X395" s="15" t="n">
        <v>0.695689811316112</v>
      </c>
      <c r="Y395" s="15" t="n">
        <v>0.3235535707313636</v>
      </c>
      <c r="Z395" s="15" t="n">
        <v>0.179402015822683</v>
      </c>
      <c r="AA395" s="15" t="n">
        <v>1.705944006731552</v>
      </c>
      <c r="AB395" s="15" t="n">
        <v>2.242500647607272</v>
      </c>
      <c r="AC395" s="15" t="n">
        <v>10.06679525715588</v>
      </c>
      <c r="AD395" s="15" t="n">
        <v>30.98523141347833</v>
      </c>
      <c r="AE395" s="15" t="n">
        <v>69.5315973154335</v>
      </c>
      <c r="AF395" s="15" t="n">
        <v>108.1444522924613</v>
      </c>
      <c r="AH395" s="29">
        <f>HIPERLINK($A$1 &amp; "\Dados\Magnet_fields.txt_395.txt.txt", "Magnet_fields.txt_395.txt")</f>
        <v/>
      </c>
      <c r="AI395" t="n">
        <v>9610</v>
      </c>
      <c r="AJ395" t="n">
        <v>30</v>
      </c>
      <c r="AK395" s="29">
        <f>HIPERLINK($A$1 &amp; "\Dados\Magnet_3D_results.txt_395.txt.txt", "Magnet_3D_results.txt_395.txt")</f>
        <v/>
      </c>
      <c r="AL395" s="29">
        <f>HIPERLINK($A$1 &amp; "\Dados\Magnet_fields_2D.txt_395.txt.txt", "Magnet_fields_2D.txt_395.txt")</f>
        <v/>
      </c>
    </row>
    <row customHeight="1" ht="15.75" r="396" s="34">
      <c r="E396" s="15" t="n">
        <v>120</v>
      </c>
      <c r="F396" s="15" t="n">
        <v>170</v>
      </c>
      <c r="G396" s="15" t="n">
        <v>350</v>
      </c>
      <c r="H396" s="15" t="n">
        <v>25</v>
      </c>
      <c r="I396" s="15" t="n">
        <v>150</v>
      </c>
      <c r="J396" s="13" t="n">
        <v>25</v>
      </c>
      <c r="K396" t="n">
        <v>35</v>
      </c>
      <c r="L396" s="13" t="n">
        <v>1.9</v>
      </c>
      <c r="M396" s="12" t="n"/>
      <c r="N396" s="8" t="n">
        <v>1.116694636329498</v>
      </c>
      <c r="O396" s="15" t="n">
        <v>0.8963229390614399</v>
      </c>
      <c r="P396" s="15" t="n">
        <v>1.052661531088257</v>
      </c>
      <c r="Q396" s="15" t="n">
        <v>0.0009739438529226684</v>
      </c>
      <c r="R396" s="15" t="n">
        <v>0.02476055279756434</v>
      </c>
      <c r="S396" s="15" t="n">
        <v>0.001751307302765268</v>
      </c>
      <c r="T396" s="29">
        <f>HIPERLINK($A$1 &amp; "\Dados\Imagem_perfil_396.png", "Imagem_perfil_396")</f>
        <v/>
      </c>
      <c r="U396" s="29">
        <f>HIPERLINK($A$1 &amp; "\Dados\Results_airgap396.txt", "Results_airgap396")</f>
        <v/>
      </c>
      <c r="V396" s="19" t="n"/>
      <c r="W396" s="15" t="n">
        <v>1.396181956521739</v>
      </c>
      <c r="X396" s="15" t="n">
        <v>0.6991335740802586</v>
      </c>
      <c r="Y396" s="15" t="n">
        <v>0.5121649914593263</v>
      </c>
      <c r="Z396" s="15" t="n">
        <v>0.172132191179948</v>
      </c>
      <c r="AA396" s="15" t="n">
        <v>1.370839813383568</v>
      </c>
      <c r="AB396" s="15" t="n">
        <v>2.637309046535841</v>
      </c>
      <c r="AC396" s="15" t="n">
        <v>11.33904056662199</v>
      </c>
      <c r="AD396" s="15" t="n">
        <v>32.03604422445581</v>
      </c>
      <c r="AE396" s="15" t="n">
        <v>69.9419234662805</v>
      </c>
      <c r="AF396" s="15" t="n">
        <v>108.2210613772744</v>
      </c>
      <c r="AH396" s="29">
        <f>HIPERLINK($A$1 &amp; "\Dados\Magnet_fields.txt_396.txt.txt", "Magnet_fields.txt_396.txt")</f>
        <v/>
      </c>
      <c r="AI396" t="n">
        <v>9610</v>
      </c>
      <c r="AJ396" t="n">
        <v>29</v>
      </c>
      <c r="AK396" s="29">
        <f>HIPERLINK($A$1 &amp; "\Dados\Magnet_3D_results.txt_396.txt.txt", "Magnet_3D_results.txt_396.txt")</f>
        <v/>
      </c>
      <c r="AL396" s="29">
        <f>HIPERLINK($A$1 &amp; "\Dados\Magnet_fields_2D.txt_396.txt.txt", "Magnet_fields_2D.txt_396.txt")</f>
        <v/>
      </c>
    </row>
    <row customHeight="1" ht="15.75" r="397" s="34">
      <c r="E397" s="15" t="n">
        <v>120</v>
      </c>
      <c r="F397" s="15" t="n">
        <v>170</v>
      </c>
      <c r="G397" s="15" t="n">
        <v>350</v>
      </c>
      <c r="H397" s="15" t="n">
        <v>25</v>
      </c>
      <c r="I397" s="15" t="n">
        <v>150</v>
      </c>
      <c r="J397" s="13" t="n">
        <v>25</v>
      </c>
      <c r="K397" t="n">
        <v>35</v>
      </c>
      <c r="L397" s="13" t="n">
        <v>2.1</v>
      </c>
      <c r="M397" s="12" t="n"/>
      <c r="N397" s="8" t="n">
        <v>1.119789544793543</v>
      </c>
      <c r="O397" s="15" t="n">
        <v>0.8988100706675185</v>
      </c>
      <c r="P397" s="15" t="n">
        <v>1.055558611425617</v>
      </c>
      <c r="Q397" s="15" t="n">
        <v>0.0009730263874448599</v>
      </c>
      <c r="R397" s="15" t="n">
        <v>0.02495832438223936</v>
      </c>
      <c r="S397" s="15" t="n">
        <v>0.001754584569377563</v>
      </c>
      <c r="T397" s="29">
        <f>HIPERLINK($A$1 &amp; "\Dados\Imagem_perfil_397.png", "Imagem_perfil_397")</f>
        <v/>
      </c>
      <c r="U397" s="29">
        <f>HIPERLINK($A$1 &amp; "\Dados\Results_airgap397.txt", "Results_airgap397")</f>
        <v/>
      </c>
      <c r="V397" s="19" t="n"/>
      <c r="W397" s="15" t="n">
        <v>1.399118260869565</v>
      </c>
      <c r="X397" s="15" t="n">
        <v>0.7012481374194423</v>
      </c>
      <c r="Y397" s="15" t="n">
        <v>0.6988966069475</v>
      </c>
      <c r="Z397" s="15" t="n">
        <v>0.1584961688548819</v>
      </c>
      <c r="AA397" s="15" t="n">
        <v>1.229908933155631</v>
      </c>
      <c r="AB397" s="15" t="n">
        <v>3.018892023584985</v>
      </c>
      <c r="AC397" s="15" t="n">
        <v>12.04823564147109</v>
      </c>
      <c r="AD397" s="15" t="n">
        <v>32.57539808402116</v>
      </c>
      <c r="AE397" s="15" t="n">
        <v>70.21346966852089</v>
      </c>
      <c r="AF397" s="15" t="n">
        <v>108.2869260080427</v>
      </c>
      <c r="AH397" s="29">
        <f>HIPERLINK($A$1 &amp; "\Dados\Magnet_fields.txt_397.txt.txt", "Magnet_fields.txt_397.txt")</f>
        <v/>
      </c>
      <c r="AI397" t="n">
        <v>9610</v>
      </c>
      <c r="AJ397" t="n">
        <v>30</v>
      </c>
      <c r="AK397" s="29">
        <f>HIPERLINK($A$1 &amp; "\Dados\Magnet_3D_results.txt_397.txt.txt", "Magnet_3D_results.txt_397.txt")</f>
        <v/>
      </c>
      <c r="AL397" s="29">
        <f>HIPERLINK($A$1 &amp; "\Dados\Magnet_fields_2D.txt_397.txt.txt", "Magnet_fields_2D.txt_397.txt")</f>
        <v/>
      </c>
    </row>
    <row customHeight="1" ht="15.75" r="398" s="34">
      <c r="E398" s="15" t="n">
        <v>120</v>
      </c>
      <c r="F398" s="15" t="n">
        <v>170</v>
      </c>
      <c r="G398" s="15" t="n">
        <v>350</v>
      </c>
      <c r="H398" s="15" t="n">
        <v>30</v>
      </c>
      <c r="I398" s="15" t="n">
        <v>150</v>
      </c>
      <c r="J398" s="13" t="n">
        <v>25</v>
      </c>
      <c r="K398" t="n">
        <v>35</v>
      </c>
      <c r="L398" s="13" t="n">
        <v>1.3</v>
      </c>
      <c r="M398" s="12" t="n"/>
      <c r="N398" s="8" t="n">
        <v>1.068151145296512</v>
      </c>
      <c r="O398" s="15" t="n">
        <v>0.8579108958615866</v>
      </c>
      <c r="P398" s="15" t="n">
        <v>1.006968495935228</v>
      </c>
      <c r="Q398" s="15" t="n">
        <v>0.0009828077137363116</v>
      </c>
      <c r="R398" s="15" t="n">
        <v>0.02320001048649883</v>
      </c>
      <c r="S398" s="15" t="n">
        <v>0.00176243633492455</v>
      </c>
      <c r="T398" s="29">
        <f>HIPERLINK($A$1 &amp; "\Dados\Imagem_perfil_398.png", "Imagem_perfil_398")</f>
        <v/>
      </c>
      <c r="U398" s="29">
        <f>HIPERLINK($A$1 &amp; "\Dados\Results_airgap398.txt", "Results_airgap398")</f>
        <v/>
      </c>
      <c r="V398" s="19" t="n"/>
      <c r="W398" s="43" t="n">
        <v>1.332167173913044</v>
      </c>
      <c r="X398" s="15" t="n">
        <v>0.667161799362007</v>
      </c>
      <c r="Y398" s="15" t="n">
        <v>0.03209999846837337</v>
      </c>
      <c r="Z398" s="15" t="n">
        <v>0.5118026506701764</v>
      </c>
      <c r="AA398" s="15" t="n">
        <v>2.055356669110393</v>
      </c>
      <c r="AB398" s="15" t="n">
        <v>0</v>
      </c>
      <c r="AC398" s="15" t="n">
        <v>0</v>
      </c>
      <c r="AD398" s="15" t="n">
        <v>20.53143247961095</v>
      </c>
      <c r="AE398" s="15" t="n">
        <v>64.55502882527004</v>
      </c>
      <c r="AF398" s="15" t="n">
        <v>106.8605136355381</v>
      </c>
      <c r="AH398" s="29">
        <f>HIPERLINK($A$1 &amp; "\Dados\Magnet_fields.txt_398.txt.txt", "Magnet_fields.txt_398.txt")</f>
        <v/>
      </c>
      <c r="AI398" t="n">
        <v>9111</v>
      </c>
      <c r="AJ398" t="n">
        <v>30</v>
      </c>
      <c r="AK398" s="29">
        <f>HIPERLINK($A$1 &amp; "\Dados\Magnet_3D_results.txt_398.txt.txt", "Magnet_3D_results.txt_398.txt")</f>
        <v/>
      </c>
      <c r="AL398" s="29">
        <f>HIPERLINK($A$1 &amp; "\Dados\Magnet_fields_2D.txt_398.txt.txt", "Magnet_fields_2D.txt_398.txt")</f>
        <v/>
      </c>
    </row>
    <row customHeight="1" ht="15.75" r="399" s="34">
      <c r="E399" s="15" t="n">
        <v>120</v>
      </c>
      <c r="F399" s="15" t="n">
        <v>170</v>
      </c>
      <c r="G399" s="15" t="n">
        <v>350</v>
      </c>
      <c r="H399" s="15" t="n">
        <v>30</v>
      </c>
      <c r="I399" s="15" t="n">
        <v>150</v>
      </c>
      <c r="J399" s="13" t="n">
        <v>25</v>
      </c>
      <c r="K399" t="n">
        <v>35</v>
      </c>
      <c r="L399" s="13" t="n">
        <v>1.5</v>
      </c>
      <c r="M399" s="12" t="n"/>
      <c r="N399" s="8" t="n">
        <v>1.104650751197715</v>
      </c>
      <c r="O399" s="15" t="n">
        <v>0.8870536806466176</v>
      </c>
      <c r="P399" s="15" t="n">
        <v>1.041506006373067</v>
      </c>
      <c r="Q399" s="15" t="n">
        <v>0.0009833356407623658</v>
      </c>
      <c r="R399" s="15" t="n">
        <v>0.02491325716865144</v>
      </c>
      <c r="S399" s="15" t="n">
        <v>0.001802594432671459</v>
      </c>
      <c r="T399" s="29">
        <f>HIPERLINK($A$1 &amp; "\Dados\Imagem_perfil_399.png", "Imagem_perfil_399")</f>
        <v/>
      </c>
      <c r="U399" s="29">
        <f>HIPERLINK($A$1 &amp; "\Dados\Results_airgap399.txt", "Results_airgap399")</f>
        <v/>
      </c>
      <c r="V399" s="19" t="n"/>
      <c r="W399" s="43" t="n">
        <v>1.378576304347826</v>
      </c>
      <c r="X399" s="15" t="n">
        <v>0.6912604293803049</v>
      </c>
      <c r="Y399" s="15" t="n">
        <v>0.1508048704251662</v>
      </c>
      <c r="Z399" s="15" t="n">
        <v>0.2335846543387853</v>
      </c>
      <c r="AA399" s="15" t="n">
        <v>0.1774967961804144</v>
      </c>
      <c r="AB399" s="15" t="n">
        <v>0.8794297875509178</v>
      </c>
      <c r="AC399" s="15" t="n">
        <v>7.496281884801506</v>
      </c>
      <c r="AD399" s="15" t="n">
        <v>28.90069038309101</v>
      </c>
      <c r="AE399" s="15" t="n">
        <v>68.45723450652844</v>
      </c>
      <c r="AF399" s="15" t="n">
        <v>107.940987240802</v>
      </c>
      <c r="AH399" s="29">
        <f>HIPERLINK($A$1 &amp; "\Dados\Magnet_fields.txt_399.txt.txt", "Magnet_fields.txt_399.txt")</f>
        <v/>
      </c>
      <c r="AI399" t="n">
        <v>9111</v>
      </c>
      <c r="AJ399" t="n">
        <v>29</v>
      </c>
      <c r="AK399" s="29">
        <f>HIPERLINK($A$1 &amp; "\Dados\Magnet_3D_results.txt_399.txt.txt", "Magnet_3D_results.txt_399.txt")</f>
        <v/>
      </c>
      <c r="AL399" s="29">
        <f>HIPERLINK($A$1 &amp; "\Dados\Magnet_fields_2D.txt_399.txt.txt", "Magnet_fields_2D.txt_399.txt")</f>
        <v/>
      </c>
    </row>
    <row customHeight="1" ht="15.75" r="400" s="34">
      <c r="E400" s="15" t="n">
        <v>120</v>
      </c>
      <c r="F400" s="15" t="n">
        <v>170</v>
      </c>
      <c r="G400" s="15" t="n">
        <v>350</v>
      </c>
      <c r="H400" s="15" t="n">
        <v>30</v>
      </c>
      <c r="I400" s="15" t="n">
        <v>150</v>
      </c>
      <c r="J400" s="13" t="n">
        <v>25</v>
      </c>
      <c r="K400" t="n">
        <v>35</v>
      </c>
      <c r="L400" s="13" t="n">
        <v>1.7</v>
      </c>
      <c r="M400" s="12" t="n"/>
      <c r="N400" s="8" t="n">
        <v>1.117800098063464</v>
      </c>
      <c r="O400" s="15" t="n">
        <v>0.8975272008887116</v>
      </c>
      <c r="P400" s="15" t="n">
        <v>1.053899612514567</v>
      </c>
      <c r="Q400" s="15" t="n">
        <v>0.0009814548201638111</v>
      </c>
      <c r="R400" s="15" t="n">
        <v>0.02551475826526069</v>
      </c>
      <c r="S400" s="15" t="n">
        <v>0.00181423418286677</v>
      </c>
      <c r="T400" s="29">
        <f>HIPERLINK($A$1 &amp; "\Dados\Imagem_perfil_400.png", "Imagem_perfil_400")</f>
        <v/>
      </c>
      <c r="U400" s="29">
        <f>HIPERLINK($A$1 &amp; "\Dados\Results_airgap400.txt", "Results_airgap400")</f>
        <v/>
      </c>
      <c r="V400" s="19" t="n"/>
      <c r="W400" s="15" t="n">
        <v>1.391117391304348</v>
      </c>
      <c r="X400" s="15" t="n">
        <v>0.6999721268513466</v>
      </c>
      <c r="Y400" s="15" t="n">
        <v>0.3235155737725243</v>
      </c>
      <c r="Z400" s="15" t="n">
        <v>0.1748722213179475</v>
      </c>
      <c r="AA400" s="15" t="n">
        <v>0.06676585905114679</v>
      </c>
      <c r="AB400" s="15" t="n">
        <v>2.173207156610071</v>
      </c>
      <c r="AC400" s="15" t="n">
        <v>10.1594767100279</v>
      </c>
      <c r="AD400" s="15" t="n">
        <v>31.05831798605229</v>
      </c>
      <c r="AE400" s="15" t="n">
        <v>69.49664920705557</v>
      </c>
      <c r="AF400" s="15" t="n">
        <v>108.131783978287</v>
      </c>
      <c r="AH400" s="29">
        <f>HIPERLINK($A$1 &amp; "\Dados\Magnet_fields.txt_400.txt.txt", "Magnet_fields.txt_400.txt")</f>
        <v/>
      </c>
      <c r="AI400" t="n">
        <v>9111</v>
      </c>
      <c r="AJ400" t="n">
        <v>29</v>
      </c>
      <c r="AK400" s="29">
        <f>HIPERLINK($A$1 &amp; "\Dados\Magnet_3D_results.txt_400.txt.txt", "Magnet_3D_results.txt_400.txt")</f>
        <v/>
      </c>
      <c r="AL400" s="29">
        <f>HIPERLINK($A$1 &amp; "\Dados\Magnet_fields_2D.txt_400.txt.txt", "Magnet_fields_2D.txt_400.txt")</f>
        <v/>
      </c>
    </row>
    <row customHeight="1" ht="15.75" r="401" s="34">
      <c r="E401" s="15" t="n">
        <v>120</v>
      </c>
      <c r="F401" s="15" t="n">
        <v>170</v>
      </c>
      <c r="G401" s="15" t="n">
        <v>350</v>
      </c>
      <c r="H401" s="15" t="n">
        <v>30</v>
      </c>
      <c r="I401" s="15" t="n">
        <v>150</v>
      </c>
      <c r="J401" s="13" t="n">
        <v>25</v>
      </c>
      <c r="K401" t="n">
        <v>35</v>
      </c>
      <c r="L401" s="13" t="n">
        <v>1.9</v>
      </c>
      <c r="M401" s="12" t="n"/>
      <c r="N401" s="8" t="n">
        <v>1.121000026982499</v>
      </c>
      <c r="O401" s="15" t="n">
        <v>0.900060521061483</v>
      </c>
      <c r="P401" s="15" t="n">
        <v>1.056924277559949</v>
      </c>
      <c r="Q401" s="15" t="n">
        <v>0.0009815331043457832</v>
      </c>
      <c r="R401" s="15" t="n">
        <v>0.02564094524434903</v>
      </c>
      <c r="S401" s="15" t="n">
        <v>0.00181701632389793</v>
      </c>
      <c r="T401" s="29">
        <f>HIPERLINK($A$1 &amp; "\Dados\Imagem_perfil_401.png", "Imagem_perfil_401")</f>
        <v/>
      </c>
      <c r="U401" s="29">
        <f>HIPERLINK($A$1 &amp; "\Dados\Results_airgap401.txt", "Results_airgap401")</f>
        <v/>
      </c>
      <c r="V401" s="19" t="n"/>
      <c r="W401" s="15" t="n">
        <v>1.396191956521739</v>
      </c>
      <c r="X401" s="15" t="n">
        <v>0.702085380649293</v>
      </c>
      <c r="Y401" s="15" t="n">
        <v>0.5121234524908045</v>
      </c>
      <c r="Z401" s="15" t="n">
        <v>0.1558494163386015</v>
      </c>
      <c r="AA401" s="15" t="n">
        <v>0.0640750503305979</v>
      </c>
      <c r="AB401" s="15" t="n">
        <v>2.656897687734902</v>
      </c>
      <c r="AC401" s="15" t="n">
        <v>11.32798786407699</v>
      </c>
      <c r="AD401" s="15" t="n">
        <v>32.03048464148912</v>
      </c>
      <c r="AE401" s="15" t="n">
        <v>69.93399941688281</v>
      </c>
      <c r="AF401" s="15" t="n">
        <v>108.2144559993579</v>
      </c>
      <c r="AH401" s="29">
        <f>HIPERLINK($A$1 &amp; "\Dados\Magnet_fields.txt_401.txt.txt", "Magnet_fields.txt_401.txt")</f>
        <v/>
      </c>
      <c r="AI401" t="n">
        <v>9111</v>
      </c>
      <c r="AJ401" t="n">
        <v>28</v>
      </c>
      <c r="AK401" s="29">
        <f>HIPERLINK($A$1 &amp; "\Dados\Magnet_3D_results.txt_401.txt.txt", "Magnet_3D_results.txt_401.txt")</f>
        <v/>
      </c>
      <c r="AL401" s="29">
        <f>HIPERLINK($A$1 &amp; "\Dados\Magnet_fields_2D.txt_401.txt.txt", "Magnet_fields_2D.txt_401.txt")</f>
        <v/>
      </c>
    </row>
    <row customHeight="1" ht="15.75" r="402" s="34">
      <c r="E402" s="15" t="n">
        <v>120</v>
      </c>
      <c r="F402" s="15" t="n">
        <v>170</v>
      </c>
      <c r="G402" s="15" t="n">
        <v>350</v>
      </c>
      <c r="H402" s="15" t="n">
        <v>30</v>
      </c>
      <c r="I402" s="15" t="n">
        <v>150</v>
      </c>
      <c r="J402" s="13" t="n">
        <v>25</v>
      </c>
      <c r="K402" t="n">
        <v>35</v>
      </c>
      <c r="L402" s="13" t="n">
        <v>2.1</v>
      </c>
      <c r="M402" s="12" t="n"/>
      <c r="N402" s="8" t="n">
        <v>1.123328413089089</v>
      </c>
      <c r="O402" s="15" t="n">
        <v>0.9019199019081294</v>
      </c>
      <c r="P402" s="15" t="n">
        <v>1.059112186727026</v>
      </c>
      <c r="Q402" s="15" t="n">
        <v>0.0009803065321130741</v>
      </c>
      <c r="R402" s="15" t="n">
        <v>0.02578740969639813</v>
      </c>
      <c r="S402" s="15" t="n">
        <v>0.001819082184190773</v>
      </c>
      <c r="T402" s="29">
        <f>HIPERLINK($A$1 &amp; "\Dados\Imagem_perfil_402.png", "Imagem_perfil_402")</f>
        <v/>
      </c>
      <c r="U402" s="29">
        <f>HIPERLINK($A$1 &amp; "\Dados\Results_airgap402.txt", "Results_airgap402")</f>
        <v/>
      </c>
      <c r="V402" s="19" t="n"/>
      <c r="W402" s="15" t="n">
        <v>1.398988043478261</v>
      </c>
      <c r="X402" s="15" t="n">
        <v>0.7036736712202089</v>
      </c>
      <c r="Y402" s="15" t="n">
        <v>0.6988523978497839</v>
      </c>
      <c r="Z402" s="15" t="n">
        <v>0.1473086840999433</v>
      </c>
      <c r="AA402" s="15" t="n">
        <v>0.03043055166219947</v>
      </c>
      <c r="AB402" s="15" t="n">
        <v>2.924832757431222</v>
      </c>
      <c r="AC402" s="15" t="n">
        <v>12.00091567961696</v>
      </c>
      <c r="AD402" s="15" t="n">
        <v>32.57360520166546</v>
      </c>
      <c r="AE402" s="15" t="n">
        <v>70.21071629991907</v>
      </c>
      <c r="AF402" s="15" t="n">
        <v>108.2757144848714</v>
      </c>
      <c r="AH402" s="29">
        <f>HIPERLINK($A$1 &amp; "\Dados\Magnet_fields.txt_402.txt.txt", "Magnet_fields.txt_402.txt")</f>
        <v/>
      </c>
      <c r="AI402" t="n">
        <v>9111</v>
      </c>
      <c r="AJ402" t="n">
        <v>29</v>
      </c>
      <c r="AK402" s="29">
        <f>HIPERLINK($A$1 &amp; "\Dados\Magnet_3D_results.txt_402.txt.txt", "Magnet_3D_results.txt_402.txt")</f>
        <v/>
      </c>
      <c r="AL402" s="29">
        <f>HIPERLINK($A$1 &amp; "\Dados\Magnet_fields_2D.txt_402.txt.txt", "Magnet_fields_2D.txt_402.txt")</f>
        <v/>
      </c>
    </row>
    <row customHeight="1" ht="15.75" r="403" s="34">
      <c r="E403" s="15" t="n">
        <v>120</v>
      </c>
      <c r="F403" s="15" t="n">
        <v>170</v>
      </c>
      <c r="G403" s="15" t="n">
        <v>350</v>
      </c>
      <c r="H403" s="15" t="n">
        <v>35</v>
      </c>
      <c r="I403" s="15" t="n">
        <v>150</v>
      </c>
      <c r="J403" s="13" t="n">
        <v>25</v>
      </c>
      <c r="K403" t="n">
        <v>35</v>
      </c>
      <c r="L403" s="13" t="n">
        <v>1.3</v>
      </c>
      <c r="M403" s="12" t="n"/>
      <c r="N403" s="8" t="n">
        <v>1.072114404824706</v>
      </c>
      <c r="O403" s="15" t="n">
        <v>0.8635515552102129</v>
      </c>
      <c r="P403" s="15" t="n">
        <v>1.011032746223629</v>
      </c>
      <c r="Q403" s="15" t="n">
        <v>0.0009900543050439851</v>
      </c>
      <c r="R403" s="15" t="n">
        <v>0.0242463674534346</v>
      </c>
      <c r="S403" s="15" t="n">
        <v>0.001760437312801306</v>
      </c>
      <c r="T403" s="29">
        <f>HIPERLINK($A$1 &amp; "\Dados\Imagem_perfil_403.png", "Imagem_perfil_403")</f>
        <v/>
      </c>
      <c r="U403" s="29">
        <f>HIPERLINK($A$1 &amp; "\Dados\Results_airgap403.txt", "Results_airgap403")</f>
        <v/>
      </c>
      <c r="V403" s="19" t="n"/>
      <c r="W403" s="43" t="n">
        <v>1.332226086956522</v>
      </c>
      <c r="X403" s="15" t="n">
        <v>0.6747425217018788</v>
      </c>
      <c r="Y403" s="15" t="n">
        <v>0.03209075406391626</v>
      </c>
      <c r="Z403" s="15" t="n">
        <v>0.5511774667383662</v>
      </c>
      <c r="AA403" s="15" t="n">
        <v>0.1251844986486093</v>
      </c>
      <c r="AB403" s="15" t="n">
        <v>0</v>
      </c>
      <c r="AC403" s="15" t="n">
        <v>0</v>
      </c>
      <c r="AD403" s="15" t="n">
        <v>20.55717045723009</v>
      </c>
      <c r="AE403" s="15" t="n">
        <v>64.52089598177015</v>
      </c>
      <c r="AF403" s="15" t="n">
        <v>106.8522602177524</v>
      </c>
      <c r="AH403" s="29">
        <f>HIPERLINK($A$1 &amp; "\Dados\Magnet_fields.txt_403.txt.txt", "Magnet_fields.txt_403.txt")</f>
        <v/>
      </c>
      <c r="AI403" t="n">
        <v>7621</v>
      </c>
      <c r="AJ403" t="n">
        <v>29</v>
      </c>
      <c r="AK403" s="29">
        <f>HIPERLINK($A$1 &amp; "\Dados\Magnet_3D_results.txt_403.txt.txt", "Magnet_3D_results.txt_403.txt")</f>
        <v/>
      </c>
      <c r="AL403" s="29">
        <f>HIPERLINK($A$1 &amp; "\Dados\Magnet_fields_2D.txt_403.txt.txt", "Magnet_fields_2D.txt_403.txt")</f>
        <v/>
      </c>
    </row>
    <row customHeight="1" ht="15.75" r="404" s="34">
      <c r="E404" s="15" t="n">
        <v>120</v>
      </c>
      <c r="F404" s="15" t="n">
        <v>170</v>
      </c>
      <c r="G404" s="15" t="n">
        <v>350</v>
      </c>
      <c r="H404" s="15" t="n">
        <v>35</v>
      </c>
      <c r="I404" s="15" t="n">
        <v>150</v>
      </c>
      <c r="J404" s="13" t="n">
        <v>25</v>
      </c>
      <c r="K404" t="n">
        <v>35</v>
      </c>
      <c r="L404" s="13" t="n">
        <v>1.5</v>
      </c>
      <c r="M404" s="12" t="n"/>
      <c r="N404" s="8" t="n">
        <v>1.107352961109133</v>
      </c>
      <c r="O404" s="15" t="n">
        <v>0.8914951799810078</v>
      </c>
      <c r="P404" s="15" t="n">
        <v>1.04431223419679</v>
      </c>
      <c r="Q404" s="15" t="n">
        <v>0.0009881882502804423</v>
      </c>
      <c r="R404" s="15" t="n">
        <v>0.02564455068428436</v>
      </c>
      <c r="S404" s="15" t="n">
        <v>0.001789457296808264</v>
      </c>
      <c r="T404" s="29">
        <f>HIPERLINK($A$1 &amp; "\Dados\Imagem_perfil_404.png", "Imagem_perfil_404")</f>
        <v/>
      </c>
      <c r="U404" s="29">
        <f>HIPERLINK($A$1 &amp; "\Dados\Results_airgap404.txt", "Results_airgap404")</f>
        <v/>
      </c>
      <c r="V404" s="19" t="n"/>
      <c r="W404" s="43" t="n">
        <v>1.378604130434783</v>
      </c>
      <c r="X404" s="15" t="n">
        <v>0.6978501037080891</v>
      </c>
      <c r="Y404" s="15" t="n">
        <v>0.150783499070526</v>
      </c>
      <c r="Z404" s="15" t="n">
        <v>0.2567233343764881</v>
      </c>
      <c r="AA404" s="15" t="n">
        <v>0.01805129813502504</v>
      </c>
      <c r="AB404" s="15" t="n">
        <v>0.874576780321132</v>
      </c>
      <c r="AC404" s="15" t="n">
        <v>7.501133465405981</v>
      </c>
      <c r="AD404" s="15" t="n">
        <v>28.89977517546838</v>
      </c>
      <c r="AE404" s="15" t="n">
        <v>68.45496267001525</v>
      </c>
      <c r="AF404" s="15" t="n">
        <v>107.9286075970925</v>
      </c>
      <c r="AH404" s="29">
        <f>HIPERLINK($A$1 &amp; "\Dados\Magnet_fields.txt_404.txt.txt", "Magnet_fields.txt_404.txt")</f>
        <v/>
      </c>
      <c r="AI404" t="n">
        <v>7621</v>
      </c>
      <c r="AJ404" t="n">
        <v>29</v>
      </c>
      <c r="AK404" s="29">
        <f>HIPERLINK($A$1 &amp; "\Dados\Magnet_3D_results.txt_404.txt.txt", "Magnet_3D_results.txt_404.txt")</f>
        <v/>
      </c>
      <c r="AL404" s="29">
        <f>HIPERLINK($A$1 &amp; "\Dados\Magnet_fields_2D.txt_404.txt.txt", "Magnet_fields_2D.txt_404.txt")</f>
        <v/>
      </c>
    </row>
    <row customHeight="1" ht="15.75" r="405" s="34">
      <c r="E405" s="15" t="n">
        <v>120</v>
      </c>
      <c r="F405" s="15" t="n">
        <v>170</v>
      </c>
      <c r="G405" s="15" t="n">
        <v>350</v>
      </c>
      <c r="H405" s="15" t="n">
        <v>35</v>
      </c>
      <c r="I405" s="15" t="n">
        <v>150</v>
      </c>
      <c r="J405" s="13" t="n">
        <v>25</v>
      </c>
      <c r="K405" t="n">
        <v>35</v>
      </c>
      <c r="L405" s="13" t="n">
        <v>1.7</v>
      </c>
      <c r="M405" s="12" t="n"/>
      <c r="N405" s="8" t="n">
        <v>1.119937132656256</v>
      </c>
      <c r="O405" s="15" t="n">
        <v>0.9014228547308381</v>
      </c>
      <c r="P405" s="15" t="n">
        <v>1.056139008648399</v>
      </c>
      <c r="Q405" s="15" t="n">
        <v>0.0009851338505721555</v>
      </c>
      <c r="R405" s="15" t="n">
        <v>0.02610053600053525</v>
      </c>
      <c r="S405" s="15" t="n">
        <v>0.00179610659597519</v>
      </c>
      <c r="T405" s="29">
        <f>HIPERLINK($A$1 &amp; "\Dados\Imagem_perfil_405.png", "Imagem_perfil_405")</f>
        <v/>
      </c>
      <c r="U405" s="29">
        <f>HIPERLINK($A$1 &amp; "\Dados\Results_airgap405.txt", "Results_airgap405")</f>
        <v/>
      </c>
      <c r="V405" s="19" t="n"/>
      <c r="W405" s="15" t="n">
        <v>1.391074565217391</v>
      </c>
      <c r="X405" s="15" t="n">
        <v>0.7061011026743688</v>
      </c>
      <c r="Y405" s="15" t="n">
        <v>0.3234875485697802</v>
      </c>
      <c r="Z405" s="15" t="n">
        <v>0.1667454085256679</v>
      </c>
      <c r="AA405" s="15" t="n">
        <v>0.01218347468398841</v>
      </c>
      <c r="AB405" s="15" t="n">
        <v>2.134951884009867</v>
      </c>
      <c r="AC405" s="15" t="n">
        <v>10.16995978718859</v>
      </c>
      <c r="AD405" s="15" t="n">
        <v>31.04068345113257</v>
      </c>
      <c r="AE405" s="15" t="n">
        <v>69.4725809782724</v>
      </c>
      <c r="AF405" s="15" t="n">
        <v>108.1349161312106</v>
      </c>
      <c r="AH405" s="29">
        <f>HIPERLINK($A$1 &amp; "\Dados\Magnet_fields.txt_405.txt.txt", "Magnet_fields.txt_405.txt")</f>
        <v/>
      </c>
      <c r="AI405" t="n">
        <v>7621</v>
      </c>
      <c r="AJ405" t="n">
        <v>29</v>
      </c>
      <c r="AK405" s="29">
        <f>HIPERLINK($A$1 &amp; "\Dados\Magnet_3D_results.txt_405.txt.txt", "Magnet_3D_results.txt_405.txt")</f>
        <v/>
      </c>
      <c r="AL405" s="29">
        <f>HIPERLINK($A$1 &amp; "\Dados\Magnet_fields_2D.txt_405.txt.txt", "Magnet_fields_2D.txt_405.txt")</f>
        <v/>
      </c>
    </row>
    <row customHeight="1" ht="15.75" r="406" s="34">
      <c r="E406" s="15" t="n">
        <v>120</v>
      </c>
      <c r="F406" s="15" t="n">
        <v>170</v>
      </c>
      <c r="G406" s="15" t="n">
        <v>350</v>
      </c>
      <c r="H406" s="15" t="n">
        <v>35</v>
      </c>
      <c r="I406" s="15" t="n">
        <v>150</v>
      </c>
      <c r="J406" s="13" t="n">
        <v>25</v>
      </c>
      <c r="K406" t="n">
        <v>35</v>
      </c>
      <c r="L406" s="13" t="n">
        <v>1.9</v>
      </c>
      <c r="M406" s="12" t="n"/>
      <c r="N406" s="8" t="n">
        <v>1.123014627305445</v>
      </c>
      <c r="O406" s="15" t="n">
        <v>0.9038383682704935</v>
      </c>
      <c r="P406" s="15" t="n">
        <v>1.059041355563314</v>
      </c>
      <c r="Q406" s="15" t="n">
        <v>0.0009849922868684345</v>
      </c>
      <c r="R406" s="15" t="n">
        <v>0.02619607781084351</v>
      </c>
      <c r="S406" s="15" t="n">
        <v>0.001797872961812028</v>
      </c>
      <c r="T406" s="29">
        <f>HIPERLINK($A$1 &amp; "\Dados\Imagem_perfil_406.png", "Imagem_perfil_406")</f>
        <v/>
      </c>
      <c r="U406" s="29">
        <f>HIPERLINK($A$1 &amp; "\Dados\Results_airgap406.txt", "Results_airgap406")</f>
        <v/>
      </c>
      <c r="V406" s="19" t="n"/>
      <c r="W406" s="15" t="n">
        <v>1.396237391304348</v>
      </c>
      <c r="X406" s="15" t="n">
        <v>0.7081171385883235</v>
      </c>
      <c r="Y406" s="15" t="n">
        <v>0.5120919429505927</v>
      </c>
      <c r="Z406" s="15" t="n">
        <v>0.1498504992917897</v>
      </c>
      <c r="AA406" s="15" t="n">
        <v>0.01218347468398841</v>
      </c>
      <c r="AB406" s="15" t="n">
        <v>2.656189131072284</v>
      </c>
      <c r="AC406" s="15" t="n">
        <v>11.33754272443171</v>
      </c>
      <c r="AD406" s="15" t="n">
        <v>32.03034814162579</v>
      </c>
      <c r="AE406" s="15" t="n">
        <v>69.93553174457089</v>
      </c>
      <c r="AF406" s="15" t="n">
        <v>108.2270300863533</v>
      </c>
      <c r="AH406" s="29">
        <f>HIPERLINK($A$1 &amp; "\Dados\Magnet_fields.txt_406.txt.txt", "Magnet_fields.txt_406.txt")</f>
        <v/>
      </c>
      <c r="AI406" t="n">
        <v>7621</v>
      </c>
      <c r="AJ406" t="n">
        <v>30</v>
      </c>
      <c r="AK406" s="29">
        <f>HIPERLINK($A$1 &amp; "\Dados\Magnet_3D_results.txt_406.txt.txt", "Magnet_3D_results.txt_406.txt")</f>
        <v/>
      </c>
      <c r="AL406" s="29">
        <f>HIPERLINK($A$1 &amp; "\Dados\Magnet_fields_2D.txt_406.txt.txt", "Magnet_fields_2D.txt_406.txt")</f>
        <v/>
      </c>
    </row>
    <row r="407">
      <c r="E407" s="15" t="n"/>
      <c r="F407" s="15" t="n"/>
      <c r="G407" s="15" t="n"/>
      <c r="H407" s="15" t="n"/>
      <c r="I407" s="15" t="n"/>
      <c r="J407" s="13" t="n"/>
      <c r="L407" s="13" t="n"/>
      <c r="M407" s="12" t="n"/>
      <c r="N407" s="8" t="n"/>
      <c r="O407" s="15" t="n"/>
      <c r="P407" s="15" t="n"/>
      <c r="Q407" s="15" t="n"/>
      <c r="R407" s="15" t="n"/>
      <c r="S407" s="15" t="n"/>
      <c r="T407" s="15" t="n"/>
      <c r="U407" s="15" t="n"/>
      <c r="V407" s="19" t="n"/>
      <c r="W407" s="15" t="n"/>
      <c r="X407" s="15" t="n"/>
      <c r="Y407" s="15" t="n"/>
      <c r="Z407" s="15" t="n"/>
      <c r="AA407" s="15" t="n"/>
      <c r="AB407" s="15" t="n"/>
      <c r="AC407" s="15" t="n"/>
      <c r="AD407" s="15" t="n"/>
      <c r="AE407" s="15" t="n"/>
      <c r="AF407" s="15" t="n"/>
    </row>
    <row customHeight="1" ht="15.75" r="408" s="34">
      <c r="D408" s="30" t="n"/>
      <c r="E408" s="15" t="n">
        <v>120</v>
      </c>
      <c r="F408" s="15" t="n">
        <v>170</v>
      </c>
      <c r="G408" s="15" t="n">
        <v>350</v>
      </c>
      <c r="H408" s="15" t="n">
        <v>45</v>
      </c>
      <c r="I408" s="15" t="n">
        <v>140</v>
      </c>
      <c r="J408" s="13" t="n">
        <v>25</v>
      </c>
      <c r="K408" t="n">
        <v>35</v>
      </c>
      <c r="L408" s="13" t="n">
        <v>1.3</v>
      </c>
      <c r="M408" s="12" t="n"/>
      <c r="N408" s="8" t="n">
        <v>1.053923454711755</v>
      </c>
      <c r="O408" s="15" t="n">
        <v>0.8040365416559533</v>
      </c>
      <c r="P408" s="15" t="n">
        <v>0.9792041020481526</v>
      </c>
      <c r="Q408" s="15" t="n">
        <v>0.001016105298797132</v>
      </c>
      <c r="R408" s="15" t="n">
        <v>0.02497328384586988</v>
      </c>
      <c r="S408" s="15" t="n">
        <v>0.002027538375058448</v>
      </c>
      <c r="T408" s="29">
        <f>HIPERLINK($A$1 &amp; "\Dados\Imagem_perfil_408.png", "Imagem_perfil_408")</f>
        <v/>
      </c>
      <c r="U408" s="29">
        <f>HIPERLINK($A$1 &amp; "\Dados\Results_airgap408.txt", "Results_airgap408")</f>
        <v/>
      </c>
      <c r="V408" s="19" t="n"/>
      <c r="W408" s="43" t="n">
        <v>1.33271347826087</v>
      </c>
      <c r="X408" s="15" t="n">
        <v>0.6751198300254855</v>
      </c>
      <c r="Y408" s="15" t="n">
        <v>0.03207519352248278</v>
      </c>
      <c r="Z408" s="15" t="n">
        <v>0.421136002843302</v>
      </c>
      <c r="AA408" s="15" t="n">
        <v>0.02735892404772237</v>
      </c>
      <c r="AB408" s="15" t="n">
        <v>0</v>
      </c>
      <c r="AC408" s="15" t="n">
        <v>0</v>
      </c>
      <c r="AD408" s="15" t="n">
        <v>20.60820537913887</v>
      </c>
      <c r="AE408" s="15" t="n">
        <v>64.72011997366445</v>
      </c>
      <c r="AF408" s="15" t="n">
        <v>107.0535981750921</v>
      </c>
      <c r="AH408" s="29">
        <f>HIPERLINK($A$1 &amp; "\Dados\Magnet_fields.txt_408.txt.txt", "Magnet_fields.txt_408.txt")</f>
        <v/>
      </c>
      <c r="AI408" t="n">
        <v>6750</v>
      </c>
      <c r="AJ408" t="n">
        <v>28</v>
      </c>
      <c r="AK408" s="29">
        <f>HIPERLINK($A$1 &amp; "\Dados\Magnet_3D_results.txt_408.txt.txt", "Magnet_3D_results.txt_408.txt")</f>
        <v/>
      </c>
      <c r="AL408" s="29">
        <f>HIPERLINK($A$1 &amp; "\Dados\Magnet_fields_2D.txt_408.txt.txt", "Magnet_fields_2D.txt_408.txt")</f>
        <v/>
      </c>
    </row>
    <row customHeight="1" ht="15.75" r="409" s="34">
      <c r="D409" s="30" t="n"/>
      <c r="E409" s="15" t="n">
        <v>120</v>
      </c>
      <c r="F409" s="15" t="n">
        <v>170</v>
      </c>
      <c r="G409" s="15" t="n">
        <v>350</v>
      </c>
      <c r="H409" s="15" t="n">
        <v>45</v>
      </c>
      <c r="I409" s="15" t="n">
        <v>140</v>
      </c>
      <c r="J409" s="13" t="n">
        <v>25</v>
      </c>
      <c r="K409" t="n">
        <v>35</v>
      </c>
      <c r="L409" s="13" t="n">
        <v>1.5</v>
      </c>
      <c r="M409" s="12" t="n"/>
      <c r="N409" s="8" t="n">
        <v>1.085502799921517</v>
      </c>
      <c r="O409" s="15" t="n">
        <v>0.8283942772143824</v>
      </c>
      <c r="P409" s="15" t="n">
        <v>1.00864006422237</v>
      </c>
      <c r="Q409" s="15" t="n">
        <v>0.001013680597834343</v>
      </c>
      <c r="R409" s="15" t="n">
        <v>0.02582175906737611</v>
      </c>
      <c r="S409" s="15" t="n">
        <v>0.00204697216363277</v>
      </c>
      <c r="T409" s="29">
        <f>HIPERLINK($A$1 &amp; "\Dados\Imagem_perfil_409.png", "Imagem_perfil_409")</f>
        <v/>
      </c>
      <c r="U409" s="29">
        <f>HIPERLINK($A$1 &amp; "\Dados\Results_airgap409.txt", "Results_airgap409")</f>
        <v/>
      </c>
      <c r="V409" s="19" t="n"/>
      <c r="W409" s="43" t="n">
        <v>1.378613695652174</v>
      </c>
      <c r="X409" s="15" t="n">
        <v>0.6963382417414604</v>
      </c>
      <c r="Y409" s="15" t="n">
        <v>0.150752507037676</v>
      </c>
      <c r="Z409" s="15" t="n">
        <v>0.211017732847665</v>
      </c>
      <c r="AA409" s="15" t="n">
        <v>0.02119145019213523</v>
      </c>
      <c r="AB409" s="15" t="n">
        <v>0.8832588642843155</v>
      </c>
      <c r="AC409" s="15" t="n">
        <v>7.499884974692368</v>
      </c>
      <c r="AD409" s="15" t="n">
        <v>28.89494624808445</v>
      </c>
      <c r="AE409" s="15" t="n">
        <v>68.43011211770883</v>
      </c>
      <c r="AF409" s="15" t="n">
        <v>107.9327477245346</v>
      </c>
      <c r="AH409" s="29">
        <f>HIPERLINK($A$1 &amp; "\Dados\Magnet_fields.txt_409.txt.txt", "Magnet_fields.txt_409.txt")</f>
        <v/>
      </c>
      <c r="AI409" t="n">
        <v>6750</v>
      </c>
      <c r="AJ409" t="n">
        <v>28</v>
      </c>
      <c r="AK409" s="29">
        <f>HIPERLINK($A$1 &amp; "\Dados\Magnet_3D_results.txt_409.txt.txt", "Magnet_3D_results.txt_409.txt")</f>
        <v/>
      </c>
      <c r="AL409" s="29">
        <f>HIPERLINK($A$1 &amp; "\Dados\Magnet_fields_2D.txt_409.txt.txt", "Magnet_fields_2D.txt_409.txt")</f>
        <v/>
      </c>
    </row>
    <row customHeight="1" ht="15.75" r="410" s="34">
      <c r="D410" s="30" t="n"/>
      <c r="E410" s="15" t="n">
        <v>120</v>
      </c>
      <c r="F410" s="15" t="n">
        <v>170</v>
      </c>
      <c r="G410" s="15" t="n">
        <v>350</v>
      </c>
      <c r="H410" s="15" t="n">
        <v>45</v>
      </c>
      <c r="I410" s="15" t="n">
        <v>140</v>
      </c>
      <c r="J410" s="13" t="n">
        <v>25</v>
      </c>
      <c r="K410" t="n">
        <v>35</v>
      </c>
      <c r="L410" s="13" t="n">
        <v>1.7</v>
      </c>
      <c r="M410" s="12" t="n"/>
      <c r="N410" s="8" t="n">
        <v>1.096745577952214</v>
      </c>
      <c r="O410" s="15" t="n">
        <v>0.8370508296853524</v>
      </c>
      <c r="P410" s="15" t="n">
        <v>1.019109878959664</v>
      </c>
      <c r="Q410" s="15" t="n">
        <v>0.001009306371795121</v>
      </c>
      <c r="R410" s="15" t="n">
        <v>0.02607955634335137</v>
      </c>
      <c r="S410" s="15" t="n">
        <v>0.002048661686571735</v>
      </c>
      <c r="T410" s="29">
        <f>HIPERLINK($A$1 &amp; "\Dados\Imagem_perfil_410.png", "Imagem_perfil_410")</f>
        <v/>
      </c>
      <c r="U410" s="29">
        <f>HIPERLINK($A$1 &amp; "\Dados\Results_airgap410.txt", "Results_airgap410")</f>
        <v/>
      </c>
      <c r="V410" s="19" t="n"/>
      <c r="W410" s="15" t="n">
        <v>1.391172826086956</v>
      </c>
      <c r="X410" s="15" t="n">
        <v>0.7039290240935641</v>
      </c>
      <c r="Y410" s="15" t="n">
        <v>0.323446802046977</v>
      </c>
      <c r="Z410" s="15" t="n">
        <v>0.1519280204852665</v>
      </c>
      <c r="AA410" s="15" t="n">
        <v>0.01072102931905801</v>
      </c>
      <c r="AB410" s="15" t="n">
        <v>2.124562030416889</v>
      </c>
      <c r="AC410" s="15" t="n">
        <v>10.1603752235213</v>
      </c>
      <c r="AD410" s="15" t="n">
        <v>31.06917527363273</v>
      </c>
      <c r="AE410" s="15" t="n">
        <v>69.50419137366814</v>
      </c>
      <c r="AF410" s="15" t="n">
        <v>108.1243568340874</v>
      </c>
      <c r="AH410" s="29">
        <f>HIPERLINK($A$1 &amp; "\Dados\Magnet_fields.txt_410.txt.txt", "Magnet_fields.txt_410.txt")</f>
        <v/>
      </c>
      <c r="AI410" t="n">
        <v>6750</v>
      </c>
      <c r="AJ410" t="n">
        <v>28</v>
      </c>
      <c r="AK410" s="29">
        <f>HIPERLINK($A$1 &amp; "\Dados\Magnet_3D_results.txt_410.txt.txt", "Magnet_3D_results.txt_410.txt")</f>
        <v/>
      </c>
      <c r="AL410" s="29">
        <f>HIPERLINK($A$1 &amp; "\Dados\Magnet_fields_2D.txt_410.txt.txt", "Magnet_fields_2D.txt_410.txt")</f>
        <v/>
      </c>
    </row>
    <row customHeight="1" ht="15.75" r="411" s="34">
      <c r="D411" s="30" t="n"/>
      <c r="E411" s="15" t="n">
        <v>120</v>
      </c>
      <c r="F411" s="15" t="n">
        <v>170</v>
      </c>
      <c r="G411" s="15" t="n">
        <v>350</v>
      </c>
      <c r="H411" s="15" t="n">
        <v>45</v>
      </c>
      <c r="I411" s="15" t="n">
        <v>140</v>
      </c>
      <c r="J411" s="13" t="n">
        <v>25</v>
      </c>
      <c r="K411" t="n">
        <v>35</v>
      </c>
      <c r="L411" s="13" t="n">
        <v>1.9</v>
      </c>
      <c r="M411" s="12" t="n"/>
      <c r="N411" s="8" t="n">
        <v>1.099501212542346</v>
      </c>
      <c r="O411" s="15" t="n">
        <v>0.8391859327672491</v>
      </c>
      <c r="P411" s="15" t="n">
        <v>1.021702909894046</v>
      </c>
      <c r="Q411" s="15" t="n">
        <v>0.001008890527061601</v>
      </c>
      <c r="R411" s="15" t="n">
        <v>0.02613501158932317</v>
      </c>
      <c r="S411" s="15" t="n">
        <v>0.002049425412309662</v>
      </c>
      <c r="T411" s="29">
        <f>HIPERLINK($A$1 &amp; "\Dados\Imagem_perfil_411.png", "Imagem_perfil_411")</f>
        <v/>
      </c>
      <c r="U411" s="29">
        <f>HIPERLINK($A$1 &amp; "\Dados\Results_airgap411.txt", "Results_airgap411")</f>
        <v/>
      </c>
      <c r="V411" s="19" t="n"/>
      <c r="W411" s="15" t="n">
        <v>1.396237391304348</v>
      </c>
      <c r="X411" s="15" t="n">
        <v>0.7058115904256675</v>
      </c>
      <c r="Y411" s="15" t="n">
        <v>0.512046027024408</v>
      </c>
      <c r="Z411" s="15" t="n">
        <v>0.1519280204852665</v>
      </c>
      <c r="AA411" s="15" t="n">
        <v>0.01019224549803855</v>
      </c>
      <c r="AB411" s="15" t="n">
        <v>2.649069207489111</v>
      </c>
      <c r="AC411" s="15" t="n">
        <v>11.3321790298368</v>
      </c>
      <c r="AD411" s="15" t="n">
        <v>32.02638147167451</v>
      </c>
      <c r="AE411" s="15" t="n">
        <v>69.92255729027232</v>
      </c>
      <c r="AF411" s="15" t="n">
        <v>108.2075347057974</v>
      </c>
      <c r="AH411" s="29">
        <f>HIPERLINK($A$1 &amp; "\Dados\Magnet_fields.txt_411.txt.txt", "Magnet_fields.txt_411.txt")</f>
        <v/>
      </c>
      <c r="AI411" t="n">
        <v>6750</v>
      </c>
      <c r="AJ411" t="n">
        <v>27</v>
      </c>
      <c r="AK411" s="29">
        <f>HIPERLINK($A$1 &amp; "\Dados\Magnet_3D_results.txt_411.txt.txt", "Magnet_3D_results.txt_411.txt")</f>
        <v/>
      </c>
      <c r="AL411" s="29">
        <f>HIPERLINK($A$1 &amp; "\Dados\Magnet_fields_2D.txt_411.txt.txt", "Magnet_fields_2D.txt_411.txt")</f>
        <v/>
      </c>
    </row>
    <row customHeight="1" ht="15.75" r="412" s="34">
      <c r="D412" s="30" t="n"/>
      <c r="E412" s="15" t="n">
        <v>120</v>
      </c>
      <c r="F412" s="15" t="n">
        <v>170</v>
      </c>
      <c r="G412" s="15" t="n">
        <v>350</v>
      </c>
      <c r="H412" s="15" t="n">
        <v>45</v>
      </c>
      <c r="I412" s="15" t="n">
        <v>140</v>
      </c>
      <c r="J412" s="13" t="n">
        <v>25</v>
      </c>
      <c r="K412" t="n">
        <v>35</v>
      </c>
      <c r="L412" s="13" t="n">
        <v>2.1</v>
      </c>
      <c r="M412" s="12" t="n"/>
      <c r="N412" s="8" t="n">
        <v>1.100093756753013</v>
      </c>
      <c r="O412" s="15" t="n">
        <v>0.8396241314819517</v>
      </c>
      <c r="P412" s="15" t="n">
        <v>1.022222961460766</v>
      </c>
      <c r="Q412" s="15" t="n">
        <v>0.001006971593103154</v>
      </c>
      <c r="R412" s="15" t="n">
        <v>0.02616337894720273</v>
      </c>
      <c r="S412" s="15" t="n">
        <v>0.002048164752814868</v>
      </c>
      <c r="T412" s="29">
        <f>HIPERLINK($A$1 &amp; "\Dados\Imagem_perfil_412.png", "Imagem_perfil_412")</f>
        <v/>
      </c>
      <c r="U412" s="29">
        <f>HIPERLINK($A$1 &amp; "\Dados\Results_airgap412.txt", "Results_airgap412")</f>
        <v/>
      </c>
      <c r="V412" s="19" t="n"/>
      <c r="W412" s="15" t="n">
        <v>1.399048260869565</v>
      </c>
      <c r="X412" s="15" t="n">
        <v>0.706207827849108</v>
      </c>
      <c r="Y412" s="15" t="n">
        <v>0.6987706085813573</v>
      </c>
      <c r="Z412" s="15" t="n">
        <v>0.1096095425513076</v>
      </c>
      <c r="AA412" s="15" t="n">
        <v>0.007438058676709718</v>
      </c>
      <c r="AB412" s="15" t="n">
        <v>2.964387265599044</v>
      </c>
      <c r="AC412" s="15" t="n">
        <v>11.99036544502317</v>
      </c>
      <c r="AD412" s="15" t="n">
        <v>32.57058730627548</v>
      </c>
      <c r="AE412" s="15" t="n">
        <v>70.19976497162369</v>
      </c>
      <c r="AF412" s="15" t="n">
        <v>108.2956174671237</v>
      </c>
      <c r="AH412" s="29">
        <f>HIPERLINK($A$1 &amp; "\Dados\Magnet_fields.txt_412.txt.txt", "Magnet_fields.txt_412.txt")</f>
        <v/>
      </c>
      <c r="AI412" t="n">
        <v>6750</v>
      </c>
      <c r="AJ412" t="n">
        <v>28</v>
      </c>
      <c r="AK412" s="29">
        <f>HIPERLINK($A$1 &amp; "\Dados\Magnet_3D_results.txt_412.txt.txt", "Magnet_3D_results.txt_412.txt")</f>
        <v/>
      </c>
      <c r="AL412" s="29">
        <f>HIPERLINK($A$1 &amp; "\Dados\Magnet_fields_2D.txt_412.txt.txt", "Magnet_fields_2D.txt_412.txt")</f>
        <v/>
      </c>
    </row>
    <row customHeight="1" ht="15.75" r="413" s="34">
      <c r="D413" s="30" t="n"/>
      <c r="E413" s="15" t="n">
        <v>120</v>
      </c>
      <c r="F413" s="15" t="n">
        <v>170</v>
      </c>
      <c r="G413" s="15" t="n">
        <v>350</v>
      </c>
      <c r="H413" s="15" t="n">
        <v>25</v>
      </c>
      <c r="I413" s="15" t="n">
        <v>180</v>
      </c>
      <c r="J413" s="13" t="n">
        <v>25</v>
      </c>
      <c r="K413" t="n">
        <v>35</v>
      </c>
      <c r="L413" s="13" t="n">
        <v>1.3</v>
      </c>
      <c r="M413" s="12" t="n"/>
      <c r="N413" s="8" t="n">
        <v>1.122590192837992</v>
      </c>
      <c r="O413" s="15" t="n">
        <v>0.9665694301540272</v>
      </c>
      <c r="P413" s="15" t="n">
        <v>1.069395614031747</v>
      </c>
      <c r="Q413" s="15" t="n">
        <v>0.001034549878300728</v>
      </c>
      <c r="R413" s="15" t="n">
        <v>0.02244843106507427</v>
      </c>
      <c r="S413" s="15" t="n">
        <v>0.001164675587053309</v>
      </c>
      <c r="T413" s="29">
        <f>HIPERLINK($A$1 &amp; "\Dados\Imagem_perfil_413.png", "Imagem_perfil_413")</f>
        <v/>
      </c>
      <c r="U413" s="29">
        <f>HIPERLINK($A$1 &amp; "\Dados\Results_airgap413.txt", "Results_airgap413")</f>
        <v/>
      </c>
      <c r="V413" s="19" t="n"/>
      <c r="W413" s="43" t="n">
        <v>1.332656086956522</v>
      </c>
      <c r="X413" s="15" t="n">
        <v>0.6921463500120589</v>
      </c>
      <c r="Y413" s="15" t="n">
        <v>0.03211066989847493</v>
      </c>
      <c r="Z413" s="15" t="n">
        <v>0.9916722519879307</v>
      </c>
      <c r="AA413" s="15" t="n">
        <v>3.667845701950611</v>
      </c>
      <c r="AB413" s="15" t="n">
        <v>0</v>
      </c>
      <c r="AC413" s="15" t="n">
        <v>0</v>
      </c>
      <c r="AD413" s="15" t="n">
        <v>20.62480272044432</v>
      </c>
      <c r="AE413" s="15" t="n">
        <v>64.73142426759475</v>
      </c>
      <c r="AF413" s="15" t="n">
        <v>107.0574613294342</v>
      </c>
      <c r="AH413" s="29">
        <f>HIPERLINK($A$1 &amp; "\Dados\Magnet_fields.txt_413.txt.txt", "Magnet_fields.txt_413.txt")</f>
        <v/>
      </c>
      <c r="AI413" t="n">
        <v>9914</v>
      </c>
      <c r="AJ413" t="n">
        <v>30</v>
      </c>
      <c r="AK413" s="29">
        <f>HIPERLINK($A$1 &amp; "\Dados\Magnet_3D_results.txt_413.txt.txt", "Magnet_3D_results.txt_413.txt")</f>
        <v/>
      </c>
      <c r="AL413" s="29">
        <f>HIPERLINK($A$1 &amp; "\Dados\Magnet_fields_2D.txt_413.txt.txt", "Magnet_fields_2D.txt_413.txt")</f>
        <v/>
      </c>
    </row>
    <row customHeight="1" ht="15.75" r="414" s="34">
      <c r="D414" s="30" t="n"/>
      <c r="E414" s="15" t="n">
        <v>120</v>
      </c>
      <c r="F414" s="15" t="n">
        <v>170</v>
      </c>
      <c r="G414" s="15" t="n">
        <v>350</v>
      </c>
      <c r="H414" s="15" t="n">
        <v>25</v>
      </c>
      <c r="I414" s="15" t="n">
        <v>180</v>
      </c>
      <c r="J414" s="13" t="n">
        <v>25</v>
      </c>
      <c r="K414" t="n">
        <v>35</v>
      </c>
      <c r="L414" s="13" t="n">
        <v>1.5</v>
      </c>
      <c r="M414" s="12" t="n"/>
      <c r="N414" s="8" t="n">
        <v>1.162386530870448</v>
      </c>
      <c r="O414" s="15" t="n">
        <v>1.002486559222689</v>
      </c>
      <c r="P414" s="15" t="n">
        <v>1.10786219281499</v>
      </c>
      <c r="Q414" s="15" t="n">
        <v>0.001037794799481427</v>
      </c>
      <c r="R414" s="15" t="n">
        <v>0.02440944734456316</v>
      </c>
      <c r="S414" s="15" t="n">
        <v>0.00117730355928368</v>
      </c>
      <c r="T414" s="29">
        <f>HIPERLINK($A$1 &amp; "\Dados\Imagem_perfil_414.png", "Imagem_perfil_414")</f>
        <v/>
      </c>
      <c r="U414" s="29">
        <f>HIPERLINK($A$1 &amp; "\Dados\Results_airgap414.txt", "Results_airgap414")</f>
        <v/>
      </c>
      <c r="V414" s="19" t="n"/>
      <c r="W414" s="43" t="n">
        <v>1.378567391304348</v>
      </c>
      <c r="X414" s="15" t="n">
        <v>0.7183922671004698</v>
      </c>
      <c r="Y414" s="15" t="n">
        <v>0.1508330623940073</v>
      </c>
      <c r="Z414" s="15" t="n">
        <v>0.5885186134515265</v>
      </c>
      <c r="AA414" s="15" t="n">
        <v>2.07033756513281</v>
      </c>
      <c r="AB414" s="15" t="n">
        <v>0.8768859679256013</v>
      </c>
      <c r="AC414" s="15" t="n">
        <v>7.507613577420834</v>
      </c>
      <c r="AD414" s="15" t="n">
        <v>28.90670236211663</v>
      </c>
      <c r="AE414" s="15" t="n">
        <v>68.45103803549921</v>
      </c>
      <c r="AF414" s="15" t="n">
        <v>107.9281509572468</v>
      </c>
      <c r="AH414" s="29">
        <f>HIPERLINK($A$1 &amp; "\Dados\Magnet_fields.txt_414.txt.txt", "Magnet_fields.txt_414.txt")</f>
        <v/>
      </c>
      <c r="AI414" t="n">
        <v>9914</v>
      </c>
      <c r="AJ414" t="n">
        <v>29</v>
      </c>
      <c r="AK414" s="29">
        <f>HIPERLINK($A$1 &amp; "\Dados\Magnet_3D_results.txt_414.txt.txt", "Magnet_3D_results.txt_414.txt")</f>
        <v/>
      </c>
      <c r="AL414" s="29">
        <f>HIPERLINK($A$1 &amp; "\Dados\Magnet_fields_2D.txt_414.txt.txt", "Magnet_fields_2D.txt_414.txt")</f>
        <v/>
      </c>
    </row>
    <row customHeight="1" ht="15.75" r="415" s="34">
      <c r="D415" s="30" t="n"/>
      <c r="E415" s="15" t="n">
        <v>120</v>
      </c>
      <c r="F415" s="15" t="n">
        <v>170</v>
      </c>
      <c r="G415" s="15" t="n">
        <v>350</v>
      </c>
      <c r="H415" s="15" t="n">
        <v>25</v>
      </c>
      <c r="I415" s="15" t="n">
        <v>180</v>
      </c>
      <c r="J415" s="13" t="n">
        <v>25</v>
      </c>
      <c r="K415" t="n">
        <v>35</v>
      </c>
      <c r="L415" s="13" t="n">
        <v>1.7</v>
      </c>
      <c r="M415" s="12" t="n"/>
      <c r="N415" s="8" t="n">
        <v>1.177056177649912</v>
      </c>
      <c r="O415" s="15" t="n">
        <v>1.015740877303348</v>
      </c>
      <c r="P415" s="15" t="n">
        <v>1.122205820190281</v>
      </c>
      <c r="Q415" s="15" t="n">
        <v>0.001036301331532624</v>
      </c>
      <c r="R415" s="15" t="n">
        <v>0.02517453718372821</v>
      </c>
      <c r="S415" s="15" t="n">
        <v>0.001179455339806976</v>
      </c>
      <c r="T415" s="29">
        <f>HIPERLINK($A$1 &amp; "\Dados\Imagem_perfil_415.png", "Imagem_perfil_415")</f>
        <v/>
      </c>
      <c r="U415" s="29">
        <f>HIPERLINK($A$1 &amp; "\Dados\Results_airgap415.txt", "Results_airgap415")</f>
        <v/>
      </c>
      <c r="V415" s="19" t="n"/>
      <c r="W415" s="15" t="n">
        <v>1.391240869565217</v>
      </c>
      <c r="X415" s="15" t="n">
        <v>0.7280476719184044</v>
      </c>
      <c r="Y415" s="15" t="n">
        <v>0.3235527372382968</v>
      </c>
      <c r="Z415" s="15" t="n">
        <v>0.4723199639948394</v>
      </c>
      <c r="AA415" s="15" t="n">
        <v>1.452893508660444</v>
      </c>
      <c r="AB415" s="15" t="n">
        <v>2.179801526923163</v>
      </c>
      <c r="AC415" s="15" t="n">
        <v>10.171923601131</v>
      </c>
      <c r="AD415" s="15" t="n">
        <v>31.10668010657415</v>
      </c>
      <c r="AE415" s="15" t="n">
        <v>69.52773600540614</v>
      </c>
      <c r="AF415" s="15" t="n">
        <v>108.1207793889698</v>
      </c>
      <c r="AH415" s="29">
        <f>HIPERLINK($A$1 &amp; "\Dados\Magnet_fields.txt_415.txt.txt", "Magnet_fields.txt_415.txt")</f>
        <v/>
      </c>
      <c r="AI415" t="n">
        <v>9914</v>
      </c>
      <c r="AJ415" t="n">
        <v>29</v>
      </c>
      <c r="AK415" s="29">
        <f>HIPERLINK($A$1 &amp; "\Dados\Magnet_3D_results.txt_415.txt.txt", "Magnet_3D_results.txt_415.txt")</f>
        <v/>
      </c>
      <c r="AL415" s="29">
        <f>HIPERLINK($A$1 &amp; "\Dados\Magnet_fields_2D.txt_415.txt.txt", "Magnet_fields_2D.txt_415.txt")</f>
        <v/>
      </c>
    </row>
    <row customHeight="1" ht="15.75" r="416" s="34">
      <c r="D416" s="30" t="n"/>
      <c r="E416" s="15" t="n">
        <v>120</v>
      </c>
      <c r="F416" s="15" t="n">
        <v>170</v>
      </c>
      <c r="G416" s="15" t="n">
        <v>350</v>
      </c>
      <c r="H416" s="15" t="n">
        <v>25</v>
      </c>
      <c r="I416" s="15" t="n">
        <v>180</v>
      </c>
      <c r="J416" s="13" t="n">
        <v>25</v>
      </c>
      <c r="K416" t="n">
        <v>35</v>
      </c>
      <c r="L416" s="13" t="n">
        <v>1.9</v>
      </c>
      <c r="M416" s="12" t="n"/>
      <c r="N416" s="8" t="n">
        <v>1.180628784159343</v>
      </c>
      <c r="O416" s="15" t="n">
        <v>1.019078591337548</v>
      </c>
      <c r="P416" s="15" t="n">
        <v>1.125701762356287</v>
      </c>
      <c r="Q416" s="15" t="n">
        <v>0.001036559803305659</v>
      </c>
      <c r="R416" s="15" t="n">
        <v>0.02533956656068689</v>
      </c>
      <c r="S416" s="15" t="n">
        <v>0.001180463552475536</v>
      </c>
      <c r="T416" s="29">
        <f>HIPERLINK($A$1 &amp; "\Dados\Imagem_perfil_416.png", "Imagem_perfil_416")</f>
        <v/>
      </c>
      <c r="U416" s="29">
        <f>HIPERLINK($A$1 &amp; "\Dados\Results_airgap416.txt", "Results_airgap416")</f>
        <v/>
      </c>
      <c r="V416" s="19" t="n"/>
      <c r="W416" s="15" t="n">
        <v>1.396207608695652</v>
      </c>
      <c r="X416" s="15" t="n">
        <v>0.7304146749201091</v>
      </c>
      <c r="Y416" s="15" t="n">
        <v>0.5121649771421855</v>
      </c>
      <c r="Z416" s="15" t="n">
        <v>0.4640270007611842</v>
      </c>
      <c r="AA416" s="15" t="n">
        <v>1.240602361632778</v>
      </c>
      <c r="AB416" s="15" t="n">
        <v>2.683484140883678</v>
      </c>
      <c r="AC416" s="15" t="n">
        <v>11.33090671634495</v>
      </c>
      <c r="AD416" s="15" t="n">
        <v>32.04026995778746</v>
      </c>
      <c r="AE416" s="15" t="n">
        <v>69.93875239090117</v>
      </c>
      <c r="AF416" s="15" t="n">
        <v>108.223983572898</v>
      </c>
      <c r="AH416" s="29">
        <f>HIPERLINK($A$1 &amp; "\Dados\Magnet_fields.txt_416.txt.txt", "Magnet_fields.txt_416.txt")</f>
        <v/>
      </c>
      <c r="AI416" t="n">
        <v>9914</v>
      </c>
      <c r="AJ416" t="n">
        <v>30</v>
      </c>
      <c r="AK416" s="29">
        <f>HIPERLINK($A$1 &amp; "\Dados\Magnet_3D_results.txt_416.txt.txt", "Magnet_3D_results.txt_416.txt")</f>
        <v/>
      </c>
      <c r="AL416" s="29">
        <f>HIPERLINK($A$1 &amp; "\Dados\Magnet_fields_2D.txt_416.txt.txt", "Magnet_fields_2D.txt_416.txt")</f>
        <v/>
      </c>
    </row>
    <row customHeight="1" ht="15.75" r="417" s="34">
      <c r="D417" s="30" t="n"/>
      <c r="E417" s="15" t="n">
        <v>120</v>
      </c>
      <c r="F417" s="15" t="n">
        <v>170</v>
      </c>
      <c r="G417" s="15" t="n">
        <v>350</v>
      </c>
      <c r="H417" s="15" t="n">
        <v>25</v>
      </c>
      <c r="I417" s="15" t="n">
        <v>180</v>
      </c>
      <c r="J417" s="13" t="n">
        <v>25</v>
      </c>
      <c r="K417" t="n">
        <v>35</v>
      </c>
      <c r="L417" s="13" t="n">
        <v>2.1</v>
      </c>
      <c r="M417" s="12" t="n"/>
      <c r="N417" s="8" t="n">
        <v>1.181734087253735</v>
      </c>
      <c r="O417" s="15" t="n">
        <v>1.019975915253158</v>
      </c>
      <c r="P417" s="15" t="n">
        <v>1.12673008834063</v>
      </c>
      <c r="Q417" s="15" t="n">
        <v>0.001035226638250684</v>
      </c>
      <c r="R417" s="15" t="n">
        <v>0.0254861761238399</v>
      </c>
      <c r="S417" s="15" t="n">
        <v>0.001179883496739672</v>
      </c>
      <c r="T417" s="29">
        <f>HIPERLINK($A$1 &amp; "\Dados\Imagem_perfil_417.png", "Imagem_perfil_417")</f>
        <v/>
      </c>
      <c r="U417" s="29">
        <f>HIPERLINK($A$1 &amp; "\Dados\Results_airgap417.txt", "Results_airgap417")</f>
        <v/>
      </c>
      <c r="V417" s="19" t="n"/>
      <c r="W417" s="15" t="n">
        <v>1.398935</v>
      </c>
      <c r="X417" s="15" t="n">
        <v>0.7312140012577647</v>
      </c>
      <c r="Y417" s="15" t="n">
        <v>0.6988960886799234</v>
      </c>
      <c r="Z417" s="15" t="n">
        <v>0.4465714548335199</v>
      </c>
      <c r="AA417" s="15" t="n">
        <v>1.11966876326849</v>
      </c>
      <c r="AB417" s="15" t="n">
        <v>2.932675115543755</v>
      </c>
      <c r="AC417" s="15" t="n">
        <v>11.98060509302854</v>
      </c>
      <c r="AD417" s="15" t="n">
        <v>32.57903899703928</v>
      </c>
      <c r="AE417" s="15" t="n">
        <v>70.21067513486709</v>
      </c>
      <c r="AF417" s="15" t="n">
        <v>108.2937609629776</v>
      </c>
      <c r="AH417" s="29">
        <f>HIPERLINK($A$1 &amp; "\Dados\Magnet_fields.txt_417.txt.txt", "Magnet_fields.txt_417.txt")</f>
        <v/>
      </c>
      <c r="AI417" t="n">
        <v>9914</v>
      </c>
      <c r="AJ417" t="n">
        <v>30</v>
      </c>
      <c r="AK417" s="29">
        <f>HIPERLINK($A$1 &amp; "\Dados\Magnet_3D_results.txt_417.txt.txt", "Magnet_3D_results.txt_417.txt")</f>
        <v/>
      </c>
      <c r="AL417" s="29">
        <f>HIPERLINK($A$1 &amp; "\Dados\Magnet_fields_2D.txt_417.txt.txt", "Magnet_fields_2D.txt_417.txt")</f>
        <v/>
      </c>
    </row>
    <row customHeight="1" ht="15.75" r="418" s="34">
      <c r="D418" s="30" t="n"/>
      <c r="E418" s="15" t="n">
        <v>120</v>
      </c>
      <c r="F418" s="15" t="n">
        <v>170</v>
      </c>
      <c r="G418" s="15" t="n">
        <v>350</v>
      </c>
      <c r="H418" s="15" t="n">
        <v>45</v>
      </c>
      <c r="I418" s="15" t="n">
        <v>180</v>
      </c>
      <c r="J418" s="13" t="n">
        <v>25</v>
      </c>
      <c r="K418" t="n">
        <v>35</v>
      </c>
      <c r="L418" s="13" t="n">
        <v>1.3</v>
      </c>
      <c r="M418" s="12" t="n"/>
      <c r="N418" s="8" t="n">
        <v>1.137301543465205</v>
      </c>
      <c r="O418" s="15" t="n">
        <v>0.9802257713053593</v>
      </c>
      <c r="P418" s="15" t="n">
        <v>1.083927382869472</v>
      </c>
      <c r="Q418" s="15" t="n">
        <v>0.00106690960353817</v>
      </c>
      <c r="R418" s="15" t="n">
        <v>0.02584782671180644</v>
      </c>
      <c r="S418" s="15" t="n">
        <v>0.001224001813334645</v>
      </c>
      <c r="T418" s="29">
        <f>HIPERLINK($A$1 &amp; "\Dados\Imagem_perfil_418.png", "Imagem_perfil_418")</f>
        <v/>
      </c>
      <c r="U418" s="29">
        <f>HIPERLINK($A$1 &amp; "\Dados\Results_airgap418.txt", "Results_airgap418")</f>
        <v/>
      </c>
      <c r="V418" s="19" t="n"/>
      <c r="W418" s="43" t="n">
        <v>1.33218347826087</v>
      </c>
      <c r="X418" s="15" t="n">
        <v>0.7139478108051368</v>
      </c>
      <c r="Y418" s="15" t="n">
        <v>0.03207730836182217</v>
      </c>
      <c r="Z418" s="15" t="n">
        <v>1.07816796707183</v>
      </c>
      <c r="AA418" s="15" t="n">
        <v>0.05683796706029299</v>
      </c>
      <c r="AB418" s="15" t="n">
        <v>0</v>
      </c>
      <c r="AC418" s="15" t="n">
        <v>0</v>
      </c>
      <c r="AD418" s="15" t="n">
        <v>20.52235493264755</v>
      </c>
      <c r="AE418" s="15" t="n">
        <v>64.53535640203867</v>
      </c>
      <c r="AF418" s="15" t="n">
        <v>106.8146142799599</v>
      </c>
      <c r="AH418" s="29">
        <f>HIPERLINK($A$1 &amp; "\Dados\Magnet_fields.txt_418.txt.txt", "Magnet_fields.txt_418.txt")</f>
        <v/>
      </c>
      <c r="AI418" t="n">
        <v>6657</v>
      </c>
      <c r="AJ418" t="n">
        <v>28</v>
      </c>
      <c r="AK418" s="29">
        <f>HIPERLINK($A$1 &amp; "\Dados\Magnet_3D_results.txt_418.txt.txt", "Magnet_3D_results.txt_418.txt")</f>
        <v/>
      </c>
      <c r="AL418" s="29">
        <f>HIPERLINK($A$1 &amp; "\Dados\Magnet_fields_2D.txt_418.txt.txt", "Magnet_fields_2D.txt_418.txt")</f>
        <v/>
      </c>
    </row>
    <row customHeight="1" ht="15.75" r="419" s="34">
      <c r="D419" s="30" t="n"/>
      <c r="E419" s="15" t="n">
        <v>120</v>
      </c>
      <c r="F419" s="15" t="n">
        <v>170</v>
      </c>
      <c r="G419" s="15" t="n">
        <v>350</v>
      </c>
      <c r="H419" s="15" t="n">
        <v>45</v>
      </c>
      <c r="I419" s="15" t="n">
        <v>180</v>
      </c>
      <c r="J419" s="13" t="n">
        <v>25</v>
      </c>
      <c r="K419" t="n">
        <v>35</v>
      </c>
      <c r="L419" s="13" t="n">
        <v>1.5</v>
      </c>
      <c r="M419" s="12" t="n"/>
      <c r="N419" s="8" t="n">
        <v>1.172948989971579</v>
      </c>
      <c r="O419" s="15" t="n">
        <v>1.012030829780677</v>
      </c>
      <c r="P419" s="15" t="n">
        <v>1.118218520187888</v>
      </c>
      <c r="Q419" s="15" t="n">
        <v>0.001060766166987346</v>
      </c>
      <c r="R419" s="15" t="n">
        <v>0.02675220022302589</v>
      </c>
      <c r="S419" s="15" t="n">
        <v>0.001222596439856412</v>
      </c>
      <c r="T419" s="29">
        <f>HIPERLINK($A$1 &amp; "\Dados\Imagem_perfil_419.png", "Imagem_perfil_419")</f>
        <v/>
      </c>
      <c r="U419" s="29">
        <f>HIPERLINK($A$1 &amp; "\Dados\Results_airgap419.txt", "Results_airgap419")</f>
        <v/>
      </c>
      <c r="V419" s="19" t="n"/>
      <c r="W419" s="43" t="n">
        <v>1.378609782608696</v>
      </c>
      <c r="X419" s="15" t="n">
        <v>0.7367242392462161</v>
      </c>
      <c r="Y419" s="15" t="n">
        <v>0.1507524883004417</v>
      </c>
      <c r="Z419" s="15" t="n">
        <v>0.6852505182131134</v>
      </c>
      <c r="AA419" s="15" t="n">
        <v>0.03127842446558716</v>
      </c>
      <c r="AB419" s="15" t="n">
        <v>0.8740051282623512</v>
      </c>
      <c r="AC419" s="15" t="n">
        <v>7.498658896331326</v>
      </c>
      <c r="AD419" s="15" t="n">
        <v>28.89954123951154</v>
      </c>
      <c r="AE419" s="15" t="n">
        <v>68.43024563406502</v>
      </c>
      <c r="AF419" s="15" t="n">
        <v>107.9175584850501</v>
      </c>
      <c r="AH419" s="29">
        <f>HIPERLINK($A$1 &amp; "\Dados\Magnet_fields.txt_419.txt.txt", "Magnet_fields.txt_419.txt")</f>
        <v/>
      </c>
      <c r="AI419" t="n">
        <v>6657</v>
      </c>
      <c r="AJ419" t="n">
        <v>29</v>
      </c>
      <c r="AK419" s="29">
        <f>HIPERLINK($A$1 &amp; "\Dados\Magnet_3D_results.txt_419.txt.txt", "Magnet_3D_results.txt_419.txt")</f>
        <v/>
      </c>
      <c r="AL419" s="29">
        <f>HIPERLINK($A$1 &amp; "\Dados\Magnet_fields_2D.txt_419.txt.txt", "Magnet_fields_2D.txt_419.txt")</f>
        <v/>
      </c>
    </row>
    <row customHeight="1" ht="15.75" r="420" s="34">
      <c r="D420" s="30" t="n"/>
      <c r="E420" s="15" t="n">
        <v>120</v>
      </c>
      <c r="F420" s="15" t="n">
        <v>170</v>
      </c>
      <c r="G420" s="15" t="n">
        <v>350</v>
      </c>
      <c r="H420" s="15" t="n">
        <v>45</v>
      </c>
      <c r="I420" s="15" t="n">
        <v>180</v>
      </c>
      <c r="J420" s="13" t="n">
        <v>25</v>
      </c>
      <c r="K420" t="n">
        <v>35</v>
      </c>
      <c r="L420" s="13" t="n">
        <v>1.7</v>
      </c>
      <c r="M420" s="12" t="n"/>
      <c r="N420" s="8" t="n">
        <v>1.184048936275097</v>
      </c>
      <c r="O420" s="15" t="n">
        <v>1.022003305812515</v>
      </c>
      <c r="P420" s="15" t="n">
        <v>1.129044675585923</v>
      </c>
      <c r="Q420" s="15" t="n">
        <v>0.001056233784970998</v>
      </c>
      <c r="R420" s="15" t="n">
        <v>0.02698663973620376</v>
      </c>
      <c r="S420" s="15" t="n">
        <v>0.001219323036867501</v>
      </c>
      <c r="T420" s="29">
        <f>HIPERLINK($A$1 &amp; "\Dados\Imagem_perfil_420.png", "Imagem_perfil_420")</f>
        <v/>
      </c>
      <c r="U420" s="29">
        <f>HIPERLINK($A$1 &amp; "\Dados\Results_airgap420.txt", "Results_airgap420")</f>
        <v/>
      </c>
      <c r="V420" s="19" t="n"/>
      <c r="W420" s="15" t="n">
        <v>1.390767826086956</v>
      </c>
      <c r="X420" s="15" t="n">
        <v>0.7437334632958971</v>
      </c>
      <c r="Y420" s="15" t="n">
        <v>0.3234475460126439</v>
      </c>
      <c r="Z420" s="15" t="n">
        <v>0.562682738532159</v>
      </c>
      <c r="AA420" s="15" t="n">
        <v>0.02460054808875026</v>
      </c>
      <c r="AB420" s="15" t="n">
        <v>2.131891817395853</v>
      </c>
      <c r="AC420" s="15" t="n">
        <v>10.10748549422973</v>
      </c>
      <c r="AD420" s="15" t="n">
        <v>30.97293303886775</v>
      </c>
      <c r="AE420" s="15" t="n">
        <v>69.39377106324115</v>
      </c>
      <c r="AF420" s="15" t="n">
        <v>108.1275496316702</v>
      </c>
      <c r="AH420" s="29">
        <f>HIPERLINK($A$1 &amp; "\Dados\Magnet_fields.txt_420.txt.txt", "Magnet_fields.txt_420.txt")</f>
        <v/>
      </c>
      <c r="AI420" t="n">
        <v>6657</v>
      </c>
      <c r="AJ420" t="n">
        <v>28</v>
      </c>
      <c r="AK420" s="29">
        <f>HIPERLINK($A$1 &amp; "\Dados\Magnet_3D_results.txt_420.txt.txt", "Magnet_3D_results.txt_420.txt")</f>
        <v/>
      </c>
      <c r="AL420" s="29">
        <f>HIPERLINK($A$1 &amp; "\Dados\Magnet_fields_2D.txt_420.txt.txt", "Magnet_fields_2D.txt_420.txt")</f>
        <v/>
      </c>
    </row>
    <row customHeight="1" ht="15.75" r="421" s="34">
      <c r="D421" s="30" t="n"/>
      <c r="E421" s="15" t="n">
        <v>120</v>
      </c>
      <c r="F421" s="15" t="n">
        <v>170</v>
      </c>
      <c r="G421" s="15" t="n">
        <v>350</v>
      </c>
      <c r="H421" s="15" t="n">
        <v>45</v>
      </c>
      <c r="I421" s="15" t="n">
        <v>180</v>
      </c>
      <c r="J421" s="13" t="n">
        <v>25</v>
      </c>
      <c r="K421" t="n">
        <v>35</v>
      </c>
      <c r="L421" s="13" t="n">
        <v>1.9</v>
      </c>
      <c r="M421" s="12" t="n"/>
      <c r="N421" s="8" t="n">
        <v>1.188869815736161</v>
      </c>
      <c r="O421" s="15" t="n">
        <v>1.026379566316182</v>
      </c>
      <c r="P421" s="15" t="n">
        <v>1.133739662004687</v>
      </c>
      <c r="Q421" s="15" t="n">
        <v>0.001055348623401966</v>
      </c>
      <c r="R421" s="15" t="n">
        <v>0.02708142954397882</v>
      </c>
      <c r="S421" s="15" t="n">
        <v>0.001218861951477523</v>
      </c>
      <c r="T421" s="29">
        <f>HIPERLINK($A$1 &amp; "\Dados\Imagem_perfil_421.png", "Imagem_perfil_421")</f>
        <v/>
      </c>
      <c r="U421" s="29">
        <f>HIPERLINK($A$1 &amp; "\Dados\Results_airgap421.txt", "Results_airgap421")</f>
        <v/>
      </c>
      <c r="V421" s="19" t="n"/>
      <c r="W421" s="15" t="n">
        <v>1.396235217391304</v>
      </c>
      <c r="X421" s="15" t="n">
        <v>0.7468007966604341</v>
      </c>
      <c r="Y421" s="15" t="n">
        <v>0.5120459834728491</v>
      </c>
      <c r="Z421" s="15" t="n">
        <v>0.5059971444413358</v>
      </c>
      <c r="AA421" s="15" t="n">
        <v>0.02178203984563697</v>
      </c>
      <c r="AB421" s="15" t="n">
        <v>2.656149405210688</v>
      </c>
      <c r="AC421" s="15" t="n">
        <v>11.32822467535244</v>
      </c>
      <c r="AD421" s="15" t="n">
        <v>32.02311626856181</v>
      </c>
      <c r="AE421" s="15" t="n">
        <v>69.92916688621742</v>
      </c>
      <c r="AF421" s="15" t="n">
        <v>108.215485771282</v>
      </c>
      <c r="AH421" s="29">
        <f>HIPERLINK($A$1 &amp; "\Dados\Magnet_fields.txt_421.txt.txt", "Magnet_fields.txt_421.txt")</f>
        <v/>
      </c>
      <c r="AI421" t="n">
        <v>6657</v>
      </c>
      <c r="AJ421" t="n">
        <v>29</v>
      </c>
      <c r="AK421" s="29">
        <f>HIPERLINK($A$1 &amp; "\Dados\Magnet_3D_results.txt_421.txt.txt", "Magnet_3D_results.txt_421.txt")</f>
        <v/>
      </c>
      <c r="AL421" s="29">
        <f>HIPERLINK($A$1 &amp; "\Dados\Magnet_fields_2D.txt_421.txt.txt", "Magnet_fields_2D.txt_421.txt")</f>
        <v/>
      </c>
    </row>
    <row customHeight="1" ht="15.75" r="422" s="34">
      <c r="D422" s="30" t="n"/>
      <c r="E422" s="15" t="n">
        <v>120</v>
      </c>
      <c r="F422" s="15" t="n">
        <v>170</v>
      </c>
      <c r="G422" s="15" t="n">
        <v>350</v>
      </c>
      <c r="H422" s="15" t="n">
        <v>45</v>
      </c>
      <c r="I422" s="15" t="n">
        <v>180</v>
      </c>
      <c r="J422" s="13" t="n">
        <v>25</v>
      </c>
      <c r="K422" t="n">
        <v>35</v>
      </c>
      <c r="L422" s="13" t="n">
        <v>2.1</v>
      </c>
      <c r="M422" s="12" t="n"/>
      <c r="N422" s="8" t="n">
        <v>1.189550879975501</v>
      </c>
      <c r="O422" s="15" t="n">
        <v>1.026849937258434</v>
      </c>
      <c r="P422" s="15" t="n">
        <v>1.134344694607435</v>
      </c>
      <c r="Q422" s="15" t="n">
        <v>0.001053206882916736</v>
      </c>
      <c r="R422" s="15" t="n">
        <v>0.02711056543817633</v>
      </c>
      <c r="S422" s="15" t="n">
        <v>0.001216933804248332</v>
      </c>
      <c r="T422" s="29">
        <f>HIPERLINK($A$1 &amp; "\Dados\Imagem_perfil_422.png", "Imagem_perfil_422")</f>
        <v/>
      </c>
      <c r="U422" s="29">
        <f>HIPERLINK($A$1 &amp; "\Dados\Results_airgap422.txt", "Results_airgap422")</f>
        <v/>
      </c>
      <c r="V422" s="19" t="n"/>
      <c r="W422" s="15" t="n">
        <v>1.39902</v>
      </c>
      <c r="X422" s="15" t="n">
        <v>0.7472420303127321</v>
      </c>
      <c r="Y422" s="15" t="n">
        <v>0.6987705910786534</v>
      </c>
      <c r="Z422" s="15" t="n">
        <v>0.473262525570581</v>
      </c>
      <c r="AA422" s="15" t="n">
        <v>0.01958336951490959</v>
      </c>
      <c r="AB422" s="15" t="n">
        <v>2.964723399413943</v>
      </c>
      <c r="AC422" s="15" t="n">
        <v>11.98078584108449</v>
      </c>
      <c r="AD422" s="15" t="n">
        <v>32.56674656767385</v>
      </c>
      <c r="AE422" s="15" t="n">
        <v>70.19758205756358</v>
      </c>
      <c r="AF422" s="15" t="n">
        <v>108.288550771231</v>
      </c>
      <c r="AH422" s="29">
        <f>HIPERLINK($A$1 &amp; "\Dados\Magnet_fields.txt_422.txt.txt", "Magnet_fields.txt_422.txt")</f>
        <v/>
      </c>
      <c r="AI422" t="n">
        <v>6657</v>
      </c>
      <c r="AJ422" t="n">
        <v>28</v>
      </c>
      <c r="AK422" s="29">
        <f>HIPERLINK($A$1 &amp; "\Dados\Magnet_3D_results.txt_422.txt.txt", "Magnet_3D_results.txt_422.txt")</f>
        <v/>
      </c>
      <c r="AL422" s="29">
        <f>HIPERLINK($A$1 &amp; "\Dados\Magnet_fields_2D.txt_422.txt.txt", "Magnet_fields_2D.txt_422.txt")</f>
        <v/>
      </c>
    </row>
    <row customHeight="1" ht="15.75" r="423" s="34">
      <c r="D423" s="30" t="n"/>
      <c r="E423" s="15" t="n">
        <v>120</v>
      </c>
      <c r="F423" s="15" t="n">
        <v>170</v>
      </c>
      <c r="G423" s="15" t="n">
        <v>430</v>
      </c>
      <c r="H423" s="15" t="n">
        <v>45</v>
      </c>
      <c r="I423" s="15" t="n">
        <v>140</v>
      </c>
      <c r="J423" s="13" t="n">
        <v>25</v>
      </c>
      <c r="K423" t="n">
        <v>35</v>
      </c>
      <c r="L423" s="13" t="n">
        <v>1.3</v>
      </c>
      <c r="M423" s="12" t="n"/>
      <c r="N423" s="8" t="n">
        <v>1.039536773527476</v>
      </c>
      <c r="O423" s="15" t="n">
        <v>0.8066853279192253</v>
      </c>
      <c r="P423" s="15" t="n">
        <v>0.9737018519996191</v>
      </c>
      <c r="Q423" s="15" t="n">
        <v>0.001141694860345106</v>
      </c>
      <c r="R423" s="15" t="n">
        <v>0.03205322720906444</v>
      </c>
      <c r="S423" s="15" t="n">
        <v>0.002399544155319209</v>
      </c>
      <c r="T423" s="29">
        <f>HIPERLINK($A$1 &amp; "\Dados\Imagem_perfil_423.png", "Imagem_perfil_423")</f>
        <v/>
      </c>
      <c r="U423" s="29">
        <f>HIPERLINK($A$1 &amp; "\Dados\Results_airgap423.txt", "Results_airgap423")</f>
        <v/>
      </c>
      <c r="V423" s="19" t="n"/>
      <c r="W423" s="43" t="n">
        <v>1.370646956521739</v>
      </c>
      <c r="X423" s="15" t="n">
        <v>0.6768835263736673</v>
      </c>
      <c r="Y423" s="15" t="n">
        <v>0.009055995216052942</v>
      </c>
      <c r="Z423" s="15" t="n">
        <v>1.035997629915237</v>
      </c>
      <c r="AA423" s="15" t="n">
        <v>2.312652551947185</v>
      </c>
      <c r="AB423" s="15" t="n">
        <v>0</v>
      </c>
      <c r="AC423" s="15" t="n">
        <v>0</v>
      </c>
      <c r="AD423" s="15" t="n">
        <v>0</v>
      </c>
      <c r="AE423" s="15" t="n">
        <v>56.65840018310301</v>
      </c>
      <c r="AF423" s="15" t="n">
        <v>104.7582971235783</v>
      </c>
      <c r="AH423" s="29">
        <f>HIPERLINK($A$1 &amp; "\Dados\Magnet_fields.txt_423.txt.txt", "Magnet_fields.txt_423.txt")</f>
        <v/>
      </c>
      <c r="AI423" t="n">
        <v>6974</v>
      </c>
      <c r="AJ423" t="n">
        <v>29</v>
      </c>
      <c r="AK423" s="29">
        <f>HIPERLINK($A$1 &amp; "\Dados\Magnet_3D_results.txt_423.txt.txt", "Magnet_3D_results.txt_423.txt")</f>
        <v/>
      </c>
      <c r="AL423" s="29">
        <f>HIPERLINK($A$1 &amp; "\Dados\Magnet_fields_2D.txt_423.txt.txt", "Magnet_fields_2D.txt_423.txt")</f>
        <v/>
      </c>
    </row>
    <row customHeight="1" ht="15.75" r="424" s="34">
      <c r="D424" s="30" t="n"/>
      <c r="E424" s="15" t="n">
        <v>120</v>
      </c>
      <c r="F424" s="15" t="n">
        <v>170</v>
      </c>
      <c r="G424" s="15" t="n">
        <v>430</v>
      </c>
      <c r="H424" s="15" t="n">
        <v>45</v>
      </c>
      <c r="I424" s="15" t="n">
        <v>140</v>
      </c>
      <c r="J424" s="13" t="n">
        <v>25</v>
      </c>
      <c r="K424" t="n">
        <v>35</v>
      </c>
      <c r="L424" s="13" t="n">
        <v>1.5</v>
      </c>
      <c r="M424" s="12" t="n"/>
      <c r="N424" s="8" t="n">
        <v>1.150573361751404</v>
      </c>
      <c r="O424" s="15" t="n">
        <v>0.8941096808413647</v>
      </c>
      <c r="P424" s="15" t="n">
        <v>1.075710887863166</v>
      </c>
      <c r="Q424" s="15" t="n">
        <v>0.001167495626897148</v>
      </c>
      <c r="R424" s="15" t="n">
        <v>0.03811598965626356</v>
      </c>
      <c r="S424" s="15" t="n">
        <v>0.002596679554714833</v>
      </c>
      <c r="T424" s="29">
        <f>HIPERLINK($A$1 &amp; "\Dados\Imagem_perfil_424.png", "Imagem_perfil_424")</f>
        <v/>
      </c>
      <c r="U424" s="29">
        <f>HIPERLINK($A$1 &amp; "\Dados\Results_airgap424.txt", "Results_airgap424")</f>
        <v/>
      </c>
      <c r="V424" s="19" t="n"/>
      <c r="W424" s="43" t="n">
        <v>1.527110652173913</v>
      </c>
      <c r="X424" s="15" t="n">
        <v>0.7530577286202116</v>
      </c>
      <c r="Y424" s="15" t="n">
        <v>0.0515861792440227</v>
      </c>
      <c r="Z424" s="15" t="n">
        <v>0.3045019242884592</v>
      </c>
      <c r="AA424" s="15" t="n">
        <v>0.05641569719315698</v>
      </c>
      <c r="AB424" s="15" t="n">
        <v>0</v>
      </c>
      <c r="AC424" s="15" t="n">
        <v>4.260805508094659</v>
      </c>
      <c r="AD424" s="15" t="n">
        <v>29.41156805601374</v>
      </c>
      <c r="AE424" s="15" t="n">
        <v>71.04019940424729</v>
      </c>
      <c r="AF424" s="15" t="n">
        <v>109.0109878860732</v>
      </c>
      <c r="AH424" s="29">
        <f>HIPERLINK($A$1 &amp; "\Dados\Magnet_fields.txt_424.txt.txt", "Magnet_fields.txt_424.txt")</f>
        <v/>
      </c>
      <c r="AI424" t="n">
        <v>6974</v>
      </c>
      <c r="AJ424" t="n">
        <v>28</v>
      </c>
      <c r="AK424" s="29">
        <f>HIPERLINK($A$1 &amp; "\Dados\Magnet_3D_results.txt_424.txt.txt", "Magnet_3D_results.txt_424.txt")</f>
        <v/>
      </c>
      <c r="AL424" s="29">
        <f>HIPERLINK($A$1 &amp; "\Dados\Magnet_fields_2D.txt_424.txt.txt", "Magnet_fields_2D.txt_424.txt")</f>
        <v/>
      </c>
    </row>
    <row customHeight="1" ht="15.75" r="425" s="34">
      <c r="D425" s="30" t="n"/>
      <c r="E425" s="15" t="n">
        <v>120</v>
      </c>
      <c r="F425" s="15" t="n">
        <v>170</v>
      </c>
      <c r="G425" s="15" t="n">
        <v>430</v>
      </c>
      <c r="H425" s="15" t="n">
        <v>45</v>
      </c>
      <c r="I425" s="15" t="n">
        <v>140</v>
      </c>
      <c r="J425" s="13" t="n">
        <v>25</v>
      </c>
      <c r="K425" t="n">
        <v>35</v>
      </c>
      <c r="L425" s="13" t="n">
        <v>1.7</v>
      </c>
      <c r="M425" s="12" t="n"/>
      <c r="N425" s="8" t="n">
        <v>1.178090242099769</v>
      </c>
      <c r="O425" s="15" t="n">
        <v>0.915428803368926</v>
      </c>
      <c r="P425" s="15" t="n">
        <v>1.101528501419415</v>
      </c>
      <c r="Q425" s="15" t="n">
        <v>0.001174082038260294</v>
      </c>
      <c r="R425" s="15" t="n">
        <v>0.03919011910111313</v>
      </c>
      <c r="S425" s="15" t="n">
        <v>0.002630109277121812</v>
      </c>
      <c r="T425" s="29">
        <f>HIPERLINK($A$1 &amp; "\Dados\Imagem_perfil_425.png", "Imagem_perfil_425")</f>
        <v/>
      </c>
      <c r="U425" s="29">
        <f>HIPERLINK($A$1 &amp; "\Dados\Results_airgap425.txt", "Results_airgap425")</f>
        <v/>
      </c>
      <c r="V425" s="19" t="n"/>
      <c r="W425" s="43" t="n">
        <v>1.568930434782609</v>
      </c>
      <c r="X425" s="15" t="n">
        <v>0.7718005722850531</v>
      </c>
      <c r="Y425" s="15" t="n">
        <v>0.1643297745054674</v>
      </c>
      <c r="Z425" s="15" t="n">
        <v>0.141238163161822</v>
      </c>
      <c r="AA425" s="15" t="n">
        <v>0.0553010861141334</v>
      </c>
      <c r="AB425" s="15" t="n">
        <v>2.603943253397506</v>
      </c>
      <c r="AC425" s="15" t="n">
        <v>12.18758181099794</v>
      </c>
      <c r="AD425" s="15" t="n">
        <v>35.41154840251097</v>
      </c>
      <c r="AE425" s="15" t="n">
        <v>73.7628683763886</v>
      </c>
      <c r="AF425" s="15" t="n">
        <v>109.5928370847813</v>
      </c>
      <c r="AH425" s="29">
        <f>HIPERLINK($A$1 &amp; "\Dados\Magnet_fields.txt_425.txt.txt", "Magnet_fields.txt_425.txt")</f>
        <v/>
      </c>
      <c r="AI425" t="n">
        <v>6974</v>
      </c>
      <c r="AJ425" t="n">
        <v>28</v>
      </c>
      <c r="AK425" s="29">
        <f>HIPERLINK($A$1 &amp; "\Dados\Magnet_3D_results.txt_425.txt.txt", "Magnet_3D_results.txt_425.txt")</f>
        <v/>
      </c>
      <c r="AL425" s="29">
        <f>HIPERLINK($A$1 &amp; "\Dados\Magnet_fields_2D.txt_425.txt.txt", "Magnet_fields_2D.txt_425.txt")</f>
        <v/>
      </c>
    </row>
    <row customHeight="1" ht="15.75" r="426" s="34">
      <c r="D426" s="30" t="n"/>
      <c r="E426" s="15" t="n">
        <v>120</v>
      </c>
      <c r="F426" s="15" t="n">
        <v>170</v>
      </c>
      <c r="G426" s="15" t="n">
        <v>430</v>
      </c>
      <c r="H426" s="15" t="n">
        <v>45</v>
      </c>
      <c r="I426" s="15" t="n">
        <v>140</v>
      </c>
      <c r="J426" s="13" t="n">
        <v>25</v>
      </c>
      <c r="K426" t="n">
        <v>35</v>
      </c>
      <c r="L426" s="13" t="n">
        <v>1.9</v>
      </c>
      <c r="M426" s="12" t="n"/>
      <c r="N426" s="8" t="n">
        <v>1.184896299580317</v>
      </c>
      <c r="O426" s="15" t="n">
        <v>0.9206909410538568</v>
      </c>
      <c r="P426" s="15" t="n">
        <v>1.107866037358819</v>
      </c>
      <c r="Q426" s="15" t="n">
        <v>0.001172731342008589</v>
      </c>
      <c r="R426" s="15" t="n">
        <v>0.03946357454820289</v>
      </c>
      <c r="S426" s="15" t="n">
        <v>0.002635285300041246</v>
      </c>
      <c r="T426" s="29">
        <f>HIPERLINK($A$1 &amp; "\Dados\Imagem_perfil_426.png", "Imagem_perfil_426")</f>
        <v/>
      </c>
      <c r="U426" s="29">
        <f>HIPERLINK($A$1 &amp; "\Dados\Results_airgap426.txt", "Results_airgap426")</f>
        <v/>
      </c>
      <c r="V426" s="19" t="n"/>
      <c r="W426" s="15" t="n">
        <v>1.580043043478261</v>
      </c>
      <c r="X426" s="15" t="n">
        <v>0.7764942603934135</v>
      </c>
      <c r="Y426" s="15" t="n">
        <v>0.3171778984891427</v>
      </c>
      <c r="Z426" s="15" t="n">
        <v>0.09548923099294333</v>
      </c>
      <c r="AA426" s="15" t="n">
        <v>0.0553010861141334</v>
      </c>
      <c r="AB426" s="15" t="n">
        <v>3.733697672104758</v>
      </c>
      <c r="AC426" s="15" t="n">
        <v>14.57368529038404</v>
      </c>
      <c r="AD426" s="15" t="n">
        <v>37.32485891849429</v>
      </c>
      <c r="AE426" s="15" t="n">
        <v>74.70861726605705</v>
      </c>
      <c r="AF426" s="15" t="n">
        <v>109.8148352070007</v>
      </c>
      <c r="AH426" s="29">
        <f>HIPERLINK($A$1 &amp; "\Dados\Magnet_fields.txt_426.txt.txt", "Magnet_fields.txt_426.txt")</f>
        <v/>
      </c>
      <c r="AI426" t="n">
        <v>6974</v>
      </c>
      <c r="AJ426" t="n">
        <v>29</v>
      </c>
      <c r="AK426" s="29">
        <f>HIPERLINK($A$1 &amp; "\Dados\Magnet_3D_results.txt_426.txt.txt", "Magnet_3D_results.txt_426.txt")</f>
        <v/>
      </c>
      <c r="AL426" s="29">
        <f>HIPERLINK($A$1 &amp; "\Dados\Magnet_fields_2D.txt_426.txt.txt", "Magnet_fields_2D.txt_426.txt")</f>
        <v/>
      </c>
    </row>
    <row customHeight="1" ht="15.75" r="427" s="34">
      <c r="D427" s="30" t="n"/>
      <c r="E427" s="15" t="n">
        <v>120</v>
      </c>
      <c r="F427" s="15" t="n">
        <v>170</v>
      </c>
      <c r="G427" s="15" t="n">
        <v>430</v>
      </c>
      <c r="H427" s="15" t="n">
        <v>45</v>
      </c>
      <c r="I427" s="15" t="n">
        <v>140</v>
      </c>
      <c r="J427" s="13" t="n">
        <v>25</v>
      </c>
      <c r="K427" t="n">
        <v>35</v>
      </c>
      <c r="L427" s="13" t="n">
        <v>2.1</v>
      </c>
      <c r="M427" s="12" t="n"/>
      <c r="N427" s="8" t="n">
        <v>1.188492091089111</v>
      </c>
      <c r="O427" s="15" t="n">
        <v>0.9234732775481586</v>
      </c>
      <c r="P427" s="15" t="n">
        <v>1.11119358316415</v>
      </c>
      <c r="Q427" s="15" t="n">
        <v>0.001170444960906335</v>
      </c>
      <c r="R427" s="15" t="n">
        <v>0.03961250192057304</v>
      </c>
      <c r="S427" s="15" t="n">
        <v>0.002636523024018637</v>
      </c>
      <c r="T427" s="29">
        <f>HIPERLINK($A$1 &amp; "\Dados\Imagem_perfil_427.png", "Imagem_perfil_427")</f>
        <v/>
      </c>
      <c r="U427" s="29">
        <f>HIPERLINK($A$1 &amp; "\Dados\Results_airgap427.txt", "Results_airgap427")</f>
        <v/>
      </c>
      <c r="V427" s="19" t="n"/>
      <c r="W427" s="15" t="n">
        <v>1.58511847826087</v>
      </c>
      <c r="X427" s="15" t="n">
        <v>0.7789943497055021</v>
      </c>
      <c r="Y427" s="15" t="n">
        <v>0.4837127367561326</v>
      </c>
      <c r="Z427" s="15" t="n">
        <v>0.07404828391846519</v>
      </c>
      <c r="AA427" s="15" t="n">
        <v>0.0553010861141334</v>
      </c>
      <c r="AB427" s="15" t="n">
        <v>4.241621385143207</v>
      </c>
      <c r="AC427" s="15" t="n">
        <v>15.74883612506664</v>
      </c>
      <c r="AD427" s="15" t="n">
        <v>38.31187633759388</v>
      </c>
      <c r="AE427" s="15" t="n">
        <v>75.14185226352207</v>
      </c>
      <c r="AF427" s="15" t="n">
        <v>109.8800854431829</v>
      </c>
      <c r="AH427" s="29">
        <f>HIPERLINK($A$1 &amp; "\Dados\Magnet_fields.txt_427.txt.txt", "Magnet_fields.txt_427.txt")</f>
        <v/>
      </c>
      <c r="AI427" t="n">
        <v>6974</v>
      </c>
      <c r="AJ427" t="n">
        <v>28</v>
      </c>
      <c r="AK427" s="29">
        <f>HIPERLINK($A$1 &amp; "\Dados\Magnet_3D_results.txt_427.txt.txt", "Magnet_3D_results.txt_427.txt")</f>
        <v/>
      </c>
      <c r="AL427" s="29">
        <f>HIPERLINK($A$1 &amp; "\Dados\Magnet_fields_2D.txt_427.txt.txt", "Magnet_fields_2D.txt_427.txt")</f>
        <v/>
      </c>
    </row>
    <row customHeight="1" ht="15.75" r="428" s="34">
      <c r="D428" s="30" t="n"/>
      <c r="E428" s="15" t="n">
        <v>120</v>
      </c>
      <c r="F428" s="15" t="n">
        <v>170</v>
      </c>
      <c r="G428" s="15" t="n">
        <v>430</v>
      </c>
      <c r="H428" s="15" t="n">
        <v>25</v>
      </c>
      <c r="I428" s="15" t="n">
        <v>180</v>
      </c>
      <c r="J428" s="13" t="n">
        <v>25</v>
      </c>
      <c r="K428" t="n">
        <v>35</v>
      </c>
      <c r="L428" s="13" t="n">
        <v>1.3</v>
      </c>
      <c r="M428" s="12" t="n"/>
      <c r="N428" s="8" t="n">
        <v>1.116775860957768</v>
      </c>
      <c r="O428" s="15" t="n">
        <v>0.9787504465668644</v>
      </c>
      <c r="P428" s="15" t="n">
        <v>1.075085427182037</v>
      </c>
      <c r="Q428" s="15" t="n">
        <v>0.001145173692889612</v>
      </c>
      <c r="R428" s="15" t="n">
        <v>0.02877309301964007</v>
      </c>
      <c r="S428" s="15" t="n">
        <v>0.001324232408911934</v>
      </c>
      <c r="T428" s="29">
        <f>HIPERLINK($A$1 &amp; "\Dados\Imagem_perfil_428.png", "Imagem_perfil_428")</f>
        <v/>
      </c>
      <c r="U428" s="29">
        <f>HIPERLINK($A$1 &amp; "\Dados\Results_airgap428.txt", "Results_airgap428")</f>
        <v/>
      </c>
      <c r="V428" s="19" t="n"/>
      <c r="W428" s="43" t="n">
        <v>1.371424347826087</v>
      </c>
      <c r="X428" s="15" t="n">
        <v>0.7020778171437324</v>
      </c>
      <c r="Y428" s="15" t="n">
        <v>0.009058877089768939</v>
      </c>
      <c r="Z428" s="15" t="n">
        <v>1.65049791447276</v>
      </c>
      <c r="AA428" s="15" t="n">
        <v>4.986633840551177</v>
      </c>
      <c r="AB428" s="15" t="n">
        <v>0</v>
      </c>
      <c r="AC428" s="15" t="n">
        <v>0</v>
      </c>
      <c r="AD428" s="15" t="n">
        <v>0</v>
      </c>
      <c r="AE428" s="15" t="n">
        <v>57.04108545004476</v>
      </c>
      <c r="AF428" s="15" t="n">
        <v>104.7328562425854</v>
      </c>
      <c r="AH428" s="29">
        <f>HIPERLINK($A$1 &amp; "\Dados\Magnet_fields.txt_428.txt.txt", "Magnet_fields.txt_428.txt")</f>
        <v/>
      </c>
      <c r="AI428" t="n">
        <v>11250</v>
      </c>
      <c r="AJ428" t="n">
        <v>30</v>
      </c>
      <c r="AK428" s="29">
        <f>HIPERLINK($A$1 &amp; "\Dados\Magnet_3D_results.txt_428.txt.txt", "Magnet_3D_results.txt_428.txt")</f>
        <v/>
      </c>
      <c r="AL428" s="29">
        <f>HIPERLINK($A$1 &amp; "\Dados\Magnet_fields_2D.txt_428.txt.txt", "Magnet_fields_2D.txt_428.txt")</f>
        <v/>
      </c>
    </row>
    <row customHeight="1" ht="15.75" r="429" s="34">
      <c r="D429" s="30" t="n"/>
      <c r="E429" s="15" t="n">
        <v>120</v>
      </c>
      <c r="F429" s="15" t="n">
        <v>170</v>
      </c>
      <c r="G429" s="15" t="n">
        <v>430</v>
      </c>
      <c r="H429" s="15" t="n">
        <v>25</v>
      </c>
      <c r="I429" s="15" t="n">
        <v>180</v>
      </c>
      <c r="J429" s="13" t="n">
        <v>25</v>
      </c>
      <c r="K429" t="n">
        <v>35</v>
      </c>
      <c r="L429" s="13" t="n">
        <v>1.5</v>
      </c>
      <c r="M429" s="12" t="n"/>
      <c r="N429" s="8" t="n">
        <v>1.245219130068476</v>
      </c>
      <c r="O429" s="15" t="n">
        <v>1.089949127767508</v>
      </c>
      <c r="P429" s="15" t="n">
        <v>1.197595365904113</v>
      </c>
      <c r="Q429" s="15" t="n">
        <v>0.001180436001858333</v>
      </c>
      <c r="R429" s="15" t="n">
        <v>0.03724689743404169</v>
      </c>
      <c r="S429" s="15" t="n">
        <v>0.00140275382493893</v>
      </c>
      <c r="T429" s="29">
        <f>HIPERLINK($A$1 &amp; "\Dados\Imagem_perfil_429.png", "Imagem_perfil_429")</f>
        <v/>
      </c>
      <c r="U429" s="29">
        <f>HIPERLINK($A$1 &amp; "\Dados\Results_airgap429.txt", "Results_airgap429")</f>
        <v/>
      </c>
      <c r="V429" s="19" t="n"/>
      <c r="W429" s="43" t="n">
        <v>1.527096304347826</v>
      </c>
      <c r="X429" s="15" t="n">
        <v>0.7871563347496918</v>
      </c>
      <c r="Y429" s="15" t="n">
        <v>0.05161664285713798</v>
      </c>
      <c r="Z429" s="15" t="n">
        <v>0.8393178456146387</v>
      </c>
      <c r="AA429" s="15" t="n">
        <v>2.407152281536323</v>
      </c>
      <c r="AB429" s="15" t="n">
        <v>0</v>
      </c>
      <c r="AC429" s="15" t="n">
        <v>4.255981895173764</v>
      </c>
      <c r="AD429" s="15" t="n">
        <v>29.42825699817264</v>
      </c>
      <c r="AE429" s="15" t="n">
        <v>71.07041764269322</v>
      </c>
      <c r="AF429" s="15" t="n">
        <v>109.0203342179884</v>
      </c>
      <c r="AH429" s="29">
        <f>HIPERLINK($A$1 &amp; "\Dados\Magnet_fields.txt_429.txt.txt", "Magnet_fields.txt_429.txt")</f>
        <v/>
      </c>
      <c r="AI429" t="n">
        <v>11250</v>
      </c>
      <c r="AJ429" t="n">
        <v>30</v>
      </c>
      <c r="AK429" s="29">
        <f>HIPERLINK($A$1 &amp; "\Dados\Magnet_3D_results.txt_429.txt.txt", "Magnet_3D_results.txt_429.txt")</f>
        <v/>
      </c>
      <c r="AL429" s="29">
        <f>HIPERLINK($A$1 &amp; "\Dados\Magnet_fields_2D.txt_429.txt.txt", "Magnet_fields_2D.txt_429.txt")</f>
        <v/>
      </c>
    </row>
    <row customHeight="1" ht="15.75" r="430" s="34">
      <c r="D430" s="30" t="n"/>
      <c r="E430" s="15" t="n">
        <v>120</v>
      </c>
      <c r="F430" s="15" t="n">
        <v>170</v>
      </c>
      <c r="G430" s="15" t="n">
        <v>430</v>
      </c>
      <c r="H430" s="15" t="n">
        <v>25</v>
      </c>
      <c r="I430" s="15" t="n">
        <v>180</v>
      </c>
      <c r="J430" s="13" t="n">
        <v>25</v>
      </c>
      <c r="K430" t="n">
        <v>35</v>
      </c>
      <c r="L430" s="13" t="n">
        <v>1.7</v>
      </c>
      <c r="M430" s="12" t="n"/>
      <c r="N430" s="8" t="n">
        <v>1.278429081368091</v>
      </c>
      <c r="O430" s="15" t="n">
        <v>1.119917228604495</v>
      </c>
      <c r="P430" s="15" t="n">
        <v>1.229406229717753</v>
      </c>
      <c r="Q430" s="15" t="n">
        <v>0.001195171357124242</v>
      </c>
      <c r="R430" s="15" t="n">
        <v>0.03922571977343851</v>
      </c>
      <c r="S430" s="15" t="n">
        <v>0.001426747589476438</v>
      </c>
      <c r="T430" s="29">
        <f>HIPERLINK($A$1 &amp; "\Dados\Imagem_perfil_430.png", "Imagem_perfil_430")</f>
        <v/>
      </c>
      <c r="U430" s="29">
        <f>HIPERLINK($A$1 &amp; "\Dados\Results_airgap430.txt", "Results_airgap430")</f>
        <v/>
      </c>
      <c r="V430" s="19" t="n"/>
      <c r="W430" s="43" t="n">
        <v>1.56890152173913</v>
      </c>
      <c r="X430" s="15" t="n">
        <v>0.8091349659136179</v>
      </c>
      <c r="Y430" s="15" t="n">
        <v>0.1643830032819789</v>
      </c>
      <c r="Z430" s="15" t="n">
        <v>0.5809038618770669</v>
      </c>
      <c r="AA430" s="15" t="n">
        <v>1.626159482847461</v>
      </c>
      <c r="AB430" s="15" t="n">
        <v>2.614570132225224</v>
      </c>
      <c r="AC430" s="15" t="n">
        <v>12.19432981624414</v>
      </c>
      <c r="AD430" s="15" t="n">
        <v>35.41041812248267</v>
      </c>
      <c r="AE430" s="15" t="n">
        <v>73.77588719473975</v>
      </c>
      <c r="AF430" s="15" t="n">
        <v>109.662511619555</v>
      </c>
      <c r="AH430" s="29">
        <f>HIPERLINK($A$1 &amp; "\Dados\Magnet_fields.txt_430.txt.txt", "Magnet_fields.txt_430.txt")</f>
        <v/>
      </c>
      <c r="AI430" t="n">
        <v>11250</v>
      </c>
      <c r="AJ430" t="n">
        <v>30</v>
      </c>
      <c r="AK430" s="29">
        <f>HIPERLINK($A$1 &amp; "\Dados\Magnet_3D_results.txt_430.txt.txt", "Magnet_3D_results.txt_430.txt")</f>
        <v/>
      </c>
      <c r="AL430" s="29">
        <f>HIPERLINK($A$1 &amp; "\Dados\Magnet_fields_2D.txt_430.txt.txt", "Magnet_fields_2D.txt_430.txt")</f>
        <v/>
      </c>
    </row>
    <row customHeight="1" ht="15.75" r="431" s="34">
      <c r="D431" s="30" t="n"/>
      <c r="E431" s="15" t="n">
        <v>120</v>
      </c>
      <c r="F431" s="15" t="n">
        <v>170</v>
      </c>
      <c r="G431" s="15" t="n">
        <v>430</v>
      </c>
      <c r="H431" s="15" t="n">
        <v>25</v>
      </c>
      <c r="I431" s="15" t="n">
        <v>180</v>
      </c>
      <c r="J431" s="13" t="n">
        <v>25</v>
      </c>
      <c r="K431" t="n">
        <v>35</v>
      </c>
      <c r="L431" s="13" t="n">
        <v>1.9</v>
      </c>
      <c r="M431" s="12" t="n"/>
      <c r="N431" s="8" t="n">
        <v>1.287167554871925</v>
      </c>
      <c r="O431" s="15" t="n">
        <v>1.127764848827951</v>
      </c>
      <c r="P431" s="15" t="n">
        <v>1.237759941060787</v>
      </c>
      <c r="Q431" s="15" t="n">
        <v>0.001197497039689252</v>
      </c>
      <c r="R431" s="15" t="n">
        <v>0.03987330701255673</v>
      </c>
      <c r="S431" s="15" t="n">
        <v>0.001432157766597157</v>
      </c>
      <c r="T431" s="29">
        <f>HIPERLINK($A$1 &amp; "\Dados\Imagem_perfil_431.png", "Imagem_perfil_431")</f>
        <v/>
      </c>
      <c r="U431" s="29">
        <f>HIPERLINK($A$1 &amp; "\Dados\Results_airgap431.txt", "Results_airgap431")</f>
        <v/>
      </c>
      <c r="V431" s="19" t="n"/>
      <c r="W431" s="15" t="n">
        <v>1.580087826086956</v>
      </c>
      <c r="X431" s="15" t="n">
        <v>0.8150024225141662</v>
      </c>
      <c r="Y431" s="15" t="n">
        <v>0.3172443116431383</v>
      </c>
      <c r="Z431" s="15" t="n">
        <v>0.5071387548015018</v>
      </c>
      <c r="AA431" s="15" t="n">
        <v>1.304981418630246</v>
      </c>
      <c r="AB431" s="15" t="n">
        <v>3.731415900060147</v>
      </c>
      <c r="AC431" s="15" t="n">
        <v>14.60678075762116</v>
      </c>
      <c r="AD431" s="15" t="n">
        <v>37.35015422190433</v>
      </c>
      <c r="AE431" s="15" t="n">
        <v>74.70940261944453</v>
      </c>
      <c r="AF431" s="15" t="n">
        <v>109.8095303691586</v>
      </c>
      <c r="AH431" s="29">
        <f>HIPERLINK($A$1 &amp; "\Dados\Magnet_fields.txt_431.txt.txt", "Magnet_fields.txt_431.txt")</f>
        <v/>
      </c>
      <c r="AI431" t="n">
        <v>11250</v>
      </c>
      <c r="AJ431" t="n">
        <v>30</v>
      </c>
      <c r="AK431" s="29">
        <f>HIPERLINK($A$1 &amp; "\Dados\Magnet_3D_results.txt_431.txt.txt", "Magnet_3D_results.txt_431.txt")</f>
        <v/>
      </c>
      <c r="AL431" s="29">
        <f>HIPERLINK($A$1 &amp; "\Dados\Magnet_fields_2D.txt_431.txt.txt", "Magnet_fields_2D.txt_431.txt")</f>
        <v/>
      </c>
    </row>
    <row customHeight="1" ht="15.75" r="432" s="34">
      <c r="D432" s="30" t="n"/>
      <c r="E432" s="15" t="n">
        <v>120</v>
      </c>
      <c r="F432" s="15" t="n">
        <v>170</v>
      </c>
      <c r="G432" s="15" t="n">
        <v>430</v>
      </c>
      <c r="H432" s="15" t="n">
        <v>25</v>
      </c>
      <c r="I432" s="15" t="n">
        <v>180</v>
      </c>
      <c r="J432" s="13" t="n">
        <v>25</v>
      </c>
      <c r="K432" t="n">
        <v>35</v>
      </c>
      <c r="L432" s="13" t="n">
        <v>2.1</v>
      </c>
      <c r="M432" s="12" t="n"/>
      <c r="N432" s="8" t="n">
        <v>1.292003908464866</v>
      </c>
      <c r="O432" s="15" t="n">
        <v>1.132064652644008</v>
      </c>
      <c r="P432" s="15" t="n">
        <v>1.242381683156378</v>
      </c>
      <c r="Q432" s="15" t="n">
        <v>0.001197695276459345</v>
      </c>
      <c r="R432" s="15" t="n">
        <v>0.04028206549661324</v>
      </c>
      <c r="S432" s="15" t="n">
        <v>0.001434323834360269</v>
      </c>
      <c r="T432" s="29">
        <f>HIPERLINK($A$1 &amp; "\Dados\Imagem_perfil_432.png", "Imagem_perfil_432")</f>
        <v/>
      </c>
      <c r="U432" s="29">
        <f>HIPERLINK($A$1 &amp; "\Dados\Results_airgap432.txt", "Results_airgap432")</f>
        <v/>
      </c>
      <c r="V432" s="19" t="n"/>
      <c r="W432" s="15" t="n">
        <v>1.585089565217391</v>
      </c>
      <c r="X432" s="15" t="n">
        <v>0.8182888411770294</v>
      </c>
      <c r="Y432" s="15" t="n">
        <v>0.4837865953970405</v>
      </c>
      <c r="Z432" s="15" t="n">
        <v>0.4498225728514965</v>
      </c>
      <c r="AA432" s="15" t="n">
        <v>1.058934601488603</v>
      </c>
      <c r="AB432" s="15" t="n">
        <v>4.242211128220653</v>
      </c>
      <c r="AC432" s="15" t="n">
        <v>15.75047557539658</v>
      </c>
      <c r="AD432" s="15" t="n">
        <v>38.32237282566948</v>
      </c>
      <c r="AE432" s="15" t="n">
        <v>75.15782970321348</v>
      </c>
      <c r="AF432" s="15" t="n">
        <v>109.8942677492141</v>
      </c>
      <c r="AH432" s="29">
        <f>HIPERLINK($A$1 &amp; "\Dados\Magnet_fields.txt_432.txt.txt", "Magnet_fields.txt_432.txt")</f>
        <v/>
      </c>
      <c r="AI432" t="n">
        <v>11250</v>
      </c>
      <c r="AJ432" t="n">
        <v>30</v>
      </c>
      <c r="AK432" s="29">
        <f>HIPERLINK($A$1 &amp; "\Dados\Magnet_3D_results.txt_432.txt.txt", "Magnet_3D_results.txt_432.txt")</f>
        <v/>
      </c>
      <c r="AL432" s="29">
        <f>HIPERLINK($A$1 &amp; "\Dados\Magnet_fields_2D.txt_432.txt.txt", "Magnet_fields_2D.txt_432.txt")</f>
        <v/>
      </c>
    </row>
    <row customHeight="1" ht="15.75" r="433" s="34">
      <c r="D433" s="30" t="n"/>
      <c r="E433" s="15" t="n">
        <v>120</v>
      </c>
      <c r="F433" s="15" t="n">
        <v>170</v>
      </c>
      <c r="G433" s="15" t="n">
        <v>430</v>
      </c>
      <c r="H433" s="15" t="n">
        <v>45</v>
      </c>
      <c r="I433" s="15" t="n">
        <v>180</v>
      </c>
      <c r="J433" s="13" t="n">
        <v>25</v>
      </c>
      <c r="K433" t="n">
        <v>35</v>
      </c>
      <c r="L433" s="13" t="n">
        <v>1.3</v>
      </c>
      <c r="M433" s="12" t="n"/>
      <c r="N433" s="8" t="n">
        <v>1.132031705211693</v>
      </c>
      <c r="O433" s="15" t="n">
        <v>0.9944210797511798</v>
      </c>
      <c r="P433" s="15" t="n">
        <v>1.090443315368154</v>
      </c>
      <c r="Q433" s="15" t="n">
        <v>0.001174576741168794</v>
      </c>
      <c r="R433" s="15" t="n">
        <v>0.03353231641605876</v>
      </c>
      <c r="S433" s="15" t="n">
        <v>0.001369188286958338</v>
      </c>
      <c r="T433" s="29">
        <f>HIPERLINK($A$1 &amp; "\Dados\Imagem_perfil_433.png", "Imagem_perfil_433")</f>
        <v/>
      </c>
      <c r="U433" s="29">
        <f>HIPERLINK($A$1 &amp; "\Dados\Results_airgap433.txt", "Results_airgap433")</f>
        <v/>
      </c>
      <c r="V433" s="19" t="n"/>
      <c r="W433" s="43" t="n">
        <v>1.371749782608696</v>
      </c>
      <c r="X433" s="15" t="n">
        <v>0.7224013322465117</v>
      </c>
      <c r="Y433" s="15" t="n">
        <v>0.00905543632399883</v>
      </c>
      <c r="Z433" s="15" t="n">
        <v>1.789446848481096</v>
      </c>
      <c r="AA433" s="15" t="n">
        <v>2.429433975163348</v>
      </c>
      <c r="AB433" s="15" t="n">
        <v>0</v>
      </c>
      <c r="AC433" s="15" t="n">
        <v>0</v>
      </c>
      <c r="AD433" s="15" t="n">
        <v>0</v>
      </c>
      <c r="AE433" s="15" t="n">
        <v>57.17189917940938</v>
      </c>
      <c r="AF433" s="15" t="n">
        <v>104.5354404740491</v>
      </c>
      <c r="AH433" s="29">
        <f>HIPERLINK($A$1 &amp; "\Dados\Magnet_fields.txt_433.txt.txt", "Magnet_fields.txt_433.txt")</f>
        <v/>
      </c>
      <c r="AI433" t="n">
        <v>7515</v>
      </c>
      <c r="AJ433" t="n">
        <v>29</v>
      </c>
      <c r="AK433" s="29">
        <f>HIPERLINK($A$1 &amp; "\Dados\Magnet_3D_results.txt_433.txt.txt", "Magnet_3D_results.txt_433.txt")</f>
        <v/>
      </c>
      <c r="AL433" s="29">
        <f>HIPERLINK($A$1 &amp; "\Dados\Magnet_fields_2D.txt_433.txt.txt", "Magnet_fields_2D.txt_433.txt")</f>
        <v/>
      </c>
    </row>
    <row customHeight="1" ht="15.75" r="434" s="34">
      <c r="D434" s="30" t="n"/>
      <c r="E434" s="15" t="n">
        <v>120</v>
      </c>
      <c r="F434" s="15" t="n">
        <v>170</v>
      </c>
      <c r="G434" s="15" t="n">
        <v>430</v>
      </c>
      <c r="H434" s="15" t="n">
        <v>45</v>
      </c>
      <c r="I434" s="15" t="n">
        <v>180</v>
      </c>
      <c r="J434" s="13" t="n">
        <v>25</v>
      </c>
      <c r="K434" t="n">
        <v>35</v>
      </c>
      <c r="L434" s="13" t="n">
        <v>1.5</v>
      </c>
      <c r="M434" s="12" t="n"/>
      <c r="N434" s="8" t="n">
        <v>1.253533937120712</v>
      </c>
      <c r="O434" s="15" t="n">
        <v>1.098924722190824</v>
      </c>
      <c r="P434" s="15" t="n">
        <v>1.206048259009137</v>
      </c>
      <c r="Q434" s="15" t="n">
        <v>0.00121039700045413</v>
      </c>
      <c r="R434" s="15" t="n">
        <v>0.03985727825400012</v>
      </c>
      <c r="S434" s="15" t="n">
        <v>0.001435795986461485</v>
      </c>
      <c r="T434" s="29">
        <f>HIPERLINK($A$1 &amp; "\Dados\Imagem_perfil_434.png", "Imagem_perfil_434")</f>
        <v/>
      </c>
      <c r="U434" s="29">
        <f>HIPERLINK($A$1 &amp; "\Dados\Results_airgap434.txt", "Results_airgap434")</f>
        <v/>
      </c>
      <c r="V434" s="19" t="n"/>
      <c r="W434" s="43" t="n">
        <v>1.526828043478261</v>
      </c>
      <c r="X434" s="15" t="n">
        <v>0.8021046128503637</v>
      </c>
      <c r="Y434" s="15" t="n">
        <v>0.05158713260337923</v>
      </c>
      <c r="Z434" s="15" t="n">
        <v>0.8943780055073448</v>
      </c>
      <c r="AA434" s="15" t="n">
        <v>0.04768575775793626</v>
      </c>
      <c r="AB434" s="15" t="n">
        <v>0</v>
      </c>
      <c r="AC434" s="15" t="n">
        <v>4.249334688580846</v>
      </c>
      <c r="AD434" s="15" t="n">
        <v>29.34496745585462</v>
      </c>
      <c r="AE434" s="15" t="n">
        <v>70.99494147710452</v>
      </c>
      <c r="AF434" s="15" t="n">
        <v>108.9689268921348</v>
      </c>
      <c r="AH434" s="29">
        <f>HIPERLINK($A$1 &amp; "\Dados\Magnet_fields.txt_434.txt.txt", "Magnet_fields.txt_434.txt")</f>
        <v/>
      </c>
      <c r="AI434" t="n">
        <v>7515</v>
      </c>
      <c r="AJ434" t="n">
        <v>28</v>
      </c>
      <c r="AK434" s="29">
        <f>HIPERLINK($A$1 &amp; "\Dados\Magnet_3D_results.txt_434.txt.txt", "Magnet_3D_results.txt_434.txt")</f>
        <v/>
      </c>
      <c r="AL434" s="29">
        <f>HIPERLINK($A$1 &amp; "\Dados\Magnet_fields_2D.txt_434.txt.txt", "Magnet_fields_2D.txt_434.txt")</f>
        <v/>
      </c>
    </row>
    <row customHeight="1" ht="15.75" r="435" s="34">
      <c r="D435" s="30" t="n"/>
      <c r="E435" s="15" t="n">
        <v>120</v>
      </c>
      <c r="F435" s="15" t="n">
        <v>170</v>
      </c>
      <c r="G435" s="15" t="n">
        <v>430</v>
      </c>
      <c r="H435" s="15" t="n">
        <v>45</v>
      </c>
      <c r="I435" s="15" t="n">
        <v>180</v>
      </c>
      <c r="J435" s="13" t="n">
        <v>25</v>
      </c>
      <c r="K435" t="n">
        <v>35</v>
      </c>
      <c r="L435" s="13" t="n">
        <v>1.7</v>
      </c>
      <c r="M435" s="12" t="n"/>
      <c r="N435" s="8" t="n">
        <v>1.285365665204818</v>
      </c>
      <c r="O435" s="15" t="n">
        <v>1.127273255694969</v>
      </c>
      <c r="P435" s="15" t="n">
        <v>1.236410839580941</v>
      </c>
      <c r="Q435" s="15" t="n">
        <v>0.001216617540194659</v>
      </c>
      <c r="R435" s="15" t="n">
        <v>0.04115102537219543</v>
      </c>
      <c r="S435" s="15" t="n">
        <v>0.00144774631849753</v>
      </c>
      <c r="T435" s="29">
        <f>HIPERLINK($A$1 &amp; "\Dados\Imagem_perfil_435.png", "Imagem_perfil_435")</f>
        <v/>
      </c>
      <c r="U435" s="29">
        <f>HIPERLINK($A$1 &amp; "\Dados\Results_airgap435.txt", "Results_airgap435")</f>
        <v/>
      </c>
      <c r="V435" s="19" t="n"/>
      <c r="W435" s="43" t="n">
        <v>1.568941304347826</v>
      </c>
      <c r="X435" s="15" t="n">
        <v>0.8228561667856386</v>
      </c>
      <c r="Y435" s="15" t="n">
        <v>0.164329664139493</v>
      </c>
      <c r="Z435" s="15" t="n">
        <v>0.6321221116143829</v>
      </c>
      <c r="AA435" s="15" t="n">
        <v>0.03692140207227494</v>
      </c>
      <c r="AB435" s="15" t="n">
        <v>2.611228067851779</v>
      </c>
      <c r="AC435" s="15" t="n">
        <v>12.17827671964501</v>
      </c>
      <c r="AD435" s="15" t="n">
        <v>35.40667836020331</v>
      </c>
      <c r="AE435" s="15" t="n">
        <v>73.79141677793676</v>
      </c>
      <c r="AF435" s="15" t="n">
        <v>109.6439811557299</v>
      </c>
      <c r="AH435" s="29">
        <f>HIPERLINK($A$1 &amp; "\Dados\Magnet_fields.txt_435.txt.txt", "Magnet_fields.txt_435.txt")</f>
        <v/>
      </c>
      <c r="AI435" t="n">
        <v>7515</v>
      </c>
      <c r="AJ435" t="n">
        <v>28</v>
      </c>
      <c r="AK435" s="29">
        <f>HIPERLINK($A$1 &amp; "\Dados\Magnet_3D_results.txt_435.txt.txt", "Magnet_3D_results.txt_435.txt")</f>
        <v/>
      </c>
      <c r="AL435" s="29">
        <f>HIPERLINK($A$1 &amp; "\Dados\Magnet_fields_2D.txt_435.txt.txt", "Magnet_fields_2D.txt_435.txt")</f>
        <v/>
      </c>
    </row>
    <row customHeight="1" ht="15.75" r="436" s="34">
      <c r="D436" s="30" t="n"/>
      <c r="E436" s="15" t="n">
        <v>120</v>
      </c>
      <c r="F436" s="15" t="n">
        <v>170</v>
      </c>
      <c r="G436" s="15" t="n">
        <v>430</v>
      </c>
      <c r="H436" s="15" t="n">
        <v>45</v>
      </c>
      <c r="I436" s="15" t="n">
        <v>180</v>
      </c>
      <c r="J436" s="13" t="n">
        <v>25</v>
      </c>
      <c r="K436" t="n">
        <v>35</v>
      </c>
      <c r="L436" s="13" t="n">
        <v>1.9</v>
      </c>
      <c r="M436" s="12" t="n"/>
      <c r="N436" s="8" t="n">
        <v>1.293067227810154</v>
      </c>
      <c r="O436" s="15" t="n">
        <v>1.134083150268125</v>
      </c>
      <c r="P436" s="15" t="n">
        <v>1.243722620939996</v>
      </c>
      <c r="Q436" s="15" t="n">
        <v>0.001216573213902373</v>
      </c>
      <c r="R436" s="15" t="n">
        <v>0.04143834263903898</v>
      </c>
      <c r="S436" s="15" t="n">
        <v>0.0014489084032936</v>
      </c>
      <c r="T436" s="29">
        <f>HIPERLINK($A$1 &amp; "\Dados\Imagem_perfil_436.png", "Imagem_perfil_436")</f>
        <v/>
      </c>
      <c r="U436" s="29">
        <f>HIPERLINK($A$1 &amp; "\Dados\Results_airgap436.txt", "Results_airgap436")</f>
        <v/>
      </c>
      <c r="V436" s="19" t="n"/>
      <c r="W436" s="15" t="n">
        <v>1.580297826086956</v>
      </c>
      <c r="X436" s="15" t="n">
        <v>0.8278606953012464</v>
      </c>
      <c r="Y436" s="15" t="n">
        <v>0.3171779860957612</v>
      </c>
      <c r="Z436" s="15" t="n">
        <v>0.5345566228460008</v>
      </c>
      <c r="AA436" s="15" t="n">
        <v>0.03520316031708969</v>
      </c>
      <c r="AB436" s="15" t="n">
        <v>3.771976173962994</v>
      </c>
      <c r="AC436" s="15" t="n">
        <v>14.60031065164284</v>
      </c>
      <c r="AD436" s="15" t="n">
        <v>37.39072623972063</v>
      </c>
      <c r="AE436" s="15" t="n">
        <v>74.749529317879</v>
      </c>
      <c r="AF436" s="15" t="n">
        <v>109.7964293959308</v>
      </c>
      <c r="AH436" s="29">
        <f>HIPERLINK($A$1 &amp; "\Dados\Magnet_fields.txt_436.txt.txt", "Magnet_fields.txt_436.txt")</f>
        <v/>
      </c>
      <c r="AI436" t="n">
        <v>7515</v>
      </c>
      <c r="AJ436" t="n">
        <v>28</v>
      </c>
      <c r="AK436" s="29">
        <f>HIPERLINK($A$1 &amp; "\Dados\Magnet_3D_results.txt_436.txt.txt", "Magnet_3D_results.txt_436.txt")</f>
        <v/>
      </c>
      <c r="AL436" s="29">
        <f>HIPERLINK($A$1 &amp; "\Dados\Magnet_fields_2D.txt_436.txt.txt", "Magnet_fields_2D.txt_436.txt")</f>
        <v/>
      </c>
    </row>
    <row customHeight="1" ht="15.75" r="437" s="34">
      <c r="D437" s="30" t="n"/>
      <c r="E437" s="15" t="n">
        <v>120</v>
      </c>
      <c r="F437" s="15" t="n">
        <v>170</v>
      </c>
      <c r="G437" s="15" t="n">
        <v>430</v>
      </c>
      <c r="H437" s="15" t="n">
        <v>45</v>
      </c>
      <c r="I437" s="15" t="n">
        <v>180</v>
      </c>
      <c r="J437" s="13" t="n">
        <v>25</v>
      </c>
      <c r="K437" t="n">
        <v>35</v>
      </c>
      <c r="L437" s="13" t="n">
        <v>2.1</v>
      </c>
      <c r="M437" s="12" t="n"/>
      <c r="N437" s="8" t="n">
        <v>1.297200861067797</v>
      </c>
      <c r="O437" s="15" t="n">
        <v>1.137676857882422</v>
      </c>
      <c r="P437" s="15" t="n">
        <v>1.247637803978171</v>
      </c>
      <c r="Q437" s="15" t="n">
        <v>0.001214842779043548</v>
      </c>
      <c r="R437" s="15" t="n">
        <v>0.04159855487380131</v>
      </c>
      <c r="S437" s="15" t="n">
        <v>0.001447922987724752</v>
      </c>
      <c r="T437" s="29">
        <f>HIPERLINK($A$1 &amp; "\Dados\Imagem_perfil_437.png", "Imagem_perfil_437")</f>
        <v/>
      </c>
      <c r="U437" s="29">
        <f>HIPERLINK($A$1 &amp; "\Dados\Results_airgap437.txt", "Results_airgap437")</f>
        <v/>
      </c>
      <c r="V437" s="19" t="n"/>
      <c r="W437" s="15" t="n">
        <v>1.585114130434783</v>
      </c>
      <c r="X437" s="15" t="n">
        <v>0.8305524043238164</v>
      </c>
      <c r="Y437" s="15" t="n">
        <v>0.4837126550097473</v>
      </c>
      <c r="Z437" s="15" t="n">
        <v>0.4735530511288518</v>
      </c>
      <c r="AA437" s="15" t="n">
        <v>0.03375656192562132</v>
      </c>
      <c r="AB437" s="15" t="n">
        <v>4.249966025379473</v>
      </c>
      <c r="AC437" s="15" t="n">
        <v>15.73632730255668</v>
      </c>
      <c r="AD437" s="15" t="n">
        <v>38.30845204238894</v>
      </c>
      <c r="AE437" s="15" t="n">
        <v>75.1615758970878</v>
      </c>
      <c r="AF437" s="15" t="n">
        <v>109.895362031454</v>
      </c>
      <c r="AH437" s="29">
        <f>HIPERLINK($A$1 &amp; "\Dados\Magnet_fields.txt_437.txt.txt", "Magnet_fields.txt_437.txt")</f>
        <v/>
      </c>
      <c r="AI437" t="n">
        <v>7515</v>
      </c>
      <c r="AJ437" t="n">
        <v>28</v>
      </c>
      <c r="AK437" s="29">
        <f>HIPERLINK($A$1 &amp; "\Dados\Magnet_3D_results.txt_437.txt.txt", "Magnet_3D_results.txt_437.txt")</f>
        <v/>
      </c>
      <c r="AL437" s="29">
        <f>HIPERLINK($A$1 &amp; "\Dados\Magnet_fields_2D.txt_437.txt.txt", "Magnet_fields_2D.txt_437.txt")</f>
        <v/>
      </c>
    </row>
    <row customHeight="1" ht="15.75" r="438" s="34">
      <c r="D438" s="30" t="n"/>
      <c r="E438" s="15" t="n">
        <v>150</v>
      </c>
      <c r="F438" s="15" t="n">
        <v>170</v>
      </c>
      <c r="G438" s="15" t="n">
        <v>350</v>
      </c>
      <c r="H438" s="15" t="n">
        <v>45</v>
      </c>
      <c r="I438" s="15" t="n">
        <v>140</v>
      </c>
      <c r="J438" s="13" t="n">
        <v>25</v>
      </c>
      <c r="K438" t="n">
        <v>35</v>
      </c>
      <c r="L438" s="13" t="n">
        <v>1.3</v>
      </c>
      <c r="M438" s="12" t="n"/>
      <c r="N438" s="8" t="n">
        <v>1.134044777439703</v>
      </c>
      <c r="O438" s="15" t="n">
        <v>0.8940011387216029</v>
      </c>
      <c r="P438" s="15" t="n">
        <v>1.069802371214183</v>
      </c>
      <c r="Q438" s="15" t="n">
        <v>0.001006436122761438</v>
      </c>
      <c r="R438" s="15" t="n">
        <v>0.003863197978275266</v>
      </c>
      <c r="S438" s="15" t="n">
        <v>0.00100630170741057</v>
      </c>
      <c r="T438" s="29">
        <f>HIPERLINK($A$1 &amp; "\Dados\Imagem_perfil_438.png", "Imagem_perfil_438")</f>
        <v/>
      </c>
      <c r="U438" s="29">
        <f>HIPERLINK($A$1 &amp; "\Dados\Results_airgap438.txt", "Results_airgap438")</f>
        <v/>
      </c>
      <c r="V438" s="19" t="n"/>
      <c r="W438" s="43" t="n">
        <v>1.328304347826087</v>
      </c>
      <c r="X438" s="15" t="n">
        <v>0.6800997828743092</v>
      </c>
      <c r="Y438" s="15" t="n">
        <v>0.0008522919326613211</v>
      </c>
      <c r="Z438" s="15" t="n">
        <v>0</v>
      </c>
      <c r="AA438" s="15" t="n">
        <v>8.471055688080151</v>
      </c>
      <c r="AB438" s="15" t="n">
        <v>0</v>
      </c>
      <c r="AC438" s="15" t="n">
        <v>0</v>
      </c>
      <c r="AD438" s="15" t="n">
        <v>0</v>
      </c>
      <c r="AE438" s="15" t="n">
        <v>0</v>
      </c>
      <c r="AF438" s="15" t="n">
        <v>49.29679928495392</v>
      </c>
      <c r="AH438" s="29">
        <f>HIPERLINK($A$1 &amp; "\Dados\Magnet_fields.txt_438.txt.txt", "Magnet_fields.txt_438.txt")</f>
        <v/>
      </c>
      <c r="AI438" t="n">
        <v>7690</v>
      </c>
      <c r="AJ438" t="n">
        <v>28</v>
      </c>
      <c r="AK438" s="29">
        <f>HIPERLINK($A$1 &amp; "\Dados\Magnet_3D_results.txt_438.txt.txt", "Magnet_3D_results.txt_438.txt")</f>
        <v/>
      </c>
      <c r="AL438" s="29">
        <f>HIPERLINK($A$1 &amp; "\Dados\Magnet_fields_2D.txt_438.txt.txt", "Magnet_fields_2D.txt_438.txt")</f>
        <v/>
      </c>
    </row>
    <row customHeight="1" ht="15.75" r="439" s="34">
      <c r="D439" s="30" t="n"/>
      <c r="E439" s="15" t="n">
        <v>150</v>
      </c>
      <c r="F439" s="15" t="n">
        <v>170</v>
      </c>
      <c r="G439" s="15" t="n">
        <v>350</v>
      </c>
      <c r="H439" s="15" t="n">
        <v>45</v>
      </c>
      <c r="I439" s="15" t="n">
        <v>140</v>
      </c>
      <c r="J439" s="13" t="n">
        <v>25</v>
      </c>
      <c r="K439" t="n">
        <v>35</v>
      </c>
      <c r="L439" s="13" t="n">
        <v>1.5</v>
      </c>
      <c r="M439" s="12" t="n"/>
      <c r="N439" s="8" t="n">
        <v>1.279099899660058</v>
      </c>
      <c r="O439" s="15" t="n">
        <v>1.016072014477285</v>
      </c>
      <c r="P439" s="15" t="n">
        <v>1.20807182506198</v>
      </c>
      <c r="Q439" s="15" t="n">
        <v>0.00132673501977449</v>
      </c>
      <c r="R439" s="15" t="n">
        <v>0.003722641939741309</v>
      </c>
      <c r="S439" s="15" t="n">
        <v>0.001329510987281336</v>
      </c>
      <c r="T439" s="29">
        <f>HIPERLINK($A$1 &amp; "\Dados\Imagem_perfil_439.png", "Imagem_perfil_439")</f>
        <v/>
      </c>
      <c r="U439" s="29">
        <f>HIPERLINK($A$1 &amp; "\Dados\Results_airgap439.txt", "Results_airgap439")</f>
        <v/>
      </c>
      <c r="V439" s="19" t="n"/>
      <c r="W439" s="43" t="n">
        <v>1.498133913043479</v>
      </c>
      <c r="X439" s="15" t="n">
        <v>0.7857111747564079</v>
      </c>
      <c r="Y439" s="15" t="n">
        <v>4.66511470980916e-05</v>
      </c>
      <c r="Z439" s="15" t="n">
        <v>0</v>
      </c>
      <c r="AA439" s="15" t="n">
        <v>7.677092667980292</v>
      </c>
      <c r="AB439" s="15" t="n">
        <v>1.875403030363001</v>
      </c>
      <c r="AC439" s="15" t="n">
        <v>2.592992825599065</v>
      </c>
      <c r="AD439" s="15" t="n">
        <v>0</v>
      </c>
      <c r="AE439" s="15" t="n">
        <v>8.847077109266509</v>
      </c>
      <c r="AF439" s="15" t="n">
        <v>75.39341769560187</v>
      </c>
      <c r="AH439" s="29">
        <f>HIPERLINK($A$1 &amp; "\Dados\Magnet_fields.txt_439.txt.txt", "Magnet_fields.txt_439.txt")</f>
        <v/>
      </c>
      <c r="AI439" t="n">
        <v>7690</v>
      </c>
      <c r="AJ439" t="n">
        <v>29</v>
      </c>
      <c r="AK439" s="29">
        <f>HIPERLINK($A$1 &amp; "\Dados\Magnet_3D_results.txt_439.txt.txt", "Magnet_3D_results.txt_439.txt")</f>
        <v/>
      </c>
      <c r="AL439" s="29">
        <f>HIPERLINK($A$1 &amp; "\Dados\Magnet_fields_2D.txt_439.txt.txt", "Magnet_fields_2D.txt_439.txt")</f>
        <v/>
      </c>
    </row>
    <row customHeight="1" ht="15.75" r="440" s="34">
      <c r="D440" s="30" t="n"/>
      <c r="E440" s="15" t="n">
        <v>150</v>
      </c>
      <c r="F440" s="15" t="n">
        <v>170</v>
      </c>
      <c r="G440" s="15" t="n">
        <v>350</v>
      </c>
      <c r="H440" s="15" t="n">
        <v>45</v>
      </c>
      <c r="I440" s="15" t="n">
        <v>140</v>
      </c>
      <c r="J440" s="13" t="n">
        <v>25</v>
      </c>
      <c r="K440" t="n">
        <v>35</v>
      </c>
      <c r="L440" s="13" t="n">
        <v>1.7</v>
      </c>
      <c r="M440" s="12" t="n"/>
      <c r="N440" s="8" t="n">
        <v>1.467403625369932</v>
      </c>
      <c r="O440" s="15" t="n">
        <v>1.167899838722906</v>
      </c>
      <c r="P440" s="15" t="n">
        <v>1.385910441983557</v>
      </c>
      <c r="Q440" s="15" t="n">
        <v>0.001773403413809468</v>
      </c>
      <c r="R440" s="15" t="n">
        <v>0.01071783162917813</v>
      </c>
      <c r="S440" s="15" t="n">
        <v>0.001780471575416971</v>
      </c>
      <c r="T440" s="29">
        <f>HIPERLINK($A$1 &amp; "\Dados\Imagem_perfil_440.png", "Imagem_perfil_440")</f>
        <v/>
      </c>
      <c r="U440" s="29">
        <f>HIPERLINK($A$1 &amp; "\Dados\Results_airgap440.txt", "Results_airgap440")</f>
        <v/>
      </c>
      <c r="V440" s="19" t="n"/>
      <c r="W440" s="43" t="n">
        <v>1.704101956521739</v>
      </c>
      <c r="X440" s="15" t="n">
        <v>0.9152298934186424</v>
      </c>
      <c r="Y440" s="15" t="n">
        <v>0.0001801232011339184</v>
      </c>
      <c r="Z440" s="15" t="n">
        <v>0</v>
      </c>
      <c r="AA440" s="15" t="n">
        <v>5.491876197564356</v>
      </c>
      <c r="AB440" s="15" t="n">
        <v>4.931817465795225</v>
      </c>
      <c r="AC440" s="15" t="n">
        <v>5.326665480743467</v>
      </c>
      <c r="AD440" s="15" t="n">
        <v>0</v>
      </c>
      <c r="AE440" s="15" t="n">
        <v>34.94282396062523</v>
      </c>
      <c r="AF440" s="15" t="n">
        <v>95.42673807771033</v>
      </c>
      <c r="AH440" s="29">
        <f>HIPERLINK($A$1 &amp; "\Dados\Magnet_fields.txt_440.txt.txt", "Magnet_fields.txt_440.txt")</f>
        <v/>
      </c>
      <c r="AI440" t="n">
        <v>7690</v>
      </c>
      <c r="AJ440" t="n">
        <v>29</v>
      </c>
      <c r="AK440" s="29">
        <f>HIPERLINK($A$1 &amp; "\Dados\Magnet_3D_results.txt_440.txt.txt", "Magnet_3D_results.txt_440.txt")</f>
        <v/>
      </c>
      <c r="AL440" s="29">
        <f>HIPERLINK($A$1 &amp; "\Dados\Magnet_fields_2D.txt_440.txt.txt", "Magnet_fields_2D.txt_440.txt")</f>
        <v/>
      </c>
    </row>
    <row customHeight="1" ht="15.75" r="441" s="34">
      <c r="D441" s="30" t="n"/>
      <c r="E441" s="15" t="n">
        <v>150</v>
      </c>
      <c r="F441" s="15" t="n">
        <v>170</v>
      </c>
      <c r="G441" s="15" t="n">
        <v>350</v>
      </c>
      <c r="H441" s="15" t="n">
        <v>45</v>
      </c>
      <c r="I441" s="15" t="n">
        <v>140</v>
      </c>
      <c r="J441" s="13" t="n">
        <v>25</v>
      </c>
      <c r="K441" t="n">
        <v>35</v>
      </c>
      <c r="L441" s="13" t="n">
        <v>1.9</v>
      </c>
      <c r="M441" s="12" t="n"/>
      <c r="N441" s="8" t="n">
        <v>1.580925358177435</v>
      </c>
      <c r="O441" s="15" t="n">
        <v>1.255140639934296</v>
      </c>
      <c r="P441" s="15" t="n">
        <v>1.490897935122809</v>
      </c>
      <c r="Q441" s="15" t="n">
        <v>0.002103135820613264</v>
      </c>
      <c r="R441" s="15" t="n">
        <v>0.01524914117493422</v>
      </c>
      <c r="S441" s="15" t="n">
        <v>0.00211397428064653</v>
      </c>
      <c r="T441" s="29">
        <f>HIPERLINK($A$1 &amp; "\Dados\Imagem_perfil_441.png", "Imagem_perfil_441")</f>
        <v/>
      </c>
      <c r="U441" s="29">
        <f>HIPERLINK($A$1 &amp; "\Dados\Results_airgap441.txt", "Results_airgap441")</f>
        <v/>
      </c>
      <c r="V441" s="19" t="n"/>
      <c r="W441" s="43" t="n">
        <v>1.820277826086956</v>
      </c>
      <c r="X441" s="15" t="n">
        <v>0.9879705470594595</v>
      </c>
      <c r="Y441" s="15" t="n">
        <v>0.02030094985180284</v>
      </c>
      <c r="Z441" s="15" t="n">
        <v>0</v>
      </c>
      <c r="AA441" s="15" t="n">
        <v>0.0515752427407094</v>
      </c>
      <c r="AB441" s="15" t="n">
        <v>0.1121470852870327</v>
      </c>
      <c r="AC441" s="15" t="n">
        <v>0</v>
      </c>
      <c r="AD441" s="15" t="n">
        <v>5.347753644186495</v>
      </c>
      <c r="AE441" s="15" t="n">
        <v>60.03873417140024</v>
      </c>
      <c r="AF441" s="15" t="n">
        <v>107.4551514915874</v>
      </c>
      <c r="AH441" s="29">
        <f>HIPERLINK($A$1 &amp; "\Dados\Magnet_fields.txt_441.txt.txt", "Magnet_fields.txt_441.txt")</f>
        <v/>
      </c>
      <c r="AI441" t="n">
        <v>7690</v>
      </c>
      <c r="AJ441" t="n">
        <v>29</v>
      </c>
      <c r="AK441" s="29">
        <f>HIPERLINK($A$1 &amp; "\Dados\Magnet_3D_results.txt_441.txt.txt", "Magnet_3D_results.txt_441.txt")</f>
        <v/>
      </c>
      <c r="AL441" s="29">
        <f>HIPERLINK($A$1 &amp; "\Dados\Magnet_fields_2D.txt_441.txt.txt", "Magnet_fields_2D.txt_441.txt")</f>
        <v/>
      </c>
    </row>
    <row customHeight="1" ht="15.75" r="442" s="34">
      <c r="D442" s="30" t="n"/>
      <c r="E442" s="15" t="n">
        <v>150</v>
      </c>
      <c r="F442" s="15" t="n">
        <v>170</v>
      </c>
      <c r="G442" s="15" t="n">
        <v>350</v>
      </c>
      <c r="H442" s="15" t="n">
        <v>45</v>
      </c>
      <c r="I442" s="15" t="n">
        <v>140</v>
      </c>
      <c r="J442" s="13" t="n">
        <v>25</v>
      </c>
      <c r="K442" t="n">
        <v>35</v>
      </c>
      <c r="L442" s="13" t="n">
        <v>2.1</v>
      </c>
      <c r="M442" s="12" t="n"/>
      <c r="N442" s="8" t="n">
        <v>1.592737324794246</v>
      </c>
      <c r="O442" s="15" t="n">
        <v>1.26399449751424</v>
      </c>
      <c r="P442" s="15" t="n">
        <v>1.50169546827064</v>
      </c>
      <c r="Q442" s="15" t="n">
        <v>0.002138586709731478</v>
      </c>
      <c r="R442" s="15" t="n">
        <v>0.0154661898593215</v>
      </c>
      <c r="S442" s="15" t="n">
        <v>0.002149584794277181</v>
      </c>
      <c r="T442" s="29">
        <f>HIPERLINK($A$1 &amp; "\Dados\Imagem_perfil_442.png", "Imagem_perfil_442")</f>
        <v/>
      </c>
      <c r="U442" s="29">
        <f>HIPERLINK($A$1 &amp; "\Dados\Results_airgap442.txt", "Results_airgap442")</f>
        <v/>
      </c>
      <c r="V442" s="19" t="n"/>
      <c r="W442" s="15" t="n">
        <v>1.837494782608695</v>
      </c>
      <c r="X442" s="15" t="n">
        <v>0.9946885077819064</v>
      </c>
      <c r="Y442" s="15" t="n">
        <v>0.09937761139217863</v>
      </c>
      <c r="Z442" s="15" t="n">
        <v>0</v>
      </c>
      <c r="AA442" s="15" t="n">
        <v>0.01774308642391752</v>
      </c>
      <c r="AB442" s="15" t="n">
        <v>0</v>
      </c>
      <c r="AC442" s="15" t="n">
        <v>0</v>
      </c>
      <c r="AD442" s="15" t="n">
        <v>7.966998075503428</v>
      </c>
      <c r="AE442" s="15" t="n">
        <v>61.14887043647564</v>
      </c>
      <c r="AF442" s="15" t="n">
        <v>107.6574184104246</v>
      </c>
      <c r="AH442" s="29">
        <f>HIPERLINK($A$1 &amp; "\Dados\Magnet_fields.txt_442.txt.txt", "Magnet_fields.txt_442.txt")</f>
        <v/>
      </c>
      <c r="AI442" t="n">
        <v>7690</v>
      </c>
      <c r="AJ442" t="n">
        <v>28</v>
      </c>
      <c r="AK442" s="29">
        <f>HIPERLINK($A$1 &amp; "\Dados\Magnet_3D_results.txt_442.txt.txt", "Magnet_3D_results.txt_442.txt")</f>
        <v/>
      </c>
      <c r="AL442" s="29">
        <f>HIPERLINK($A$1 &amp; "\Dados\Magnet_fields_2D.txt_442.txt.txt", "Magnet_fields_2D.txt_442.txt")</f>
        <v/>
      </c>
    </row>
    <row customHeight="1" ht="15.75" r="443" s="34">
      <c r="D443" s="30" t="n"/>
      <c r="E443" s="15" t="n">
        <v>150</v>
      </c>
      <c r="F443" s="15" t="n">
        <v>170</v>
      </c>
      <c r="G443" s="15" t="n">
        <v>350</v>
      </c>
      <c r="H443" s="15" t="n">
        <v>25</v>
      </c>
      <c r="I443" s="15" t="n">
        <v>180</v>
      </c>
      <c r="J443" s="13" t="n">
        <v>25</v>
      </c>
      <c r="K443" t="n">
        <v>35</v>
      </c>
      <c r="L443" s="13" t="n">
        <v>1.3</v>
      </c>
      <c r="M443" s="12" t="n"/>
      <c r="N443" s="8" t="n">
        <v>1.124317718526818</v>
      </c>
      <c r="O443" s="15" t="n">
        <v>1.018793153767109</v>
      </c>
      <c r="P443" s="15" t="n">
        <v>1.093057987694592</v>
      </c>
      <c r="Q443" s="15" t="n">
        <v>0.0009498221084116353</v>
      </c>
      <c r="R443" s="15" t="n">
        <v>0.01253511341457763</v>
      </c>
      <c r="S443" s="15" t="n">
        <v>0.0009479889827830744</v>
      </c>
      <c r="T443" s="29">
        <f>HIPERLINK($A$1 &amp; "\Dados\Imagem_perfil_443.png", "Imagem_perfil_443")</f>
        <v/>
      </c>
      <c r="U443" s="29">
        <f>HIPERLINK($A$1 &amp; "\Dados\Results_airgap443.txt", "Results_airgap443")</f>
        <v/>
      </c>
      <c r="V443" s="19" t="n"/>
      <c r="W443" s="43" t="n">
        <v>1.328169565217391</v>
      </c>
      <c r="X443" s="15" t="n">
        <v>0.6270971256465132</v>
      </c>
      <c r="Y443" s="15" t="n">
        <v>0.0008437127811121316</v>
      </c>
      <c r="Z443" s="15" t="n">
        <v>0</v>
      </c>
      <c r="AA443" s="15" t="n">
        <v>6.682364503912315</v>
      </c>
      <c r="AB443" s="15" t="n">
        <v>0</v>
      </c>
      <c r="AC443" s="15" t="n">
        <v>0</v>
      </c>
      <c r="AD443" s="15" t="n">
        <v>0</v>
      </c>
      <c r="AE443" s="15" t="n">
        <v>0</v>
      </c>
      <c r="AF443" s="15" t="n">
        <v>49.34937774229631</v>
      </c>
      <c r="AH443" s="29">
        <f>HIPERLINK($A$1 &amp; "\Dados\Magnet_fields.txt_443.txt.txt", "Magnet_fields.txt_443.txt")</f>
        <v/>
      </c>
      <c r="AI443" t="n">
        <v>10744</v>
      </c>
      <c r="AJ443" t="n">
        <v>31</v>
      </c>
      <c r="AK443" s="29">
        <f>HIPERLINK($A$1 &amp; "\Dados\Magnet_3D_results.txt_443.txt.txt", "Magnet_3D_results.txt_443.txt")</f>
        <v/>
      </c>
      <c r="AL443" s="29">
        <f>HIPERLINK($A$1 &amp; "\Dados\Magnet_fields_2D.txt_443.txt.txt", "Magnet_fields_2D.txt_443.txt")</f>
        <v/>
      </c>
    </row>
    <row customHeight="1" ht="15.75" r="444" s="34">
      <c r="D444" s="30" t="n"/>
      <c r="E444" s="15" t="n">
        <v>150</v>
      </c>
      <c r="F444" s="15" t="n">
        <v>170</v>
      </c>
      <c r="G444" s="15" t="n">
        <v>350</v>
      </c>
      <c r="H444" s="15" t="n">
        <v>25</v>
      </c>
      <c r="I444" s="15" t="n">
        <v>180</v>
      </c>
      <c r="J444" s="13" t="n">
        <v>25</v>
      </c>
      <c r="K444" t="n">
        <v>35</v>
      </c>
      <c r="L444" s="13" t="n">
        <v>1.5</v>
      </c>
      <c r="M444" s="12" t="n"/>
      <c r="N444" s="8" t="n">
        <v>1.290246027320287</v>
      </c>
      <c r="O444" s="15" t="n">
        <v>1.170060064592499</v>
      </c>
      <c r="P444" s="15" t="n">
        <v>1.2542644213826</v>
      </c>
      <c r="Q444" s="15" t="n">
        <v>0.001241668025504021</v>
      </c>
      <c r="R444" s="15" t="n">
        <v>0.005516572583265631</v>
      </c>
      <c r="S444" s="15" t="n">
        <v>0.001239572732082472</v>
      </c>
      <c r="T444" s="29">
        <f>HIPERLINK($A$1 &amp; "\Dados\Imagem_perfil_444.png", "Imagem_perfil_444")</f>
        <v/>
      </c>
      <c r="U444" s="29">
        <f>HIPERLINK($A$1 &amp; "\Dados\Results_airgap444.txt", "Results_airgap444")</f>
        <v/>
      </c>
      <c r="V444" s="19" t="n"/>
      <c r="W444" s="43" t="n">
        <v>1.500845434782609</v>
      </c>
      <c r="X444" s="15" t="n">
        <v>0.7387135473662194</v>
      </c>
      <c r="Y444" s="15" t="n">
        <v>6.677561401013803e-05</v>
      </c>
      <c r="Z444" s="15" t="n">
        <v>0.02325138959359914</v>
      </c>
      <c r="AA444" s="15" t="n">
        <v>6.612093761060506</v>
      </c>
      <c r="AB444" s="15" t="n">
        <v>1.518070057915514</v>
      </c>
      <c r="AC444" s="15" t="n">
        <v>2.665074689070547</v>
      </c>
      <c r="AD444" s="15" t="n">
        <v>0</v>
      </c>
      <c r="AE444" s="15" t="n">
        <v>13.20985910866841</v>
      </c>
      <c r="AF444" s="15" t="n">
        <v>68.21464455507798</v>
      </c>
      <c r="AH444" s="29">
        <f>HIPERLINK($A$1 &amp; "\Dados\Magnet_fields.txt_444.txt.txt", "Magnet_fields.txt_444.txt")</f>
        <v/>
      </c>
      <c r="AI444" t="n">
        <v>10744</v>
      </c>
      <c r="AJ444" t="n">
        <v>30</v>
      </c>
      <c r="AK444" s="29">
        <f>HIPERLINK($A$1 &amp; "\Dados\Magnet_3D_results.txt_444.txt.txt", "Magnet_3D_results.txt_444.txt")</f>
        <v/>
      </c>
      <c r="AL444" s="29">
        <f>HIPERLINK($A$1 &amp; "\Dados\Magnet_fields_2D.txt_444.txt.txt", "Magnet_fields_2D.txt_444.txt")</f>
        <v/>
      </c>
    </row>
    <row customHeight="1" ht="15.75" r="445" s="34">
      <c r="D445" s="30" t="n"/>
      <c r="E445" s="15" t="n">
        <v>150</v>
      </c>
      <c r="F445" s="15" t="n">
        <v>170</v>
      </c>
      <c r="G445" s="15" t="n">
        <v>350</v>
      </c>
      <c r="H445" s="15" t="n">
        <v>25</v>
      </c>
      <c r="I445" s="15" t="n">
        <v>180</v>
      </c>
      <c r="J445" s="13" t="n">
        <v>25</v>
      </c>
      <c r="K445" t="n">
        <v>35</v>
      </c>
      <c r="L445" s="13" t="n">
        <v>1.7</v>
      </c>
      <c r="M445" s="12" t="n"/>
      <c r="N445" s="8" t="n">
        <v>1.49798136935864</v>
      </c>
      <c r="O445" s="15" t="n">
        <v>1.360928917694741</v>
      </c>
      <c r="P445" s="15" t="n">
        <v>1.456365160826611</v>
      </c>
      <c r="Q445" s="15" t="n">
        <v>0.001695901158170891</v>
      </c>
      <c r="R445" s="15" t="n">
        <v>0.00459263450048444</v>
      </c>
      <c r="S445" s="15" t="n">
        <v>0.001693095466416101</v>
      </c>
      <c r="T445" s="29">
        <f>HIPERLINK($A$1 &amp; "\Dados\Imagem_perfil_445.png", "Imagem_perfil_445")</f>
        <v/>
      </c>
      <c r="U445" s="29">
        <f>HIPERLINK($A$1 &amp; "\Dados\Results_airgap445.txt", "Results_airgap445")</f>
        <v/>
      </c>
      <c r="V445" s="19" t="n"/>
      <c r="W445" s="43" t="n">
        <v>1.70412804347826</v>
      </c>
      <c r="X445" s="15" t="n">
        <v>0.8790795780072982</v>
      </c>
      <c r="Y445" s="15" t="n">
        <v>0.0001798966172467775</v>
      </c>
      <c r="Z445" s="15" t="n">
        <v>0</v>
      </c>
      <c r="AA445" s="15" t="n">
        <v>6.297096211568369</v>
      </c>
      <c r="AB445" s="15" t="n">
        <v>4.501778426927034</v>
      </c>
      <c r="AC445" s="15" t="n">
        <v>5.431914423938953</v>
      </c>
      <c r="AD445" s="15" t="n">
        <v>0</v>
      </c>
      <c r="AE445" s="15" t="n">
        <v>35.04961043643563</v>
      </c>
      <c r="AF445" s="15" t="n">
        <v>95.24136053539577</v>
      </c>
      <c r="AH445" s="29">
        <f>HIPERLINK($A$1 &amp; "\Dados\Magnet_fields.txt_445.txt.txt", "Magnet_fields.txt_445.txt")</f>
        <v/>
      </c>
      <c r="AI445" t="n">
        <v>10744</v>
      </c>
      <c r="AJ445" t="n">
        <v>29</v>
      </c>
      <c r="AK445" s="29">
        <f>HIPERLINK($A$1 &amp; "\Dados\Magnet_3D_results.txt_445.txt.txt", "Magnet_3D_results.txt_445.txt")</f>
        <v/>
      </c>
      <c r="AL445" s="29">
        <f>HIPERLINK($A$1 &amp; "\Dados\Magnet_fields_2D.txt_445.txt.txt", "Magnet_fields_2D.txt_445.txt")</f>
        <v/>
      </c>
    </row>
    <row customHeight="1" ht="15.75" r="446" s="34">
      <c r="D446" s="30" t="n"/>
      <c r="E446" s="15" t="n">
        <v>150</v>
      </c>
      <c r="F446" s="15" t="n">
        <v>170</v>
      </c>
      <c r="G446" s="15" t="n">
        <v>350</v>
      </c>
      <c r="H446" s="15" t="n">
        <v>25</v>
      </c>
      <c r="I446" s="15" t="n">
        <v>180</v>
      </c>
      <c r="J446" s="13" t="n">
        <v>25</v>
      </c>
      <c r="K446" t="n">
        <v>35</v>
      </c>
      <c r="L446" s="13" t="n">
        <v>1.9</v>
      </c>
      <c r="M446" s="12" t="n"/>
      <c r="N446" s="8" t="n">
        <v>1.623565128140966</v>
      </c>
      <c r="O446" s="15" t="n">
        <v>1.474649580061246</v>
      </c>
      <c r="P446" s="15" t="n">
        <v>1.576356538895323</v>
      </c>
      <c r="Q446" s="15" t="n">
        <v>0.002003845571260167</v>
      </c>
      <c r="R446" s="15" t="n">
        <v>0.01062180843879361</v>
      </c>
      <c r="S446" s="15" t="n">
        <v>0.002000888089608912</v>
      </c>
      <c r="T446" s="29">
        <f>HIPERLINK($A$1 &amp; "\Dados\Imagem_perfil_446.png", "Imagem_perfil_446")</f>
        <v/>
      </c>
      <c r="U446" s="29">
        <f>HIPERLINK($A$1 &amp; "\Dados\Results_airgap446.txt", "Results_airgap446")</f>
        <v/>
      </c>
      <c r="V446" s="19" t="n"/>
      <c r="W446" s="43" t="n">
        <v>1.820154347826087</v>
      </c>
      <c r="X446" s="15" t="n">
        <v>0.9594708043868486</v>
      </c>
      <c r="Y446" s="15" t="n">
        <v>0.02034946865785206</v>
      </c>
      <c r="Z446" s="15" t="n">
        <v>0.05804588442631059</v>
      </c>
      <c r="AA446" s="15" t="n">
        <v>5.922451168970664</v>
      </c>
      <c r="AB446" s="15" t="n">
        <v>0.115257108375051</v>
      </c>
      <c r="AC446" s="15" t="n">
        <v>0</v>
      </c>
      <c r="AD446" s="15" t="n">
        <v>5.358178724850403</v>
      </c>
      <c r="AE446" s="15" t="n">
        <v>60.04974154423776</v>
      </c>
      <c r="AF446" s="15" t="n">
        <v>107.459739246022</v>
      </c>
      <c r="AH446" s="29">
        <f>HIPERLINK($A$1 &amp; "\Dados\Magnet_fields.txt_446.txt.txt", "Magnet_fields.txt_446.txt")</f>
        <v/>
      </c>
      <c r="AI446" t="n">
        <v>10744</v>
      </c>
      <c r="AJ446" t="n">
        <v>31</v>
      </c>
      <c r="AK446" s="29">
        <f>HIPERLINK($A$1 &amp; "\Dados\Magnet_3D_results.txt_446.txt.txt", "Magnet_3D_results.txt_446.txt")</f>
        <v/>
      </c>
      <c r="AL446" s="29">
        <f>HIPERLINK($A$1 &amp; "\Dados\Magnet_fields_2D.txt_446.txt.txt", "Magnet_fields_2D.txt_446.txt")</f>
        <v/>
      </c>
    </row>
    <row customHeight="1" ht="15.75" r="447" s="34">
      <c r="D447" s="30" t="n"/>
      <c r="E447" s="15" t="n">
        <v>150</v>
      </c>
      <c r="F447" s="15" t="n">
        <v>170</v>
      </c>
      <c r="G447" s="15" t="n">
        <v>350</v>
      </c>
      <c r="H447" s="15" t="n">
        <v>25</v>
      </c>
      <c r="I447" s="15" t="n">
        <v>180</v>
      </c>
      <c r="J447" s="13" t="n">
        <v>25</v>
      </c>
      <c r="K447" t="n">
        <v>35</v>
      </c>
      <c r="L447" s="13" t="n">
        <v>2.1</v>
      </c>
      <c r="M447" s="12" t="n"/>
      <c r="N447" s="8" t="n">
        <v>1.636972589729134</v>
      </c>
      <c r="O447" s="15" t="n">
        <v>1.486452256106039</v>
      </c>
      <c r="P447" s="15" t="n">
        <v>1.588951170068512</v>
      </c>
      <c r="Q447" s="15" t="n">
        <v>0.002044117844251631</v>
      </c>
      <c r="R447" s="15" t="n">
        <v>0.01095969749022665</v>
      </c>
      <c r="S447" s="15" t="n">
        <v>0.002041170456967649</v>
      </c>
      <c r="T447" s="29">
        <f>HIPERLINK($A$1 &amp; "\Dados\Imagem_perfil_447.png", "Imagem_perfil_447")</f>
        <v/>
      </c>
      <c r="U447" s="29">
        <f>HIPERLINK($A$1 &amp; "\Dados\Results_airgap447.txt", "Results_airgap447")</f>
        <v/>
      </c>
      <c r="V447" s="19" t="n"/>
      <c r="W447" s="15" t="n">
        <v>1.837342826086957</v>
      </c>
      <c r="X447" s="15" t="n">
        <v>0.9671312585727734</v>
      </c>
      <c r="Y447" s="15" t="n">
        <v>0.0994777019358371</v>
      </c>
      <c r="Z447" s="15" t="n">
        <v>0.05420304088921553</v>
      </c>
      <c r="AA447" s="15" t="n">
        <v>5.887217195005678</v>
      </c>
      <c r="AB447" s="15" t="n">
        <v>0</v>
      </c>
      <c r="AC447" s="15" t="n">
        <v>0</v>
      </c>
      <c r="AD447" s="15" t="n">
        <v>7.973438291159927</v>
      </c>
      <c r="AE447" s="15" t="n">
        <v>61.15849612817218</v>
      </c>
      <c r="AF447" s="15" t="n">
        <v>107.6626792959818</v>
      </c>
      <c r="AH447" s="29">
        <f>HIPERLINK($A$1 &amp; "\Dados\Magnet_fields.txt_447.txt.txt", "Magnet_fields.txt_447.txt")</f>
        <v/>
      </c>
      <c r="AI447" t="n">
        <v>10744</v>
      </c>
      <c r="AJ447" t="n">
        <v>30</v>
      </c>
      <c r="AK447" s="29">
        <f>HIPERLINK($A$1 &amp; "\Dados\Magnet_3D_results.txt_447.txt.txt", "Magnet_3D_results.txt_447.txt")</f>
        <v/>
      </c>
      <c r="AL447" s="29">
        <f>HIPERLINK($A$1 &amp; "\Dados\Magnet_fields_2D.txt_447.txt.txt", "Magnet_fields_2D.txt_447.txt")</f>
        <v/>
      </c>
    </row>
    <row customHeight="1" ht="15.75" r="448" s="34">
      <c r="D448" s="30" t="n"/>
      <c r="E448" s="15" t="n">
        <v>150</v>
      </c>
      <c r="F448" s="15" t="n">
        <v>170</v>
      </c>
      <c r="G448" s="15" t="n">
        <v>350</v>
      </c>
      <c r="H448" s="15" t="n">
        <v>45</v>
      </c>
      <c r="I448" s="15" t="n">
        <v>180</v>
      </c>
      <c r="J448" s="13" t="n">
        <v>25</v>
      </c>
      <c r="K448" t="n">
        <v>35</v>
      </c>
      <c r="L448" s="13" t="n">
        <v>1.3</v>
      </c>
      <c r="M448" s="12" t="n"/>
      <c r="N448" s="8" t="n">
        <v>1.168772083852612</v>
      </c>
      <c r="O448" s="15" t="n">
        <v>1.063444695509722</v>
      </c>
      <c r="P448" s="15" t="n">
        <v>1.137489793635088</v>
      </c>
      <c r="Q448" s="15" t="n">
        <v>0.001013580596532886</v>
      </c>
      <c r="R448" s="15" t="n">
        <v>0.00529251490983917</v>
      </c>
      <c r="S448" s="15" t="n">
        <v>0.001011918062999153</v>
      </c>
      <c r="T448" s="29">
        <f>HIPERLINK($A$1 &amp; "\Dados\Imagem_perfil_448.png", "Imagem_perfil_448")</f>
        <v/>
      </c>
      <c r="U448" s="29">
        <f>HIPERLINK($A$1 &amp; "\Dados\Results_airgap448.txt", "Results_airgap448")</f>
        <v/>
      </c>
      <c r="V448" s="19" t="n"/>
      <c r="W448" s="43" t="n">
        <v>1.328304347826087</v>
      </c>
      <c r="X448" s="15" t="n">
        <v>0.6729110677229899</v>
      </c>
      <c r="Y448" s="15" t="n">
        <v>0.000852291932661214</v>
      </c>
      <c r="Z448" s="15" t="n">
        <v>0</v>
      </c>
      <c r="AA448" s="15" t="n">
        <v>8.928488449334816</v>
      </c>
      <c r="AB448" s="15" t="n">
        <v>0</v>
      </c>
      <c r="AC448" s="15" t="n">
        <v>0</v>
      </c>
      <c r="AD448" s="15" t="n">
        <v>0</v>
      </c>
      <c r="AE448" s="15" t="n">
        <v>0</v>
      </c>
      <c r="AF448" s="15" t="n">
        <v>49.29679673767237</v>
      </c>
      <c r="AH448" s="29">
        <f>HIPERLINK($A$1 &amp; "\Dados\Magnet_fields.txt_448.txt.txt", "Magnet_fields.txt_448.txt")</f>
        <v/>
      </c>
      <c r="AI448" t="n">
        <v>7680</v>
      </c>
      <c r="AJ448" t="n">
        <v>29</v>
      </c>
      <c r="AK448" s="29">
        <f>HIPERLINK($A$1 &amp; "\Dados\Magnet_3D_results.txt_448.txt.txt", "Magnet_3D_results.txt_448.txt")</f>
        <v/>
      </c>
      <c r="AL448" s="29">
        <f>HIPERLINK($A$1 &amp; "\Dados\Magnet_fields_2D.txt_448.txt.txt", "Magnet_fields_2D.txt_448.txt")</f>
        <v/>
      </c>
    </row>
    <row customHeight="1" ht="15.75" r="449" s="34">
      <c r="D449" s="30" t="n"/>
      <c r="E449" s="15" t="n">
        <v>150</v>
      </c>
      <c r="F449" s="15" t="n">
        <v>170</v>
      </c>
      <c r="G449" s="15" t="n">
        <v>350</v>
      </c>
      <c r="H449" s="15" t="n">
        <v>45</v>
      </c>
      <c r="I449" s="15" t="n">
        <v>180</v>
      </c>
      <c r="J449" s="13" t="n">
        <v>25</v>
      </c>
      <c r="K449" t="n">
        <v>35</v>
      </c>
      <c r="L449" s="13" t="n">
        <v>1.5</v>
      </c>
      <c r="M449" s="12" t="n"/>
      <c r="N449" s="8" t="n">
        <v>1.328144442772175</v>
      </c>
      <c r="O449" s="15" t="n">
        <v>1.208437391362325</v>
      </c>
      <c r="P449" s="15" t="n">
        <v>1.292235277570616</v>
      </c>
      <c r="Q449" s="15" t="n">
        <v>0.001320031774084811</v>
      </c>
      <c r="R449" s="15" t="n">
        <v>0.002261070068490878</v>
      </c>
      <c r="S449" s="15" t="n">
        <v>0.001318063311863223</v>
      </c>
      <c r="T449" s="29">
        <f>HIPERLINK($A$1 &amp; "\Dados\Imagem_perfil_449.png", "Imagem_perfil_449")</f>
        <v/>
      </c>
      <c r="U449" s="29">
        <f>HIPERLINK($A$1 &amp; "\Dados\Results_airgap449.txt", "Results_airgap449")</f>
        <v/>
      </c>
      <c r="V449" s="19" t="n"/>
      <c r="W449" s="43" t="n">
        <v>1.499275652173913</v>
      </c>
      <c r="X449" s="15" t="n">
        <v>0.7816132452076913</v>
      </c>
      <c r="Y449" s="15" t="n">
        <v>5.662099203376561e-05</v>
      </c>
      <c r="Z449" s="15" t="n">
        <v>0</v>
      </c>
      <c r="AA449" s="15" t="n">
        <v>8.084902316619896</v>
      </c>
      <c r="AB449" s="15" t="n">
        <v>1.670332762396702</v>
      </c>
      <c r="AC449" s="15" t="n">
        <v>2.545164234538666</v>
      </c>
      <c r="AD449" s="15" t="n">
        <v>0</v>
      </c>
      <c r="AE449" s="15" t="n">
        <v>11.46921142874109</v>
      </c>
      <c r="AF449" s="15" t="n">
        <v>70.81708834846968</v>
      </c>
      <c r="AH449" s="29">
        <f>HIPERLINK($A$1 &amp; "\Dados\Magnet_fields.txt_449.txt.txt", "Magnet_fields.txt_449.txt")</f>
        <v/>
      </c>
      <c r="AI449" t="n">
        <v>7680</v>
      </c>
      <c r="AJ449" t="n">
        <v>29</v>
      </c>
      <c r="AK449" s="29">
        <f>HIPERLINK($A$1 &amp; "\Dados\Magnet_3D_results.txt_449.txt.txt", "Magnet_3D_results.txt_449.txt")</f>
        <v/>
      </c>
      <c r="AL449" s="29">
        <f>HIPERLINK($A$1 &amp; "\Dados\Magnet_fields_2D.txt_449.txt.txt", "Magnet_fields_2D.txt_449.txt")</f>
        <v/>
      </c>
    </row>
    <row customHeight="1" ht="15.75" r="450" s="34">
      <c r="D450" s="30" t="n"/>
      <c r="E450" s="15" t="n">
        <v>150</v>
      </c>
      <c r="F450" s="15" t="n">
        <v>170</v>
      </c>
      <c r="G450" s="15" t="n">
        <v>350</v>
      </c>
      <c r="H450" s="15" t="n">
        <v>45</v>
      </c>
      <c r="I450" s="15" t="n">
        <v>180</v>
      </c>
      <c r="J450" s="13" t="n">
        <v>25</v>
      </c>
      <c r="K450" t="n">
        <v>35</v>
      </c>
      <c r="L450" s="13" t="n">
        <v>1.7</v>
      </c>
      <c r="M450" s="12" t="n"/>
      <c r="N450" s="8" t="n">
        <v>1.536349769148992</v>
      </c>
      <c r="O450" s="15" t="n">
        <v>1.398801048561529</v>
      </c>
      <c r="P450" s="15" t="n">
        <v>1.494751570256543</v>
      </c>
      <c r="Q450" s="15" t="n">
        <v>0.001824824626192021</v>
      </c>
      <c r="R450" s="15" t="n">
        <v>0.01119198296360748</v>
      </c>
      <c r="S450" s="15" t="n">
        <v>0.001821845894997628</v>
      </c>
      <c r="T450" s="29">
        <f>HIPERLINK($A$1 &amp; "\Dados\Imagem_perfil_450.png", "Imagem_perfil_450")</f>
        <v/>
      </c>
      <c r="U450" s="29">
        <f>HIPERLINK($A$1 &amp; "\Dados\Results_airgap450.txt", "Results_airgap450")</f>
        <v/>
      </c>
      <c r="V450" s="19" t="n"/>
      <c r="W450" s="43" t="n">
        <v>1.704361304347826</v>
      </c>
      <c r="X450" s="15" t="n">
        <v>0.9211480543705091</v>
      </c>
      <c r="Y450" s="15" t="n">
        <v>0.0001638679640767253</v>
      </c>
      <c r="Z450" s="15" t="n">
        <v>0.006145635629490171</v>
      </c>
      <c r="AA450" s="15" t="n">
        <v>5.043613608309668</v>
      </c>
      <c r="AB450" s="15" t="n">
        <v>3.145220533115322</v>
      </c>
      <c r="AC450" s="15" t="n">
        <v>6.179464231698176</v>
      </c>
      <c r="AD450" s="15" t="n">
        <v>0</v>
      </c>
      <c r="AE450" s="15" t="n">
        <v>33.24924484253347</v>
      </c>
      <c r="AF450" s="15" t="n">
        <v>101.6553952827187</v>
      </c>
      <c r="AH450" s="29">
        <f>HIPERLINK($A$1 &amp; "\Dados\Magnet_fields.txt_450.txt.txt", "Magnet_fields.txt_450.txt")</f>
        <v/>
      </c>
      <c r="AI450" t="n">
        <v>7680</v>
      </c>
      <c r="AJ450" t="n">
        <v>28</v>
      </c>
      <c r="AK450" s="29">
        <f>HIPERLINK($A$1 &amp; "\Dados\Magnet_3D_results.txt_450.txt.txt", "Magnet_3D_results.txt_450.txt")</f>
        <v/>
      </c>
      <c r="AL450" s="29">
        <f>HIPERLINK($A$1 &amp; "\Dados\Magnet_fields_2D.txt_450.txt.txt", "Magnet_fields_2D.txt_450.txt")</f>
        <v/>
      </c>
    </row>
    <row customHeight="1" ht="15.75" r="451" s="34">
      <c r="D451" s="30" t="n"/>
      <c r="E451" s="15" t="n">
        <v>150</v>
      </c>
      <c r="F451" s="15" t="n">
        <v>170</v>
      </c>
      <c r="G451" s="15" t="n">
        <v>350</v>
      </c>
      <c r="H451" s="15" t="n">
        <v>45</v>
      </c>
      <c r="I451" s="15" t="n">
        <v>180</v>
      </c>
      <c r="J451" s="13" t="n">
        <v>25</v>
      </c>
      <c r="K451" t="n">
        <v>35</v>
      </c>
      <c r="L451" s="13" t="n">
        <v>1.9</v>
      </c>
      <c r="M451" s="12" t="n"/>
      <c r="N451" s="8" t="n">
        <v>1.654106030014951</v>
      </c>
      <c r="O451" s="15" t="n">
        <v>1.505413299127545</v>
      </c>
      <c r="P451" s="15" t="n">
        <v>1.607144742262911</v>
      </c>
      <c r="Q451" s="15" t="n">
        <v>0.002168211904267022</v>
      </c>
      <c r="R451" s="15" t="n">
        <v>0.01559916407801059</v>
      </c>
      <c r="S451" s="15" t="n">
        <v>0.002165720980302055</v>
      </c>
      <c r="T451" s="29">
        <f>HIPERLINK($A$1 &amp; "\Dados\Imagem_perfil_451.png", "Imagem_perfil_451")</f>
        <v/>
      </c>
      <c r="U451" s="29">
        <f>HIPERLINK($A$1 &amp; "\Dados\Results_airgap451.txt", "Results_airgap451")</f>
        <v/>
      </c>
      <c r="V451" s="19" t="n"/>
      <c r="W451" s="43" t="n">
        <v>1.820297173913044</v>
      </c>
      <c r="X451" s="15" t="n">
        <v>0.9925743189024939</v>
      </c>
      <c r="Y451" s="15" t="n">
        <v>0.02030095408736722</v>
      </c>
      <c r="Z451" s="15" t="n">
        <v>0.01727579470234549</v>
      </c>
      <c r="AA451" s="15" t="n">
        <v>0.0614341511974806</v>
      </c>
      <c r="AB451" s="15" t="n">
        <v>0.1147718872534602</v>
      </c>
      <c r="AC451" s="15" t="n">
        <v>0</v>
      </c>
      <c r="AD451" s="15" t="n">
        <v>5.350507331188678</v>
      </c>
      <c r="AE451" s="15" t="n">
        <v>60.03920813688684</v>
      </c>
      <c r="AF451" s="15" t="n">
        <v>107.45407863788</v>
      </c>
      <c r="AH451" s="29">
        <f>HIPERLINK($A$1 &amp; "\Dados\Magnet_fields.txt_451.txt.txt", "Magnet_fields.txt_451.txt")</f>
        <v/>
      </c>
      <c r="AI451" t="n">
        <v>7680</v>
      </c>
      <c r="AJ451" t="n">
        <v>29</v>
      </c>
      <c r="AK451" s="29">
        <f>HIPERLINK($A$1 &amp; "\Dados\Magnet_3D_results.txt_451.txt.txt", "Magnet_3D_results.txt_451.txt")</f>
        <v/>
      </c>
      <c r="AL451" s="29">
        <f>HIPERLINK($A$1 &amp; "\Dados\Magnet_fields_2D.txt_451.txt.txt", "Magnet_fields_2D.txt_451.txt")</f>
        <v/>
      </c>
    </row>
    <row customHeight="1" ht="15.75" r="452" s="34">
      <c r="D452" s="30" t="n"/>
      <c r="E452" s="15" t="n">
        <v>150</v>
      </c>
      <c r="F452" s="15" t="n">
        <v>170</v>
      </c>
      <c r="G452" s="15" t="n">
        <v>350</v>
      </c>
      <c r="H452" s="15" t="n">
        <v>45</v>
      </c>
      <c r="I452" s="15" t="n">
        <v>180</v>
      </c>
      <c r="J452" s="13" t="n">
        <v>25</v>
      </c>
      <c r="K452" t="n">
        <v>35</v>
      </c>
      <c r="L452" s="13" t="n">
        <v>2.1</v>
      </c>
      <c r="M452" s="12" t="n"/>
      <c r="N452" s="8" t="n">
        <v>1.666762898591282</v>
      </c>
      <c r="O452" s="15" t="n">
        <v>1.516492157000414</v>
      </c>
      <c r="P452" s="15" t="n">
        <v>1.619021961719366</v>
      </c>
      <c r="Q452" s="15" t="n">
        <v>0.002205609833278054</v>
      </c>
      <c r="R452" s="15" t="n">
        <v>0.01583466827009422</v>
      </c>
      <c r="S452" s="15" t="n">
        <v>0.002203133232326735</v>
      </c>
      <c r="T452" s="29">
        <f>HIPERLINK($A$1 &amp; "\Dados\Imagem_perfil_452.png", "Imagem_perfil_452")</f>
        <v/>
      </c>
      <c r="U452" s="29">
        <f>HIPERLINK($A$1 &amp; "\Dados\Results_airgap452.txt", "Results_airgap452")</f>
        <v/>
      </c>
      <c r="V452" s="19" t="n"/>
      <c r="W452" s="15" t="n">
        <v>1.837500652173913</v>
      </c>
      <c r="X452" s="15" t="n">
        <v>0.9994863108952103</v>
      </c>
      <c r="Y452" s="15" t="n">
        <v>0.09937761547488504</v>
      </c>
      <c r="Z452" s="15" t="n">
        <v>0.008273531602388744</v>
      </c>
      <c r="AA452" s="15" t="n">
        <v>0.02702533493093054</v>
      </c>
      <c r="AB452" s="15" t="n">
        <v>0</v>
      </c>
      <c r="AC452" s="15" t="n">
        <v>0</v>
      </c>
      <c r="AD452" s="15" t="n">
        <v>7.968499777477681</v>
      </c>
      <c r="AE452" s="15" t="n">
        <v>61.14801258202978</v>
      </c>
      <c r="AF452" s="15" t="n">
        <v>107.6575823675328</v>
      </c>
      <c r="AH452" s="29">
        <f>HIPERLINK($A$1 &amp; "\Dados\Magnet_fields.txt_452.txt.txt", "Magnet_fields.txt_452.txt")</f>
        <v/>
      </c>
      <c r="AI452" t="n">
        <v>7680</v>
      </c>
      <c r="AJ452" t="n">
        <v>28</v>
      </c>
      <c r="AK452" s="29">
        <f>HIPERLINK($A$1 &amp; "\Dados\Magnet_3D_results.txt_452.txt.txt", "Magnet_3D_results.txt_452.txt")</f>
        <v/>
      </c>
      <c r="AL452" s="29">
        <f>HIPERLINK($A$1 &amp; "\Dados\Magnet_fields_2D.txt_452.txt.txt", "Magnet_fields_2D.txt_452.txt")</f>
        <v/>
      </c>
    </row>
    <row customHeight="1" ht="15.75" r="453" s="34">
      <c r="D453" s="30" t="n"/>
      <c r="E453" s="15" t="n">
        <v>150</v>
      </c>
      <c r="F453" s="15" t="n">
        <v>170</v>
      </c>
      <c r="G453" s="15" t="n">
        <v>430</v>
      </c>
      <c r="H453" s="15" t="n">
        <v>45</v>
      </c>
      <c r="I453" s="15" t="n">
        <v>140</v>
      </c>
      <c r="J453" s="13" t="n">
        <v>25</v>
      </c>
      <c r="K453" t="n">
        <v>35</v>
      </c>
      <c r="L453" s="13" t="n">
        <v>1.3</v>
      </c>
      <c r="M453" s="12" t="n"/>
      <c r="N453" s="8" t="n">
        <v>1.14096157619847</v>
      </c>
      <c r="O453" s="15" t="n">
        <v>0.9020500360296937</v>
      </c>
      <c r="P453" s="15" t="n">
        <v>1.077242662664254</v>
      </c>
      <c r="Q453" s="15" t="n">
        <v>0.0008205001472212396</v>
      </c>
      <c r="R453" s="15" t="n">
        <v>0.004164193541152153</v>
      </c>
      <c r="S453" s="15" t="n">
        <v>0.0008207556342927767</v>
      </c>
      <c r="T453" s="29">
        <f>HIPERLINK($A$1 &amp; "\Dados\Imagem_perfil_453.png", "Imagem_perfil_453")</f>
        <v/>
      </c>
      <c r="U453" s="29">
        <f>HIPERLINK($A$1 &amp; "\Dados\Results_airgap453.txt", "Results_airgap453")</f>
        <v/>
      </c>
      <c r="V453" s="19" t="n"/>
      <c r="W453" s="43" t="n">
        <v>1.354353913043478</v>
      </c>
      <c r="X453" s="15" t="n">
        <v>0.6816393849841685</v>
      </c>
      <c r="Y453" s="15" t="n">
        <v>0.002894324228621743</v>
      </c>
      <c r="Z453" s="15" t="n">
        <v>0</v>
      </c>
      <c r="AA453" s="15" t="n">
        <v>7.544193047488479</v>
      </c>
      <c r="AB453" s="15" t="n">
        <v>0</v>
      </c>
      <c r="AC453" s="15" t="n">
        <v>0</v>
      </c>
      <c r="AD453" s="15" t="n">
        <v>0</v>
      </c>
      <c r="AE453" s="15" t="n">
        <v>0</v>
      </c>
      <c r="AF453" s="15" t="n">
        <v>42.41433735087581</v>
      </c>
      <c r="AH453" s="29">
        <f>HIPERLINK($A$1 &amp; "\Dados\Magnet_fields.txt_453.txt.txt", "Magnet_fields.txt_453.txt")</f>
        <v/>
      </c>
      <c r="AI453" t="n">
        <v>7972</v>
      </c>
      <c r="AJ453" t="n">
        <v>29</v>
      </c>
      <c r="AK453" s="29">
        <f>HIPERLINK($A$1 &amp; "\Dados\Magnet_3D_results.txt_453.txt.txt", "Magnet_3D_results.txt_453.txt")</f>
        <v/>
      </c>
      <c r="AL453" s="29">
        <f>HIPERLINK($A$1 &amp; "\Dados\Magnet_fields_2D.txt_453.txt.txt", "Magnet_fields_2D.txt_453.txt")</f>
        <v/>
      </c>
    </row>
    <row customHeight="1" ht="15.75" r="454" s="34">
      <c r="D454" s="30" t="n"/>
      <c r="E454" s="15" t="n">
        <v>150</v>
      </c>
      <c r="F454" s="15" t="n">
        <v>170</v>
      </c>
      <c r="G454" s="15" t="n">
        <v>430</v>
      </c>
      <c r="H454" s="15" t="n">
        <v>45</v>
      </c>
      <c r="I454" s="15" t="n">
        <v>140</v>
      </c>
      <c r="J454" s="13" t="n">
        <v>25</v>
      </c>
      <c r="K454" t="n">
        <v>35</v>
      </c>
      <c r="L454" s="13" t="n">
        <v>1.5</v>
      </c>
      <c r="M454" s="12" t="n"/>
      <c r="N454" s="8" t="n">
        <v>1.269146274999474</v>
      </c>
      <c r="O454" s="15" t="n">
        <v>1.014911785686019</v>
      </c>
      <c r="P454" s="15" t="n">
        <v>1.200799666359109</v>
      </c>
      <c r="Q454" s="15" t="n">
        <v>0.0011304823174539</v>
      </c>
      <c r="R454" s="15" t="n">
        <v>0.005503605245856934</v>
      </c>
      <c r="S454" s="15" t="n">
        <v>0.001135535552681114</v>
      </c>
      <c r="T454" s="29">
        <f>HIPERLINK($A$1 &amp; "\Dados\Imagem_perfil_454.png", "Imagem_perfil_454")</f>
        <v/>
      </c>
      <c r="U454" s="29">
        <f>HIPERLINK($A$1 &amp; "\Dados\Results_airgap454.txt", "Results_airgap454")</f>
        <v/>
      </c>
      <c r="V454" s="19" t="n"/>
      <c r="W454" s="43" t="n">
        <v>1.518854130434782</v>
      </c>
      <c r="X454" s="15" t="n">
        <v>0.7806396456959505</v>
      </c>
      <c r="Y454" s="15" t="n">
        <v>0.0003704545292644086</v>
      </c>
      <c r="Z454" s="15" t="n">
        <v>0.044748279683494</v>
      </c>
      <c r="AA454" s="15" t="n">
        <v>6.952690326875757</v>
      </c>
      <c r="AB454" s="15" t="n">
        <v>0</v>
      </c>
      <c r="AC454" s="15" t="n">
        <v>0</v>
      </c>
      <c r="AD454" s="15" t="n">
        <v>0</v>
      </c>
      <c r="AE454" s="15" t="n">
        <v>1.562430506668418</v>
      </c>
      <c r="AF454" s="15" t="n">
        <v>71.74924739622506</v>
      </c>
      <c r="AH454" s="29">
        <f>HIPERLINK($A$1 &amp; "\Dados\Magnet_fields.txt_454.txt.txt", "Magnet_fields.txt_454.txt")</f>
        <v/>
      </c>
      <c r="AI454" t="n">
        <v>7972</v>
      </c>
      <c r="AJ454" t="n">
        <v>29</v>
      </c>
      <c r="AK454" s="29">
        <f>HIPERLINK($A$1 &amp; "\Dados\Magnet_3D_results.txt_454.txt.txt", "Magnet_3D_results.txt_454.txt")</f>
        <v/>
      </c>
      <c r="AL454" s="29">
        <f>HIPERLINK($A$1 &amp; "\Dados\Magnet_fields_2D.txt_454.txt.txt", "Magnet_fields_2D.txt_454.txt")</f>
        <v/>
      </c>
    </row>
    <row customHeight="1" ht="15.75" r="455" s="34">
      <c r="D455" s="30" t="n"/>
      <c r="E455" s="15" t="n">
        <v>150</v>
      </c>
      <c r="F455" s="15" t="n">
        <v>170</v>
      </c>
      <c r="G455" s="15" t="n">
        <v>430</v>
      </c>
      <c r="H455" s="15" t="n">
        <v>45</v>
      </c>
      <c r="I455" s="15" t="n">
        <v>140</v>
      </c>
      <c r="J455" s="13" t="n">
        <v>25</v>
      </c>
      <c r="K455" t="n">
        <v>35</v>
      </c>
      <c r="L455" s="13" t="n">
        <v>1.7</v>
      </c>
      <c r="M455" s="12" t="n"/>
      <c r="N455" s="8" t="n">
        <v>1.423605814584953</v>
      </c>
      <c r="O455" s="15" t="n">
        <v>1.142949113952292</v>
      </c>
      <c r="P455" s="15" t="n">
        <v>1.347691277702113</v>
      </c>
      <c r="Q455" s="15" t="n">
        <v>0.001513219543924316</v>
      </c>
      <c r="R455" s="15" t="n">
        <v>0.01248708190305906</v>
      </c>
      <c r="S455" s="15" t="n">
        <v>0.001522766144207239</v>
      </c>
      <c r="T455" s="29">
        <f>HIPERLINK($A$1 &amp; "\Dados\Imagem_perfil_455.png", "Imagem_perfil_455")</f>
        <v/>
      </c>
      <c r="U455" s="29">
        <f>HIPERLINK($A$1 &amp; "\Dados\Results_airgap455.txt", "Results_airgap455")</f>
        <v/>
      </c>
      <c r="V455" s="19" t="n"/>
      <c r="W455" s="43" t="n">
        <v>1.708461739130435</v>
      </c>
      <c r="X455" s="15" t="n">
        <v>0.8899324068662318</v>
      </c>
      <c r="Y455" s="15" t="n">
        <v>0.0001745382603102082</v>
      </c>
      <c r="Z455" s="15" t="n">
        <v>0</v>
      </c>
      <c r="AA455" s="15" t="n">
        <v>6.641229128629717</v>
      </c>
      <c r="AB455" s="15" t="n">
        <v>4.0830238697298</v>
      </c>
      <c r="AC455" s="15" t="n">
        <v>0</v>
      </c>
      <c r="AD455" s="15" t="n">
        <v>0</v>
      </c>
      <c r="AE455" s="15" t="n">
        <v>19.81098779157027</v>
      </c>
      <c r="AF455" s="15" t="n">
        <v>86.2773803920598</v>
      </c>
      <c r="AH455" s="29">
        <f>HIPERLINK($A$1 &amp; "\Dados\Magnet_fields.txt_455.txt.txt", "Magnet_fields.txt_455.txt")</f>
        <v/>
      </c>
      <c r="AI455" t="n">
        <v>7972</v>
      </c>
      <c r="AJ455" t="n">
        <v>28</v>
      </c>
      <c r="AK455" s="29">
        <f>HIPERLINK($A$1 &amp; "\Dados\Magnet_3D_results.txt_455.txt.txt", "Magnet_3D_results.txt_455.txt")</f>
        <v/>
      </c>
      <c r="AL455" s="29">
        <f>HIPERLINK($A$1 &amp; "\Dados\Magnet_fields_2D.txt_455.txt.txt", "Magnet_fields_2D.txt_455.txt")</f>
        <v/>
      </c>
    </row>
    <row customHeight="1" ht="15.75" r="456" s="34">
      <c r="D456" s="30" t="n"/>
      <c r="E456" s="15" t="n">
        <v>150</v>
      </c>
      <c r="F456" s="15" t="n">
        <v>170</v>
      </c>
      <c r="G456" s="15" t="n">
        <v>430</v>
      </c>
      <c r="H456" s="15" t="n">
        <v>45</v>
      </c>
      <c r="I456" s="15" t="n">
        <v>140</v>
      </c>
      <c r="J456" s="13" t="n">
        <v>25</v>
      </c>
      <c r="K456" t="n">
        <v>35</v>
      </c>
      <c r="L456" s="13" t="n">
        <v>1.9</v>
      </c>
      <c r="M456" s="12" t="n"/>
      <c r="N456" s="8" t="n">
        <v>1.6067608044675</v>
      </c>
      <c r="O456" s="15" t="n">
        <v>1.289957894468969</v>
      </c>
      <c r="P456" s="15" t="n">
        <v>1.520889690849847</v>
      </c>
      <c r="Q456" s="15" t="n">
        <v>0.002286836081856793</v>
      </c>
      <c r="R456" s="15" t="n">
        <v>0.02194936879810197</v>
      </c>
      <c r="S456" s="15" t="n">
        <v>0.002303615210824817</v>
      </c>
      <c r="T456" s="29">
        <f>HIPERLINK($A$1 &amp; "\Dados\Imagem_perfil_456.png", "Imagem_perfil_456")</f>
        <v/>
      </c>
      <c r="U456" s="29">
        <f>HIPERLINK($A$1 &amp; "\Dados\Results_airgap456.txt", "Results_airgap456")</f>
        <v/>
      </c>
      <c r="V456" s="19" t="n"/>
      <c r="W456" s="43" t="n">
        <v>1.926521739130435</v>
      </c>
      <c r="X456" s="15" t="n">
        <v>1.014048952369064</v>
      </c>
      <c r="Y456" s="15" t="n">
        <v>0.001649233641819176</v>
      </c>
      <c r="Z456" s="15" t="n">
        <v>0</v>
      </c>
      <c r="AA456" s="15" t="n">
        <v>3.766982178566664</v>
      </c>
      <c r="AB456" s="15" t="n">
        <v>0</v>
      </c>
      <c r="AC456" s="15" t="n">
        <v>0</v>
      </c>
      <c r="AD456" s="15" t="n">
        <v>0</v>
      </c>
      <c r="AE456" s="15" t="n">
        <v>52.18592509515892</v>
      </c>
      <c r="AF456" s="15" t="n">
        <v>106.2557332826448</v>
      </c>
      <c r="AH456" s="29">
        <f>HIPERLINK($A$1 &amp; "\Dados\Magnet_fields.txt_456.txt.txt", "Magnet_fields.txt_456.txt")</f>
        <v/>
      </c>
      <c r="AI456" t="n">
        <v>7972</v>
      </c>
      <c r="AJ456" t="n">
        <v>29</v>
      </c>
      <c r="AK456" s="29">
        <f>HIPERLINK($A$1 &amp; "\Dados\Magnet_3D_results.txt_456.txt.txt", "Magnet_3D_results.txt_456.txt")</f>
        <v/>
      </c>
      <c r="AL456" s="29">
        <f>HIPERLINK($A$1 &amp; "\Dados\Magnet_fields_2D.txt_456.txt.txt", "Magnet_fields_2D.txt_456.txt")</f>
        <v/>
      </c>
    </row>
    <row customHeight="1" ht="15.75" r="457" s="34">
      <c r="D457" s="30" t="n"/>
      <c r="E457" s="15" t="n">
        <v>150</v>
      </c>
      <c r="F457" s="15" t="n">
        <v>170</v>
      </c>
      <c r="G457" s="15" t="n">
        <v>430</v>
      </c>
      <c r="H457" s="15" t="n">
        <v>45</v>
      </c>
      <c r="I457" s="15" t="n">
        <v>140</v>
      </c>
      <c r="J457" s="13" t="n">
        <v>25</v>
      </c>
      <c r="K457" t="n">
        <v>35</v>
      </c>
      <c r="L457" s="13" t="n">
        <v>2.1</v>
      </c>
      <c r="M457" s="12" t="n"/>
      <c r="N457" s="8" t="n">
        <v>1.675564775400711</v>
      </c>
      <c r="O457" s="15" t="n">
        <v>1.34225655351408</v>
      </c>
      <c r="P457" s="15" t="n">
        <v>1.584452549995675</v>
      </c>
      <c r="Q457" s="15" t="n">
        <v>0.002558864893260123</v>
      </c>
      <c r="R457" s="15" t="n">
        <v>0.0244703052479322</v>
      </c>
      <c r="S457" s="15" t="n">
        <v>0.002577523491351104</v>
      </c>
      <c r="T457" s="29">
        <f>HIPERLINK($A$1 &amp; "\Dados\Imagem_perfil_457.png", "Imagem_perfil_457")</f>
        <v/>
      </c>
      <c r="U457" s="29">
        <f>HIPERLINK($A$1 &amp; "\Dados\Results_airgap457.txt", "Results_airgap457")</f>
        <v/>
      </c>
      <c r="V457" s="19" t="n"/>
      <c r="W457" s="43" t="n">
        <v>2.01402652173913</v>
      </c>
      <c r="X457" s="15" t="n">
        <v>1.055125448112119</v>
      </c>
      <c r="Y457" s="15" t="n">
        <v>0.03795792669742139</v>
      </c>
      <c r="Z457" s="15" t="n">
        <v>0.01635898164308637</v>
      </c>
      <c r="AA457" s="15" t="n">
        <v>1.597453726205281</v>
      </c>
      <c r="AB457" s="15" t="n">
        <v>0</v>
      </c>
      <c r="AC457" s="15" t="n">
        <v>0</v>
      </c>
      <c r="AD457" s="15" t="n">
        <v>7.25056636054372</v>
      </c>
      <c r="AE457" s="15" t="n">
        <v>62.26653440864587</v>
      </c>
      <c r="AF457" s="15" t="n">
        <v>108.4186019477605</v>
      </c>
      <c r="AH457" s="29">
        <f>HIPERLINK($A$1 &amp; "\Dados\Magnet_fields.txt_457.txt.txt", "Magnet_fields.txt_457.txt")</f>
        <v/>
      </c>
      <c r="AI457" t="n">
        <v>7972</v>
      </c>
      <c r="AJ457" t="n">
        <v>29</v>
      </c>
      <c r="AK457" s="29">
        <f>HIPERLINK($A$1 &amp; "\Dados\Magnet_3D_results.txt_457.txt.txt", "Magnet_3D_results.txt_457.txt")</f>
        <v/>
      </c>
      <c r="AL457" s="29">
        <f>HIPERLINK($A$1 &amp; "\Dados\Magnet_fields_2D.txt_457.txt.txt", "Magnet_fields_2D.txt_457.txt")</f>
        <v/>
      </c>
    </row>
    <row customHeight="1" ht="15.75" r="458" s="34">
      <c r="D458" s="30" t="n"/>
      <c r="E458" s="15" t="n">
        <v>150</v>
      </c>
      <c r="F458" s="15" t="n">
        <v>170</v>
      </c>
      <c r="G458" s="15" t="n">
        <v>430</v>
      </c>
      <c r="H458" s="15" t="n">
        <v>25</v>
      </c>
      <c r="I458" s="15" t="n">
        <v>180</v>
      </c>
      <c r="J458" s="13" t="n">
        <v>25</v>
      </c>
      <c r="K458" t="n">
        <v>35</v>
      </c>
      <c r="L458" s="13" t="n">
        <v>1.3</v>
      </c>
      <c r="M458" s="12" t="n"/>
      <c r="N458" s="8" t="n">
        <v>1.152149678415437</v>
      </c>
      <c r="O458" s="15" t="n">
        <v>1.045324886658086</v>
      </c>
      <c r="P458" s="15" t="n">
        <v>1.120328066375186</v>
      </c>
      <c r="Q458" s="15" t="n">
        <v>0.0007985273395115381</v>
      </c>
      <c r="R458" s="15" t="n">
        <v>0.01204350179578864</v>
      </c>
      <c r="S458" s="15" t="n">
        <v>0.0007971576548905431</v>
      </c>
      <c r="T458" s="29">
        <f>HIPERLINK($A$1 &amp; "\Dados\Imagem_perfil_458.png", "Imagem_perfil_458")</f>
        <v/>
      </c>
      <c r="U458" s="29">
        <f>HIPERLINK($A$1 &amp; "\Dados\Results_airgap458.txt", "Results_airgap458")</f>
        <v/>
      </c>
      <c r="V458" s="19" t="n"/>
      <c r="W458" s="43" t="n">
        <v>1.354269347826087</v>
      </c>
      <c r="X458" s="15" t="n">
        <v>0.6620176105471804</v>
      </c>
      <c r="Y458" s="15" t="n">
        <v>0.002880975461771437</v>
      </c>
      <c r="Z458" s="15" t="n">
        <v>0</v>
      </c>
      <c r="AA458" s="15" t="n">
        <v>5.523021119426327</v>
      </c>
      <c r="AB458" s="15" t="n">
        <v>0</v>
      </c>
      <c r="AC458" s="15" t="n">
        <v>0</v>
      </c>
      <c r="AD458" s="15" t="n">
        <v>0</v>
      </c>
      <c r="AE458" s="15" t="n">
        <v>0</v>
      </c>
      <c r="AF458" s="15" t="n">
        <v>42.45602586661682</v>
      </c>
      <c r="AH458" s="29">
        <f>HIPERLINK($A$1 &amp; "\Dados\Magnet_fields.txt_458.txt.txt", "Magnet_fields.txt_458.txt")</f>
        <v/>
      </c>
      <c r="AI458" t="n">
        <v>12314</v>
      </c>
      <c r="AJ458" t="n">
        <v>31</v>
      </c>
      <c r="AK458" s="29">
        <f>HIPERLINK($A$1 &amp; "\Dados\Magnet_3D_results.txt_458.txt.txt", "Magnet_3D_results.txt_458.txt")</f>
        <v/>
      </c>
      <c r="AL458" s="29">
        <f>HIPERLINK($A$1 &amp; "\Dados\Magnet_fields_2D.txt_458.txt.txt", "Magnet_fields_2D.txt_458.txt")</f>
        <v/>
      </c>
    </row>
    <row customHeight="1" ht="15.75" r="459" s="34">
      <c r="D459" s="30" t="n"/>
      <c r="E459" s="15" t="n">
        <v>150</v>
      </c>
      <c r="F459" s="15" t="n">
        <v>170</v>
      </c>
      <c r="G459" s="15" t="n">
        <v>430</v>
      </c>
      <c r="H459" s="15" t="n">
        <v>25</v>
      </c>
      <c r="I459" s="15" t="n">
        <v>180</v>
      </c>
      <c r="J459" s="13" t="n">
        <v>25</v>
      </c>
      <c r="K459" t="n">
        <v>35</v>
      </c>
      <c r="L459" s="13" t="n">
        <v>1.5</v>
      </c>
      <c r="M459" s="12" t="n"/>
      <c r="N459" s="8" t="n">
        <v>1.293776318458103</v>
      </c>
      <c r="O459" s="15" t="n">
        <v>1.175674031545988</v>
      </c>
      <c r="P459" s="15" t="n">
        <v>1.258133360758477</v>
      </c>
      <c r="Q459" s="15" t="n">
        <v>0.001087551912592116</v>
      </c>
      <c r="R459" s="15" t="n">
        <v>0.002440197254044418</v>
      </c>
      <c r="S459" s="15" t="n">
        <v>0.001086191798314813</v>
      </c>
      <c r="T459" s="29">
        <f>HIPERLINK($A$1 &amp; "\Dados\Imagem_perfil_459.png", "Imagem_perfil_459")</f>
        <v/>
      </c>
      <c r="U459" s="29">
        <f>HIPERLINK($A$1 &amp; "\Dados\Results_airgap459.txt", "Results_airgap459")</f>
        <v/>
      </c>
      <c r="V459" s="19" t="n"/>
      <c r="W459" s="43" t="n">
        <v>1.518859782608696</v>
      </c>
      <c r="X459" s="15" t="n">
        <v>0.7662736712529471</v>
      </c>
      <c r="Y459" s="15" t="n">
        <v>0.0003713764311937492</v>
      </c>
      <c r="Z459" s="15" t="n">
        <v>0.09025192623384355</v>
      </c>
      <c r="AA459" s="15" t="n">
        <v>5.400949924402759</v>
      </c>
      <c r="AB459" s="15" t="n">
        <v>0</v>
      </c>
      <c r="AC459" s="15" t="n">
        <v>0</v>
      </c>
      <c r="AD459" s="15" t="n">
        <v>0</v>
      </c>
      <c r="AE459" s="15" t="n">
        <v>2.840090694535284</v>
      </c>
      <c r="AF459" s="15" t="n">
        <v>69.57706992325819</v>
      </c>
      <c r="AH459" s="29">
        <f>HIPERLINK($A$1 &amp; "\Dados\Magnet_fields.txt_459.txt.txt", "Magnet_fields.txt_459.txt")</f>
        <v/>
      </c>
      <c r="AI459" t="n">
        <v>12314</v>
      </c>
      <c r="AJ459" t="n">
        <v>29</v>
      </c>
      <c r="AK459" s="29">
        <f>HIPERLINK($A$1 &amp; "\Dados\Magnet_3D_results.txt_459.txt.txt", "Magnet_3D_results.txt_459.txt")</f>
        <v/>
      </c>
      <c r="AL459" s="29">
        <f>HIPERLINK($A$1 &amp; "\Dados\Magnet_fields_2D.txt_459.txt.txt", "Magnet_fields_2D.txt_459.txt")</f>
        <v/>
      </c>
    </row>
    <row customHeight="1" ht="15.75" r="460" s="34">
      <c r="D460" s="30" t="n"/>
      <c r="E460" s="15" t="n">
        <v>150</v>
      </c>
      <c r="F460" s="15" t="n">
        <v>170</v>
      </c>
      <c r="G460" s="15" t="n">
        <v>430</v>
      </c>
      <c r="H460" s="15" t="n">
        <v>25</v>
      </c>
      <c r="I460" s="15" t="n">
        <v>180</v>
      </c>
      <c r="J460" s="13" t="n">
        <v>25</v>
      </c>
      <c r="K460" t="n">
        <v>35</v>
      </c>
      <c r="L460" s="13" t="n">
        <v>1.7</v>
      </c>
      <c r="M460" s="12" t="n"/>
      <c r="N460" s="8" t="n">
        <v>1.463600210328392</v>
      </c>
      <c r="O460" s="15" t="n">
        <v>1.33344847110642</v>
      </c>
      <c r="P460" s="15" t="n">
        <v>1.423442567097786</v>
      </c>
      <c r="Q460" s="15" t="n">
        <v>0.001460771125132733</v>
      </c>
      <c r="R460" s="15" t="n">
        <v>0.006628446004002308</v>
      </c>
      <c r="S460" s="15" t="n">
        <v>0.001458887044179944</v>
      </c>
      <c r="T460" s="29">
        <f>HIPERLINK($A$1 &amp; "\Dados\Imagem_perfil_460.png", "Imagem_perfil_460")</f>
        <v/>
      </c>
      <c r="U460" s="29">
        <f>HIPERLINK($A$1 &amp; "\Dados\Results_airgap460.txt", "Results_airgap460")</f>
        <v/>
      </c>
      <c r="V460" s="19" t="n"/>
      <c r="W460" s="43" t="n">
        <v>1.708156086956522</v>
      </c>
      <c r="X460" s="15" t="n">
        <v>0.8839520782827307</v>
      </c>
      <c r="Y460" s="15" t="n">
        <v>0.0001712947549381676</v>
      </c>
      <c r="Z460" s="15" t="n">
        <v>0.03498493697624799</v>
      </c>
      <c r="AA460" s="15" t="n">
        <v>5.300380940838431</v>
      </c>
      <c r="AB460" s="15" t="n">
        <v>3.999281315341916</v>
      </c>
      <c r="AC460" s="15" t="n">
        <v>0</v>
      </c>
      <c r="AD460" s="15" t="n">
        <v>0</v>
      </c>
      <c r="AE460" s="15" t="n">
        <v>19.60156114246755</v>
      </c>
      <c r="AF460" s="15" t="n">
        <v>86.80058210592914</v>
      </c>
      <c r="AH460" s="29">
        <f>HIPERLINK($A$1 &amp; "\Dados\Magnet_fields.txt_460.txt.txt", "Magnet_fields.txt_460.txt")</f>
        <v/>
      </c>
      <c r="AI460" t="n">
        <v>12314</v>
      </c>
      <c r="AJ460" t="n">
        <v>30</v>
      </c>
      <c r="AK460" s="29">
        <f>HIPERLINK($A$1 &amp; "\Dados\Magnet_3D_results.txt_460.txt.txt", "Magnet_3D_results.txt_460.txt")</f>
        <v/>
      </c>
      <c r="AL460" s="29">
        <f>HIPERLINK($A$1 &amp; "\Dados\Magnet_fields_2D.txt_460.txt.txt", "Magnet_fields_2D.txt_460.txt")</f>
        <v/>
      </c>
    </row>
    <row customHeight="1" ht="15.75" r="461" s="34">
      <c r="D461" s="30" t="n"/>
      <c r="E461" s="15" t="n">
        <v>150</v>
      </c>
      <c r="F461" s="15" t="n">
        <v>170</v>
      </c>
      <c r="G461" s="15" t="n">
        <v>430</v>
      </c>
      <c r="H461" s="15" t="n">
        <v>25</v>
      </c>
      <c r="I461" s="15" t="n">
        <v>180</v>
      </c>
      <c r="J461" s="13" t="n">
        <v>25</v>
      </c>
      <c r="K461" t="n">
        <v>35</v>
      </c>
      <c r="L461" s="13" t="n">
        <v>1.9</v>
      </c>
      <c r="M461" s="12" t="n"/>
      <c r="N461" s="8" t="n">
        <v>1.667224749700744</v>
      </c>
      <c r="O461" s="15" t="n">
        <v>1.521167592292979</v>
      </c>
      <c r="P461" s="15" t="n">
        <v>1.621496740162282</v>
      </c>
      <c r="Q461" s="15" t="n">
        <v>0.002214818741702447</v>
      </c>
      <c r="R461" s="15" t="n">
        <v>0.01776116182658744</v>
      </c>
      <c r="S461" s="15" t="n">
        <v>0.002213469643417213</v>
      </c>
      <c r="T461" s="29">
        <f>HIPERLINK($A$1 &amp; "\Dados\Imagem_perfil_461.png", "Imagem_perfil_461")</f>
        <v/>
      </c>
      <c r="U461" s="29">
        <f>HIPERLINK($A$1 &amp; "\Dados\Results_airgap461.txt", "Results_airgap461")</f>
        <v/>
      </c>
      <c r="V461" s="19" t="n"/>
      <c r="W461" s="43" t="n">
        <v>1.92650652173913</v>
      </c>
      <c r="X461" s="15" t="n">
        <v>1.020178332836604</v>
      </c>
      <c r="Y461" s="15" t="n">
        <v>0.001653828880475469</v>
      </c>
      <c r="Z461" s="15" t="n">
        <v>0.02314450921441502</v>
      </c>
      <c r="AA461" s="15" t="n">
        <v>5.036496322891491</v>
      </c>
      <c r="AB461" s="15" t="n">
        <v>0</v>
      </c>
      <c r="AC461" s="15" t="n">
        <v>0</v>
      </c>
      <c r="AD461" s="15" t="n">
        <v>0</v>
      </c>
      <c r="AE461" s="15" t="n">
        <v>52.2229339271208</v>
      </c>
      <c r="AF461" s="15" t="n">
        <v>106.2788958673924</v>
      </c>
      <c r="AH461" s="29">
        <f>HIPERLINK($A$1 &amp; "\Dados\Magnet_fields.txt_461.txt.txt", "Magnet_fields.txt_461.txt")</f>
        <v/>
      </c>
      <c r="AI461" t="n">
        <v>12314</v>
      </c>
      <c r="AJ461" t="n">
        <v>30</v>
      </c>
      <c r="AK461" s="29">
        <f>HIPERLINK($A$1 &amp; "\Dados\Magnet_3D_results.txt_461.txt.txt", "Magnet_3D_results.txt_461.txt")</f>
        <v/>
      </c>
      <c r="AL461" s="29">
        <f>HIPERLINK($A$1 &amp; "\Dados\Magnet_fields_2D.txt_461.txt.txt", "Magnet_fields_2D.txt_461.txt")</f>
        <v/>
      </c>
    </row>
    <row customHeight="1" ht="15.75" r="462" s="34">
      <c r="D462" s="30" t="n"/>
      <c r="E462" s="15" t="n">
        <v>150</v>
      </c>
      <c r="F462" s="15" t="n">
        <v>170</v>
      </c>
      <c r="G462" s="15" t="n">
        <v>430</v>
      </c>
      <c r="H462" s="15" t="n">
        <v>25</v>
      </c>
      <c r="I462" s="15" t="n">
        <v>180</v>
      </c>
      <c r="J462" s="13" t="n">
        <v>25</v>
      </c>
      <c r="K462" t="n">
        <v>35</v>
      </c>
      <c r="L462" s="13" t="n">
        <v>2.1</v>
      </c>
      <c r="M462" s="12" t="n"/>
      <c r="N462" s="8" t="n">
        <v>1.743302294314608</v>
      </c>
      <c r="O462" s="15" t="n">
        <v>1.589759314268158</v>
      </c>
      <c r="P462" s="15" t="n">
        <v>1.694225284872401</v>
      </c>
      <c r="Q462" s="15" t="n">
        <v>0.002504332439412102</v>
      </c>
      <c r="R462" s="15" t="n">
        <v>0.02098104640569919</v>
      </c>
      <c r="S462" s="15" t="n">
        <v>0.002503288585025474</v>
      </c>
      <c r="T462" s="29">
        <f>HIPERLINK($A$1 &amp; "\Dados\Imagem_perfil_462.png", "Imagem_perfil_462")</f>
        <v/>
      </c>
      <c r="U462" s="29">
        <f>HIPERLINK($A$1 &amp; "\Dados\Results_airgap462.txt", "Results_airgap462")</f>
        <v/>
      </c>
      <c r="V462" s="19" t="n"/>
      <c r="W462" s="43" t="n">
        <v>2.013948260869565</v>
      </c>
      <c r="X462" s="15" t="n">
        <v>1.065424711819117</v>
      </c>
      <c r="Y462" s="15" t="n">
        <v>0.0380021142899296</v>
      </c>
      <c r="Z462" s="15" t="n">
        <v>0.03379564733399593</v>
      </c>
      <c r="AA462" s="15" t="n">
        <v>4.748105928728194</v>
      </c>
      <c r="AB462" s="15" t="n">
        <v>0</v>
      </c>
      <c r="AC462" s="15" t="n">
        <v>0</v>
      </c>
      <c r="AD462" s="15" t="n">
        <v>7.25134743415101</v>
      </c>
      <c r="AE462" s="15" t="n">
        <v>62.29439059978305</v>
      </c>
      <c r="AF462" s="15" t="n">
        <v>108.4161013276247</v>
      </c>
      <c r="AH462" s="29">
        <f>HIPERLINK($A$1 &amp; "\Dados\Magnet_fields.txt_462.txt.txt", "Magnet_fields.txt_462.txt")</f>
        <v/>
      </c>
      <c r="AI462" t="n">
        <v>12314</v>
      </c>
      <c r="AJ462" t="n">
        <v>30</v>
      </c>
      <c r="AK462" s="29">
        <f>HIPERLINK($A$1 &amp; "\Dados\Magnet_3D_results.txt_462.txt.txt", "Magnet_3D_results.txt_462.txt")</f>
        <v/>
      </c>
      <c r="AL462" s="29">
        <f>HIPERLINK($A$1 &amp; "\Dados\Magnet_fields_2D.txt_462.txt.txt", "Magnet_fields_2D.txt_462.txt")</f>
        <v/>
      </c>
    </row>
    <row customHeight="1" ht="15.75" r="463" s="34">
      <c r="D463" s="30" t="n"/>
      <c r="E463" s="15" t="n">
        <v>150</v>
      </c>
      <c r="F463" s="15" t="n">
        <v>170</v>
      </c>
      <c r="G463" s="15" t="n">
        <v>430</v>
      </c>
      <c r="H463" s="15" t="n">
        <v>45</v>
      </c>
      <c r="I463" s="15" t="n">
        <v>180</v>
      </c>
      <c r="J463" s="13" t="n">
        <v>25</v>
      </c>
      <c r="K463" t="n">
        <v>35</v>
      </c>
      <c r="L463" s="13" t="n">
        <v>1.3</v>
      </c>
      <c r="M463" s="12" t="n"/>
      <c r="N463" s="8" t="n">
        <v>1.179638620218724</v>
      </c>
      <c r="O463" s="15" t="n">
        <v>1.074222625090603</v>
      </c>
      <c r="P463" s="15" t="n">
        <v>1.148205807273021</v>
      </c>
      <c r="Q463" s="15" t="n">
        <v>0.0008289569004865538</v>
      </c>
      <c r="R463" s="15" t="n">
        <v>0.005813949868438683</v>
      </c>
      <c r="S463" s="15" t="n">
        <v>0.0008279472252883489</v>
      </c>
      <c r="T463" s="29">
        <f>HIPERLINK($A$1 &amp; "\Dados\Imagem_perfil_463.png", "Imagem_perfil_463")</f>
        <v/>
      </c>
      <c r="U463" s="29">
        <f>HIPERLINK($A$1 &amp; "\Dados\Results_airgap463.txt", "Results_airgap463")</f>
        <v/>
      </c>
      <c r="V463" s="19" t="n"/>
      <c r="W463" s="43" t="n">
        <v>1.354368260869566</v>
      </c>
      <c r="X463" s="15" t="n">
        <v>0.6833108847165345</v>
      </c>
      <c r="Y463" s="15" t="n">
        <v>0.002894320300393193</v>
      </c>
      <c r="Z463" s="15" t="n">
        <v>0</v>
      </c>
      <c r="AA463" s="15" t="n">
        <v>7.963599413983198</v>
      </c>
      <c r="AB463" s="15" t="n">
        <v>0</v>
      </c>
      <c r="AC463" s="15" t="n">
        <v>0</v>
      </c>
      <c r="AD463" s="15" t="n">
        <v>0</v>
      </c>
      <c r="AE463" s="15" t="n">
        <v>0</v>
      </c>
      <c r="AF463" s="15" t="n">
        <v>42.41662127356339</v>
      </c>
      <c r="AH463" s="29">
        <f>HIPERLINK($A$1 &amp; "\Dados\Magnet_fields.txt_463.txt.txt", "Magnet_fields.txt_463.txt")</f>
        <v/>
      </c>
      <c r="AI463" t="n">
        <v>8592</v>
      </c>
      <c r="AJ463" t="n">
        <v>28</v>
      </c>
      <c r="AK463" s="29">
        <f>HIPERLINK($A$1 &amp; "\Dados\Magnet_3D_results.txt_463.txt.txt", "Magnet_3D_results.txt_463.txt")</f>
        <v/>
      </c>
      <c r="AL463" s="29">
        <f>HIPERLINK($A$1 &amp; "\Dados\Magnet_fields_2D.txt_463.txt.txt", "Magnet_fields_2D.txt_463.txt")</f>
        <v/>
      </c>
    </row>
    <row customHeight="1" ht="15.75" r="464" s="34">
      <c r="D464" s="30" t="n"/>
      <c r="E464" s="15" t="n">
        <v>150</v>
      </c>
      <c r="F464" s="15" t="n">
        <v>170</v>
      </c>
      <c r="G464" s="15" t="n">
        <v>430</v>
      </c>
      <c r="H464" s="15" t="n">
        <v>45</v>
      </c>
      <c r="I464" s="15" t="n">
        <v>180</v>
      </c>
      <c r="J464" s="13" t="n">
        <v>25</v>
      </c>
      <c r="K464" t="n">
        <v>35</v>
      </c>
      <c r="L464" s="13" t="n">
        <v>1.5</v>
      </c>
      <c r="M464" s="12" t="n"/>
      <c r="N464" s="8" t="n">
        <v>1.321341637916549</v>
      </c>
      <c r="O464" s="15" t="n">
        <v>1.204589232580177</v>
      </c>
      <c r="P464" s="15" t="n">
        <v>1.286092674021992</v>
      </c>
      <c r="Q464" s="15" t="n">
        <v>0.001141367765120955</v>
      </c>
      <c r="R464" s="15" t="n">
        <v>0.004745871693529202</v>
      </c>
      <c r="S464" s="15" t="n">
        <v>0.001140331267993067</v>
      </c>
      <c r="T464" s="29">
        <f>HIPERLINK($A$1 &amp; "\Dados\Imagem_perfil_464.png", "Imagem_perfil_464")</f>
        <v/>
      </c>
      <c r="U464" s="29">
        <f>HIPERLINK($A$1 &amp; "\Dados\Results_airgap464.txt", "Results_airgap464")</f>
        <v/>
      </c>
      <c r="V464" s="19" t="n"/>
      <c r="W464" s="43" t="n">
        <v>1.519019782608695</v>
      </c>
      <c r="X464" s="15" t="n">
        <v>0.788186164439452</v>
      </c>
      <c r="Y464" s="15" t="n">
        <v>0.0003704495926291743</v>
      </c>
      <c r="Z464" s="15" t="n">
        <v>0.03889677279212718</v>
      </c>
      <c r="AA464" s="15" t="n">
        <v>7.461790782009628</v>
      </c>
      <c r="AB464" s="15" t="n">
        <v>0</v>
      </c>
      <c r="AC464" s="15" t="n">
        <v>0</v>
      </c>
      <c r="AD464" s="15" t="n">
        <v>0</v>
      </c>
      <c r="AE464" s="15" t="n">
        <v>1.623994578125694</v>
      </c>
      <c r="AF464" s="15" t="n">
        <v>71.67850057964225</v>
      </c>
      <c r="AH464" s="29">
        <f>HIPERLINK($A$1 &amp; "\Dados\Magnet_fields.txt_464.txt.txt", "Magnet_fields.txt_464.txt")</f>
        <v/>
      </c>
      <c r="AI464" t="n">
        <v>8592</v>
      </c>
      <c r="AJ464" t="n">
        <v>29</v>
      </c>
      <c r="AK464" s="29">
        <f>HIPERLINK($A$1 &amp; "\Dados\Magnet_3D_results.txt_464.txt.txt", "Magnet_3D_results.txt_464.txt")</f>
        <v/>
      </c>
      <c r="AL464" s="29">
        <f>HIPERLINK($A$1 &amp; "\Dados\Magnet_fields_2D.txt_464.txt.txt", "Magnet_fields_2D.txt_464.txt")</f>
        <v/>
      </c>
    </row>
    <row customHeight="1" ht="15.75" r="465" s="34">
      <c r="D465" s="30" t="n"/>
      <c r="E465" s="15" t="n">
        <v>150</v>
      </c>
      <c r="F465" s="15" t="n">
        <v>170</v>
      </c>
      <c r="G465" s="15" t="n">
        <v>430</v>
      </c>
      <c r="H465" s="15" t="n">
        <v>45</v>
      </c>
      <c r="I465" s="15" t="n">
        <v>180</v>
      </c>
      <c r="J465" s="13" t="n">
        <v>25</v>
      </c>
      <c r="K465" t="n">
        <v>35</v>
      </c>
      <c r="L465" s="13" t="n">
        <v>1.7</v>
      </c>
      <c r="M465" s="12" t="n"/>
      <c r="N465" s="8" t="n">
        <v>1.491347644594848</v>
      </c>
      <c r="O465" s="15" t="n">
        <v>1.361937010625689</v>
      </c>
      <c r="P465" s="15" t="n">
        <v>1.451506458509885</v>
      </c>
      <c r="Q465" s="15" t="n">
        <v>0.001542820885743974</v>
      </c>
      <c r="R465" s="15" t="n">
        <v>0.01207087207328831</v>
      </c>
      <c r="S465" s="15" t="n">
        <v>0.001541096872682583</v>
      </c>
      <c r="T465" s="29">
        <f>HIPERLINK($A$1 &amp; "\Dados\Imagem_perfil_465.png", "Imagem_perfil_465")</f>
        <v/>
      </c>
      <c r="U465" s="29">
        <f>HIPERLINK($A$1 &amp; "\Dados\Results_airgap465.txt", "Results_airgap465")</f>
        <v/>
      </c>
      <c r="V465" s="19" t="n"/>
      <c r="W465" s="43" t="n">
        <v>1.708315</v>
      </c>
      <c r="X465" s="15" t="n">
        <v>0.9021707220543207</v>
      </c>
      <c r="Y465" s="15" t="n">
        <v>0.0001855658072662646</v>
      </c>
      <c r="Z465" s="15" t="n">
        <v>0</v>
      </c>
      <c r="AA465" s="15" t="n">
        <v>6.912552424098693</v>
      </c>
      <c r="AB465" s="15" t="n">
        <v>2.926077937298548</v>
      </c>
      <c r="AC465" s="15" t="n">
        <v>0</v>
      </c>
      <c r="AD465" s="15" t="n">
        <v>0</v>
      </c>
      <c r="AE465" s="15" t="n">
        <v>21.10715524395313</v>
      </c>
      <c r="AF465" s="15" t="n">
        <v>83.62677778567536</v>
      </c>
      <c r="AH465" s="29">
        <f>HIPERLINK($A$1 &amp; "\Dados\Magnet_fields.txt_465.txt.txt", "Magnet_fields.txt_465.txt")</f>
        <v/>
      </c>
      <c r="AI465" t="n">
        <v>8592</v>
      </c>
      <c r="AJ465" t="n">
        <v>29</v>
      </c>
      <c r="AK465" s="29">
        <f>HIPERLINK($A$1 &amp; "\Dados\Magnet_3D_results.txt_465.txt.txt", "Magnet_3D_results.txt_465.txt")</f>
        <v/>
      </c>
      <c r="AL465" s="29">
        <f>HIPERLINK($A$1 &amp; "\Dados\Magnet_fields_2D.txt_465.txt.txt", "Magnet_fields_2D.txt_465.txt")</f>
        <v/>
      </c>
    </row>
    <row customHeight="1" ht="15.75" r="466" s="34">
      <c r="D466" s="30" t="n"/>
      <c r="E466" s="15" t="n">
        <v>150</v>
      </c>
      <c r="F466" s="15" t="n">
        <v>170</v>
      </c>
      <c r="G466" s="15" t="n">
        <v>430</v>
      </c>
      <c r="H466" s="15" t="n">
        <v>45</v>
      </c>
      <c r="I466" s="15" t="n">
        <v>180</v>
      </c>
      <c r="J466" s="13" t="n">
        <v>25</v>
      </c>
      <c r="K466" t="n">
        <v>35</v>
      </c>
      <c r="L466" s="13" t="n">
        <v>1.9</v>
      </c>
      <c r="M466" s="12" t="n"/>
      <c r="N466" s="8" t="n">
        <v>1.688436994748455</v>
      </c>
      <c r="O466" s="15" t="n">
        <v>1.543818866633206</v>
      </c>
      <c r="P466" s="15" t="n">
        <v>1.643373326897051</v>
      </c>
      <c r="Q466" s="15" t="n">
        <v>0.002377088174926434</v>
      </c>
      <c r="R466" s="15" t="n">
        <v>0.0229155349831878</v>
      </c>
      <c r="S466" s="15" t="n">
        <v>0.002376511648388222</v>
      </c>
      <c r="T466" s="29">
        <f>HIPERLINK($A$1 &amp; "\Dados\Imagem_perfil_466.png", "Imagem_perfil_466")</f>
        <v/>
      </c>
      <c r="U466" s="29">
        <f>HIPERLINK($A$1 &amp; "\Dados\Results_airgap466.txt", "Results_airgap466")</f>
        <v/>
      </c>
      <c r="V466" s="19" t="n"/>
      <c r="W466" s="43" t="n">
        <v>1.926524347826087</v>
      </c>
      <c r="X466" s="15" t="n">
        <v>1.031215877619055</v>
      </c>
      <c r="Y466" s="15" t="n">
        <v>0.001649227500894207</v>
      </c>
      <c r="Z466" s="15" t="n">
        <v>0.003973044163344526</v>
      </c>
      <c r="AA466" s="15" t="n">
        <v>4.371363056524803</v>
      </c>
      <c r="AB466" s="15" t="n">
        <v>0</v>
      </c>
      <c r="AC466" s="15" t="n">
        <v>0</v>
      </c>
      <c r="AD466" s="15" t="n">
        <v>0</v>
      </c>
      <c r="AE466" s="15" t="n">
        <v>52.18376293609107</v>
      </c>
      <c r="AF466" s="15" t="n">
        <v>106.2706393793522</v>
      </c>
      <c r="AH466" s="29">
        <f>HIPERLINK($A$1 &amp; "\Dados\Magnet_fields.txt_466.txt.txt", "Magnet_fields.txt_466.txt")</f>
        <v/>
      </c>
      <c r="AI466" t="n">
        <v>8592</v>
      </c>
      <c r="AJ466" t="n">
        <v>29</v>
      </c>
      <c r="AK466" s="29">
        <f>HIPERLINK($A$1 &amp; "\Dados\Magnet_3D_results.txt_466.txt.txt", "Magnet_3D_results.txt_466.txt")</f>
        <v/>
      </c>
      <c r="AL466" s="29">
        <f>HIPERLINK($A$1 &amp; "\Dados\Magnet_fields_2D.txt_466.txt.txt", "Magnet_fields_2D.txt_466.txt")</f>
        <v/>
      </c>
    </row>
    <row customHeight="1" ht="15.75" r="467" s="34">
      <c r="D467" s="30" t="n"/>
      <c r="E467" s="15" t="n">
        <v>150</v>
      </c>
      <c r="F467" s="15" t="n">
        <v>170</v>
      </c>
      <c r="G467" s="15" t="n">
        <v>430</v>
      </c>
      <c r="H467" s="15" t="n">
        <v>45</v>
      </c>
      <c r="I467" s="15" t="n">
        <v>180</v>
      </c>
      <c r="J467" s="13" t="n">
        <v>25</v>
      </c>
      <c r="K467" t="n">
        <v>35</v>
      </c>
      <c r="L467" s="13" t="n">
        <v>2.1</v>
      </c>
      <c r="M467" s="12" t="n"/>
      <c r="N467" s="8" t="n">
        <v>1.762605470215318</v>
      </c>
      <c r="O467" s="15" t="n">
        <v>1.610324550911037</v>
      </c>
      <c r="P467" s="15" t="n">
        <v>1.714124253803962</v>
      </c>
      <c r="Q467" s="15" t="n">
        <v>0.002670115150570817</v>
      </c>
      <c r="R467" s="15" t="n">
        <v>0.02573703973315668</v>
      </c>
      <c r="S467" s="15" t="n">
        <v>0.002670082842735937</v>
      </c>
      <c r="T467" s="29">
        <f>HIPERLINK($A$1 &amp; "\Dados\Imagem_perfil_467.png", "Imagem_perfil_467")</f>
        <v/>
      </c>
      <c r="U467" s="29">
        <f>HIPERLINK($A$1 &amp; "\Dados\Results_airgap467.txt", "Results_airgap467")</f>
        <v/>
      </c>
      <c r="V467" s="19" t="n"/>
      <c r="W467" s="43" t="n">
        <v>2.014057826086957</v>
      </c>
      <c r="X467" s="15" t="n">
        <v>1.073839275061832</v>
      </c>
      <c r="Y467" s="15" t="n">
        <v>0.03795788288914966</v>
      </c>
      <c r="Z467" s="15" t="n">
        <v>0.0339734627467208</v>
      </c>
      <c r="AA467" s="15" t="n">
        <v>1.856338541873337</v>
      </c>
      <c r="AB467" s="15" t="n">
        <v>0</v>
      </c>
      <c r="AC467" s="15" t="n">
        <v>0</v>
      </c>
      <c r="AD467" s="15" t="n">
        <v>7.253855656995824</v>
      </c>
      <c r="AE467" s="15" t="n">
        <v>62.27053914914053</v>
      </c>
      <c r="AF467" s="15" t="n">
        <v>108.4131691829495</v>
      </c>
      <c r="AH467" s="29">
        <f>HIPERLINK($A$1 &amp; "\Dados\Magnet_fields.txt_467.txt.txt", "Magnet_fields.txt_467.txt")</f>
        <v/>
      </c>
      <c r="AI467" t="n">
        <v>8592</v>
      </c>
      <c r="AJ467" t="n">
        <v>29</v>
      </c>
      <c r="AK467" s="29">
        <f>HIPERLINK($A$1 &amp; "\Dados\Magnet_3D_results.txt_467.txt.txt", "Magnet_3D_results.txt_467.txt")</f>
        <v/>
      </c>
      <c r="AL467" s="29">
        <f>HIPERLINK($A$1 &amp; "\Dados\Magnet_fields_2D.txt_467.txt.txt", "Magnet_fields_2D.txt_467.txt")</f>
        <v/>
      </c>
    </row>
    <row customHeight="1" ht="15.75" r="468" s="34">
      <c r="D468" s="30" t="n"/>
      <c r="E468" s="15" t="n">
        <v>150</v>
      </c>
      <c r="F468" s="15" t="n">
        <v>180</v>
      </c>
      <c r="G468" s="15" t="n">
        <v>350</v>
      </c>
      <c r="H468" s="15" t="n">
        <v>45</v>
      </c>
      <c r="I468" s="15" t="n">
        <v>140</v>
      </c>
      <c r="J468" s="13" t="n">
        <v>25</v>
      </c>
      <c r="K468" t="n">
        <v>35</v>
      </c>
      <c r="L468" s="13" t="n">
        <v>1.3</v>
      </c>
      <c r="M468" s="12" t="n"/>
      <c r="N468" s="8" t="n">
        <v>1.097023872021062</v>
      </c>
      <c r="O468" s="15" t="n">
        <v>0.853425117433249</v>
      </c>
      <c r="P468" s="15" t="n">
        <v>1.028685364998506</v>
      </c>
      <c r="Q468" s="15" t="n">
        <v>0.000805709277727478</v>
      </c>
      <c r="R468" s="15" t="n">
        <v>0.006032826296558595</v>
      </c>
      <c r="S468" s="15" t="n">
        <v>0.0008488813113085477</v>
      </c>
      <c r="T468" s="29">
        <f>HIPERLINK($A$1 &amp; "\Dados\Imagem_perfil_468.png", "Imagem_perfil_468")</f>
        <v/>
      </c>
      <c r="U468" s="29">
        <f>HIPERLINK($A$1 &amp; "\Dados\Results_airgap468.txt", "Results_airgap468")</f>
        <v/>
      </c>
      <c r="V468" s="19" t="n"/>
      <c r="W468" s="43" t="n">
        <v>1.323960652173913</v>
      </c>
      <c r="X468" s="15" t="n">
        <v>0.6730641297524105</v>
      </c>
      <c r="Y468" s="15" t="n">
        <v>0.0005243253127356454</v>
      </c>
      <c r="Z468" s="15" t="n">
        <v>0.06707587470846944</v>
      </c>
      <c r="AA468" s="15" t="n">
        <v>7.647247377627157</v>
      </c>
      <c r="AB468" s="15" t="n">
        <v>0</v>
      </c>
      <c r="AC468" s="15" t="n">
        <v>0</v>
      </c>
      <c r="AD468" s="15" t="n">
        <v>0</v>
      </c>
      <c r="AE468" s="15" t="n">
        <v>7.81512179138089</v>
      </c>
      <c r="AF468" s="15" t="n">
        <v>81.79625453519469</v>
      </c>
      <c r="AH468" s="29">
        <f>HIPERLINK($A$1 &amp; "\Dados\Magnet_fields.txt_468.txt.txt", "Magnet_fields.txt_468.txt")</f>
        <v/>
      </c>
      <c r="AI468" t="n">
        <v>7137</v>
      </c>
      <c r="AJ468" t="n">
        <v>29</v>
      </c>
      <c r="AK468" s="29">
        <f>HIPERLINK($A$1 &amp; "\Dados\Magnet_3D_results.txt_468.txt.txt", "Magnet_3D_results.txt_468.txt")</f>
        <v/>
      </c>
      <c r="AL468" s="29">
        <f>HIPERLINK($A$1 &amp; "\Dados\Magnet_fields_2D.txt_468.txt.txt", "Magnet_fields_2D.txt_468.txt")</f>
        <v/>
      </c>
    </row>
    <row customHeight="1" ht="15.75" r="469" s="34">
      <c r="D469" s="30" t="n"/>
      <c r="E469" s="15" t="n">
        <v>150</v>
      </c>
      <c r="F469" s="15" t="n">
        <v>180</v>
      </c>
      <c r="G469" s="15" t="n">
        <v>350</v>
      </c>
      <c r="H469" s="15" t="n">
        <v>45</v>
      </c>
      <c r="I469" s="15" t="n">
        <v>140</v>
      </c>
      <c r="J469" s="13" t="n">
        <v>25</v>
      </c>
      <c r="K469" t="n">
        <v>35</v>
      </c>
      <c r="L469" s="13" t="n">
        <v>1.5</v>
      </c>
      <c r="M469" s="12" t="n"/>
      <c r="N469" s="8" t="n">
        <v>1.274929225798012</v>
      </c>
      <c r="O469" s="15" t="n">
        <v>0.999473800460548</v>
      </c>
      <c r="P469" s="15" t="n">
        <v>1.200048010383792</v>
      </c>
      <c r="Q469" s="15" t="n">
        <v>0.001050357268463688</v>
      </c>
      <c r="R469" s="15" t="n">
        <v>0.01400553781009085</v>
      </c>
      <c r="S469" s="15" t="n">
        <v>0.001133951521171912</v>
      </c>
      <c r="T469" s="29">
        <f>HIPERLINK($A$1 &amp; "\Dados\Imagem_perfil_469.png", "Imagem_perfil_469")</f>
        <v/>
      </c>
      <c r="U469" s="29">
        <f>HIPERLINK($A$1 &amp; "\Dados\Results_airgap469.txt", "Results_airgap469")</f>
        <v/>
      </c>
      <c r="V469" s="19" t="n"/>
      <c r="W469" s="43" t="n">
        <v>1.523111304347826</v>
      </c>
      <c r="X469" s="15" t="n">
        <v>0.7957554323469043</v>
      </c>
      <c r="Y469" s="15" t="n">
        <v>0.001185160385713921</v>
      </c>
      <c r="Z469" s="15" t="n">
        <v>0.01970033429572538</v>
      </c>
      <c r="AA469" s="15" t="n">
        <v>1.319429681179962</v>
      </c>
      <c r="AB469" s="15" t="n">
        <v>0</v>
      </c>
      <c r="AC469" s="15" t="n">
        <v>0</v>
      </c>
      <c r="AD469" s="15" t="n">
        <v>0</v>
      </c>
      <c r="AE469" s="15" t="n">
        <v>46.84196470822721</v>
      </c>
      <c r="AF469" s="15" t="n">
        <v>105.84111841091</v>
      </c>
      <c r="AH469" s="29">
        <f>HIPERLINK($A$1 &amp; "\Dados\Magnet_fields.txt_469.txt.txt", "Magnet_fields.txt_469.txt")</f>
        <v/>
      </c>
      <c r="AI469" t="n">
        <v>7137</v>
      </c>
      <c r="AJ469" t="n">
        <v>29</v>
      </c>
      <c r="AK469" s="29">
        <f>HIPERLINK($A$1 &amp; "\Dados\Magnet_3D_results.txt_469.txt.txt", "Magnet_3D_results.txt_469.txt")</f>
        <v/>
      </c>
      <c r="AL469" s="29">
        <f>HIPERLINK($A$1 &amp; "\Dados\Magnet_fields_2D.txt_469.txt.txt", "Magnet_fields_2D.txt_469.txt")</f>
        <v/>
      </c>
    </row>
    <row customHeight="1" ht="15.75" r="470" s="34">
      <c r="D470" s="30" t="n"/>
      <c r="E470" s="15" t="n">
        <v>150</v>
      </c>
      <c r="F470" s="15" t="n">
        <v>180</v>
      </c>
      <c r="G470" s="15" t="n">
        <v>350</v>
      </c>
      <c r="H470" s="15" t="n">
        <v>45</v>
      </c>
      <c r="I470" s="15" t="n">
        <v>140</v>
      </c>
      <c r="J470" s="13" t="n">
        <v>25</v>
      </c>
      <c r="K470" t="n">
        <v>35</v>
      </c>
      <c r="L470" s="13" t="n">
        <v>1.7</v>
      </c>
      <c r="M470" s="12" t="n"/>
      <c r="N470" s="8" t="n">
        <v>1.331580914814384</v>
      </c>
      <c r="O470" s="15" t="n">
        <v>1.046203253657225</v>
      </c>
      <c r="P470" s="15" t="n">
        <v>1.255958628401451</v>
      </c>
      <c r="Q470" s="15" t="n">
        <v>0.001120575058767948</v>
      </c>
      <c r="R470" s="15" t="n">
        <v>0.01588329163865058</v>
      </c>
      <c r="S470" s="15" t="n">
        <v>0.001212333289105044</v>
      </c>
      <c r="T470" s="29">
        <f>HIPERLINK($A$1 &amp; "\Dados\Imagem_perfil_470.png", "Imagem_perfil_470")</f>
        <v/>
      </c>
      <c r="U470" s="29">
        <f>HIPERLINK($A$1 &amp; "\Dados\Results_airgap470.txt", "Results_airgap470")</f>
        <v/>
      </c>
      <c r="V470" s="19" t="n"/>
      <c r="W470" s="43" t="n">
        <v>1.591280652173914</v>
      </c>
      <c r="X470" s="15" t="n">
        <v>0.8341888203368606</v>
      </c>
      <c r="Y470" s="15" t="n">
        <v>0.05373224950325758</v>
      </c>
      <c r="Z470" s="15" t="n">
        <v>0.01466493923199584</v>
      </c>
      <c r="AA470" s="15" t="n">
        <v>0</v>
      </c>
      <c r="AB470" s="15" t="n">
        <v>0</v>
      </c>
      <c r="AC470" s="15" t="n">
        <v>0</v>
      </c>
      <c r="AD470" s="15" t="n">
        <v>7.099129770043612</v>
      </c>
      <c r="AE470" s="15" t="n">
        <v>59.50904685709882</v>
      </c>
      <c r="AF470" s="15" t="n">
        <v>108.1934489323458</v>
      </c>
      <c r="AH470" s="29">
        <f>HIPERLINK($A$1 &amp; "\Dados\Magnet_fields.txt_470.txt.txt", "Magnet_fields.txt_470.txt")</f>
        <v/>
      </c>
      <c r="AI470" t="n">
        <v>7137</v>
      </c>
      <c r="AJ470" t="n">
        <v>28</v>
      </c>
      <c r="AK470" s="29">
        <f>HIPERLINK($A$1 &amp; "\Dados\Magnet_3D_results.txt_470.txt.txt", "Magnet_3D_results.txt_470.txt")</f>
        <v/>
      </c>
      <c r="AL470" s="29">
        <f>HIPERLINK($A$1 &amp; "\Dados\Magnet_fields_2D.txt_470.txt.txt", "Magnet_fields_2D.txt_470.txt")</f>
        <v/>
      </c>
    </row>
    <row customHeight="1" ht="15.75" r="471" s="34">
      <c r="D471" s="30" t="n"/>
      <c r="E471" s="15" t="n">
        <v>150</v>
      </c>
      <c r="F471" s="15" t="n">
        <v>180</v>
      </c>
      <c r="G471" s="15" t="n">
        <v>350</v>
      </c>
      <c r="H471" s="15" t="n">
        <v>45</v>
      </c>
      <c r="I471" s="15" t="n">
        <v>140</v>
      </c>
      <c r="J471" s="13" t="n">
        <v>25</v>
      </c>
      <c r="K471" t="n">
        <v>35</v>
      </c>
      <c r="L471" s="13" t="n">
        <v>1.9</v>
      </c>
      <c r="M471" s="12" t="n"/>
      <c r="N471" s="8" t="n">
        <v>1.340157277614768</v>
      </c>
      <c r="O471" s="15" t="n">
        <v>1.053237112961328</v>
      </c>
      <c r="P471" s="15" t="n">
        <v>1.264471182655474</v>
      </c>
      <c r="Q471" s="15" t="n">
        <v>0.001130770403021948</v>
      </c>
      <c r="R471" s="15" t="n">
        <v>0.01607307081985803</v>
      </c>
      <c r="S471" s="15" t="n">
        <v>0.001223183624386547</v>
      </c>
      <c r="T471" s="29">
        <f>HIPERLINK($A$1 &amp; "\Dados\Imagem_perfil_471.png", "Imagem_perfil_471")</f>
        <v/>
      </c>
      <c r="U471" s="29">
        <f>HIPERLINK($A$1 &amp; "\Dados\Results_airgap471.txt", "Results_airgap471")</f>
        <v/>
      </c>
      <c r="V471" s="19" t="n"/>
      <c r="W471" s="15" t="n">
        <v>1.606149782608696</v>
      </c>
      <c r="X471" s="15" t="n">
        <v>0.8398835765383156</v>
      </c>
      <c r="Y471" s="15" t="n">
        <v>0.17126435948859</v>
      </c>
      <c r="Z471" s="15" t="n">
        <v>0.001421071545047384</v>
      </c>
      <c r="AA471" s="15" t="n">
        <v>0</v>
      </c>
      <c r="AB471" s="15" t="n">
        <v>0</v>
      </c>
      <c r="AC471" s="15" t="n">
        <v>0</v>
      </c>
      <c r="AD471" s="15" t="n">
        <v>9.876732408687523</v>
      </c>
      <c r="AE471" s="15" t="n">
        <v>60.66890111998845</v>
      </c>
      <c r="AF471" s="15" t="n">
        <v>108.3223028553653</v>
      </c>
      <c r="AH471" s="29">
        <f>HIPERLINK($A$1 &amp; "\Dados\Magnet_fields.txt_471.txt.txt", "Magnet_fields.txt_471.txt")</f>
        <v/>
      </c>
      <c r="AI471" t="n">
        <v>7137</v>
      </c>
      <c r="AJ471" t="n">
        <v>29</v>
      </c>
      <c r="AK471" s="29">
        <f>HIPERLINK($A$1 &amp; "\Dados\Magnet_3D_results.txt_471.txt.txt", "Magnet_3D_results.txt_471.txt")</f>
        <v/>
      </c>
      <c r="AL471" s="29">
        <f>HIPERLINK($A$1 &amp; "\Dados\Magnet_fields_2D.txt_471.txt.txt", "Magnet_fields_2D.txt_471.txt")</f>
        <v/>
      </c>
    </row>
    <row customHeight="1" ht="15.75" r="472" s="34">
      <c r="D472" s="30" t="n"/>
      <c r="E472" s="15" t="n">
        <v>150</v>
      </c>
      <c r="F472" s="15" t="n">
        <v>180</v>
      </c>
      <c r="G472" s="15" t="n">
        <v>350</v>
      </c>
      <c r="H472" s="15" t="n">
        <v>45</v>
      </c>
      <c r="I472" s="15" t="n">
        <v>140</v>
      </c>
      <c r="J472" s="13" t="n">
        <v>25</v>
      </c>
      <c r="K472" t="n">
        <v>35</v>
      </c>
      <c r="L472" s="13" t="n">
        <v>2.1</v>
      </c>
      <c r="M472" s="12" t="n"/>
      <c r="N472" s="8" t="n">
        <v>1.348358834388322</v>
      </c>
      <c r="O472" s="15" t="n">
        <v>1.059965645036551</v>
      </c>
      <c r="P472" s="15" t="n">
        <v>1.272625749196723</v>
      </c>
      <c r="Q472" s="15" t="n">
        <v>0.001140487932276428</v>
      </c>
      <c r="R472" s="15" t="n">
        <v>0.01625670606081696</v>
      </c>
      <c r="S472" s="15" t="n">
        <v>0.001233533845359478</v>
      </c>
      <c r="T472" s="29">
        <f>HIPERLINK($A$1 &amp; "\Dados\Imagem_perfil_472.png", "Imagem_perfil_472")</f>
        <v/>
      </c>
      <c r="U472" s="29">
        <f>HIPERLINK($A$1 &amp; "\Dados\Results_airgap472.txt", "Results_airgap472")</f>
        <v/>
      </c>
      <c r="V472" s="19" t="n"/>
      <c r="W472" s="15" t="n">
        <v>1.611916739130435</v>
      </c>
      <c r="X472" s="15" t="n">
        <v>0.845342084457356</v>
      </c>
      <c r="Y472" s="15" t="n">
        <v>0.3174397421968601</v>
      </c>
      <c r="Z472" s="15" t="n">
        <v>0.001421071545047384</v>
      </c>
      <c r="AA472" s="15" t="n">
        <v>0</v>
      </c>
      <c r="AB472" s="15" t="n">
        <v>0</v>
      </c>
      <c r="AC472" s="15" t="n">
        <v>0</v>
      </c>
      <c r="AD472" s="15" t="n">
        <v>11.0179061243217</v>
      </c>
      <c r="AE472" s="15" t="n">
        <v>61.08255822730992</v>
      </c>
      <c r="AF472" s="15" t="n">
        <v>108.3802891549515</v>
      </c>
      <c r="AH472" s="29">
        <f>HIPERLINK($A$1 &amp; "\Dados\Magnet_fields.txt_472.txt.txt", "Magnet_fields.txt_472.txt")</f>
        <v/>
      </c>
      <c r="AI472" t="n">
        <v>7137</v>
      </c>
      <c r="AJ472" t="n">
        <v>28</v>
      </c>
      <c r="AK472" s="29">
        <f>HIPERLINK($A$1 &amp; "\Dados\Magnet_3D_results.txt_472.txt.txt", "Magnet_3D_results.txt_472.txt")</f>
        <v/>
      </c>
      <c r="AL472" s="29">
        <f>HIPERLINK($A$1 &amp; "\Dados\Magnet_fields_2D.txt_472.txt.txt", "Magnet_fields_2D.txt_472.txt")</f>
        <v/>
      </c>
    </row>
    <row customHeight="1" ht="15.75" r="473" s="34">
      <c r="D473" s="30" t="n"/>
      <c r="E473" s="15" t="n">
        <v>150</v>
      </c>
      <c r="F473" s="15" t="n">
        <v>180</v>
      </c>
      <c r="G473" s="15" t="n">
        <v>350</v>
      </c>
      <c r="H473" s="15" t="n">
        <v>25</v>
      </c>
      <c r="I473" s="15" t="n">
        <v>180</v>
      </c>
      <c r="J473" s="13" t="n">
        <v>25</v>
      </c>
      <c r="K473" t="n">
        <v>35</v>
      </c>
      <c r="L473" s="13" t="n">
        <v>1.3</v>
      </c>
      <c r="M473" s="12" t="n"/>
      <c r="N473" s="8" t="n">
        <v>1.116211814050001</v>
      </c>
      <c r="O473" s="15" t="n">
        <v>0.9827258141184392</v>
      </c>
      <c r="P473" s="15" t="n">
        <v>1.074953735922726</v>
      </c>
      <c r="Q473" s="15" t="n">
        <v>0.0007747170622265706</v>
      </c>
      <c r="R473" s="15" t="n">
        <v>0.001580609111651116</v>
      </c>
      <c r="S473" s="15" t="n">
        <v>0.0007764070651867168</v>
      </c>
      <c r="T473" s="29">
        <f>HIPERLINK($A$1 &amp; "\Dados\Imagem_perfil_473.png", "Imagem_perfil_473")</f>
        <v/>
      </c>
      <c r="U473" s="29">
        <f>HIPERLINK($A$1 &amp; "\Dados\Results_airgap473.txt", "Results_airgap473")</f>
        <v/>
      </c>
      <c r="V473" s="19" t="n"/>
      <c r="W473" s="43" t="n">
        <v>1.323393478260869</v>
      </c>
      <c r="X473" s="15" t="n">
        <v>0.6571669187030957</v>
      </c>
      <c r="Y473" s="15" t="n">
        <v>0.0005026081941360452</v>
      </c>
      <c r="Z473" s="15" t="n">
        <v>0.1971381382631747</v>
      </c>
      <c r="AA473" s="15" t="n">
        <v>6.62433163882878</v>
      </c>
      <c r="AB473" s="15" t="n">
        <v>0</v>
      </c>
      <c r="AC473" s="15" t="n">
        <v>0</v>
      </c>
      <c r="AD473" s="15" t="n">
        <v>0</v>
      </c>
      <c r="AE473" s="15" t="n">
        <v>5.967592657578089</v>
      </c>
      <c r="AF473" s="15" t="n">
        <v>86.64493122043653</v>
      </c>
      <c r="AH473" s="29">
        <f>HIPERLINK($A$1 &amp; "\Dados\Magnet_fields.txt_473.txt.txt", "Magnet_fields.txt_473.txt")</f>
        <v/>
      </c>
      <c r="AI473" t="n">
        <v>10023</v>
      </c>
      <c r="AJ473" t="n">
        <v>30</v>
      </c>
      <c r="AK473" s="29">
        <f>HIPERLINK($A$1 &amp; "\Dados\Magnet_3D_results.txt_473.txt.txt", "Magnet_3D_results.txt_473.txt")</f>
        <v/>
      </c>
      <c r="AL473" s="29">
        <f>HIPERLINK($A$1 &amp; "\Dados\Magnet_fields_2D.txt_473.txt.txt", "Magnet_fields_2D.txt_473.txt")</f>
        <v/>
      </c>
    </row>
    <row customHeight="1" ht="15.75" r="474" s="34">
      <c r="D474" s="30" t="n"/>
      <c r="E474" s="15" t="n">
        <v>150</v>
      </c>
      <c r="F474" s="15" t="n">
        <v>180</v>
      </c>
      <c r="G474" s="15" t="n">
        <v>350</v>
      </c>
      <c r="H474" s="15" t="n">
        <v>25</v>
      </c>
      <c r="I474" s="15" t="n">
        <v>180</v>
      </c>
      <c r="J474" s="13" t="n">
        <v>25</v>
      </c>
      <c r="K474" t="n">
        <v>35</v>
      </c>
      <c r="L474" s="13" t="n">
        <v>1.5</v>
      </c>
      <c r="M474" s="12" t="n"/>
      <c r="N474" s="8" t="n">
        <v>1.319080695211424</v>
      </c>
      <c r="O474" s="15" t="n">
        <v>1.163483732930688</v>
      </c>
      <c r="P474" s="15" t="n">
        <v>1.269559977817755</v>
      </c>
      <c r="Q474" s="15" t="n">
        <v>0.001017648502866932</v>
      </c>
      <c r="R474" s="15" t="n">
        <v>0.008705623265007241</v>
      </c>
      <c r="S474" s="15" t="n">
        <v>0.00102408623058768</v>
      </c>
      <c r="T474" s="29">
        <f>HIPERLINK($A$1 &amp; "\Dados\Imagem_perfil_474.png", "Imagem_perfil_474")</f>
        <v/>
      </c>
      <c r="U474" s="29">
        <f>HIPERLINK($A$1 &amp; "\Dados\Results_airgap474.txt", "Results_airgap474")</f>
        <v/>
      </c>
      <c r="V474" s="19" t="n"/>
      <c r="W474" s="43" t="n">
        <v>1.523318260869565</v>
      </c>
      <c r="X474" s="15" t="n">
        <v>0.7896298428482612</v>
      </c>
      <c r="Y474" s="15" t="n">
        <v>0.001188910852513033</v>
      </c>
      <c r="Z474" s="15" t="n">
        <v>0.1146208304471202</v>
      </c>
      <c r="AA474" s="15" t="n">
        <v>6.261235601775442</v>
      </c>
      <c r="AB474" s="15" t="n">
        <v>0</v>
      </c>
      <c r="AC474" s="15" t="n">
        <v>0</v>
      </c>
      <c r="AD474" s="15" t="n">
        <v>0</v>
      </c>
      <c r="AE474" s="15" t="n">
        <v>46.9675916900019</v>
      </c>
      <c r="AF474" s="15" t="n">
        <v>105.974899431263</v>
      </c>
      <c r="AH474" s="29">
        <f>HIPERLINK($A$1 &amp; "\Dados\Magnet_fields.txt_474.txt.txt", "Magnet_fields.txt_474.txt")</f>
        <v/>
      </c>
      <c r="AI474" t="n">
        <v>10023</v>
      </c>
      <c r="AJ474" t="n">
        <v>29</v>
      </c>
      <c r="AK474" s="29">
        <f>HIPERLINK($A$1 &amp; "\Dados\Magnet_3D_results.txt_474.txt.txt", "Magnet_3D_results.txt_474.txt")</f>
        <v/>
      </c>
      <c r="AL474" s="29">
        <f>HIPERLINK($A$1 &amp; "\Dados\Magnet_fields_2D.txt_474.txt.txt", "Magnet_fields_2D.txt_474.txt")</f>
        <v/>
      </c>
    </row>
    <row customHeight="1" ht="15.75" r="475" s="34">
      <c r="D475" s="30" t="n"/>
      <c r="E475" s="15" t="n">
        <v>150</v>
      </c>
      <c r="F475" s="15" t="n">
        <v>180</v>
      </c>
      <c r="G475" s="15" t="n">
        <v>350</v>
      </c>
      <c r="H475" s="15" t="n">
        <v>25</v>
      </c>
      <c r="I475" s="15" t="n">
        <v>180</v>
      </c>
      <c r="J475" s="13" t="n">
        <v>25</v>
      </c>
      <c r="K475" t="n">
        <v>35</v>
      </c>
      <c r="L475" s="13" t="n">
        <v>1.7</v>
      </c>
      <c r="M475" s="12" t="n"/>
      <c r="N475" s="8" t="n">
        <v>1.384736254638892</v>
      </c>
      <c r="O475" s="15" t="n">
        <v>1.225413156397632</v>
      </c>
      <c r="P475" s="15" t="n">
        <v>1.336255420452063</v>
      </c>
      <c r="Q475" s="15" t="n">
        <v>0.001099886404978339</v>
      </c>
      <c r="R475" s="15" t="n">
        <v>0.0116093166322305</v>
      </c>
      <c r="S475" s="15" t="n">
        <v>0.001107694944740118</v>
      </c>
      <c r="T475" s="29">
        <f>HIPERLINK($A$1 &amp; "\Dados\Imagem_perfil_475.png", "Imagem_perfil_475")</f>
        <v/>
      </c>
      <c r="U475" s="29">
        <f>HIPERLINK($A$1 &amp; "\Dados\Results_airgap475.txt", "Results_airgap475")</f>
        <v/>
      </c>
      <c r="V475" s="19" t="n"/>
      <c r="W475" s="43" t="n">
        <v>1.591144782608696</v>
      </c>
      <c r="X475" s="15" t="n">
        <v>0.8343451515791759</v>
      </c>
      <c r="Y475" s="15" t="n">
        <v>0.05381460816472308</v>
      </c>
      <c r="Z475" s="15" t="n">
        <v>0.05523360347026916</v>
      </c>
      <c r="AA475" s="15" t="n">
        <v>5.625857405732336</v>
      </c>
      <c r="AB475" s="15" t="n">
        <v>0</v>
      </c>
      <c r="AC475" s="15" t="n">
        <v>0</v>
      </c>
      <c r="AD475" s="15" t="n">
        <v>7.108700511687892</v>
      </c>
      <c r="AE475" s="15" t="n">
        <v>59.51997895744395</v>
      </c>
      <c r="AF475" s="15" t="n">
        <v>108.1982008942317</v>
      </c>
      <c r="AH475" s="29">
        <f>HIPERLINK($A$1 &amp; "\Dados\Magnet_fields.txt_475.txt.txt", "Magnet_fields.txt_475.txt")</f>
        <v/>
      </c>
      <c r="AI475" t="n">
        <v>10023</v>
      </c>
      <c r="AJ475" t="n">
        <v>31</v>
      </c>
      <c r="AK475" s="29">
        <f>HIPERLINK($A$1 &amp; "\Dados\Magnet_3D_results.txt_475.txt.txt", "Magnet_3D_results.txt_475.txt")</f>
        <v/>
      </c>
      <c r="AL475" s="29">
        <f>HIPERLINK($A$1 &amp; "\Dados\Magnet_fields_2D.txt_475.txt.txt", "Magnet_fields_2D.txt_475.txt")</f>
        <v/>
      </c>
    </row>
    <row customHeight="1" ht="15.75" r="476" s="34">
      <c r="D476" s="30" t="n"/>
      <c r="E476" s="15" t="n">
        <v>150</v>
      </c>
      <c r="F476" s="15" t="n">
        <v>180</v>
      </c>
      <c r="G476" s="15" t="n">
        <v>350</v>
      </c>
      <c r="H476" s="15" t="n">
        <v>25</v>
      </c>
      <c r="I476" s="15" t="n">
        <v>180</v>
      </c>
      <c r="J476" s="13" t="n">
        <v>25</v>
      </c>
      <c r="K476" t="n">
        <v>35</v>
      </c>
      <c r="L476" s="13" t="n">
        <v>1.9</v>
      </c>
      <c r="M476" s="12" t="n"/>
      <c r="N476" s="8" t="n">
        <v>1.394368582699894</v>
      </c>
      <c r="O476" s="15" t="n">
        <v>1.234832689766968</v>
      </c>
      <c r="P476" s="15" t="n">
        <v>1.346483080325001</v>
      </c>
      <c r="Q476" s="15" t="n">
        <v>0.001111989340370554</v>
      </c>
      <c r="R476" s="15" t="n">
        <v>0.011931582893025</v>
      </c>
      <c r="S476" s="15" t="n">
        <v>0.001119938691431685</v>
      </c>
      <c r="T476" s="29">
        <f>HIPERLINK($A$1 &amp; "\Dados\Imagem_perfil_476.png", "Imagem_perfil_476")</f>
        <v/>
      </c>
      <c r="U476" s="29">
        <f>HIPERLINK($A$1 &amp; "\Dados\Results_airgap476.txt", "Results_airgap476")</f>
        <v/>
      </c>
      <c r="V476" s="19" t="n"/>
      <c r="W476" s="15" t="n">
        <v>1.606055869565218</v>
      </c>
      <c r="X476" s="15" t="n">
        <v>0.8409719996296944</v>
      </c>
      <c r="Y476" s="15" t="n">
        <v>0.1713988909042137</v>
      </c>
      <c r="Z476" s="15" t="n">
        <v>0.05240732259094253</v>
      </c>
      <c r="AA476" s="15" t="n">
        <v>5.558628943371684</v>
      </c>
      <c r="AB476" s="15" t="n">
        <v>0</v>
      </c>
      <c r="AC476" s="15" t="n">
        <v>0</v>
      </c>
      <c r="AD476" s="15" t="n">
        <v>9.886429939061884</v>
      </c>
      <c r="AE476" s="15" t="n">
        <v>60.70114682349742</v>
      </c>
      <c r="AF476" s="15" t="n">
        <v>108.3268814119782</v>
      </c>
      <c r="AH476" s="29">
        <f>HIPERLINK($A$1 &amp; "\Dados\Magnet_fields.txt_476.txt.txt", "Magnet_fields.txt_476.txt")</f>
        <v/>
      </c>
      <c r="AI476" t="n">
        <v>10023</v>
      </c>
      <c r="AJ476" t="n">
        <v>29</v>
      </c>
      <c r="AK476" s="29">
        <f>HIPERLINK($A$1 &amp; "\Dados\Magnet_3D_results.txt_476.txt.txt", "Magnet_3D_results.txt_476.txt")</f>
        <v/>
      </c>
      <c r="AL476" s="29">
        <f>HIPERLINK($A$1 &amp; "\Dados\Magnet_fields_2D.txt_476.txt.txt", "Magnet_fields_2D.txt_476.txt")</f>
        <v/>
      </c>
    </row>
    <row customHeight="1" ht="15.75" r="477" s="34">
      <c r="D477" s="30" t="n"/>
      <c r="E477" s="15" t="n">
        <v>150</v>
      </c>
      <c r="F477" s="15" t="n">
        <v>180</v>
      </c>
      <c r="G477" s="15" t="n">
        <v>350</v>
      </c>
      <c r="H477" s="15" t="n">
        <v>25</v>
      </c>
      <c r="I477" s="15" t="n">
        <v>180</v>
      </c>
      <c r="J477" s="13" t="n">
        <v>25</v>
      </c>
      <c r="K477" t="n">
        <v>35</v>
      </c>
      <c r="L477" s="13" t="n">
        <v>2.1</v>
      </c>
      <c r="M477" s="12" t="n"/>
      <c r="N477" s="8" t="n">
        <v>1.403660936721113</v>
      </c>
      <c r="O477" s="15" t="n">
        <v>1.243951777541623</v>
      </c>
      <c r="P477" s="15" t="n">
        <v>1.356385687636423</v>
      </c>
      <c r="Q477" s="15" t="n">
        <v>0.001123878130059235</v>
      </c>
      <c r="R477" s="15" t="n">
        <v>0.01225745462072965</v>
      </c>
      <c r="S477" s="15" t="n">
        <v>0.001131976925735419</v>
      </c>
      <c r="T477" s="29">
        <f>HIPERLINK($A$1 &amp; "\Dados\Imagem_perfil_477.png", "Imagem_perfil_477")</f>
        <v/>
      </c>
      <c r="U477" s="29">
        <f>HIPERLINK($A$1 &amp; "\Dados\Results_airgap477.txt", "Results_airgap477")</f>
        <v/>
      </c>
      <c r="V477" s="19" t="n"/>
      <c r="W477" s="15" t="n">
        <v>1.611781304347826</v>
      </c>
      <c r="X477" s="15" t="n">
        <v>0.8473974996989168</v>
      </c>
      <c r="Y477" s="15" t="n">
        <v>0.3176061807716437</v>
      </c>
      <c r="Z477" s="15" t="n">
        <v>0.04575546866424161</v>
      </c>
      <c r="AA477" s="15" t="n">
        <v>5.465522005221847</v>
      </c>
      <c r="AB477" s="15" t="n">
        <v>0</v>
      </c>
      <c r="AC477" s="15" t="n">
        <v>0</v>
      </c>
      <c r="AD477" s="15" t="n">
        <v>11.02784852229912</v>
      </c>
      <c r="AE477" s="15" t="n">
        <v>61.09229367347992</v>
      </c>
      <c r="AF477" s="15" t="n">
        <v>108.391549744288</v>
      </c>
      <c r="AH477" s="29">
        <f>HIPERLINK($A$1 &amp; "\Dados\Magnet_fields.txt_477.txt.txt", "Magnet_fields.txt_477.txt")</f>
        <v/>
      </c>
      <c r="AI477" t="n">
        <v>10023</v>
      </c>
      <c r="AJ477" t="n">
        <v>30</v>
      </c>
      <c r="AK477" s="29">
        <f>HIPERLINK($A$1 &amp; "\Dados\Magnet_3D_results.txt_477.txt.txt", "Magnet_3D_results.txt_477.txt")</f>
        <v/>
      </c>
      <c r="AL477" s="29">
        <f>HIPERLINK($A$1 &amp; "\Dados\Magnet_fields_2D.txt_477.txt.txt", "Magnet_fields_2D.txt_477.txt")</f>
        <v/>
      </c>
    </row>
    <row customHeight="1" ht="15.75" r="478" s="34">
      <c r="D478" s="30" t="n"/>
      <c r="E478" s="15" t="n">
        <v>150</v>
      </c>
      <c r="F478" s="15" t="n">
        <v>180</v>
      </c>
      <c r="G478" s="15" t="n">
        <v>350</v>
      </c>
      <c r="H478" s="15" t="n">
        <v>45</v>
      </c>
      <c r="I478" s="15" t="n">
        <v>180</v>
      </c>
      <c r="J478" s="13" t="n">
        <v>25</v>
      </c>
      <c r="K478" t="n">
        <v>35</v>
      </c>
      <c r="L478" s="13" t="n">
        <v>1.3</v>
      </c>
      <c r="M478" s="12" t="n"/>
      <c r="N478" s="8" t="n">
        <v>1.156999250674168</v>
      </c>
      <c r="O478" s="15" t="n">
        <v>1.023144780965075</v>
      </c>
      <c r="P478" s="15" t="n">
        <v>1.115552693897484</v>
      </c>
      <c r="Q478" s="15" t="n">
        <v>0.0008174553465763798</v>
      </c>
      <c r="R478" s="15" t="n">
        <v>0.00614768264897957</v>
      </c>
      <c r="S478" s="15" t="n">
        <v>0.0008230989658402268</v>
      </c>
      <c r="T478" s="29">
        <f>HIPERLINK($A$1 &amp; "\Dados\Imagem_perfil_478.png", "Imagem_perfil_478")</f>
        <v/>
      </c>
      <c r="U478" s="29">
        <f>HIPERLINK($A$1 &amp; "\Dados\Results_airgap478.txt", "Results_airgap478")</f>
        <v/>
      </c>
      <c r="V478" s="19" t="n"/>
      <c r="W478" s="43" t="n">
        <v>1.323310869565217</v>
      </c>
      <c r="X478" s="15" t="n">
        <v>0.7007395857069879</v>
      </c>
      <c r="Y478" s="15" t="n">
        <v>0.0005060528332533848</v>
      </c>
      <c r="Z478" s="15" t="n">
        <v>0.1702834487616901</v>
      </c>
      <c r="AA478" s="15" t="n">
        <v>7.941317921730027</v>
      </c>
      <c r="AB478" s="15" t="n">
        <v>0</v>
      </c>
      <c r="AC478" s="15" t="n">
        <v>0</v>
      </c>
      <c r="AD478" s="15" t="n">
        <v>0</v>
      </c>
      <c r="AE478" s="15" t="n">
        <v>5.82882902734524</v>
      </c>
      <c r="AF478" s="15" t="n">
        <v>86.84263570226716</v>
      </c>
      <c r="AH478" s="29">
        <f>HIPERLINK($A$1 &amp; "\Dados\Magnet_fields.txt_478.txt.txt", "Magnet_fields.txt_478.txt")</f>
        <v/>
      </c>
      <c r="AI478" t="n">
        <v>7073</v>
      </c>
      <c r="AJ478" t="n">
        <v>29</v>
      </c>
      <c r="AK478" s="29">
        <f>HIPERLINK($A$1 &amp; "\Dados\Magnet_3D_results.txt_478.txt.txt", "Magnet_3D_results.txt_478.txt")</f>
        <v/>
      </c>
      <c r="AL478" s="29">
        <f>HIPERLINK($A$1 &amp; "\Dados\Magnet_fields_2D.txt_478.txt.txt", "Magnet_fields_2D.txt_478.txt")</f>
        <v/>
      </c>
    </row>
    <row customHeight="1" ht="15.75" r="479" s="34">
      <c r="D479" s="30" t="n"/>
      <c r="E479" s="15" t="n">
        <v>150</v>
      </c>
      <c r="F479" s="15" t="n">
        <v>180</v>
      </c>
      <c r="G479" s="15" t="n">
        <v>350</v>
      </c>
      <c r="H479" s="15" t="n">
        <v>45</v>
      </c>
      <c r="I479" s="15" t="n">
        <v>180</v>
      </c>
      <c r="J479" s="13" t="n">
        <v>25</v>
      </c>
      <c r="K479" t="n">
        <v>35</v>
      </c>
      <c r="L479" s="13" t="n">
        <v>1.5</v>
      </c>
      <c r="M479" s="12" t="n"/>
      <c r="N479" s="8" t="n">
        <v>1.353752048304948</v>
      </c>
      <c r="O479" s="15" t="n">
        <v>1.197544263332234</v>
      </c>
      <c r="P479" s="15" t="n">
        <v>1.303912331587244</v>
      </c>
      <c r="Q479" s="15" t="n">
        <v>0.00105916065057941</v>
      </c>
      <c r="R479" s="15" t="n">
        <v>0.01429949123671135</v>
      </c>
      <c r="S479" s="15" t="n">
        <v>0.001069100354972752</v>
      </c>
      <c r="T479" s="29">
        <f>HIPERLINK($A$1 &amp; "\Dados\Imagem_perfil_479.png", "Imagem_perfil_479")</f>
        <v/>
      </c>
      <c r="U479" s="29">
        <f>HIPERLINK($A$1 &amp; "\Dados\Results_airgap479.txt", "Results_airgap479")</f>
        <v/>
      </c>
      <c r="V479" s="19" t="n"/>
      <c r="W479" s="43" t="n">
        <v>1.523163478260869</v>
      </c>
      <c r="X479" s="15" t="n">
        <v>0.8292165376839322</v>
      </c>
      <c r="Y479" s="15" t="n">
        <v>0.001184936712573502</v>
      </c>
      <c r="Z479" s="15" t="n">
        <v>0.1654989582629917</v>
      </c>
      <c r="AA479" s="15" t="n">
        <v>1.562707733613254</v>
      </c>
      <c r="AB479" s="15" t="n">
        <v>0</v>
      </c>
      <c r="AC479" s="15" t="n">
        <v>0</v>
      </c>
      <c r="AD479" s="15" t="n">
        <v>0</v>
      </c>
      <c r="AE479" s="15" t="n">
        <v>46.8540885978958</v>
      </c>
      <c r="AF479" s="15" t="n">
        <v>105.8831636642295</v>
      </c>
      <c r="AH479" s="29">
        <f>HIPERLINK($A$1 &amp; "\Dados\Magnet_fields.txt_479.txt.txt", "Magnet_fields.txt_479.txt")</f>
        <v/>
      </c>
      <c r="AI479" t="n">
        <v>7073</v>
      </c>
      <c r="AJ479" t="n">
        <v>28</v>
      </c>
      <c r="AK479" s="29">
        <f>HIPERLINK($A$1 &amp; "\Dados\Magnet_3D_results.txt_479.txt.txt", "Magnet_3D_results.txt_479.txt")</f>
        <v/>
      </c>
      <c r="AL479" s="29">
        <f>HIPERLINK($A$1 &amp; "\Dados\Magnet_fields_2D.txt_479.txt.txt", "Magnet_fields_2D.txt_479.txt")</f>
        <v/>
      </c>
    </row>
    <row customHeight="1" ht="15.75" r="480" s="34">
      <c r="D480" s="30" t="n"/>
      <c r="E480" s="15" t="n">
        <v>150</v>
      </c>
      <c r="F480" s="15" t="n">
        <v>180</v>
      </c>
      <c r="G480" s="15" t="n">
        <v>350</v>
      </c>
      <c r="H480" s="15" t="n">
        <v>45</v>
      </c>
      <c r="I480" s="15" t="n">
        <v>180</v>
      </c>
      <c r="J480" s="13" t="n">
        <v>25</v>
      </c>
      <c r="K480" t="n">
        <v>35</v>
      </c>
      <c r="L480" s="13" t="n">
        <v>1.7</v>
      </c>
      <c r="M480" s="12" t="n"/>
      <c r="N480" s="8" t="n">
        <v>1.414402205249726</v>
      </c>
      <c r="O480" s="15" t="n">
        <v>1.254334147012472</v>
      </c>
      <c r="P480" s="15" t="n">
        <v>1.365499936551061</v>
      </c>
      <c r="Q480" s="15" t="n">
        <v>0.00113186321000561</v>
      </c>
      <c r="R480" s="15" t="n">
        <v>0.01633887038801357</v>
      </c>
      <c r="S480" s="15" t="n">
        <v>0.001142672899057041</v>
      </c>
      <c r="T480" s="29">
        <f>HIPERLINK($A$1 &amp; "\Dados\Imagem_perfil_480.png", "Imagem_perfil_480")</f>
        <v/>
      </c>
      <c r="U480" s="29">
        <f>HIPERLINK($A$1 &amp; "\Dados\Results_airgap480.txt", "Results_airgap480")</f>
        <v/>
      </c>
      <c r="V480" s="19" t="n"/>
      <c r="W480" s="43" t="n">
        <v>1.591264130434783</v>
      </c>
      <c r="X480" s="15" t="n">
        <v>0.8694426170538727</v>
      </c>
      <c r="Y480" s="15" t="n">
        <v>0.05373230982542206</v>
      </c>
      <c r="Z480" s="15" t="n">
        <v>0.02887349171208147</v>
      </c>
      <c r="AA480" s="15" t="n">
        <v>0</v>
      </c>
      <c r="AB480" s="15" t="n">
        <v>0</v>
      </c>
      <c r="AC480" s="15" t="n">
        <v>0</v>
      </c>
      <c r="AD480" s="15" t="n">
        <v>7.098990836612778</v>
      </c>
      <c r="AE480" s="15" t="n">
        <v>59.50103469863868</v>
      </c>
      <c r="AF480" s="15" t="n">
        <v>108.194853501444</v>
      </c>
      <c r="AH480" s="29">
        <f>HIPERLINK($A$1 &amp; "\Dados\Magnet_fields.txt_480.txt.txt", "Magnet_fields.txt_480.txt")</f>
        <v/>
      </c>
      <c r="AI480" t="n">
        <v>7073</v>
      </c>
      <c r="AJ480" t="n">
        <v>28</v>
      </c>
      <c r="AK480" s="29">
        <f>HIPERLINK($A$1 &amp; "\Dados\Magnet_3D_results.txt_480.txt.txt", "Magnet_3D_results.txt_480.txt")</f>
        <v/>
      </c>
      <c r="AL480" s="29">
        <f>HIPERLINK($A$1 &amp; "\Dados\Magnet_fields_2D.txt_480.txt.txt", "Magnet_fields_2D.txt_480.txt")</f>
        <v/>
      </c>
    </row>
    <row customHeight="1" ht="15.75" r="481" s="34">
      <c r="D481" s="30" t="n"/>
      <c r="E481" s="15" t="n">
        <v>150</v>
      </c>
      <c r="F481" s="15" t="n">
        <v>180</v>
      </c>
      <c r="G481" s="15" t="n">
        <v>350</v>
      </c>
      <c r="H481" s="15" t="n">
        <v>45</v>
      </c>
      <c r="I481" s="15" t="n">
        <v>180</v>
      </c>
      <c r="J481" s="13" t="n">
        <v>25</v>
      </c>
      <c r="K481" t="n">
        <v>35</v>
      </c>
      <c r="L481" s="13" t="n">
        <v>1.9</v>
      </c>
      <c r="M481" s="12" t="n"/>
      <c r="N481" s="8" t="n">
        <v>1.423276899690788</v>
      </c>
      <c r="O481" s="15" t="n">
        <v>1.262978532444975</v>
      </c>
      <c r="P481" s="15" t="n">
        <v>1.374954928050662</v>
      </c>
      <c r="Q481" s="15" t="n">
        <v>0.001142668948300413</v>
      </c>
      <c r="R481" s="15" t="n">
        <v>0.01654355147149445</v>
      </c>
      <c r="S481" s="15" t="n">
        <v>0.001153530993389394</v>
      </c>
      <c r="T481" s="29">
        <f>HIPERLINK($A$1 &amp; "\Dados\Imagem_perfil_481.png", "Imagem_perfil_481")</f>
        <v/>
      </c>
      <c r="U481" s="29">
        <f>HIPERLINK($A$1 &amp; "\Dados\Results_airgap481.txt", "Results_airgap481")</f>
        <v/>
      </c>
      <c r="V481" s="19" t="n"/>
      <c r="W481" s="15" t="n">
        <v>1.606218695652174</v>
      </c>
      <c r="X481" s="15" t="n">
        <v>0.8753777134880568</v>
      </c>
      <c r="Y481" s="15" t="n">
        <v>0.1712644389748336</v>
      </c>
      <c r="Z481" s="15" t="n">
        <v>0.01571109590975522</v>
      </c>
      <c r="AA481" s="15" t="n">
        <v>0</v>
      </c>
      <c r="AB481" s="15" t="n">
        <v>0</v>
      </c>
      <c r="AC481" s="15" t="n">
        <v>0</v>
      </c>
      <c r="AD481" s="15" t="n">
        <v>9.87929482242733</v>
      </c>
      <c r="AE481" s="15" t="n">
        <v>60.69849475388568</v>
      </c>
      <c r="AF481" s="15" t="n">
        <v>108.319909270062</v>
      </c>
      <c r="AH481" s="29">
        <f>HIPERLINK($A$1 &amp; "\Dados\Magnet_fields.txt_481.txt.txt", "Magnet_fields.txt_481.txt")</f>
        <v/>
      </c>
      <c r="AI481" t="n">
        <v>7073</v>
      </c>
      <c r="AJ481" t="n">
        <v>28</v>
      </c>
      <c r="AK481" s="29">
        <f>HIPERLINK($A$1 &amp; "\Dados\Magnet_3D_results.txt_481.txt.txt", "Magnet_3D_results.txt_481.txt")</f>
        <v/>
      </c>
      <c r="AL481" s="29">
        <f>HIPERLINK($A$1 &amp; "\Dados\Magnet_fields_2D.txt_481.txt.txt", "Magnet_fields_2D.txt_481.txt")</f>
        <v/>
      </c>
    </row>
    <row customHeight="1" ht="15.75" r="482" s="34">
      <c r="D482" s="30" t="n"/>
      <c r="E482" s="15" t="n">
        <v>150</v>
      </c>
      <c r="F482" s="15" t="n">
        <v>180</v>
      </c>
      <c r="G482" s="15" t="n">
        <v>350</v>
      </c>
      <c r="H482" s="15" t="n">
        <v>45</v>
      </c>
      <c r="I482" s="15" t="n">
        <v>180</v>
      </c>
      <c r="J482" s="13" t="n">
        <v>25</v>
      </c>
      <c r="K482" t="n">
        <v>35</v>
      </c>
      <c r="L482" s="13" t="n">
        <v>2.1</v>
      </c>
      <c r="M482" s="12" t="n"/>
      <c r="N482" s="8" t="n">
        <v>1.431751022779195</v>
      </c>
      <c r="O482" s="15" t="n">
        <v>1.271256832729373</v>
      </c>
      <c r="P482" s="15" t="n">
        <v>1.384022129313551</v>
      </c>
      <c r="Q482" s="15" t="n">
        <v>0.001152964880821156</v>
      </c>
      <c r="R482" s="15" t="n">
        <v>0.0167405528193387</v>
      </c>
      <c r="S482" s="15" t="n">
        <v>0.00116388801601476</v>
      </c>
      <c r="T482" s="29">
        <f>HIPERLINK($A$1 &amp; "\Dados\Imagem_perfil_482.png", "Imagem_perfil_482")</f>
        <v/>
      </c>
      <c r="U482" s="29">
        <f>HIPERLINK($A$1 &amp; "\Dados\Results_airgap482.txt", "Results_airgap482")</f>
        <v/>
      </c>
      <c r="V482" s="19" t="n"/>
      <c r="W482" s="15" t="n">
        <v>1.611915869565218</v>
      </c>
      <c r="X482" s="15" t="n">
        <v>0.8810588629849394</v>
      </c>
      <c r="Y482" s="15" t="n">
        <v>0.3174397246281679</v>
      </c>
      <c r="Z482" s="15" t="n">
        <v>0.01452002021598644</v>
      </c>
      <c r="AA482" s="15" t="n">
        <v>0</v>
      </c>
      <c r="AB482" s="15" t="n">
        <v>0</v>
      </c>
      <c r="AC482" s="15" t="n">
        <v>0</v>
      </c>
      <c r="AD482" s="15" t="n">
        <v>11.01516953419376</v>
      </c>
      <c r="AE482" s="15" t="n">
        <v>61.08656120282692</v>
      </c>
      <c r="AF482" s="15" t="n">
        <v>108.3938219202725</v>
      </c>
      <c r="AH482" s="29">
        <f>HIPERLINK($A$1 &amp; "\Dados\Magnet_fields.txt_482.txt.txt", "Magnet_fields.txt_482.txt")</f>
        <v/>
      </c>
      <c r="AI482" t="n">
        <v>7073</v>
      </c>
      <c r="AJ482" t="n">
        <v>28</v>
      </c>
      <c r="AK482" s="29">
        <f>HIPERLINK($A$1 &amp; "\Dados\Magnet_3D_results.txt_482.txt.txt", "Magnet_3D_results.txt_482.txt")</f>
        <v/>
      </c>
      <c r="AL482" s="29">
        <f>HIPERLINK($A$1 &amp; "\Dados\Magnet_fields_2D.txt_482.txt.txt", "Magnet_fields_2D.txt_482.txt")</f>
        <v/>
      </c>
    </row>
    <row customHeight="1" ht="15.75" r="483" s="34">
      <c r="D483" s="30" t="n"/>
      <c r="E483" s="15" t="n">
        <v>150</v>
      </c>
      <c r="F483" s="15" t="n">
        <v>180</v>
      </c>
      <c r="G483" s="15" t="n">
        <v>430</v>
      </c>
      <c r="H483" s="15" t="n">
        <v>45</v>
      </c>
      <c r="I483" s="15" t="n">
        <v>140</v>
      </c>
      <c r="J483" s="13" t="n">
        <v>25</v>
      </c>
      <c r="K483" t="n">
        <v>35</v>
      </c>
      <c r="L483" s="13" t="n">
        <v>1.3</v>
      </c>
      <c r="M483" s="12" t="n"/>
      <c r="N483" s="8" t="n">
        <v>1.095517652773863</v>
      </c>
      <c r="O483" s="15" t="n">
        <v>0.8556258575190064</v>
      </c>
      <c r="P483" s="15" t="n">
        <v>1.028079871114598</v>
      </c>
      <c r="Q483" s="15" t="n">
        <v>0.0006683908919005601</v>
      </c>
      <c r="R483" s="15" t="n">
        <v>0.007338859039044163</v>
      </c>
      <c r="S483" s="15" t="n">
        <v>0.0007469501074246774</v>
      </c>
      <c r="T483" s="29">
        <f>HIPERLINK($A$1 &amp; "\Dados\Imagem_perfil_483.png", "Imagem_perfil_483")</f>
        <v/>
      </c>
      <c r="U483" s="29">
        <f>HIPERLINK($A$1 &amp; "\Dados\Results_airgap483.txt", "Results_airgap483")</f>
        <v/>
      </c>
      <c r="V483" s="19" t="n"/>
      <c r="W483" s="43" t="n">
        <v>1.357941739130435</v>
      </c>
      <c r="X483" s="15" t="n">
        <v>0.6753181102815469</v>
      </c>
      <c r="Y483" s="15" t="n">
        <v>0.003239289101111265</v>
      </c>
      <c r="Z483" s="15" t="n">
        <v>0.04492035751344639</v>
      </c>
      <c r="AA483" s="15" t="n">
        <v>7.000166873927741</v>
      </c>
      <c r="AB483" s="15" t="n">
        <v>0</v>
      </c>
      <c r="AC483" s="15" t="n">
        <v>0</v>
      </c>
      <c r="AD483" s="15" t="n">
        <v>0</v>
      </c>
      <c r="AE483" s="15" t="n">
        <v>0.2025132034048749</v>
      </c>
      <c r="AF483" s="15" t="n">
        <v>73.64221358558926</v>
      </c>
      <c r="AH483" s="29">
        <f>HIPERLINK($A$1 &amp; "\Dados\Magnet_fields.txt_483.txt.txt", "Magnet_fields.txt_483.txt")</f>
        <v/>
      </c>
      <c r="AI483" t="n">
        <v>7575</v>
      </c>
      <c r="AJ483" t="n">
        <v>28</v>
      </c>
      <c r="AK483" s="29">
        <f>HIPERLINK($A$1 &amp; "\Dados\Magnet_3D_results.txt_483.txt.txt", "Magnet_3D_results.txt_483.txt")</f>
        <v/>
      </c>
      <c r="AL483" s="29">
        <f>HIPERLINK($A$1 &amp; "\Dados\Magnet_fields_2D.txt_483.txt.txt", "Magnet_fields_2D.txt_483.txt")</f>
        <v/>
      </c>
    </row>
    <row customHeight="1" ht="15.75" r="484" s="34">
      <c r="D484" s="30" t="n"/>
      <c r="E484" s="15" t="n">
        <v>150</v>
      </c>
      <c r="F484" s="15" t="n">
        <v>180</v>
      </c>
      <c r="G484" s="15" t="n">
        <v>430</v>
      </c>
      <c r="H484" s="15" t="n">
        <v>45</v>
      </c>
      <c r="I484" s="15" t="n">
        <v>140</v>
      </c>
      <c r="J484" s="13" t="n">
        <v>25</v>
      </c>
      <c r="K484" t="n">
        <v>35</v>
      </c>
      <c r="L484" s="13" t="n">
        <v>1.5</v>
      </c>
      <c r="M484" s="12" t="n"/>
      <c r="N484" s="8" t="n">
        <v>1.240618242927534</v>
      </c>
      <c r="O484" s="15" t="n">
        <v>0.9768316990044918</v>
      </c>
      <c r="P484" s="15" t="n">
        <v>1.167665260010773</v>
      </c>
      <c r="Q484" s="15" t="n">
        <v>0.0008785922626764759</v>
      </c>
      <c r="R484" s="15" t="n">
        <v>0.01579633019341256</v>
      </c>
      <c r="S484" s="15" t="n">
        <v>0.001016878537363848</v>
      </c>
      <c r="T484" s="29">
        <f>HIPERLINK($A$1 &amp; "\Dados\Imagem_perfil_484.png", "Imagem_perfil_484")</f>
        <v/>
      </c>
      <c r="U484" s="29">
        <f>HIPERLINK($A$1 &amp; "\Dados\Results_airgap484.txt", "Results_airgap484")</f>
        <v/>
      </c>
      <c r="V484" s="19" t="n"/>
      <c r="W484" s="43" t="n">
        <v>1.544839130434783</v>
      </c>
      <c r="X484" s="15" t="n">
        <v>0.778028476250426</v>
      </c>
      <c r="Y484" s="15" t="n">
        <v>0.001622973308583087</v>
      </c>
      <c r="Z484" s="15" t="n">
        <v>0.3186788254628077</v>
      </c>
      <c r="AA484" s="15" t="n">
        <v>6.368881226357156</v>
      </c>
      <c r="AB484" s="15" t="n">
        <v>0</v>
      </c>
      <c r="AC484" s="15" t="n">
        <v>0</v>
      </c>
      <c r="AD484" s="15" t="n">
        <v>0</v>
      </c>
      <c r="AE484" s="15" t="n">
        <v>20.8502872411555</v>
      </c>
      <c r="AF484" s="15" t="n">
        <v>97.77423418752561</v>
      </c>
      <c r="AH484" s="29">
        <f>HIPERLINK($A$1 &amp; "\Dados\Magnet_fields.txt_484.txt.txt", "Magnet_fields.txt_484.txt")</f>
        <v/>
      </c>
      <c r="AI484" t="n">
        <v>7575</v>
      </c>
      <c r="AJ484" t="n">
        <v>29</v>
      </c>
      <c r="AK484" s="29">
        <f>HIPERLINK($A$1 &amp; "\Dados\Magnet_3D_results.txt_484.txt.txt", "Magnet_3D_results.txt_484.txt")</f>
        <v/>
      </c>
      <c r="AL484" s="29">
        <f>HIPERLINK($A$1 &amp; "\Dados\Magnet_fields_2D.txt_484.txt.txt", "Magnet_fields_2D.txt_484.txt")</f>
        <v/>
      </c>
    </row>
    <row customHeight="1" ht="15.75" r="485" s="34">
      <c r="D485" s="30" t="n"/>
      <c r="E485" s="15" t="n">
        <v>150</v>
      </c>
      <c r="F485" s="15" t="n">
        <v>180</v>
      </c>
      <c r="G485" s="15" t="n">
        <v>430</v>
      </c>
      <c r="H485" s="15" t="n">
        <v>45</v>
      </c>
      <c r="I485" s="15" t="n">
        <v>140</v>
      </c>
      <c r="J485" s="13" t="n">
        <v>25</v>
      </c>
      <c r="K485" t="n">
        <v>35</v>
      </c>
      <c r="L485" s="13" t="n">
        <v>1.7</v>
      </c>
      <c r="M485" s="12" t="n"/>
      <c r="N485" s="8" t="n">
        <v>1.382480578108222</v>
      </c>
      <c r="O485" s="15" t="n">
        <v>1.09541835518932</v>
      </c>
      <c r="P485" s="15" t="n">
        <v>1.30623641635333</v>
      </c>
      <c r="Q485" s="15" t="n">
        <v>0.001122415728926732</v>
      </c>
      <c r="R485" s="15" t="n">
        <v>0.02381728072463135</v>
      </c>
      <c r="S485" s="15" t="n">
        <v>0.001311283828666478</v>
      </c>
      <c r="T485" s="29">
        <f>HIPERLINK($A$1 &amp; "\Dados\Imagem_perfil_485.png", "Imagem_perfil_485")</f>
        <v/>
      </c>
      <c r="U485" s="29">
        <f>HIPERLINK($A$1 &amp; "\Dados\Results_airgap485.txt", "Results_airgap485")</f>
        <v/>
      </c>
      <c r="V485" s="19" t="n"/>
      <c r="W485" s="43" t="n">
        <v>1.723425869565218</v>
      </c>
      <c r="X485" s="15" t="n">
        <v>0.8770637935628153</v>
      </c>
      <c r="Y485" s="15" t="n">
        <v>0.01078098920835815</v>
      </c>
      <c r="Z485" s="15" t="n">
        <v>0.0475656631961534</v>
      </c>
      <c r="AA485" s="15" t="n">
        <v>2.516691085426361</v>
      </c>
      <c r="AB485" s="15" t="n">
        <v>0</v>
      </c>
      <c r="AC485" s="15" t="n">
        <v>0</v>
      </c>
      <c r="AD485" s="15" t="n">
        <v>0</v>
      </c>
      <c r="AE485" s="15" t="n">
        <v>58.29111722436083</v>
      </c>
      <c r="AF485" s="15" t="n">
        <v>108.5238140825566</v>
      </c>
      <c r="AH485" s="29">
        <f>HIPERLINK($A$1 &amp; "\Dados\Magnet_fields.txt_485.txt.txt", "Magnet_fields.txt_485.txt")</f>
        <v/>
      </c>
      <c r="AI485" t="n">
        <v>7575</v>
      </c>
      <c r="AJ485" t="n">
        <v>29</v>
      </c>
      <c r="AK485" s="29">
        <f>HIPERLINK($A$1 &amp; "\Dados\Magnet_3D_results.txt_485.txt.txt", "Magnet_3D_results.txt_485.txt")</f>
        <v/>
      </c>
      <c r="AL485" s="29">
        <f>HIPERLINK($A$1 &amp; "\Dados\Magnet_fields_2D.txt_485.txt.txt", "Magnet_fields_2D.txt_485.txt")</f>
        <v/>
      </c>
    </row>
    <row customHeight="1" ht="15.75" r="486" s="34">
      <c r="D486" s="30" t="n"/>
      <c r="E486" s="15" t="n">
        <v>150</v>
      </c>
      <c r="F486" s="15" t="n">
        <v>180</v>
      </c>
      <c r="G486" s="15" t="n">
        <v>430</v>
      </c>
      <c r="H486" s="15" t="n">
        <v>45</v>
      </c>
      <c r="I486" s="15" t="n">
        <v>140</v>
      </c>
      <c r="J486" s="13" t="n">
        <v>25</v>
      </c>
      <c r="K486" t="n">
        <v>35</v>
      </c>
      <c r="L486" s="13" t="n">
        <v>1.9</v>
      </c>
      <c r="M486" s="12" t="n"/>
      <c r="N486" s="8" t="n">
        <v>1.431723574774135</v>
      </c>
      <c r="O486" s="15" t="n">
        <v>1.135943192457481</v>
      </c>
      <c r="P486" s="15" t="n">
        <v>1.354976310729273</v>
      </c>
      <c r="Q486" s="15" t="n">
        <v>0.001222004506845944</v>
      </c>
      <c r="R486" s="15" t="n">
        <v>0.02544698919494821</v>
      </c>
      <c r="S486" s="15" t="n">
        <v>0.001418285333379544</v>
      </c>
      <c r="T486" s="29">
        <f>HIPERLINK($A$1 &amp; "\Dados\Imagem_perfil_486.png", "Imagem_perfil_486")</f>
        <v/>
      </c>
      <c r="U486" s="29">
        <f>HIPERLINK($A$1 &amp; "\Dados\Results_airgap486.txt", "Results_airgap486")</f>
        <v/>
      </c>
      <c r="V486" s="19" t="n"/>
      <c r="W486" s="43" t="n">
        <v>1.794902173913043</v>
      </c>
      <c r="X486" s="15" t="n">
        <v>0.9092953562253321</v>
      </c>
      <c r="Y486" s="15" t="n">
        <v>0.07734707489004003</v>
      </c>
      <c r="Z486" s="15" t="n">
        <v>0.0115895059113381</v>
      </c>
      <c r="AA486" s="15" t="n">
        <v>1.018039616573323</v>
      </c>
      <c r="AB486" s="15" t="n">
        <v>0</v>
      </c>
      <c r="AC486" s="15" t="n">
        <v>0</v>
      </c>
      <c r="AD486" s="15" t="n">
        <v>10.45003677025447</v>
      </c>
      <c r="AE486" s="15" t="n">
        <v>62.68436848693906</v>
      </c>
      <c r="AF486" s="15" t="n">
        <v>109.4521509552759</v>
      </c>
      <c r="AH486" s="29">
        <f>HIPERLINK($A$1 &amp; "\Dados\Magnet_fields.txt_486.txt.txt", "Magnet_fields.txt_486.txt")</f>
        <v/>
      </c>
      <c r="AI486" t="n">
        <v>7575</v>
      </c>
      <c r="AJ486" t="n">
        <v>28</v>
      </c>
      <c r="AK486" s="29">
        <f>HIPERLINK($A$1 &amp; "\Dados\Magnet_3D_results.txt_486.txt.txt", "Magnet_3D_results.txt_486.txt")</f>
        <v/>
      </c>
      <c r="AL486" s="29">
        <f>HIPERLINK($A$1 &amp; "\Dados\Magnet_fields_2D.txt_486.txt.txt", "Magnet_fields_2D.txt_486.txt")</f>
        <v/>
      </c>
    </row>
    <row customHeight="1" ht="15.75" r="487" s="34">
      <c r="D487" s="30" t="n"/>
      <c r="E487" s="15" t="n">
        <v>150</v>
      </c>
      <c r="F487" s="15" t="n">
        <v>180</v>
      </c>
      <c r="G487" s="15" t="n">
        <v>430</v>
      </c>
      <c r="H487" s="15" t="n">
        <v>45</v>
      </c>
      <c r="I487" s="15" t="n">
        <v>140</v>
      </c>
      <c r="J487" s="13" t="n">
        <v>25</v>
      </c>
      <c r="K487" t="n">
        <v>35</v>
      </c>
      <c r="L487" s="13" t="n">
        <v>2.1</v>
      </c>
      <c r="M487" s="12" t="n"/>
      <c r="N487" s="8" t="n">
        <v>1.44619515221675</v>
      </c>
      <c r="O487" s="15" t="n">
        <v>1.147881659396307</v>
      </c>
      <c r="P487" s="15" t="n">
        <v>1.36936963746889</v>
      </c>
      <c r="Q487" s="15" t="n">
        <v>0.001259498244348395</v>
      </c>
      <c r="R487" s="15" t="n">
        <v>0.02600778418678007</v>
      </c>
      <c r="S487" s="15" t="n">
        <v>0.001458175043410415</v>
      </c>
      <c r="T487" s="29">
        <f>HIPERLINK($A$1 &amp; "\Dados\Imagem_perfil_487.png", "Imagem_perfil_487")</f>
        <v/>
      </c>
      <c r="U487" s="29">
        <f>HIPERLINK($A$1 &amp; "\Dados\Results_airgap487.txt", "Results_airgap487")</f>
        <v/>
      </c>
      <c r="V487" s="19" t="n"/>
      <c r="W487" s="15" t="n">
        <v>1.818527826086957</v>
      </c>
      <c r="X487" s="15" t="n">
        <v>0.9188483142508277</v>
      </c>
      <c r="Y487" s="15" t="n">
        <v>0.1890153583845954</v>
      </c>
      <c r="Z487" s="15" t="n">
        <v>0.006333398533089823</v>
      </c>
      <c r="AA487" s="15" t="n">
        <v>0.347032914842362</v>
      </c>
      <c r="AB487" s="15" t="n">
        <v>0</v>
      </c>
      <c r="AC487" s="15" t="n">
        <v>0.7364340633729817</v>
      </c>
      <c r="AD487" s="15" t="n">
        <v>13.87744262964907</v>
      </c>
      <c r="AE487" s="15" t="n">
        <v>64.05038349811363</v>
      </c>
      <c r="AF487" s="15" t="n">
        <v>109.6739032213441</v>
      </c>
      <c r="AH487" s="29">
        <f>HIPERLINK($A$1 &amp; "\Dados\Magnet_fields.txt_487.txt.txt", "Magnet_fields.txt_487.txt")</f>
        <v/>
      </c>
      <c r="AI487" t="n">
        <v>7575</v>
      </c>
      <c r="AJ487" t="n">
        <v>28</v>
      </c>
      <c r="AK487" s="29">
        <f>HIPERLINK($A$1 &amp; "\Dados\Magnet_3D_results.txt_487.txt.txt", "Magnet_3D_results.txt_487.txt")</f>
        <v/>
      </c>
      <c r="AL487" s="29">
        <f>HIPERLINK($A$1 &amp; "\Dados\Magnet_fields_2D.txt_487.txt.txt", "Magnet_fields_2D.txt_487.txt")</f>
        <v/>
      </c>
    </row>
    <row customHeight="1" ht="15.75" r="488" s="34">
      <c r="D488" s="30" t="n"/>
      <c r="E488" s="15" t="n">
        <v>150</v>
      </c>
      <c r="F488" s="15" t="n">
        <v>180</v>
      </c>
      <c r="G488" s="15" t="n">
        <v>430</v>
      </c>
      <c r="H488" s="15" t="n">
        <v>25</v>
      </c>
      <c r="I488" s="15" t="n">
        <v>180</v>
      </c>
      <c r="J488" s="13" t="n">
        <v>25</v>
      </c>
      <c r="K488" t="n">
        <v>35</v>
      </c>
      <c r="L488" s="13" t="n">
        <v>1.3</v>
      </c>
      <c r="M488" s="12" t="n"/>
      <c r="N488" s="8" t="n">
        <v>1.127720759296409</v>
      </c>
      <c r="O488" s="15" t="n">
        <v>0.9962194430997603</v>
      </c>
      <c r="P488" s="15" t="n">
        <v>1.087341362635095</v>
      </c>
      <c r="Q488" s="15" t="n">
        <v>0.0006459158387704654</v>
      </c>
      <c r="R488" s="15" t="n">
        <v>0.001588816786883734</v>
      </c>
      <c r="S488" s="15" t="n">
        <v>0.0006484370567213024</v>
      </c>
      <c r="T488" s="29">
        <f>HIPERLINK($A$1 &amp; "\Dados\Imagem_perfil_488.png", "Imagem_perfil_488")</f>
        <v/>
      </c>
      <c r="U488" s="29">
        <f>HIPERLINK($A$1 &amp; "\Dados\Results_airgap488.txt", "Results_airgap488")</f>
        <v/>
      </c>
      <c r="V488" s="19" t="n"/>
      <c r="W488" s="43" t="n">
        <v>1.358187608695652</v>
      </c>
      <c r="X488" s="15" t="n">
        <v>0.6752748272889533</v>
      </c>
      <c r="Y488" s="15" t="n">
        <v>0.003229884899731379</v>
      </c>
      <c r="Z488" s="15" t="n">
        <v>0.09789333425412107</v>
      </c>
      <c r="AA488" s="15" t="n">
        <v>5.621706652134275</v>
      </c>
      <c r="AB488" s="15" t="n">
        <v>0</v>
      </c>
      <c r="AC488" s="15" t="n">
        <v>0</v>
      </c>
      <c r="AD488" s="15" t="n">
        <v>0</v>
      </c>
      <c r="AE488" s="15" t="n">
        <v>0.7367174680779504</v>
      </c>
      <c r="AF488" s="15" t="n">
        <v>72.80525955751743</v>
      </c>
      <c r="AH488" s="29">
        <f>HIPERLINK($A$1 &amp; "\Dados\Magnet_fields.txt_488.txt.txt", "Magnet_fields.txt_488.txt")</f>
        <v/>
      </c>
      <c r="AI488" t="n">
        <v>11537</v>
      </c>
      <c r="AJ488" t="n">
        <v>30</v>
      </c>
      <c r="AK488" s="29">
        <f>HIPERLINK($A$1 &amp; "\Dados\Magnet_3D_results.txt_488.txt.txt", "Magnet_3D_results.txt_488.txt")</f>
        <v/>
      </c>
      <c r="AL488" s="29">
        <f>HIPERLINK($A$1 &amp; "\Dados\Magnet_fields_2D.txt_488.txt.txt", "Magnet_fields_2D.txt_488.txt")</f>
        <v/>
      </c>
    </row>
    <row customHeight="1" ht="15.75" r="489" s="34">
      <c r="D489" s="30" t="n"/>
      <c r="E489" s="15" t="n">
        <v>150</v>
      </c>
      <c r="F489" s="15" t="n">
        <v>180</v>
      </c>
      <c r="G489" s="15" t="n">
        <v>430</v>
      </c>
      <c r="H489" s="15" t="n">
        <v>25</v>
      </c>
      <c r="I489" s="15" t="n">
        <v>180</v>
      </c>
      <c r="J489" s="13" t="n">
        <v>25</v>
      </c>
      <c r="K489" t="n">
        <v>35</v>
      </c>
      <c r="L489" s="13" t="n">
        <v>1.5</v>
      </c>
      <c r="M489" s="12" t="n"/>
      <c r="N489" s="8" t="n">
        <v>1.297749185718873</v>
      </c>
      <c r="O489" s="15" t="n">
        <v>1.149020503980961</v>
      </c>
      <c r="P489" s="15" t="n">
        <v>1.25088458163535</v>
      </c>
      <c r="Q489" s="15" t="n">
        <v>0.0008584005654782283</v>
      </c>
      <c r="R489" s="15" t="n">
        <v>0.01037952187284221</v>
      </c>
      <c r="S489" s="15" t="n">
        <v>0.0008647628692049386</v>
      </c>
      <c r="T489" s="29">
        <f>HIPERLINK($A$1 &amp; "\Dados\Imagem_perfil_489.png", "Imagem_perfil_489")</f>
        <v/>
      </c>
      <c r="U489" s="29">
        <f>HIPERLINK($A$1 &amp; "\Dados\Results_airgap489.txt", "Results_airgap489")</f>
        <v/>
      </c>
      <c r="V489" s="19" t="n"/>
      <c r="W489" s="43" t="n">
        <v>1.54454652173913</v>
      </c>
      <c r="X489" s="15" t="n">
        <v>0.7910264579157902</v>
      </c>
      <c r="Y489" s="15" t="n">
        <v>0.001622254958962391</v>
      </c>
      <c r="Z489" s="15" t="n">
        <v>0.5363469332609585</v>
      </c>
      <c r="AA489" s="15" t="n">
        <v>5.232941266386069</v>
      </c>
      <c r="AB489" s="15" t="n">
        <v>0</v>
      </c>
      <c r="AC489" s="15" t="n">
        <v>0</v>
      </c>
      <c r="AD489" s="15" t="n">
        <v>0</v>
      </c>
      <c r="AE489" s="15" t="n">
        <v>21.21802472382631</v>
      </c>
      <c r="AF489" s="15" t="n">
        <v>96.23826768250235</v>
      </c>
      <c r="AH489" s="29">
        <f>HIPERLINK($A$1 &amp; "\Dados\Magnet_fields.txt_489.txt.txt", "Magnet_fields.txt_489.txt")</f>
        <v/>
      </c>
      <c r="AI489" t="n">
        <v>11537</v>
      </c>
      <c r="AJ489" t="n">
        <v>29</v>
      </c>
      <c r="AK489" s="29">
        <f>HIPERLINK($A$1 &amp; "\Dados\Magnet_3D_results.txt_489.txt.txt", "Magnet_3D_results.txt_489.txt")</f>
        <v/>
      </c>
      <c r="AL489" s="29">
        <f>HIPERLINK($A$1 &amp; "\Dados\Magnet_fields_2D.txt_489.txt.txt", "Magnet_fields_2D.txt_489.txt")</f>
        <v/>
      </c>
    </row>
    <row customHeight="1" ht="15.75" r="490" s="34">
      <c r="D490" s="30" t="n"/>
      <c r="E490" s="15" t="n">
        <v>150</v>
      </c>
      <c r="F490" s="15" t="n">
        <v>180</v>
      </c>
      <c r="G490" s="15" t="n">
        <v>430</v>
      </c>
      <c r="H490" s="15" t="n">
        <v>25</v>
      </c>
      <c r="I490" s="15" t="n">
        <v>180</v>
      </c>
      <c r="J490" s="13" t="n">
        <v>25</v>
      </c>
      <c r="K490" t="n">
        <v>35</v>
      </c>
      <c r="L490" s="13" t="n">
        <v>1.7</v>
      </c>
      <c r="M490" s="12" t="n"/>
      <c r="N490" s="8" t="n">
        <v>1.456211939968009</v>
      </c>
      <c r="O490" s="15" t="n">
        <v>1.292814468291927</v>
      </c>
      <c r="P490" s="15" t="n">
        <v>1.40419942916962</v>
      </c>
      <c r="Q490" s="15" t="n">
        <v>0.001099611556756454</v>
      </c>
      <c r="R490" s="15" t="n">
        <v>0.02000807807718816</v>
      </c>
      <c r="S490" s="15" t="n">
        <v>0.001109214339762684</v>
      </c>
      <c r="T490" s="29">
        <f>HIPERLINK($A$1 &amp; "\Dados\Imagem_perfil_490.png", "Imagem_perfil_490")</f>
        <v/>
      </c>
      <c r="U490" s="29">
        <f>HIPERLINK($A$1 &amp; "\Dados\Results_airgap490.txt", "Results_airgap490")</f>
        <v/>
      </c>
      <c r="V490" s="19" t="n"/>
      <c r="W490" s="43" t="n">
        <v>1.723255869565217</v>
      </c>
      <c r="X490" s="15" t="n">
        <v>0.8985832217708727</v>
      </c>
      <c r="Y490" s="15" t="n">
        <v>0.01080267337147661</v>
      </c>
      <c r="Z490" s="15" t="n">
        <v>0.1729846481902018</v>
      </c>
      <c r="AA490" s="15" t="n">
        <v>4.771216431587972</v>
      </c>
      <c r="AB490" s="15" t="n">
        <v>0</v>
      </c>
      <c r="AC490" s="15" t="n">
        <v>0</v>
      </c>
      <c r="AD490" s="15" t="n">
        <v>0</v>
      </c>
      <c r="AE490" s="15" t="n">
        <v>58.29453452983367</v>
      </c>
      <c r="AF490" s="15" t="n">
        <v>108.5067423898986</v>
      </c>
      <c r="AH490" s="29">
        <f>HIPERLINK($A$1 &amp; "\Dados\Magnet_fields.txt_490.txt.txt", "Magnet_fields.txt_490.txt")</f>
        <v/>
      </c>
      <c r="AI490" t="n">
        <v>11537</v>
      </c>
      <c r="AJ490" t="n">
        <v>30</v>
      </c>
      <c r="AK490" s="29">
        <f>HIPERLINK($A$1 &amp; "\Dados\Magnet_3D_results.txt_490.txt.txt", "Magnet_3D_results.txt_490.txt")</f>
        <v/>
      </c>
      <c r="AL490" s="29">
        <f>HIPERLINK($A$1 &amp; "\Dados\Magnet_fields_2D.txt_490.txt.txt", "Magnet_fields_2D.txt_490.txt")</f>
        <v/>
      </c>
    </row>
    <row customHeight="1" ht="15.75" r="491" s="34">
      <c r="D491" s="30" t="n"/>
      <c r="E491" s="15" t="n">
        <v>150</v>
      </c>
      <c r="F491" s="15" t="n">
        <v>180</v>
      </c>
      <c r="G491" s="15" t="n">
        <v>430</v>
      </c>
      <c r="H491" s="15" t="n">
        <v>25</v>
      </c>
      <c r="I491" s="15" t="n">
        <v>180</v>
      </c>
      <c r="J491" s="13" t="n">
        <v>25</v>
      </c>
      <c r="K491" t="n">
        <v>35</v>
      </c>
      <c r="L491" s="13" t="n">
        <v>1.9</v>
      </c>
      <c r="M491" s="12" t="n"/>
      <c r="N491" s="8" t="n">
        <v>1.50904397035302</v>
      </c>
      <c r="O491" s="15" t="n">
        <v>1.344482050750333</v>
      </c>
      <c r="P491" s="15" t="n">
        <v>1.460027326405322</v>
      </c>
      <c r="Q491" s="15" t="n">
        <v>0.001198922773611642</v>
      </c>
      <c r="R491" s="15" t="n">
        <v>0.02208507260259363</v>
      </c>
      <c r="S491" s="15" t="n">
        <v>0.001209115646600612</v>
      </c>
      <c r="T491" s="29">
        <f>HIPERLINK($A$1 &amp; "\Dados\Imagem_perfil_491.png", "Imagem_perfil_491")</f>
        <v/>
      </c>
      <c r="U491" s="29">
        <f>HIPERLINK($A$1 &amp; "\Dados\Results_airgap491.txt", "Results_airgap491")</f>
        <v/>
      </c>
      <c r="V491" s="19" t="n"/>
      <c r="W491" s="43" t="n">
        <v>1.794763913043478</v>
      </c>
      <c r="X491" s="15" t="n">
        <v>0.9344203373315239</v>
      </c>
      <c r="Y491" s="15" t="n">
        <v>0.07741225423588927</v>
      </c>
      <c r="Z491" s="15" t="n">
        <v>0.04548476761231687</v>
      </c>
      <c r="AA491" s="15" t="n">
        <v>4.650783809565564</v>
      </c>
      <c r="AB491" s="15" t="n">
        <v>0</v>
      </c>
      <c r="AC491" s="15" t="n">
        <v>0</v>
      </c>
      <c r="AD491" s="15" t="n">
        <v>10.45533459134117</v>
      </c>
      <c r="AE491" s="15" t="n">
        <v>62.68104965389336</v>
      </c>
      <c r="AF491" s="15" t="n">
        <v>109.4686548748257</v>
      </c>
      <c r="AH491" s="29">
        <f>HIPERLINK($A$1 &amp; "\Dados\Magnet_fields.txt_491.txt.txt", "Magnet_fields.txt_491.txt")</f>
        <v/>
      </c>
      <c r="AI491" t="n">
        <v>11537</v>
      </c>
      <c r="AJ491" t="n">
        <v>30</v>
      </c>
      <c r="AK491" s="29">
        <f>HIPERLINK($A$1 &amp; "\Dados\Magnet_3D_results.txt_491.txt.txt", "Magnet_3D_results.txt_491.txt")</f>
        <v/>
      </c>
      <c r="AL491" s="29">
        <f>HIPERLINK($A$1 &amp; "\Dados\Magnet_fields_2D.txt_491.txt.txt", "Magnet_fields_2D.txt_491.txt")</f>
        <v/>
      </c>
    </row>
    <row customHeight="1" ht="15.75" r="492" s="34">
      <c r="D492" s="30" t="n"/>
      <c r="E492" s="15" t="n">
        <v>150</v>
      </c>
      <c r="F492" s="15" t="n">
        <v>180</v>
      </c>
      <c r="G492" s="15" t="n">
        <v>430</v>
      </c>
      <c r="H492" s="15" t="n">
        <v>25</v>
      </c>
      <c r="I492" s="15" t="n">
        <v>180</v>
      </c>
      <c r="J492" s="13" t="n">
        <v>25</v>
      </c>
      <c r="K492" t="n">
        <v>35</v>
      </c>
      <c r="L492" s="13" t="n">
        <v>2.1</v>
      </c>
      <c r="M492" s="12" t="n"/>
      <c r="N492" s="8" t="n">
        <v>1.524867910315055</v>
      </c>
      <c r="O492" s="15" t="n">
        <v>1.360011692960071</v>
      </c>
      <c r="P492" s="15" t="n">
        <v>1.476790383582015</v>
      </c>
      <c r="Q492" s="15" t="n">
        <v>0.001235148653174963</v>
      </c>
      <c r="R492" s="15" t="n">
        <v>0.02284387372877979</v>
      </c>
      <c r="S492" s="15" t="n">
        <v>0.001245548929802947</v>
      </c>
      <c r="T492" s="29">
        <f>HIPERLINK($A$1 &amp; "\Dados\Imagem_perfil_492.png", "Imagem_perfil_492")</f>
        <v/>
      </c>
      <c r="U492" s="29">
        <f>HIPERLINK($A$1 &amp; "\Dados\Results_airgap492.txt", "Results_airgap492")</f>
        <v/>
      </c>
      <c r="V492" s="19" t="n"/>
      <c r="W492" s="15" t="n">
        <v>1.818406304347826</v>
      </c>
      <c r="X492" s="15" t="n">
        <v>0.9452462105003018</v>
      </c>
      <c r="Y492" s="15" t="n">
        <v>0.1891100606161787</v>
      </c>
      <c r="Z492" s="15" t="n">
        <v>0.03321455529261817</v>
      </c>
      <c r="AA492" s="15" t="n">
        <v>4.580883633727127</v>
      </c>
      <c r="AB492" s="15" t="n">
        <v>0</v>
      </c>
      <c r="AC492" s="15" t="n">
        <v>0.703026075450533</v>
      </c>
      <c r="AD492" s="15" t="n">
        <v>13.90206126893129</v>
      </c>
      <c r="AE492" s="15" t="n">
        <v>64.06890279089507</v>
      </c>
      <c r="AF492" s="15" t="n">
        <v>109.668440346733</v>
      </c>
      <c r="AH492" s="29">
        <f>HIPERLINK($A$1 &amp; "\Dados\Magnet_fields.txt_492.txt.txt", "Magnet_fields.txt_492.txt")</f>
        <v/>
      </c>
      <c r="AI492" t="n">
        <v>11537</v>
      </c>
      <c r="AJ492" t="n">
        <v>30</v>
      </c>
      <c r="AK492" s="29">
        <f>HIPERLINK($A$1 &amp; "\Dados\Magnet_3D_results.txt_492.txt.txt", "Magnet_3D_results.txt_492.txt")</f>
        <v/>
      </c>
      <c r="AL492" s="29">
        <f>HIPERLINK($A$1 &amp; "\Dados\Magnet_fields_2D.txt_492.txt.txt", "Magnet_fields_2D.txt_492.txt")</f>
        <v/>
      </c>
    </row>
    <row customHeight="1" ht="15.75" r="493" s="34">
      <c r="D493" s="30" t="n"/>
      <c r="E493" s="15" t="n">
        <v>150</v>
      </c>
      <c r="F493" s="15" t="n">
        <v>180</v>
      </c>
      <c r="G493" s="15" t="n">
        <v>430</v>
      </c>
      <c r="H493" s="15" t="n">
        <v>45</v>
      </c>
      <c r="I493" s="15" t="n">
        <v>180</v>
      </c>
      <c r="J493" s="13" t="n">
        <v>25</v>
      </c>
      <c r="K493" t="n">
        <v>35</v>
      </c>
      <c r="L493" s="13" t="n">
        <v>1.3</v>
      </c>
      <c r="M493" s="12" t="n"/>
      <c r="N493" s="8" t="n">
        <v>1.15343260797459</v>
      </c>
      <c r="O493" s="15" t="n">
        <v>1.022798255872406</v>
      </c>
      <c r="P493" s="15" t="n">
        <v>1.113237174344796</v>
      </c>
      <c r="Q493" s="15" t="n">
        <v>0.0006667844512740972</v>
      </c>
      <c r="R493" s="15" t="n">
        <v>0.006376897038856998</v>
      </c>
      <c r="S493" s="15" t="n">
        <v>0.000672891040596629</v>
      </c>
      <c r="T493" s="29">
        <f>HIPERLINK($A$1 &amp; "\Dados\Imagem_perfil_493.png", "Imagem_perfil_493")</f>
        <v/>
      </c>
      <c r="U493" s="29">
        <f>HIPERLINK($A$1 &amp; "\Dados\Results_airgap493.txt", "Results_airgap493")</f>
        <v/>
      </c>
      <c r="V493" s="19" t="n"/>
      <c r="W493" s="43" t="n">
        <v>1.358085652173913</v>
      </c>
      <c r="X493" s="15" t="n">
        <v>0.6928288901642251</v>
      </c>
      <c r="Y493" s="15" t="n">
        <v>0.003240134657329705</v>
      </c>
      <c r="Z493" s="15" t="n">
        <v>0.05045249807851123</v>
      </c>
      <c r="AA493" s="15" t="n">
        <v>7.588062282238337</v>
      </c>
      <c r="AB493" s="15" t="n">
        <v>0</v>
      </c>
      <c r="AC493" s="15" t="n">
        <v>0</v>
      </c>
      <c r="AD493" s="15" t="n">
        <v>0</v>
      </c>
      <c r="AE493" s="15" t="n">
        <v>0.7190469717313672</v>
      </c>
      <c r="AF493" s="15" t="n">
        <v>72.72871666178585</v>
      </c>
      <c r="AH493" s="29">
        <f>HIPERLINK($A$1 &amp; "\Dados\Magnet_fields.txt_493.txt.txt", "Magnet_fields.txt_493.txt")</f>
        <v/>
      </c>
      <c r="AI493" t="n">
        <v>7957</v>
      </c>
      <c r="AJ493" t="n">
        <v>29</v>
      </c>
      <c r="AK493" s="29">
        <f>HIPERLINK($A$1 &amp; "\Dados\Magnet_3D_results.txt_493.txt.txt", "Magnet_3D_results.txt_493.txt")</f>
        <v/>
      </c>
      <c r="AL493" s="29">
        <f>HIPERLINK($A$1 &amp; "\Dados\Magnet_fields_2D.txt_493.txt.txt", "Magnet_fields_2D.txt_493.txt")</f>
        <v/>
      </c>
    </row>
    <row customHeight="1" ht="15.75" r="494" s="34">
      <c r="D494" s="30" t="n"/>
      <c r="E494" s="15" t="n">
        <v>150</v>
      </c>
      <c r="F494" s="15" t="n">
        <v>180</v>
      </c>
      <c r="G494" s="15" t="n">
        <v>430</v>
      </c>
      <c r="H494" s="15" t="n">
        <v>45</v>
      </c>
      <c r="I494" s="15" t="n">
        <v>180</v>
      </c>
      <c r="J494" s="13" t="n">
        <v>25</v>
      </c>
      <c r="K494" t="n">
        <v>35</v>
      </c>
      <c r="L494" s="13" t="n">
        <v>1.5</v>
      </c>
      <c r="M494" s="12" t="n"/>
      <c r="N494" s="8" t="n">
        <v>1.322065039218975</v>
      </c>
      <c r="O494" s="15" t="n">
        <v>1.174156794909862</v>
      </c>
      <c r="P494" s="15" t="n">
        <v>1.275318849196222</v>
      </c>
      <c r="Q494" s="15" t="n">
        <v>0.0008904179587042896</v>
      </c>
      <c r="R494" s="15" t="n">
        <v>0.01596171549468134</v>
      </c>
      <c r="S494" s="15" t="n">
        <v>0.0009005538517008788</v>
      </c>
      <c r="T494" s="29">
        <f>HIPERLINK($A$1 &amp; "\Dados\Imagem_perfil_494.png", "Imagem_perfil_494")</f>
        <v/>
      </c>
      <c r="U494" s="29">
        <f>HIPERLINK($A$1 &amp; "\Dados\Results_airgap494.txt", "Results_airgap494")</f>
        <v/>
      </c>
      <c r="V494" s="19" t="n"/>
      <c r="W494" s="43" t="n">
        <v>1.544584130434782</v>
      </c>
      <c r="X494" s="15" t="n">
        <v>0.8068096612806502</v>
      </c>
      <c r="Y494" s="15" t="n">
        <v>0.001625303452454501</v>
      </c>
      <c r="Z494" s="15" t="n">
        <v>0.7072384664158116</v>
      </c>
      <c r="AA494" s="15" t="n">
        <v>6.705261975293565</v>
      </c>
      <c r="AB494" s="15" t="n">
        <v>0</v>
      </c>
      <c r="AC494" s="15" t="n">
        <v>0</v>
      </c>
      <c r="AD494" s="15" t="n">
        <v>0</v>
      </c>
      <c r="AE494" s="15" t="n">
        <v>21.19123853243214</v>
      </c>
      <c r="AF494" s="15" t="n">
        <v>96.2107752401667</v>
      </c>
      <c r="AH494" s="29">
        <f>HIPERLINK($A$1 &amp; "\Dados\Magnet_fields.txt_494.txt.txt", "Magnet_fields.txt_494.txt")</f>
        <v/>
      </c>
      <c r="AI494" t="n">
        <v>7957</v>
      </c>
      <c r="AJ494" t="n">
        <v>29</v>
      </c>
      <c r="AK494" s="29">
        <f>HIPERLINK($A$1 &amp; "\Dados\Magnet_3D_results.txt_494.txt.txt", "Magnet_3D_results.txt_494.txt")</f>
        <v/>
      </c>
      <c r="AL494" s="29">
        <f>HIPERLINK($A$1 &amp; "\Dados\Magnet_fields_2D.txt_494.txt.txt", "Magnet_fields_2D.txt_494.txt")</f>
        <v/>
      </c>
    </row>
    <row customHeight="1" ht="15.75" r="495" s="34">
      <c r="D495" s="30" t="n"/>
      <c r="E495" s="15" t="n">
        <v>150</v>
      </c>
      <c r="F495" s="15" t="n">
        <v>180</v>
      </c>
      <c r="G495" s="15" t="n">
        <v>430</v>
      </c>
      <c r="H495" s="15" t="n">
        <v>45</v>
      </c>
      <c r="I495" s="15" t="n">
        <v>180</v>
      </c>
      <c r="J495" s="13" t="n">
        <v>25</v>
      </c>
      <c r="K495" t="n">
        <v>35</v>
      </c>
      <c r="L495" s="13" t="n">
        <v>1.7</v>
      </c>
      <c r="M495" s="12" t="n"/>
      <c r="N495" s="8" t="n">
        <v>1.477536335296111</v>
      </c>
      <c r="O495" s="15" t="n">
        <v>1.314573455148104</v>
      </c>
      <c r="P495" s="15" t="n">
        <v>1.425359001578372</v>
      </c>
      <c r="Q495" s="15" t="n">
        <v>0.001149315602223866</v>
      </c>
      <c r="R495" s="15" t="n">
        <v>0.02481951751529405</v>
      </c>
      <c r="S495" s="15" t="n">
        <v>0.001162377764720138</v>
      </c>
      <c r="T495" s="29">
        <f>HIPERLINK($A$1 &amp; "\Dados\Imagem_perfil_495.png", "Imagem_perfil_495")</f>
        <v/>
      </c>
      <c r="U495" s="29">
        <f>HIPERLINK($A$1 &amp; "\Dados\Results_airgap495.txt", "Results_airgap495")</f>
        <v/>
      </c>
      <c r="V495" s="19" t="n"/>
      <c r="W495" s="43" t="n">
        <v>1.723363913043478</v>
      </c>
      <c r="X495" s="15" t="n">
        <v>0.9104885709254182</v>
      </c>
      <c r="Y495" s="15" t="n">
        <v>0.01078107725857061</v>
      </c>
      <c r="Z495" s="15" t="n">
        <v>0.2456965092596436</v>
      </c>
      <c r="AA495" s="15" t="n">
        <v>2.856112348378937</v>
      </c>
      <c r="AB495" s="15" t="n">
        <v>0</v>
      </c>
      <c r="AC495" s="15" t="n">
        <v>0</v>
      </c>
      <c r="AD495" s="15" t="n">
        <v>0</v>
      </c>
      <c r="AE495" s="15" t="n">
        <v>58.2724449436346</v>
      </c>
      <c r="AF495" s="15" t="n">
        <v>108.4999982696192</v>
      </c>
      <c r="AH495" s="29">
        <f>HIPERLINK($A$1 &amp; "\Dados\Magnet_fields.txt_495.txt.txt", "Magnet_fields.txt_495.txt")</f>
        <v/>
      </c>
      <c r="AI495" t="n">
        <v>7957</v>
      </c>
      <c r="AJ495" t="n">
        <v>29</v>
      </c>
      <c r="AK495" s="29">
        <f>HIPERLINK($A$1 &amp; "\Dados\Magnet_3D_results.txt_495.txt.txt", "Magnet_3D_results.txt_495.txt")</f>
        <v/>
      </c>
      <c r="AL495" s="29">
        <f>HIPERLINK($A$1 &amp; "\Dados\Magnet_fields_2D.txt_495.txt.txt", "Magnet_fields_2D.txt_495.txt")</f>
        <v/>
      </c>
    </row>
    <row customHeight="1" ht="15.75" r="496" s="34">
      <c r="D496" s="30" t="n"/>
      <c r="E496" s="15" t="n">
        <v>150</v>
      </c>
      <c r="F496" s="15" t="n">
        <v>180</v>
      </c>
      <c r="G496" s="15" t="n">
        <v>430</v>
      </c>
      <c r="H496" s="15" t="n">
        <v>45</v>
      </c>
      <c r="I496" s="15" t="n">
        <v>180</v>
      </c>
      <c r="J496" s="13" t="n">
        <v>25</v>
      </c>
      <c r="K496" t="n">
        <v>35</v>
      </c>
      <c r="L496" s="13" t="n">
        <v>1.9</v>
      </c>
      <c r="M496" s="12" t="n"/>
      <c r="N496" s="8" t="n">
        <v>1.52917121163908</v>
      </c>
      <c r="O496" s="15" t="n">
        <v>1.364840943075307</v>
      </c>
      <c r="P496" s="15" t="n">
        <v>1.479847202981758</v>
      </c>
      <c r="Q496" s="15" t="n">
        <v>0.001274443298961565</v>
      </c>
      <c r="R496" s="15" t="n">
        <v>0.02663819762348889</v>
      </c>
      <c r="S496" s="15" t="n">
        <v>0.001288048895857867</v>
      </c>
      <c r="T496" s="29">
        <f>HIPERLINK($A$1 &amp; "\Dados\Imagem_perfil_496.png", "Imagem_perfil_496")</f>
        <v/>
      </c>
      <c r="U496" s="29">
        <f>HIPERLINK($A$1 &amp; "\Dados\Results_airgap496.txt", "Results_airgap496")</f>
        <v/>
      </c>
      <c r="V496" s="19" t="n"/>
      <c r="W496" s="43" t="n">
        <v>1.794889565217392</v>
      </c>
      <c r="X496" s="15" t="n">
        <v>0.9442530556357207</v>
      </c>
      <c r="Y496" s="15" t="n">
        <v>0.07734707381191114</v>
      </c>
      <c r="Z496" s="15" t="n">
        <v>0.04855903848750329</v>
      </c>
      <c r="AA496" s="15" t="n">
        <v>1.190080484266228</v>
      </c>
      <c r="AB496" s="15" t="n">
        <v>0</v>
      </c>
      <c r="AC496" s="15" t="n">
        <v>0</v>
      </c>
      <c r="AD496" s="15" t="n">
        <v>10.44782825954396</v>
      </c>
      <c r="AE496" s="15" t="n">
        <v>62.68416270295165</v>
      </c>
      <c r="AF496" s="15" t="n">
        <v>109.4507955773505</v>
      </c>
      <c r="AH496" s="29">
        <f>HIPERLINK($A$1 &amp; "\Dados\Magnet_fields.txt_496.txt.txt", "Magnet_fields.txt_496.txt")</f>
        <v/>
      </c>
      <c r="AI496" t="n">
        <v>7957</v>
      </c>
      <c r="AJ496" t="n">
        <v>28</v>
      </c>
      <c r="AK496" s="29">
        <f>HIPERLINK($A$1 &amp; "\Dados\Magnet_3D_results.txt_496.txt.txt", "Magnet_3D_results.txt_496.txt")</f>
        <v/>
      </c>
      <c r="AL496" s="29">
        <f>HIPERLINK($A$1 &amp; "\Dados\Magnet_fields_2D.txt_496.txt.txt", "Magnet_fields_2D.txt_496.txt")</f>
        <v/>
      </c>
    </row>
    <row customHeight="1" ht="15.75" r="497" s="34">
      <c r="D497" s="30" t="n"/>
      <c r="E497" s="15" t="n">
        <v>150</v>
      </c>
      <c r="F497" s="15" t="n">
        <v>180</v>
      </c>
      <c r="G497" s="15" t="n">
        <v>430</v>
      </c>
      <c r="H497" s="15" t="n">
        <v>45</v>
      </c>
      <c r="I497" s="15" t="n">
        <v>180</v>
      </c>
      <c r="J497" s="13" t="n">
        <v>25</v>
      </c>
      <c r="K497" t="n">
        <v>35</v>
      </c>
      <c r="L497" s="13" t="n">
        <v>2.1</v>
      </c>
      <c r="M497" s="12" t="n"/>
      <c r="N497" s="8" t="n">
        <v>1.544412995395687</v>
      </c>
      <c r="O497" s="15" t="n">
        <v>1.379714306203435</v>
      </c>
      <c r="P497" s="15" t="n">
        <v>1.49597706043427</v>
      </c>
      <c r="Q497" s="15" t="n">
        <v>0.001314860291923051</v>
      </c>
      <c r="R497" s="15" t="n">
        <v>0.02726190837937519</v>
      </c>
      <c r="S497" s="15" t="n">
        <v>0.001328640024387326</v>
      </c>
      <c r="T497" s="29">
        <f>HIPERLINK($A$1 &amp; "\Dados\Imagem_perfil_497.png", "Imagem_perfil_497")</f>
        <v/>
      </c>
      <c r="U497" s="29">
        <f>HIPERLINK($A$1 &amp; "\Dados\Results_airgap497.txt", "Results_airgap497")</f>
        <v/>
      </c>
      <c r="V497" s="19" t="n"/>
      <c r="W497" s="15" t="n">
        <v>1.818502826086956</v>
      </c>
      <c r="X497" s="15" t="n">
        <v>0.9542977043125958</v>
      </c>
      <c r="Y497" s="15" t="n">
        <v>0.1890152336198928</v>
      </c>
      <c r="Z497" s="15" t="n">
        <v>0.03918417714241822</v>
      </c>
      <c r="AA497" s="15" t="n">
        <v>0.4713877736341454</v>
      </c>
      <c r="AB497" s="15" t="n">
        <v>0</v>
      </c>
      <c r="AC497" s="15" t="n">
        <v>0.7111303754613334</v>
      </c>
      <c r="AD497" s="15" t="n">
        <v>13.89071387484707</v>
      </c>
      <c r="AE497" s="15" t="n">
        <v>64.05413243234064</v>
      </c>
      <c r="AF497" s="15" t="n">
        <v>109.6646807325035</v>
      </c>
      <c r="AH497" s="29">
        <f>HIPERLINK($A$1 &amp; "\Dados\Magnet_fields.txt_497.txt.txt", "Magnet_fields.txt_497.txt")</f>
        <v/>
      </c>
      <c r="AI497" t="n">
        <v>7957</v>
      </c>
      <c r="AJ497" t="n">
        <v>28</v>
      </c>
      <c r="AK497" s="29">
        <f>HIPERLINK($A$1 &amp; "\Dados\Magnet_3D_results.txt_497.txt.txt", "Magnet_3D_results.txt_497.txt")</f>
        <v/>
      </c>
      <c r="AL497" s="29">
        <f>HIPERLINK($A$1 &amp; "\Dados\Magnet_fields_2D.txt_497.txt.txt", "Magnet_fields_2D.txt_497.txt")</f>
        <v/>
      </c>
    </row>
    <row customHeight="1" ht="15.75" r="498" s="34">
      <c r="D498" s="30" t="n"/>
      <c r="E498" s="15" t="n">
        <v>150</v>
      </c>
      <c r="F498" s="15" t="n">
        <v>200</v>
      </c>
      <c r="G498" s="15" t="n">
        <v>350</v>
      </c>
      <c r="H498" s="15" t="n">
        <v>45</v>
      </c>
      <c r="I498" s="15" t="n">
        <v>140</v>
      </c>
      <c r="J498" s="13" t="n">
        <v>25</v>
      </c>
      <c r="K498" t="n">
        <v>35</v>
      </c>
      <c r="L498" s="13" t="n">
        <v>1.3</v>
      </c>
      <c r="M498" s="12" t="n"/>
      <c r="N498" s="8" t="n">
        <v>1.003320995092276</v>
      </c>
      <c r="O498" s="15" t="n">
        <v>0.7758535680344795</v>
      </c>
      <c r="P498" s="15" t="n">
        <v>0.939857114622175</v>
      </c>
      <c r="Q498" s="15" t="n">
        <v>0.0006297091498802918</v>
      </c>
      <c r="R498" s="15" t="n">
        <v>0.01697282785354664</v>
      </c>
      <c r="S498" s="15" t="n">
        <v>0.001164523072338628</v>
      </c>
      <c r="T498" s="29">
        <f>HIPERLINK($A$1 &amp; "\Dados\Imagem_perfil_498.png", "Imagem_perfil_498")</f>
        <v/>
      </c>
      <c r="U498" s="29">
        <f>HIPERLINK($A$1 &amp; "\Dados\Results_airgap498.txt", "Results_airgap498")</f>
        <v/>
      </c>
      <c r="V498" s="19" t="n"/>
      <c r="W498" s="43" t="n">
        <v>1.275291086956522</v>
      </c>
      <c r="X498" s="15" t="n">
        <v>0.6552961209602489</v>
      </c>
      <c r="Y498" s="15" t="n">
        <v>0.04500056613737178</v>
      </c>
      <c r="Z498" s="15" t="n">
        <v>0.02357028771766905</v>
      </c>
      <c r="AA498" s="15" t="n">
        <v>0.0009290504486853204</v>
      </c>
      <c r="AB498" s="15" t="n">
        <v>0</v>
      </c>
      <c r="AC498" s="15" t="n">
        <v>0</v>
      </c>
      <c r="AD498" s="15" t="n">
        <v>18.16834081949558</v>
      </c>
      <c r="AE498" s="15" t="n">
        <v>61.46922880788544</v>
      </c>
      <c r="AF498" s="15" t="n">
        <v>104.8899013179567</v>
      </c>
      <c r="AH498" s="29">
        <f>HIPERLINK($A$1 &amp; "\Dados\Magnet_fields.txt_498.txt.txt", "Magnet_fields.txt_498.txt")</f>
        <v/>
      </c>
      <c r="AI498" t="n">
        <v>6660</v>
      </c>
      <c r="AJ498" t="n">
        <v>28</v>
      </c>
      <c r="AK498" s="29">
        <f>HIPERLINK($A$1 &amp; "\Dados\Magnet_3D_results.txt_498.txt.txt", "Magnet_3D_results.txt_498.txt")</f>
        <v/>
      </c>
      <c r="AL498" s="29">
        <f>HIPERLINK($A$1 &amp; "\Dados\Magnet_fields_2D.txt_498.txt.txt", "Magnet_fields_2D.txt_498.txt")</f>
        <v/>
      </c>
    </row>
    <row customHeight="1" ht="15.75" r="499" s="34">
      <c r="D499" s="30" t="n"/>
      <c r="E499" s="15" t="n">
        <v>150</v>
      </c>
      <c r="F499" s="15" t="n">
        <v>200</v>
      </c>
      <c r="G499" s="15" t="n">
        <v>350</v>
      </c>
      <c r="H499" s="15" t="n">
        <v>45</v>
      </c>
      <c r="I499" s="15" t="n">
        <v>140</v>
      </c>
      <c r="J499" s="13" t="n">
        <v>25</v>
      </c>
      <c r="K499" t="n">
        <v>35</v>
      </c>
      <c r="L499" s="13" t="n">
        <v>1.5</v>
      </c>
      <c r="M499" s="12" t="n"/>
      <c r="N499" s="8" t="n">
        <v>1.016983460462096</v>
      </c>
      <c r="O499" s="15" t="n">
        <v>0.7862130598916336</v>
      </c>
      <c r="P499" s="15" t="n">
        <v>0.9524055647633664</v>
      </c>
      <c r="Q499" s="15" t="n">
        <v>0.0006343733550284498</v>
      </c>
      <c r="R499" s="15" t="n">
        <v>0.01728309472489465</v>
      </c>
      <c r="S499" s="15" t="n">
        <v>0.001174892456181124</v>
      </c>
      <c r="T499" s="29">
        <f>HIPERLINK($A$1 &amp; "\Dados\Imagem_perfil_499.png", "Imagem_perfil_499")</f>
        <v/>
      </c>
      <c r="U499" s="29">
        <f>HIPERLINK($A$1 &amp; "\Dados\Results_airgap499.txt", "Results_airgap499")</f>
        <v/>
      </c>
      <c r="V499" s="19" t="n"/>
      <c r="W499" s="15" t="n">
        <v>1.295315434782609</v>
      </c>
      <c r="X499" s="15" t="n">
        <v>0.6641680573127889</v>
      </c>
      <c r="Y499" s="15" t="n">
        <v>0.1905541553481866</v>
      </c>
      <c r="Z499" s="15" t="n">
        <v>0.003231524714148253</v>
      </c>
      <c r="AA499" s="15" t="n">
        <v>0</v>
      </c>
      <c r="AB499" s="15" t="n">
        <v>0</v>
      </c>
      <c r="AC499" s="15" t="n">
        <v>2.600787511545709</v>
      </c>
      <c r="AD499" s="15" t="n">
        <v>22.79461152362827</v>
      </c>
      <c r="AE499" s="15" t="n">
        <v>63.56209928142717</v>
      </c>
      <c r="AF499" s="15" t="n">
        <v>105.3196889062204</v>
      </c>
      <c r="AH499" s="29">
        <f>HIPERLINK($A$1 &amp; "\Dados\Magnet_fields.txt_499.txt.txt", "Magnet_fields.txt_499.txt")</f>
        <v/>
      </c>
      <c r="AI499" t="n">
        <v>6660</v>
      </c>
      <c r="AJ499" t="n">
        <v>28</v>
      </c>
      <c r="AK499" s="29">
        <f>HIPERLINK($A$1 &amp; "\Dados\Magnet_3D_results.txt_499.txt.txt", "Magnet_3D_results.txt_499.txt")</f>
        <v/>
      </c>
      <c r="AL499" s="29">
        <f>HIPERLINK($A$1 &amp; "\Dados\Magnet_fields_2D.txt_499.txt.txt", "Magnet_fields_2D.txt_499.txt")</f>
        <v/>
      </c>
    </row>
    <row customHeight="1" ht="15.75" r="500" s="34">
      <c r="D500" s="30" t="n"/>
      <c r="E500" s="15" t="n">
        <v>150</v>
      </c>
      <c r="F500" s="15" t="n">
        <v>200</v>
      </c>
      <c r="G500" s="15" t="n">
        <v>350</v>
      </c>
      <c r="H500" s="15" t="n">
        <v>45</v>
      </c>
      <c r="I500" s="15" t="n">
        <v>140</v>
      </c>
      <c r="J500" s="13" t="n">
        <v>25</v>
      </c>
      <c r="K500" t="n">
        <v>35</v>
      </c>
      <c r="L500" s="13" t="n">
        <v>1.7</v>
      </c>
      <c r="M500" s="12" t="n"/>
      <c r="N500" s="8" t="n">
        <v>1.024831374575379</v>
      </c>
      <c r="O500" s="15" t="n">
        <v>0.7921000745093688</v>
      </c>
      <c r="P500" s="15" t="n">
        <v>0.9596731342136692</v>
      </c>
      <c r="Q500" s="15" t="n">
        <v>0.0006370577765583596</v>
      </c>
      <c r="R500" s="15" t="n">
        <v>0.01742919928377529</v>
      </c>
      <c r="S500" s="15" t="n">
        <v>0.001179966738167245</v>
      </c>
      <c r="T500" s="29">
        <f>HIPERLINK($A$1 &amp; "\Dados\Imagem_perfil_500.png", "Imagem_perfil_500")</f>
        <v/>
      </c>
      <c r="U500" s="29">
        <f>HIPERLINK($A$1 &amp; "\Dados\Results_airgap500.txt", "Results_airgap500")</f>
        <v/>
      </c>
      <c r="V500" s="19" t="n"/>
      <c r="W500" s="15" t="n">
        <v>1.302806956521739</v>
      </c>
      <c r="X500" s="15" t="n">
        <v>0.6692693595508774</v>
      </c>
      <c r="Y500" s="15" t="n">
        <v>0.3800548905323666</v>
      </c>
      <c r="Z500" s="15" t="n">
        <v>0.003231524714148253</v>
      </c>
      <c r="AA500" s="15" t="n">
        <v>0</v>
      </c>
      <c r="AB500" s="15" t="n">
        <v>0</v>
      </c>
      <c r="AC500" s="15" t="n">
        <v>4.278111247847578</v>
      </c>
      <c r="AD500" s="15" t="n">
        <v>24.16161981212007</v>
      </c>
      <c r="AE500" s="15" t="n">
        <v>64.19837464801178</v>
      </c>
      <c r="AF500" s="15" t="n">
        <v>105.444675165944</v>
      </c>
      <c r="AH500" s="29">
        <f>HIPERLINK($A$1 &amp; "\Dados\Magnet_fields.txt_500.txt.txt", "Magnet_fields.txt_500.txt")</f>
        <v/>
      </c>
      <c r="AI500" t="n">
        <v>6660</v>
      </c>
      <c r="AJ500" t="n">
        <v>28</v>
      </c>
      <c r="AK500" s="29">
        <f>HIPERLINK($A$1 &amp; "\Dados\Magnet_3D_results.txt_500.txt.txt", "Magnet_3D_results.txt_500.txt")</f>
        <v/>
      </c>
      <c r="AL500" s="29">
        <f>HIPERLINK($A$1 &amp; "\Dados\Magnet_fields_2D.txt_500.txt.txt", "Magnet_fields_2D.txt_500.txt")</f>
        <v/>
      </c>
    </row>
    <row customHeight="1" ht="15.75" r="501" s="34">
      <c r="D501" s="30" t="n"/>
      <c r="E501" s="15" t="n">
        <v>150</v>
      </c>
      <c r="F501" s="15" t="n">
        <v>200</v>
      </c>
      <c r="G501" s="15" t="n">
        <v>350</v>
      </c>
      <c r="H501" s="15" t="n">
        <v>45</v>
      </c>
      <c r="I501" s="15" t="n">
        <v>140</v>
      </c>
      <c r="J501" s="13" t="n">
        <v>25</v>
      </c>
      <c r="K501" t="n">
        <v>35</v>
      </c>
      <c r="L501" s="13" t="n">
        <v>1.9</v>
      </c>
      <c r="M501" s="12" t="n"/>
      <c r="N501" s="8" t="n">
        <v>1.026419181325586</v>
      </c>
      <c r="O501" s="15" t="n">
        <v>0.7932844466966581</v>
      </c>
      <c r="P501" s="15" t="n">
        <v>0.9612102075871137</v>
      </c>
      <c r="Q501" s="15" t="n">
        <v>0.0006376893994858604</v>
      </c>
      <c r="R501" s="15" t="n">
        <v>0.01744711068919906</v>
      </c>
      <c r="S501" s="15" t="n">
        <v>0.00118081864594282</v>
      </c>
      <c r="T501" s="29">
        <f>HIPERLINK($A$1 &amp; "\Dados\Imagem_perfil_501.png", "Imagem_perfil_501")</f>
        <v/>
      </c>
      <c r="U501" s="29">
        <f>HIPERLINK($A$1 &amp; "\Dados\Results_airgap501.txt", "Results_airgap501")</f>
        <v/>
      </c>
      <c r="V501" s="19" t="n"/>
      <c r="W501" s="15" t="n">
        <v>1.30638</v>
      </c>
      <c r="X501" s="15" t="n">
        <v>0.670328483459626</v>
      </c>
      <c r="Y501" s="15" t="n">
        <v>0.5781642166984383</v>
      </c>
      <c r="Z501" s="15" t="n">
        <v>0.003231524714148253</v>
      </c>
      <c r="AA501" s="15" t="n">
        <v>0</v>
      </c>
      <c r="AB501" s="15" t="n">
        <v>0.2313695923022903</v>
      </c>
      <c r="AC501" s="15" t="n">
        <v>5.048931736424456</v>
      </c>
      <c r="AD501" s="15" t="n">
        <v>24.79308644702132</v>
      </c>
      <c r="AE501" s="15" t="n">
        <v>64.55367235166899</v>
      </c>
      <c r="AF501" s="15" t="n">
        <v>105.4837557313902</v>
      </c>
      <c r="AH501" s="29">
        <f>HIPERLINK($A$1 &amp; "\Dados\Magnet_fields.txt_501.txt.txt", "Magnet_fields.txt_501.txt")</f>
        <v/>
      </c>
      <c r="AI501" t="n">
        <v>6660</v>
      </c>
      <c r="AJ501" t="n">
        <v>28</v>
      </c>
      <c r="AK501" s="29">
        <f>HIPERLINK($A$1 &amp; "\Dados\Magnet_3D_results.txt_501.txt.txt", "Magnet_3D_results.txt_501.txt")</f>
        <v/>
      </c>
      <c r="AL501" s="29">
        <f>HIPERLINK($A$1 &amp; "\Dados\Magnet_fields_2D.txt_501.txt.txt", "Magnet_fields_2D.txt_501.txt")</f>
        <v/>
      </c>
    </row>
    <row customHeight="1" ht="15.75" r="502" s="34">
      <c r="D502" s="30" t="n"/>
      <c r="E502" s="15" t="n">
        <v>150</v>
      </c>
      <c r="F502" s="15" t="n">
        <v>200</v>
      </c>
      <c r="G502" s="15" t="n">
        <v>350</v>
      </c>
      <c r="H502" s="15" t="n">
        <v>45</v>
      </c>
      <c r="I502" s="15" t="n">
        <v>140</v>
      </c>
      <c r="J502" s="13" t="n">
        <v>25</v>
      </c>
      <c r="K502" t="n">
        <v>35</v>
      </c>
      <c r="L502" s="13" t="n">
        <v>2.1</v>
      </c>
      <c r="M502" s="12" t="n"/>
      <c r="N502" s="8" t="n">
        <v>1.028210076551606</v>
      </c>
      <c r="O502" s="15" t="n">
        <v>0.7945539877984169</v>
      </c>
      <c r="P502" s="15" t="n">
        <v>0.9627657651974126</v>
      </c>
      <c r="Q502" s="15" t="n">
        <v>0.0006382539327956961</v>
      </c>
      <c r="R502" s="15" t="n">
        <v>0.01747844997328236</v>
      </c>
      <c r="S502" s="15" t="n">
        <v>0.001181872078574031</v>
      </c>
      <c r="T502" s="29">
        <f>HIPERLINK($A$1 &amp; "\Dados\Imagem_perfil_502.png", "Imagem_perfil_502")</f>
        <v/>
      </c>
      <c r="U502" s="29">
        <f>HIPERLINK($A$1 &amp; "\Dados\Results_airgap502.txt", "Results_airgap502")</f>
        <v/>
      </c>
      <c r="V502" s="19" t="n"/>
      <c r="W502" s="15" t="n">
        <v>1.308676956521739</v>
      </c>
      <c r="X502" s="15" t="n">
        <v>0.6714243835930367</v>
      </c>
      <c r="Y502" s="15" t="n">
        <v>0.7699895351417168</v>
      </c>
      <c r="Z502" s="15" t="n">
        <v>0.003231524714148253</v>
      </c>
      <c r="AA502" s="15" t="n">
        <v>0</v>
      </c>
      <c r="AB502" s="15" t="n">
        <v>0.4924389427506877</v>
      </c>
      <c r="AC502" s="15" t="n">
        <v>5.579882547931134</v>
      </c>
      <c r="AD502" s="15" t="n">
        <v>25.18117072114747</v>
      </c>
      <c r="AE502" s="15" t="n">
        <v>64.68222327736113</v>
      </c>
      <c r="AF502" s="15" t="n">
        <v>105.5733921357486</v>
      </c>
      <c r="AH502" s="29">
        <f>HIPERLINK($A$1 &amp; "\Dados\Magnet_fields.txt_502.txt.txt", "Magnet_fields.txt_502.txt")</f>
        <v/>
      </c>
      <c r="AI502" t="n">
        <v>6660</v>
      </c>
      <c r="AJ502" t="n">
        <v>28</v>
      </c>
      <c r="AK502" s="29">
        <f>HIPERLINK($A$1 &amp; "\Dados\Magnet_3D_results.txt_502.txt.txt", "Magnet_3D_results.txt_502.txt")</f>
        <v/>
      </c>
      <c r="AL502" s="29">
        <f>HIPERLINK($A$1 &amp; "\Dados\Magnet_fields_2D.txt_502.txt.txt", "Magnet_fields_2D.txt_502.txt")</f>
        <v/>
      </c>
    </row>
    <row customHeight="1" ht="15.75" r="503" s="34">
      <c r="D503" s="30" t="n"/>
      <c r="E503" s="15" t="n">
        <v>150</v>
      </c>
      <c r="F503" s="15" t="n">
        <v>200</v>
      </c>
      <c r="G503" s="15" t="n">
        <v>350</v>
      </c>
      <c r="H503" s="15" t="n">
        <v>25</v>
      </c>
      <c r="I503" s="15" t="n">
        <v>180</v>
      </c>
      <c r="J503" s="13" t="n">
        <v>25</v>
      </c>
      <c r="K503" t="n">
        <v>35</v>
      </c>
      <c r="L503" s="13" t="n">
        <v>1.3</v>
      </c>
      <c r="M503" s="12" t="n"/>
      <c r="N503" s="8" t="n">
        <v>1.065850424369502</v>
      </c>
      <c r="O503" s="15" t="n">
        <v>0.932631513447395</v>
      </c>
      <c r="P503" s="15" t="n">
        <v>1.028982440841905</v>
      </c>
      <c r="Q503" s="15" t="n">
        <v>0.0006463106863397773</v>
      </c>
      <c r="R503" s="15" t="n">
        <v>0.013806972852492</v>
      </c>
      <c r="S503" s="15" t="n">
        <v>0.0006792348216966169</v>
      </c>
      <c r="T503" s="29">
        <f>HIPERLINK($A$1 &amp; "\Dados\Imagem_perfil_503.png", "Imagem_perfil_503")</f>
        <v/>
      </c>
      <c r="U503" s="29">
        <f>HIPERLINK($A$1 &amp; "\Dados\Results_airgap503.txt", "Results_airgap503")</f>
        <v/>
      </c>
      <c r="V503" s="19" t="n"/>
      <c r="W503" s="43" t="n">
        <v>1.275152826086957</v>
      </c>
      <c r="X503" s="15" t="n">
        <v>0.6559404489700352</v>
      </c>
      <c r="Y503" s="15" t="n">
        <v>0.04508140097492316</v>
      </c>
      <c r="Z503" s="15" t="n">
        <v>0.09979221392540404</v>
      </c>
      <c r="AA503" s="15" t="n">
        <v>5.350002604530624</v>
      </c>
      <c r="AB503" s="15" t="n">
        <v>0</v>
      </c>
      <c r="AC503" s="15" t="n">
        <v>0</v>
      </c>
      <c r="AD503" s="15" t="n">
        <v>18.18256077624356</v>
      </c>
      <c r="AE503" s="15" t="n">
        <v>61.47236243511415</v>
      </c>
      <c r="AF503" s="15" t="n">
        <v>104.8960963100258</v>
      </c>
      <c r="AH503" s="29">
        <f>HIPERLINK($A$1 &amp; "\Dados\Magnet_fields.txt_503.txt.txt", "Magnet_fields.txt_503.txt")</f>
        <v/>
      </c>
      <c r="AI503" t="n">
        <v>9041</v>
      </c>
      <c r="AJ503" t="n">
        <v>29</v>
      </c>
      <c r="AK503" s="29">
        <f>HIPERLINK($A$1 &amp; "\Dados\Magnet_3D_results.txt_503.txt.txt", "Magnet_3D_results.txt_503.txt")</f>
        <v/>
      </c>
      <c r="AL503" s="29">
        <f>HIPERLINK($A$1 &amp; "\Dados\Magnet_fields_2D.txt_503.txt.txt", "Magnet_fields_2D.txt_503.txt")</f>
        <v/>
      </c>
    </row>
    <row customHeight="1" ht="15.75" r="504" s="34">
      <c r="D504" s="30" t="n"/>
      <c r="E504" s="15" t="n">
        <v>150</v>
      </c>
      <c r="F504" s="15" t="n">
        <v>200</v>
      </c>
      <c r="G504" s="15" t="n">
        <v>350</v>
      </c>
      <c r="H504" s="15" t="n">
        <v>25</v>
      </c>
      <c r="I504" s="15" t="n">
        <v>180</v>
      </c>
      <c r="J504" s="13" t="n">
        <v>25</v>
      </c>
      <c r="K504" t="n">
        <v>35</v>
      </c>
      <c r="L504" s="13" t="n">
        <v>1.5</v>
      </c>
      <c r="M504" s="12" t="n"/>
      <c r="N504" s="8" t="n">
        <v>1.083609343149579</v>
      </c>
      <c r="O504" s="15" t="n">
        <v>0.9477302306492851</v>
      </c>
      <c r="P504" s="15" t="n">
        <v>1.045556240803028</v>
      </c>
      <c r="Q504" s="15" t="n">
        <v>0.0006553592360942431</v>
      </c>
      <c r="R504" s="15" t="n">
        <v>0.01453753051001128</v>
      </c>
      <c r="S504" s="15" t="n">
        <v>0.0006894887806943682</v>
      </c>
      <c r="T504" s="29">
        <f>HIPERLINK($A$1 &amp; "\Dados\Imagem_perfil_504.png", "Imagem_perfil_504")</f>
        <v/>
      </c>
      <c r="U504" s="29">
        <f>HIPERLINK($A$1 &amp; "\Dados\Results_airgap504.txt", "Results_airgap504")</f>
        <v/>
      </c>
      <c r="V504" s="19" t="n"/>
      <c r="W504" s="15" t="n">
        <v>1.295280217391305</v>
      </c>
      <c r="X504" s="15" t="n">
        <v>0.6672836186940259</v>
      </c>
      <c r="Y504" s="15" t="n">
        <v>0.190710324457063</v>
      </c>
      <c r="Z504" s="15" t="n">
        <v>0.0623556650725267</v>
      </c>
      <c r="AA504" s="15" t="n">
        <v>4.526279481796705</v>
      </c>
      <c r="AB504" s="15" t="n">
        <v>0</v>
      </c>
      <c r="AC504" s="15" t="n">
        <v>2.603954848907662</v>
      </c>
      <c r="AD504" s="15" t="n">
        <v>22.83310154036539</v>
      </c>
      <c r="AE504" s="15" t="n">
        <v>63.59860244794819</v>
      </c>
      <c r="AF504" s="15" t="n">
        <v>105.3471391516358</v>
      </c>
      <c r="AH504" s="29">
        <f>HIPERLINK($A$1 &amp; "\Dados\Magnet_fields.txt_504.txt.txt", "Magnet_fields.txt_504.txt")</f>
        <v/>
      </c>
      <c r="AI504" t="n">
        <v>9041</v>
      </c>
      <c r="AJ504" t="n">
        <v>29</v>
      </c>
      <c r="AK504" s="29">
        <f>HIPERLINK($A$1 &amp; "\Dados\Magnet_3D_results.txt_504.txt.txt", "Magnet_3D_results.txt_504.txt")</f>
        <v/>
      </c>
      <c r="AL504" s="29">
        <f>HIPERLINK($A$1 &amp; "\Dados\Magnet_fields_2D.txt_504.txt.txt", "Magnet_fields_2D.txt_504.txt")</f>
        <v/>
      </c>
    </row>
    <row customHeight="1" ht="15.75" r="505" s="34">
      <c r="D505" s="30" t="n"/>
      <c r="E505" s="15" t="n">
        <v>150</v>
      </c>
      <c r="F505" s="15" t="n">
        <v>200</v>
      </c>
      <c r="G505" s="15" t="n">
        <v>350</v>
      </c>
      <c r="H505" s="15" t="n">
        <v>25</v>
      </c>
      <c r="I505" s="15" t="n">
        <v>180</v>
      </c>
      <c r="J505" s="13" t="n">
        <v>25</v>
      </c>
      <c r="K505" t="n">
        <v>35</v>
      </c>
      <c r="L505" s="13" t="n">
        <v>1.7</v>
      </c>
      <c r="M505" s="12" t="n"/>
      <c r="N505" s="8" t="n">
        <v>1.093578662732838</v>
      </c>
      <c r="O505" s="15" t="n">
        <v>0.9562128086296922</v>
      </c>
      <c r="P505" s="15" t="n">
        <v>1.054947388506364</v>
      </c>
      <c r="Q505" s="15" t="n">
        <v>0.0006603030354278242</v>
      </c>
      <c r="R505" s="15" t="n">
        <v>0.01488912704637336</v>
      </c>
      <c r="S505" s="15" t="n">
        <v>0.0006949435927890129</v>
      </c>
      <c r="T505" s="29">
        <f>HIPERLINK($A$1 &amp; "\Dados\Imagem_perfil_505.png", "Imagem_perfil_505")</f>
        <v/>
      </c>
      <c r="U505" s="29">
        <f>HIPERLINK($A$1 &amp; "\Dados\Results_airgap505.txt", "Results_airgap505")</f>
        <v/>
      </c>
      <c r="V505" s="19" t="n"/>
      <c r="W505" s="15" t="n">
        <v>1.302775</v>
      </c>
      <c r="X505" s="15" t="n">
        <v>0.6736329358440543</v>
      </c>
      <c r="Y505" s="15" t="n">
        <v>0.3802510948759496</v>
      </c>
      <c r="Z505" s="15" t="n">
        <v>0.05516820045177405</v>
      </c>
      <c r="AA505" s="15" t="n">
        <v>4.097216924221936</v>
      </c>
      <c r="AB505" s="15" t="n">
        <v>0</v>
      </c>
      <c r="AC505" s="15" t="n">
        <v>4.320452814938117</v>
      </c>
      <c r="AD505" s="15" t="n">
        <v>24.17031836746978</v>
      </c>
      <c r="AE505" s="15" t="n">
        <v>64.21870985524565</v>
      </c>
      <c r="AF505" s="15" t="n">
        <v>105.471083057175</v>
      </c>
      <c r="AH505" s="29">
        <f>HIPERLINK($A$1 &amp; "\Dados\Magnet_fields.txt_505.txt.txt", "Magnet_fields.txt_505.txt")</f>
        <v/>
      </c>
      <c r="AI505" t="n">
        <v>9041</v>
      </c>
      <c r="AJ505" t="n">
        <v>29</v>
      </c>
      <c r="AK505" s="29">
        <f>HIPERLINK($A$1 &amp; "\Dados\Magnet_3D_results.txt_505.txt.txt", "Magnet_3D_results.txt_505.txt")</f>
        <v/>
      </c>
      <c r="AL505" s="29">
        <f>HIPERLINK($A$1 &amp; "\Dados\Magnet_fields_2D.txt_505.txt.txt", "Magnet_fields_2D.txt_505.txt")</f>
        <v/>
      </c>
    </row>
    <row customHeight="1" ht="15.75" r="506" s="34">
      <c r="D506" s="30" t="n"/>
      <c r="E506" s="15" t="n">
        <v>150</v>
      </c>
      <c r="F506" s="15" t="n">
        <v>200</v>
      </c>
      <c r="G506" s="15" t="n">
        <v>350</v>
      </c>
      <c r="H506" s="15" t="n">
        <v>25</v>
      </c>
      <c r="I506" s="15" t="n">
        <v>180</v>
      </c>
      <c r="J506" s="13" t="n">
        <v>25</v>
      </c>
      <c r="K506" t="n">
        <v>35</v>
      </c>
      <c r="L506" s="13" t="n">
        <v>1.9</v>
      </c>
      <c r="M506" s="12" t="n"/>
      <c r="N506" s="8" t="n">
        <v>1.095360321253793</v>
      </c>
      <c r="O506" s="15" t="n">
        <v>0.9577725549866719</v>
      </c>
      <c r="P506" s="15" t="n">
        <v>1.056728484115317</v>
      </c>
      <c r="Q506" s="15" t="n">
        <v>0.0006611076008752758</v>
      </c>
      <c r="R506" s="15" t="n">
        <v>0.01491875204408757</v>
      </c>
      <c r="S506" s="15" t="n">
        <v>0.00069575367507197</v>
      </c>
      <c r="T506" s="29">
        <f>HIPERLINK($A$1 &amp; "\Dados\Imagem_perfil_506.png", "Imagem_perfil_506")</f>
        <v/>
      </c>
      <c r="U506" s="29">
        <f>HIPERLINK($A$1 &amp; "\Dados\Results_airgap506.txt", "Results_airgap506")</f>
        <v/>
      </c>
      <c r="V506" s="19" t="n"/>
      <c r="W506" s="15" t="n">
        <v>1.306582391304348</v>
      </c>
      <c r="X506" s="15" t="n">
        <v>0.6747715326505257</v>
      </c>
      <c r="Y506" s="15" t="n">
        <v>0.5783807464395407</v>
      </c>
      <c r="Z506" s="15" t="n">
        <v>0.05516820045177405</v>
      </c>
      <c r="AA506" s="15" t="n">
        <v>4.091744700889588</v>
      </c>
      <c r="AB506" s="15" t="n">
        <v>0.2729365605169204</v>
      </c>
      <c r="AC506" s="15" t="n">
        <v>5.190426885590867</v>
      </c>
      <c r="AD506" s="15" t="n">
        <v>24.81739762441246</v>
      </c>
      <c r="AE506" s="15" t="n">
        <v>64.5230195303956</v>
      </c>
      <c r="AF506" s="15" t="n">
        <v>105.5443846240522</v>
      </c>
      <c r="AH506" s="29">
        <f>HIPERLINK($A$1 &amp; "\Dados\Magnet_fields.txt_506.txt.txt", "Magnet_fields.txt_506.txt")</f>
        <v/>
      </c>
      <c r="AI506" t="n">
        <v>9041</v>
      </c>
      <c r="AJ506" t="n">
        <v>29</v>
      </c>
      <c r="AK506" s="29">
        <f>HIPERLINK($A$1 &amp; "\Dados\Magnet_3D_results.txt_506.txt.txt", "Magnet_3D_results.txt_506.txt")</f>
        <v/>
      </c>
      <c r="AL506" s="29">
        <f>HIPERLINK($A$1 &amp; "\Dados\Magnet_fields_2D.txt_506.txt.txt", "Magnet_fields_2D.txt_506.txt")</f>
        <v/>
      </c>
    </row>
    <row customHeight="1" ht="15.75" r="507" s="34">
      <c r="D507" s="30" t="n"/>
      <c r="E507" s="15" t="n">
        <v>150</v>
      </c>
      <c r="F507" s="15" t="n">
        <v>200</v>
      </c>
      <c r="G507" s="15" t="n">
        <v>350</v>
      </c>
      <c r="H507" s="15" t="n">
        <v>25</v>
      </c>
      <c r="I507" s="15" t="n">
        <v>180</v>
      </c>
      <c r="J507" s="13" t="n">
        <v>25</v>
      </c>
      <c r="K507" t="n">
        <v>35</v>
      </c>
      <c r="L507" s="13" t="n">
        <v>2.1</v>
      </c>
      <c r="M507" s="12" t="n"/>
      <c r="N507" s="8" t="n">
        <v>1.097721566461419</v>
      </c>
      <c r="O507" s="15" t="n">
        <v>0.9596695903550393</v>
      </c>
      <c r="P507" s="15" t="n">
        <v>1.058792622558325</v>
      </c>
      <c r="Q507" s="15" t="n">
        <v>0.0006622521434768961</v>
      </c>
      <c r="R507" s="15" t="n">
        <v>0.01500118307444276</v>
      </c>
      <c r="S507" s="15" t="n">
        <v>0.0006970205182347425</v>
      </c>
      <c r="T507" s="29">
        <f>HIPERLINK($A$1 &amp; "\Dados\Imagem_perfil_507.png", "Imagem_perfil_507")</f>
        <v/>
      </c>
      <c r="U507" s="29">
        <f>HIPERLINK($A$1 &amp; "\Dados\Results_airgap507.txt", "Results_airgap507")</f>
        <v/>
      </c>
      <c r="V507" s="19" t="n"/>
      <c r="W507" s="15" t="n">
        <v>1.308544565217392</v>
      </c>
      <c r="X507" s="15" t="n">
        <v>0.6761952655450614</v>
      </c>
      <c r="Y507" s="15" t="n">
        <v>0.7702158918981618</v>
      </c>
      <c r="Z507" s="15" t="n">
        <v>0.04529646031698263</v>
      </c>
      <c r="AA507" s="15" t="n">
        <v>3.937245337470929</v>
      </c>
      <c r="AB507" s="15" t="n">
        <v>0.461209910101</v>
      </c>
      <c r="AC507" s="15" t="n">
        <v>5.586618328353863</v>
      </c>
      <c r="AD507" s="15" t="n">
        <v>25.19346379465845</v>
      </c>
      <c r="AE507" s="15" t="n">
        <v>64.70051684536</v>
      </c>
      <c r="AF507" s="15" t="n">
        <v>105.5865531276273</v>
      </c>
      <c r="AH507" s="29">
        <f>HIPERLINK($A$1 &amp; "\Dados\Magnet_fields.txt_507.txt.txt", "Magnet_fields.txt_507.txt")</f>
        <v/>
      </c>
      <c r="AI507" t="n">
        <v>9041</v>
      </c>
      <c r="AJ507" t="n">
        <v>29</v>
      </c>
      <c r="AK507" s="29">
        <f>HIPERLINK($A$1 &amp; "\Dados\Magnet_3D_results.txt_507.txt.txt", "Magnet_3D_results.txt_507.txt")</f>
        <v/>
      </c>
      <c r="AL507" s="29">
        <f>HIPERLINK($A$1 &amp; "\Dados\Magnet_fields_2D.txt_507.txt.txt", "Magnet_fields_2D.txt_507.txt")</f>
        <v/>
      </c>
    </row>
    <row customHeight="1" ht="15.75" r="508" s="34">
      <c r="D508" s="30" t="n"/>
      <c r="E508" s="15" t="n">
        <v>150</v>
      </c>
      <c r="F508" s="15" t="n">
        <v>200</v>
      </c>
      <c r="G508" s="15" t="n">
        <v>350</v>
      </c>
      <c r="H508" s="15" t="n">
        <v>45</v>
      </c>
      <c r="I508" s="15" t="n">
        <v>180</v>
      </c>
      <c r="J508" s="13" t="n">
        <v>25</v>
      </c>
      <c r="K508" t="n">
        <v>35</v>
      </c>
      <c r="L508" s="13" t="n">
        <v>1.3</v>
      </c>
      <c r="M508" s="12" t="n"/>
      <c r="N508" s="8" t="n">
        <v>1.089771547476859</v>
      </c>
      <c r="O508" s="15" t="n">
        <v>0.9558903670581818</v>
      </c>
      <c r="P508" s="15" t="n">
        <v>1.052567397647475</v>
      </c>
      <c r="Q508" s="15" t="n">
        <v>0.0006523494185987472</v>
      </c>
      <c r="R508" s="15" t="n">
        <v>0.01759397420986904</v>
      </c>
      <c r="S508" s="15" t="n">
        <v>0.0007007461774860877</v>
      </c>
      <c r="T508" s="29">
        <f>HIPERLINK($A$1 &amp; "\Dados\Imagem_perfil_508.png", "Imagem_perfil_508")</f>
        <v/>
      </c>
      <c r="U508" s="29">
        <f>HIPERLINK($A$1 &amp; "\Dados\Results_airgap508.txt", "Results_airgap508")</f>
        <v/>
      </c>
      <c r="V508" s="19" t="n"/>
      <c r="W508" s="43" t="n">
        <v>1.275271086956522</v>
      </c>
      <c r="X508" s="15" t="n">
        <v>0.6776918243446692</v>
      </c>
      <c r="Y508" s="15" t="n">
        <v>0.04500065530966479</v>
      </c>
      <c r="Z508" s="15" t="n">
        <v>0.1259184481688084</v>
      </c>
      <c r="AA508" s="15" t="n">
        <v>0.01615198735699871</v>
      </c>
      <c r="AB508" s="15" t="n">
        <v>0</v>
      </c>
      <c r="AC508" s="15" t="n">
        <v>0</v>
      </c>
      <c r="AD508" s="15" t="n">
        <v>18.16929552703647</v>
      </c>
      <c r="AE508" s="15" t="n">
        <v>61.45160093398447</v>
      </c>
      <c r="AF508" s="15" t="n">
        <v>104.8783578519264</v>
      </c>
      <c r="AH508" s="29">
        <f>HIPERLINK($A$1 &amp; "\Dados\Magnet_fields.txt_508.txt.txt", "Magnet_fields.txt_508.txt")</f>
        <v/>
      </c>
      <c r="AI508" t="n">
        <v>6434</v>
      </c>
      <c r="AJ508" t="n">
        <v>28</v>
      </c>
      <c r="AK508" s="29">
        <f>HIPERLINK($A$1 &amp; "\Dados\Magnet_3D_results.txt_508.txt.txt", "Magnet_3D_results.txt_508.txt")</f>
        <v/>
      </c>
      <c r="AL508" s="29">
        <f>HIPERLINK($A$1 &amp; "\Dados\Magnet_fields_2D.txt_508.txt.txt", "Magnet_fields_2D.txt_508.txt")</f>
        <v/>
      </c>
    </row>
    <row customHeight="1" ht="15.75" r="509" s="34">
      <c r="D509" s="30" t="n"/>
      <c r="E509" s="15" t="n">
        <v>150</v>
      </c>
      <c r="F509" s="15" t="n">
        <v>200</v>
      </c>
      <c r="G509" s="15" t="n">
        <v>350</v>
      </c>
      <c r="H509" s="15" t="n">
        <v>45</v>
      </c>
      <c r="I509" s="15" t="n">
        <v>180</v>
      </c>
      <c r="J509" s="13" t="n">
        <v>25</v>
      </c>
      <c r="K509" t="n">
        <v>35</v>
      </c>
      <c r="L509" s="13" t="n">
        <v>1.5</v>
      </c>
      <c r="M509" s="12" t="n"/>
      <c r="N509" s="8" t="n">
        <v>1.105026728995813</v>
      </c>
      <c r="O509" s="15" t="n">
        <v>0.9685753836479652</v>
      </c>
      <c r="P509" s="15" t="n">
        <v>1.066667400939704</v>
      </c>
      <c r="Q509" s="15" t="n">
        <v>0.0006569532839510926</v>
      </c>
      <c r="R509" s="15" t="n">
        <v>0.01791837835427682</v>
      </c>
      <c r="S509" s="15" t="n">
        <v>0.0007055869839407617</v>
      </c>
      <c r="T509" s="29">
        <f>HIPERLINK($A$1 &amp; "\Dados\Imagem_perfil_509.png", "Imagem_perfil_509")</f>
        <v/>
      </c>
      <c r="U509" s="29">
        <f>HIPERLINK($A$1 &amp; "\Dados\Results_airgap509.txt", "Results_airgap509")</f>
        <v/>
      </c>
      <c r="V509" s="19" t="n"/>
      <c r="W509" s="15" t="n">
        <v>1.295209347826087</v>
      </c>
      <c r="X509" s="15" t="n">
        <v>0.6870379169195148</v>
      </c>
      <c r="Y509" s="15" t="n">
        <v>0.1905546624993623</v>
      </c>
      <c r="Z509" s="15" t="n">
        <v>0.08268341610769513</v>
      </c>
      <c r="AA509" s="15" t="n">
        <v>0.003808894370869137</v>
      </c>
      <c r="AB509" s="15" t="n">
        <v>0</v>
      </c>
      <c r="AC509" s="15" t="n">
        <v>2.597018203906464</v>
      </c>
      <c r="AD509" s="15" t="n">
        <v>22.77888650829313</v>
      </c>
      <c r="AE509" s="15" t="n">
        <v>63.4977098872696</v>
      </c>
      <c r="AF509" s="15" t="n">
        <v>105.3390365554677</v>
      </c>
      <c r="AH509" s="29">
        <f>HIPERLINK($A$1 &amp; "\Dados\Magnet_fields.txt_509.txt.txt", "Magnet_fields.txt_509.txt")</f>
        <v/>
      </c>
      <c r="AI509" t="n">
        <v>6434</v>
      </c>
      <c r="AJ509" t="n">
        <v>28</v>
      </c>
      <c r="AK509" s="29">
        <f>HIPERLINK($A$1 &amp; "\Dados\Magnet_3D_results.txt_509.txt.txt", "Magnet_3D_results.txt_509.txt")</f>
        <v/>
      </c>
      <c r="AL509" s="29">
        <f>HIPERLINK($A$1 &amp; "\Dados\Magnet_fields_2D.txt_509.txt.txt", "Magnet_fields_2D.txt_509.txt")</f>
        <v/>
      </c>
    </row>
    <row customHeight="1" ht="15.75" r="510" s="34">
      <c r="D510" s="30" t="n"/>
      <c r="E510" s="15" t="n">
        <v>150</v>
      </c>
      <c r="F510" s="15" t="n">
        <v>200</v>
      </c>
      <c r="G510" s="15" t="n">
        <v>350</v>
      </c>
      <c r="H510" s="15" t="n">
        <v>45</v>
      </c>
      <c r="I510" s="15" t="n">
        <v>180</v>
      </c>
      <c r="J510" s="13" t="n">
        <v>25</v>
      </c>
      <c r="K510" t="n">
        <v>35</v>
      </c>
      <c r="L510" s="13" t="n">
        <v>1.7</v>
      </c>
      <c r="M510" s="12" t="n"/>
      <c r="N510" s="8" t="n">
        <v>1.113725611808944</v>
      </c>
      <c r="O510" s="15" t="n">
        <v>0.9758345664713243</v>
      </c>
      <c r="P510" s="15" t="n">
        <v>1.074803313568653</v>
      </c>
      <c r="Q510" s="15" t="n">
        <v>0.0006596690306954283</v>
      </c>
      <c r="R510" s="15" t="n">
        <v>0.01807065210074005</v>
      </c>
      <c r="S510" s="15" t="n">
        <v>0.0007083390211723062</v>
      </c>
      <c r="T510" s="29">
        <f>HIPERLINK($A$1 &amp; "\Dados\Imagem_perfil_510.png", "Imagem_perfil_510")</f>
        <v/>
      </c>
      <c r="U510" s="29">
        <f>HIPERLINK($A$1 &amp; "\Dados\Results_airgap510.txt", "Results_airgap510")</f>
        <v/>
      </c>
      <c r="V510" s="19" t="n"/>
      <c r="W510" s="15" t="n">
        <v>1.302850652173913</v>
      </c>
      <c r="X510" s="15" t="n">
        <v>0.692345179269683</v>
      </c>
      <c r="Y510" s="15" t="n">
        <v>0.3800549121793121</v>
      </c>
      <c r="Z510" s="15" t="n">
        <v>0.06954865305292296</v>
      </c>
      <c r="AA510" s="15" t="n">
        <v>0.003808894370869137</v>
      </c>
      <c r="AB510" s="15" t="n">
        <v>0</v>
      </c>
      <c r="AC510" s="15" t="n">
        <v>4.297575401538434</v>
      </c>
      <c r="AD510" s="15" t="n">
        <v>24.16602979344838</v>
      </c>
      <c r="AE510" s="15" t="n">
        <v>64.19064615254783</v>
      </c>
      <c r="AF510" s="15" t="n">
        <v>105.4342916144875</v>
      </c>
      <c r="AH510" s="29">
        <f>HIPERLINK($A$1 &amp; "\Dados\Magnet_fields.txt_510.txt.txt", "Magnet_fields.txt_510.txt")</f>
        <v/>
      </c>
      <c r="AI510" t="n">
        <v>6434</v>
      </c>
      <c r="AJ510" t="n">
        <v>28</v>
      </c>
      <c r="AK510" s="29">
        <f>HIPERLINK($A$1 &amp; "\Dados\Magnet_3D_results.txt_510.txt.txt", "Magnet_3D_results.txt_510.txt")</f>
        <v/>
      </c>
      <c r="AL510" s="29">
        <f>HIPERLINK($A$1 &amp; "\Dados\Magnet_fields_2D.txt_510.txt.txt", "Magnet_fields_2D.txt_510.txt")</f>
        <v/>
      </c>
    </row>
    <row customHeight="1" ht="15.75" r="511" s="34">
      <c r="D511" s="30" t="n"/>
      <c r="E511" s="15" t="n">
        <v>150</v>
      </c>
      <c r="F511" s="15" t="n">
        <v>200</v>
      </c>
      <c r="G511" s="15" t="n">
        <v>350</v>
      </c>
      <c r="H511" s="15" t="n">
        <v>45</v>
      </c>
      <c r="I511" s="15" t="n">
        <v>180</v>
      </c>
      <c r="J511" s="13" t="n">
        <v>25</v>
      </c>
      <c r="K511" t="n">
        <v>35</v>
      </c>
      <c r="L511" s="13" t="n">
        <v>1.9</v>
      </c>
      <c r="M511" s="12" t="n"/>
      <c r="N511" s="8" t="n">
        <v>1.115430904177562</v>
      </c>
      <c r="O511" s="15" t="n">
        <v>0.9773211373612427</v>
      </c>
      <c r="P511" s="15" t="n">
        <v>1.076508508210023</v>
      </c>
      <c r="Q511" s="15" t="n">
        <v>0.0006603280852678195</v>
      </c>
      <c r="R511" s="15" t="n">
        <v>0.01808977973023037</v>
      </c>
      <c r="S511" s="15" t="n">
        <v>0.0007089778310807894</v>
      </c>
      <c r="T511" s="29">
        <f>HIPERLINK($A$1 &amp; "\Dados\Imagem_perfil_511.png", "Imagem_perfil_511")</f>
        <v/>
      </c>
      <c r="U511" s="29">
        <f>HIPERLINK($A$1 &amp; "\Dados\Results_airgap511.txt", "Results_airgap511")</f>
        <v/>
      </c>
      <c r="V511" s="19" t="n"/>
      <c r="W511" s="15" t="n">
        <v>1.306553913043478</v>
      </c>
      <c r="X511" s="15" t="n">
        <v>0.6934013583451079</v>
      </c>
      <c r="Y511" s="15" t="n">
        <v>0.5781636471321915</v>
      </c>
      <c r="Z511" s="15" t="n">
        <v>0.06954865305292296</v>
      </c>
      <c r="AA511" s="15" t="n">
        <v>0.003808894370869137</v>
      </c>
      <c r="AB511" s="15" t="n">
        <v>0.2672146837807997</v>
      </c>
      <c r="AC511" s="15" t="n">
        <v>5.123317579540213</v>
      </c>
      <c r="AD511" s="15" t="n">
        <v>24.80564269388503</v>
      </c>
      <c r="AE511" s="15" t="n">
        <v>64.49982270805432</v>
      </c>
      <c r="AF511" s="15" t="n">
        <v>105.5398778553627</v>
      </c>
      <c r="AH511" s="29">
        <f>HIPERLINK($A$1 &amp; "\Dados\Magnet_fields.txt_511.txt.txt", "Magnet_fields.txt_511.txt")</f>
        <v/>
      </c>
      <c r="AI511" t="n">
        <v>6434</v>
      </c>
      <c r="AJ511" t="n">
        <v>28</v>
      </c>
      <c r="AK511" s="29">
        <f>HIPERLINK($A$1 &amp; "\Dados\Magnet_3D_results.txt_511.txt.txt", "Magnet_3D_results.txt_511.txt")</f>
        <v/>
      </c>
      <c r="AL511" s="29">
        <f>HIPERLINK($A$1 &amp; "\Dados\Magnet_fields_2D.txt_511.txt.txt", "Magnet_fields_2D.txt_511.txt")</f>
        <v/>
      </c>
    </row>
    <row customHeight="1" ht="15.75" r="512" s="34">
      <c r="D512" s="30" t="n"/>
      <c r="E512" s="15" t="n">
        <v>150</v>
      </c>
      <c r="F512" s="15" t="n">
        <v>200</v>
      </c>
      <c r="G512" s="15" t="n">
        <v>350</v>
      </c>
      <c r="H512" s="15" t="n">
        <v>45</v>
      </c>
      <c r="I512" s="15" t="n">
        <v>180</v>
      </c>
      <c r="J512" s="13" t="n">
        <v>25</v>
      </c>
      <c r="K512" t="n">
        <v>35</v>
      </c>
      <c r="L512" s="13" t="n">
        <v>2.1</v>
      </c>
      <c r="M512" s="12" t="n"/>
      <c r="N512" s="8" t="n">
        <v>1.117449828143543</v>
      </c>
      <c r="O512" s="15" t="n">
        <v>0.9788900394208013</v>
      </c>
      <c r="P512" s="15" t="n">
        <v>1.078235834093987</v>
      </c>
      <c r="Q512" s="15" t="n">
        <v>0.000660892247913572</v>
      </c>
      <c r="R512" s="15" t="n">
        <v>0.01812164387288731</v>
      </c>
      <c r="S512" s="15" t="n">
        <v>0.0007095443688298262</v>
      </c>
      <c r="T512" s="29">
        <f>HIPERLINK($A$1 &amp; "\Dados\Imagem_perfil_512.png", "Imagem_perfil_512")</f>
        <v/>
      </c>
      <c r="U512" s="29">
        <f>HIPERLINK($A$1 &amp; "\Dados\Results_airgap512.txt", "Results_airgap512")</f>
        <v/>
      </c>
      <c r="V512" s="19" t="n"/>
      <c r="W512" s="15" t="n">
        <v>1.308715652173913</v>
      </c>
      <c r="X512" s="15" t="n">
        <v>0.6945520442380726</v>
      </c>
      <c r="Y512" s="15" t="n">
        <v>0.7699895318983413</v>
      </c>
      <c r="Z512" s="15" t="n">
        <v>0.06078479520269728</v>
      </c>
      <c r="AA512" s="15" t="n">
        <v>0.003808894370869137</v>
      </c>
      <c r="AB512" s="15" t="n">
        <v>0.488032130394872</v>
      </c>
      <c r="AC512" s="15" t="n">
        <v>5.595375663993839</v>
      </c>
      <c r="AD512" s="15" t="n">
        <v>25.18500521706935</v>
      </c>
      <c r="AE512" s="15" t="n">
        <v>64.68276548161221</v>
      </c>
      <c r="AF512" s="15" t="n">
        <v>105.5798069207476</v>
      </c>
      <c r="AH512" s="29">
        <f>HIPERLINK($A$1 &amp; "\Dados\Magnet_fields.txt_512.txt.txt", "Magnet_fields.txt_512.txt")</f>
        <v/>
      </c>
      <c r="AI512" t="n">
        <v>6434</v>
      </c>
      <c r="AJ512" t="n">
        <v>28</v>
      </c>
      <c r="AK512" s="29">
        <f>HIPERLINK($A$1 &amp; "\Dados\Magnet_3D_results.txt_512.txt.txt", "Magnet_3D_results.txt_512.txt")</f>
        <v/>
      </c>
      <c r="AL512" s="29">
        <f>HIPERLINK($A$1 &amp; "\Dados\Magnet_fields_2D.txt_512.txt.txt", "Magnet_fields_2D.txt_512.txt")</f>
        <v/>
      </c>
    </row>
    <row customHeight="1" ht="15.75" r="513" s="34">
      <c r="D513" s="30" t="n"/>
      <c r="E513" s="15" t="n">
        <v>150</v>
      </c>
      <c r="F513" s="15" t="n">
        <v>200</v>
      </c>
      <c r="G513" s="15" t="n">
        <v>430</v>
      </c>
      <c r="H513" s="15" t="n">
        <v>45</v>
      </c>
      <c r="I513" s="15" t="n">
        <v>140</v>
      </c>
      <c r="J513" s="13" t="n">
        <v>25</v>
      </c>
      <c r="K513" t="n">
        <v>35</v>
      </c>
      <c r="L513" s="13" t="n">
        <v>1.3</v>
      </c>
      <c r="M513" s="12" t="n"/>
      <c r="N513" s="8" t="n">
        <v>1.021583324380255</v>
      </c>
      <c r="O513" s="15" t="n">
        <v>0.790872237019298</v>
      </c>
      <c r="P513" s="15" t="n">
        <v>0.9561848514295428</v>
      </c>
      <c r="Q513" s="15" t="n">
        <v>0.0006246036879596528</v>
      </c>
      <c r="R513" s="15" t="n">
        <v>0.02277636047446941</v>
      </c>
      <c r="S513" s="15" t="n">
        <v>0.001386994113440552</v>
      </c>
      <c r="T513" s="29">
        <f>HIPERLINK($A$1 &amp; "\Dados\Imagem_perfil_513.png", "Imagem_perfil_513")</f>
        <v/>
      </c>
      <c r="U513" s="29">
        <f>HIPERLINK($A$1 &amp; "\Dados\Results_airgap513.txt", "Results_airgap513")</f>
        <v/>
      </c>
      <c r="V513" s="19" t="n"/>
      <c r="W513" s="43" t="n">
        <v>1.368560869565217</v>
      </c>
      <c r="X513" s="15" t="n">
        <v>0.6752083158813181</v>
      </c>
      <c r="Y513" s="15" t="n">
        <v>0.007760053584252359</v>
      </c>
      <c r="Z513" s="15" t="n">
        <v>0.3322059806195291</v>
      </c>
      <c r="AA513" s="15" t="n">
        <v>3.662173821595271</v>
      </c>
      <c r="AB513" s="15" t="n">
        <v>0</v>
      </c>
      <c r="AC513" s="15" t="n">
        <v>0</v>
      </c>
      <c r="AD513" s="15" t="n">
        <v>0</v>
      </c>
      <c r="AE513" s="15" t="n">
        <v>50.0630003861028</v>
      </c>
      <c r="AF513" s="15" t="n">
        <v>102.2804201537998</v>
      </c>
      <c r="AH513" s="29">
        <f>HIPERLINK($A$1 &amp; "\Dados\Magnet_fields.txt_513.txt.txt", "Magnet_fields.txt_513.txt")</f>
        <v/>
      </c>
      <c r="AI513" t="n">
        <v>7025</v>
      </c>
      <c r="AJ513" t="n">
        <v>28</v>
      </c>
      <c r="AK513" s="29">
        <f>HIPERLINK($A$1 &amp; "\Dados\Magnet_3D_results.txt_513.txt.txt", "Magnet_3D_results.txt_513.txt")</f>
        <v/>
      </c>
      <c r="AL513" s="29">
        <f>HIPERLINK($A$1 &amp; "\Dados\Magnet_fields_2D.txt_513.txt.txt", "Magnet_fields_2D.txt_513.txt")</f>
        <v/>
      </c>
    </row>
    <row customHeight="1" ht="15.75" r="514" s="34">
      <c r="D514" s="30" t="n"/>
      <c r="E514" s="15" t="n">
        <v>150</v>
      </c>
      <c r="F514" s="15" t="n">
        <v>200</v>
      </c>
      <c r="G514" s="15" t="n">
        <v>430</v>
      </c>
      <c r="H514" s="15" t="n">
        <v>45</v>
      </c>
      <c r="I514" s="15" t="n">
        <v>140</v>
      </c>
      <c r="J514" s="13" t="n">
        <v>25</v>
      </c>
      <c r="K514" t="n">
        <v>35</v>
      </c>
      <c r="L514" s="13" t="n">
        <v>1.5</v>
      </c>
      <c r="M514" s="12" t="n"/>
      <c r="N514" s="8" t="n">
        <v>1.114379975416945</v>
      </c>
      <c r="O514" s="15" t="n">
        <v>0.8641066924993219</v>
      </c>
      <c r="P514" s="15" t="n">
        <v>1.042924740533604</v>
      </c>
      <c r="Q514" s="15" t="n">
        <v>0.0006743883364428572</v>
      </c>
      <c r="R514" s="15" t="n">
        <v>0.02704603603262446</v>
      </c>
      <c r="S514" s="15" t="n">
        <v>0.001541920507482103</v>
      </c>
      <c r="T514" s="29">
        <f>HIPERLINK($A$1 &amp; "\Dados\Imagem_perfil_514.png", "Imagem_perfil_514")</f>
        <v/>
      </c>
      <c r="U514" s="29">
        <f>HIPERLINK($A$1 &amp; "\Dados\Results_airgap514.txt", "Results_airgap514")</f>
        <v/>
      </c>
      <c r="V514" s="19" t="n"/>
      <c r="W514" s="43" t="n">
        <v>1.494642391304348</v>
      </c>
      <c r="X514" s="15" t="n">
        <v>0.7389977627745928</v>
      </c>
      <c r="Y514" s="15" t="n">
        <v>0.05934252185694637</v>
      </c>
      <c r="Z514" s="15" t="n">
        <v>0.02153000112451486</v>
      </c>
      <c r="AA514" s="15" t="n">
        <v>0.01830348228894939</v>
      </c>
      <c r="AB514" s="15" t="n">
        <v>0</v>
      </c>
      <c r="AC514" s="15" t="n">
        <v>0</v>
      </c>
      <c r="AD514" s="15" t="n">
        <v>22.96777929739858</v>
      </c>
      <c r="AE514" s="15" t="n">
        <v>66.14479765663565</v>
      </c>
      <c r="AF514" s="15" t="n">
        <v>107.1202501272049</v>
      </c>
      <c r="AH514" s="29">
        <f>HIPERLINK($A$1 &amp; "\Dados\Magnet_fields.txt_514.txt.txt", "Magnet_fields.txt_514.txt")</f>
        <v/>
      </c>
      <c r="AI514" t="n">
        <v>7025</v>
      </c>
      <c r="AJ514" t="n">
        <v>28</v>
      </c>
      <c r="AK514" s="29">
        <f>HIPERLINK($A$1 &amp; "\Dados\Magnet_3D_results.txt_514.txt.txt", "Magnet_3D_results.txt_514.txt")</f>
        <v/>
      </c>
      <c r="AL514" s="29">
        <f>HIPERLINK($A$1 &amp; "\Dados\Magnet_fields_2D.txt_514.txt.txt", "Magnet_fields_2D.txt_514.txt")</f>
        <v/>
      </c>
    </row>
    <row customHeight="1" ht="15.75" r="515" s="34">
      <c r="D515" s="30" t="n"/>
      <c r="E515" s="15" t="n">
        <v>150</v>
      </c>
      <c r="F515" s="15" t="n">
        <v>200</v>
      </c>
      <c r="G515" s="15" t="n">
        <v>430</v>
      </c>
      <c r="H515" s="15" t="n">
        <v>45</v>
      </c>
      <c r="I515" s="15" t="n">
        <v>140</v>
      </c>
      <c r="J515" s="13" t="n">
        <v>25</v>
      </c>
      <c r="K515" t="n">
        <v>35</v>
      </c>
      <c r="L515" s="13" t="n">
        <v>1.7</v>
      </c>
      <c r="M515" s="12" t="n"/>
      <c r="N515" s="8" t="n">
        <v>1.138919565485533</v>
      </c>
      <c r="O515" s="15" t="n">
        <v>0.8834688705563336</v>
      </c>
      <c r="P515" s="15" t="n">
        <v>1.066039942042843</v>
      </c>
      <c r="Q515" s="15" t="n">
        <v>0.0006870955086153458</v>
      </c>
      <c r="R515" s="15" t="n">
        <v>0.02779094969288246</v>
      </c>
      <c r="S515" s="15" t="n">
        <v>0.001570565469776813</v>
      </c>
      <c r="T515" s="29">
        <f>HIPERLINK($A$1 &amp; "\Dados\Imagem_perfil_515.png", "Imagem_perfil_515")</f>
        <v/>
      </c>
      <c r="U515" s="29">
        <f>HIPERLINK($A$1 &amp; "\Dados\Results_airgap515.txt", "Results_airgap515")</f>
        <v/>
      </c>
      <c r="V515" s="19" t="n"/>
      <c r="W515" s="15" t="n">
        <v>1.53104847826087</v>
      </c>
      <c r="X515" s="15" t="n">
        <v>0.7560978943474551</v>
      </c>
      <c r="Y515" s="15" t="n">
        <v>0.1842515515588167</v>
      </c>
      <c r="Z515" s="15" t="n">
        <v>0.009635240383309877</v>
      </c>
      <c r="AA515" s="15" t="n">
        <v>0.01830348228894939</v>
      </c>
      <c r="AB515" s="15" t="n">
        <v>0.4481318613233142</v>
      </c>
      <c r="AC515" s="15" t="n">
        <v>6.361506169050891</v>
      </c>
      <c r="AD515" s="15" t="n">
        <v>27.92063564924118</v>
      </c>
      <c r="AE515" s="15" t="n">
        <v>68.43484968900384</v>
      </c>
      <c r="AF515" s="15" t="n">
        <v>107.594385468951</v>
      </c>
      <c r="AH515" s="29">
        <f>HIPERLINK($A$1 &amp; "\Dados\Magnet_fields.txt_515.txt.txt", "Magnet_fields.txt_515.txt")</f>
        <v/>
      </c>
      <c r="AI515" t="n">
        <v>7025</v>
      </c>
      <c r="AJ515" t="n">
        <v>28</v>
      </c>
      <c r="AK515" s="29">
        <f>HIPERLINK($A$1 &amp; "\Dados\Magnet_3D_results.txt_515.txt.txt", "Magnet_3D_results.txt_515.txt")</f>
        <v/>
      </c>
      <c r="AL515" s="29">
        <f>HIPERLINK($A$1 &amp; "\Dados\Magnet_fields_2D.txt_515.txt.txt", "Magnet_fields_2D.txt_515.txt")</f>
        <v/>
      </c>
    </row>
    <row customHeight="1" ht="15.75" r="516" s="34">
      <c r="D516" s="30" t="n"/>
      <c r="E516" s="15" t="n">
        <v>150</v>
      </c>
      <c r="F516" s="15" t="n">
        <v>200</v>
      </c>
      <c r="G516" s="15" t="n">
        <v>430</v>
      </c>
      <c r="H516" s="15" t="n">
        <v>45</v>
      </c>
      <c r="I516" s="15" t="n">
        <v>140</v>
      </c>
      <c r="J516" s="13" t="n">
        <v>25</v>
      </c>
      <c r="K516" t="n">
        <v>35</v>
      </c>
      <c r="L516" s="13" t="n">
        <v>1.9</v>
      </c>
      <c r="M516" s="12" t="n"/>
      <c r="N516" s="8" t="n">
        <v>1.147705309171115</v>
      </c>
      <c r="O516" s="15" t="n">
        <v>0.8903389697410239</v>
      </c>
      <c r="P516" s="15" t="n">
        <v>1.074260547659777</v>
      </c>
      <c r="Q516" s="15" t="n">
        <v>0.0006913143924991175</v>
      </c>
      <c r="R516" s="15" t="n">
        <v>0.02806953957666629</v>
      </c>
      <c r="S516" s="15" t="n">
        <v>0.001580527129062477</v>
      </c>
      <c r="T516" s="29">
        <f>HIPERLINK($A$1 &amp; "\Dados\Imagem_perfil_516.png", "Imagem_perfil_516")</f>
        <v/>
      </c>
      <c r="U516" s="29">
        <f>HIPERLINK($A$1 &amp; "\Dados\Results_airgap516.txt", "Results_airgap516")</f>
        <v/>
      </c>
      <c r="V516" s="19" t="n"/>
      <c r="W516" s="15" t="n">
        <v>1.543798695652174</v>
      </c>
      <c r="X516" s="15" t="n">
        <v>0.7622730274759942</v>
      </c>
      <c r="Y516" s="15" t="n">
        <v>0.3447170637707268</v>
      </c>
      <c r="Z516" s="15" t="n">
        <v>0.006701898775828184</v>
      </c>
      <c r="AA516" s="15" t="n">
        <v>0.01830348228894939</v>
      </c>
      <c r="AB516" s="15" t="n">
        <v>1.548824884660087</v>
      </c>
      <c r="AC516" s="15" t="n">
        <v>8.652705380402939</v>
      </c>
      <c r="AD516" s="15" t="n">
        <v>29.77243217820964</v>
      </c>
      <c r="AE516" s="15" t="n">
        <v>69.33844517843663</v>
      </c>
      <c r="AF516" s="15" t="n">
        <v>107.7906331264031</v>
      </c>
      <c r="AH516" s="29">
        <f>HIPERLINK($A$1 &amp; "\Dados\Magnet_fields.txt_516.txt.txt", "Magnet_fields.txt_516.txt")</f>
        <v/>
      </c>
      <c r="AI516" t="n">
        <v>7025</v>
      </c>
      <c r="AJ516" t="n">
        <v>29</v>
      </c>
      <c r="AK516" s="29">
        <f>HIPERLINK($A$1 &amp; "\Dados\Magnet_3D_results.txt_516.txt.txt", "Magnet_3D_results.txt_516.txt")</f>
        <v/>
      </c>
      <c r="AL516" s="29">
        <f>HIPERLINK($A$1 &amp; "\Dados\Magnet_fields_2D.txt_516.txt.txt", "Magnet_fields_2D.txt_516.txt")</f>
        <v/>
      </c>
    </row>
    <row customHeight="1" ht="15.75" r="517" s="34">
      <c r="D517" s="30" t="n"/>
      <c r="E517" s="15" t="n">
        <v>150</v>
      </c>
      <c r="F517" s="15" t="n">
        <v>200</v>
      </c>
      <c r="G517" s="15" t="n">
        <v>430</v>
      </c>
      <c r="H517" s="15" t="n">
        <v>45</v>
      </c>
      <c r="I517" s="15" t="n">
        <v>140</v>
      </c>
      <c r="J517" s="13" t="n">
        <v>25</v>
      </c>
      <c r="K517" t="n">
        <v>35</v>
      </c>
      <c r="L517" s="13" t="n">
        <v>2.1</v>
      </c>
      <c r="M517" s="12" t="n"/>
      <c r="N517" s="8" t="n">
        <v>1.151807485889326</v>
      </c>
      <c r="O517" s="15" t="n">
        <v>0.8934628743230302</v>
      </c>
      <c r="P517" s="15" t="n">
        <v>1.078032370784039</v>
      </c>
      <c r="Q517" s="15" t="n">
        <v>0.0006933465970264266</v>
      </c>
      <c r="R517" s="15" t="n">
        <v>0.02817278441641788</v>
      </c>
      <c r="S517" s="15" t="n">
        <v>0.00158453760226351</v>
      </c>
      <c r="T517" s="29">
        <f>HIPERLINK($A$1 &amp; "\Dados\Imagem_perfil_517.png", "Imagem_perfil_517")</f>
        <v/>
      </c>
      <c r="U517" s="29">
        <f>HIPERLINK($A$1 &amp; "\Dados\Results_airgap517.txt", "Results_airgap517")</f>
        <v/>
      </c>
      <c r="V517" s="19" t="n"/>
      <c r="W517" s="15" t="n">
        <v>1.549570434782608</v>
      </c>
      <c r="X517" s="15" t="n">
        <v>0.7651213238553948</v>
      </c>
      <c r="Y517" s="15" t="n">
        <v>0.5157409111757432</v>
      </c>
      <c r="Z517" s="15" t="n">
        <v>0.006701898775828184</v>
      </c>
      <c r="AA517" s="15" t="n">
        <v>0.01830348228894939</v>
      </c>
      <c r="AB517" s="15" t="n">
        <v>2.053494845616997</v>
      </c>
      <c r="AC517" s="15" t="n">
        <v>9.796547795850602</v>
      </c>
      <c r="AD517" s="15" t="n">
        <v>30.66196188725577</v>
      </c>
      <c r="AE517" s="15" t="n">
        <v>69.71405031891477</v>
      </c>
      <c r="AF517" s="15" t="n">
        <v>107.8875685498401</v>
      </c>
      <c r="AH517" s="29">
        <f>HIPERLINK($A$1 &amp; "\Dados\Magnet_fields.txt_517.txt.txt", "Magnet_fields.txt_517.txt")</f>
        <v/>
      </c>
      <c r="AI517" t="n">
        <v>7025</v>
      </c>
      <c r="AJ517" t="n">
        <v>28</v>
      </c>
      <c r="AK517" s="29">
        <f>HIPERLINK($A$1 &amp; "\Dados\Magnet_3D_results.txt_517.txt.txt", "Magnet_3D_results.txt_517.txt")</f>
        <v/>
      </c>
      <c r="AL517" s="29">
        <f>HIPERLINK($A$1 &amp; "\Dados\Magnet_fields_2D.txt_517.txt.txt", "Magnet_fields_2D.txt_517.txt")</f>
        <v/>
      </c>
    </row>
    <row customHeight="1" ht="15.75" r="518" s="34">
      <c r="D518" s="30" t="n"/>
      <c r="E518" s="15" t="n">
        <v>150</v>
      </c>
      <c r="F518" s="15" t="n">
        <v>200</v>
      </c>
      <c r="G518" s="15" t="n">
        <v>430</v>
      </c>
      <c r="H518" s="15" t="n">
        <v>25</v>
      </c>
      <c r="I518" s="15" t="n">
        <v>180</v>
      </c>
      <c r="J518" s="13" t="n">
        <v>25</v>
      </c>
      <c r="K518" t="n">
        <v>35</v>
      </c>
      <c r="L518" s="13" t="n">
        <v>1.3</v>
      </c>
      <c r="M518" s="12" t="n"/>
      <c r="N518" s="8" t="n">
        <v>1.08907753432648</v>
      </c>
      <c r="O518" s="15" t="n">
        <v>0.9594282347212949</v>
      </c>
      <c r="P518" s="15" t="n">
        <v>1.056173955516519</v>
      </c>
      <c r="Q518" s="15" t="n">
        <v>0.0006201270008107779</v>
      </c>
      <c r="R518" s="15" t="n">
        <v>0.01888703892434581</v>
      </c>
      <c r="S518" s="15" t="n">
        <v>0.0007033260589536688</v>
      </c>
      <c r="T518" s="29">
        <f>HIPERLINK($A$1 &amp; "\Dados\Imagem_perfil_518.png", "Imagem_perfil_518")</f>
        <v/>
      </c>
      <c r="U518" s="29">
        <f>HIPERLINK($A$1 &amp; "\Dados\Results_airgap518.txt", "Results_airgap518")</f>
        <v/>
      </c>
      <c r="V518" s="19" t="n"/>
      <c r="W518" s="43" t="n">
        <v>1.36853847826087</v>
      </c>
      <c r="X518" s="15" t="n">
        <v>0.6793547527233903</v>
      </c>
      <c r="Y518" s="15" t="n">
        <v>0.007765508286496963</v>
      </c>
      <c r="Z518" s="15" t="n">
        <v>0.830816086840885</v>
      </c>
      <c r="AA518" s="15" t="n">
        <v>5.387126152464849</v>
      </c>
      <c r="AB518" s="15" t="n">
        <v>0</v>
      </c>
      <c r="AC518" s="15" t="n">
        <v>0</v>
      </c>
      <c r="AD518" s="15" t="n">
        <v>0</v>
      </c>
      <c r="AE518" s="15" t="n">
        <v>50.11603790869422</v>
      </c>
      <c r="AF518" s="15" t="n">
        <v>102.3138395560193</v>
      </c>
      <c r="AH518" s="29">
        <f>HIPERLINK($A$1 &amp; "\Dados\Magnet_fields.txt_518.txt.txt", "Magnet_fields.txt_518.txt")</f>
        <v/>
      </c>
      <c r="AI518" t="n">
        <v>10478</v>
      </c>
      <c r="AJ518" t="n">
        <v>30</v>
      </c>
      <c r="AK518" s="29">
        <f>HIPERLINK($A$1 &amp; "\Dados\Magnet_3D_results.txt_518.txt.txt", "Magnet_3D_results.txt_518.txt")</f>
        <v/>
      </c>
      <c r="AL518" s="29">
        <f>HIPERLINK($A$1 &amp; "\Dados\Magnet_fields_2D.txt_518.txt.txt", "Magnet_fields_2D.txt_518.txt")</f>
        <v/>
      </c>
    </row>
    <row customHeight="1" ht="15.75" r="519" s="34">
      <c r="D519" s="30" t="n"/>
      <c r="E519" s="15" t="n">
        <v>150</v>
      </c>
      <c r="F519" s="15" t="n">
        <v>200</v>
      </c>
      <c r="G519" s="15" t="n">
        <v>430</v>
      </c>
      <c r="H519" s="15" t="n">
        <v>25</v>
      </c>
      <c r="I519" s="15" t="n">
        <v>180</v>
      </c>
      <c r="J519" s="13" t="n">
        <v>25</v>
      </c>
      <c r="K519" t="n">
        <v>35</v>
      </c>
      <c r="L519" s="13" t="n">
        <v>1.5</v>
      </c>
      <c r="M519" s="12" t="n"/>
      <c r="N519" s="8" t="n">
        <v>1.198706572983122</v>
      </c>
      <c r="O519" s="15" t="n">
        <v>1.054846830600567</v>
      </c>
      <c r="P519" s="15" t="n">
        <v>1.158893001334901</v>
      </c>
      <c r="Q519" s="15" t="n">
        <v>0.0006776424577220438</v>
      </c>
      <c r="R519" s="15" t="n">
        <v>0.02476290783229808</v>
      </c>
      <c r="S519" s="15" t="n">
        <v>0.000780117308331345</v>
      </c>
      <c r="T519" s="29">
        <f>HIPERLINK($A$1 &amp; "\Dados\Imagem_perfil_519.png", "Imagem_perfil_519")</f>
        <v/>
      </c>
      <c r="U519" s="29">
        <f>HIPERLINK($A$1 &amp; "\Dados\Results_airgap519.txt", "Results_airgap519")</f>
        <v/>
      </c>
      <c r="V519" s="19" t="n"/>
      <c r="W519" s="43" t="n">
        <v>1.494562173913043</v>
      </c>
      <c r="X519" s="15" t="n">
        <v>0.7511208258606388</v>
      </c>
      <c r="Y519" s="15" t="n">
        <v>0.05939992264287227</v>
      </c>
      <c r="Z519" s="15" t="n">
        <v>0.1499411191057322</v>
      </c>
      <c r="AA519" s="15" t="n">
        <v>4.605532495970373</v>
      </c>
      <c r="AB519" s="15" t="n">
        <v>0</v>
      </c>
      <c r="AC519" s="15" t="n">
        <v>0</v>
      </c>
      <c r="AD519" s="15" t="n">
        <v>22.9790546620115</v>
      </c>
      <c r="AE519" s="15" t="n">
        <v>66.15998729011689</v>
      </c>
      <c r="AF519" s="15" t="n">
        <v>107.1310708526154</v>
      </c>
      <c r="AH519" s="29">
        <f>HIPERLINK($A$1 &amp; "\Dados\Magnet_fields.txt_519.txt.txt", "Magnet_fields.txt_519.txt")</f>
        <v/>
      </c>
      <c r="AI519" t="n">
        <v>10478</v>
      </c>
      <c r="AJ519" t="n">
        <v>30</v>
      </c>
      <c r="AK519" s="29">
        <f>HIPERLINK($A$1 &amp; "\Dados\Magnet_3D_results.txt_519.txt.txt", "Magnet_3D_results.txt_519.txt")</f>
        <v/>
      </c>
      <c r="AL519" s="29">
        <f>HIPERLINK($A$1 &amp; "\Dados\Magnet_fields_2D.txt_519.txt.txt", "Magnet_fields_2D.txt_519.txt")</f>
        <v/>
      </c>
    </row>
    <row customHeight="1" ht="15.75" r="520" s="34">
      <c r="D520" s="30" t="n"/>
      <c r="E520" s="15" t="n">
        <v>150</v>
      </c>
      <c r="F520" s="15" t="n">
        <v>200</v>
      </c>
      <c r="G520" s="15" t="n">
        <v>430</v>
      </c>
      <c r="H520" s="15" t="n">
        <v>25</v>
      </c>
      <c r="I520" s="15" t="n">
        <v>180</v>
      </c>
      <c r="J520" s="13" t="n">
        <v>25</v>
      </c>
      <c r="K520" t="n">
        <v>35</v>
      </c>
      <c r="L520" s="13" t="n">
        <v>1.7</v>
      </c>
      <c r="M520" s="12" t="n"/>
      <c r="N520" s="8" t="n">
        <v>1.228297682589557</v>
      </c>
      <c r="O520" s="15" t="n">
        <v>1.080314436161745</v>
      </c>
      <c r="P520" s="15" t="n">
        <v>1.186902650134224</v>
      </c>
      <c r="Q520" s="15" t="n">
        <v>0.0006939032960865525</v>
      </c>
      <c r="R520" s="15" t="n">
        <v>0.02598803772637504</v>
      </c>
      <c r="S520" s="15" t="n">
        <v>0.0007997483581224082</v>
      </c>
      <c r="T520" s="29">
        <f>HIPERLINK($A$1 &amp; "\Dados\Imagem_perfil_520.png", "Imagem_perfil_520")</f>
        <v/>
      </c>
      <c r="U520" s="29">
        <f>HIPERLINK($A$1 &amp; "\Dados\Results_airgap520.txt", "Results_airgap520")</f>
        <v/>
      </c>
      <c r="V520" s="19" t="n"/>
      <c r="W520" s="15" t="n">
        <v>1.530925869565217</v>
      </c>
      <c r="X520" s="15" t="n">
        <v>0.7704284178944278</v>
      </c>
      <c r="Y520" s="15" t="n">
        <v>0.1843478293944048</v>
      </c>
      <c r="Z520" s="15" t="n">
        <v>0.08218062508679147</v>
      </c>
      <c r="AA520" s="15" t="n">
        <v>3.772463415715208</v>
      </c>
      <c r="AB520" s="15" t="n">
        <v>0.4425847960559615</v>
      </c>
      <c r="AC520" s="15" t="n">
        <v>6.354404448739507</v>
      </c>
      <c r="AD520" s="15" t="n">
        <v>27.92191578409993</v>
      </c>
      <c r="AE520" s="15" t="n">
        <v>68.45482799109256</v>
      </c>
      <c r="AF520" s="15" t="n">
        <v>107.6011266264768</v>
      </c>
      <c r="AH520" s="29">
        <f>HIPERLINK($A$1 &amp; "\Dados\Magnet_fields.txt_520.txt.txt", "Magnet_fields.txt_520.txt")</f>
        <v/>
      </c>
      <c r="AI520" t="n">
        <v>10478</v>
      </c>
      <c r="AJ520" t="n">
        <v>30</v>
      </c>
      <c r="AK520" s="29">
        <f>HIPERLINK($A$1 &amp; "\Dados\Magnet_3D_results.txt_520.txt.txt", "Magnet_3D_results.txt_520.txt")</f>
        <v/>
      </c>
      <c r="AL520" s="29">
        <f>HIPERLINK($A$1 &amp; "\Dados\Magnet_fields_2D.txt_520.txt.txt", "Magnet_fields_2D.txt_520.txt")</f>
        <v/>
      </c>
    </row>
    <row customHeight="1" ht="15.75" r="521" s="34">
      <c r="D521" s="30" t="n"/>
      <c r="E521" s="15" t="n">
        <v>150</v>
      </c>
      <c r="F521" s="15" t="n">
        <v>200</v>
      </c>
      <c r="G521" s="15" t="n">
        <v>430</v>
      </c>
      <c r="H521" s="15" t="n">
        <v>25</v>
      </c>
      <c r="I521" s="15" t="n">
        <v>180</v>
      </c>
      <c r="J521" s="13" t="n">
        <v>25</v>
      </c>
      <c r="K521" t="n">
        <v>35</v>
      </c>
      <c r="L521" s="13" t="n">
        <v>1.9</v>
      </c>
      <c r="M521" s="12" t="n"/>
      <c r="N521" s="8" t="n">
        <v>1.239228059291448</v>
      </c>
      <c r="O521" s="15" t="n">
        <v>1.089664138016</v>
      </c>
      <c r="P521" s="15" t="n">
        <v>1.197179106080955</v>
      </c>
      <c r="Q521" s="15" t="n">
        <v>0.0006999557600954739</v>
      </c>
      <c r="R521" s="15" t="n">
        <v>0.02650090039594859</v>
      </c>
      <c r="S521" s="15" t="n">
        <v>0.0008072176321514234</v>
      </c>
      <c r="T521" s="29">
        <f>HIPERLINK($A$1 &amp; "\Dados\Imagem_perfil_521.png", "Imagem_perfil_521")</f>
        <v/>
      </c>
      <c r="U521" s="29">
        <f>HIPERLINK($A$1 &amp; "\Dados\Results_airgap521.txt", "Results_airgap521")</f>
        <v/>
      </c>
      <c r="V521" s="19" t="n"/>
      <c r="W521" s="15" t="n">
        <v>1.543559347826087</v>
      </c>
      <c r="X521" s="15" t="n">
        <v>0.7776266483517338</v>
      </c>
      <c r="Y521" s="15" t="n">
        <v>0.3448356967091751</v>
      </c>
      <c r="Z521" s="15" t="n">
        <v>0.0703181451223789</v>
      </c>
      <c r="AA521" s="15" t="n">
        <v>3.365117948161742</v>
      </c>
      <c r="AB521" s="15" t="n">
        <v>1.537637312999222</v>
      </c>
      <c r="AC521" s="15" t="n">
        <v>8.655801135597812</v>
      </c>
      <c r="AD521" s="15" t="n">
        <v>29.74136419411974</v>
      </c>
      <c r="AE521" s="15" t="n">
        <v>69.30582407631942</v>
      </c>
      <c r="AF521" s="15" t="n">
        <v>107.8038546764965</v>
      </c>
      <c r="AH521" s="29">
        <f>HIPERLINK($A$1 &amp; "\Dados\Magnet_fields.txt_521.txt.txt", "Magnet_fields.txt_521.txt")</f>
        <v/>
      </c>
      <c r="AI521" t="n">
        <v>10478</v>
      </c>
      <c r="AJ521" t="n">
        <v>30</v>
      </c>
      <c r="AK521" s="29">
        <f>HIPERLINK($A$1 &amp; "\Dados\Magnet_3D_results.txt_521.txt.txt", "Magnet_3D_results.txt_521.txt")</f>
        <v/>
      </c>
      <c r="AL521" s="29">
        <f>HIPERLINK($A$1 &amp; "\Dados\Magnet_fields_2D.txt_521.txt.txt", "Magnet_fields_2D.txt_521.txt")</f>
        <v/>
      </c>
    </row>
    <row customHeight="1" ht="15.75" r="522" s="34">
      <c r="D522" s="30" t="n"/>
      <c r="E522" s="15" t="n">
        <v>150</v>
      </c>
      <c r="F522" s="15" t="n">
        <v>200</v>
      </c>
      <c r="G522" s="15" t="n">
        <v>430</v>
      </c>
      <c r="H522" s="15" t="n">
        <v>25</v>
      </c>
      <c r="I522" s="15" t="n">
        <v>180</v>
      </c>
      <c r="J522" s="13" t="n">
        <v>25</v>
      </c>
      <c r="K522" t="n">
        <v>35</v>
      </c>
      <c r="L522" s="13" t="n">
        <v>2.1</v>
      </c>
      <c r="M522" s="12" t="n"/>
      <c r="N522" s="8" t="n">
        <v>1.244210565615383</v>
      </c>
      <c r="O522" s="15" t="n">
        <v>1.093832898004656</v>
      </c>
      <c r="P522" s="15" t="n">
        <v>1.201803001167258</v>
      </c>
      <c r="Q522" s="15" t="n">
        <v>0.0007026926791560745</v>
      </c>
      <c r="R522" s="15" t="n">
        <v>0.0266871228133786</v>
      </c>
      <c r="S522" s="15" t="n">
        <v>0.0008104122316972289</v>
      </c>
      <c r="T522" s="29">
        <f>HIPERLINK($A$1 &amp; "\Dados\Imagem_perfil_522.png", "Imagem_perfil_522")</f>
        <v/>
      </c>
      <c r="U522" s="29">
        <f>HIPERLINK($A$1 &amp; "\Dados\Results_airgap522.txt", "Results_airgap522")</f>
        <v/>
      </c>
      <c r="V522" s="19" t="n"/>
      <c r="W522" s="15" t="n">
        <v>1.549499782608695</v>
      </c>
      <c r="X522" s="15" t="n">
        <v>0.7808542414693541</v>
      </c>
      <c r="Y522" s="15" t="n">
        <v>0.5158724149623343</v>
      </c>
      <c r="Z522" s="15" t="n">
        <v>0.06811197490677517</v>
      </c>
      <c r="AA522" s="15" t="n">
        <v>3.226967088675877</v>
      </c>
      <c r="AB522" s="15" t="n">
        <v>2.057532112622711</v>
      </c>
      <c r="AC522" s="15" t="n">
        <v>9.794916212758766</v>
      </c>
      <c r="AD522" s="15" t="n">
        <v>30.67590247730976</v>
      </c>
      <c r="AE522" s="15" t="n">
        <v>69.72632089646385</v>
      </c>
      <c r="AF522" s="15" t="n">
        <v>107.8984833065463</v>
      </c>
      <c r="AH522" s="29">
        <f>HIPERLINK($A$1 &amp; "\Dados\Magnet_fields.txt_522.txt.txt", "Magnet_fields.txt_522.txt")</f>
        <v/>
      </c>
      <c r="AI522" t="n">
        <v>10478</v>
      </c>
      <c r="AJ522" t="n">
        <v>30</v>
      </c>
      <c r="AK522" s="29">
        <f>HIPERLINK($A$1 &amp; "\Dados\Magnet_3D_results.txt_522.txt.txt", "Magnet_3D_results.txt_522.txt")</f>
        <v/>
      </c>
      <c r="AL522" s="29">
        <f>HIPERLINK($A$1 &amp; "\Dados\Magnet_fields_2D.txt_522.txt.txt", "Magnet_fields_2D.txt_522.txt")</f>
        <v/>
      </c>
    </row>
    <row customHeight="1" ht="15.75" r="523" s="34">
      <c r="D523" s="30" t="n"/>
      <c r="E523" s="15" t="n">
        <v>150</v>
      </c>
      <c r="F523" s="15" t="n">
        <v>200</v>
      </c>
      <c r="G523" s="15" t="n">
        <v>430</v>
      </c>
      <c r="H523" s="15" t="n">
        <v>45</v>
      </c>
      <c r="I523" s="15" t="n">
        <v>180</v>
      </c>
      <c r="J523" s="13" t="n">
        <v>25</v>
      </c>
      <c r="K523" t="n">
        <v>35</v>
      </c>
      <c r="L523" s="13" t="n">
        <v>1.3</v>
      </c>
      <c r="M523" s="12" t="n"/>
      <c r="N523" s="8" t="n">
        <v>1.111518877228086</v>
      </c>
      <c r="O523" s="15" t="n">
        <v>0.9817452414404333</v>
      </c>
      <c r="P523" s="15" t="n">
        <v>1.078630085798833</v>
      </c>
      <c r="Q523" s="15" t="n">
        <v>0.0006412858891179343</v>
      </c>
      <c r="R523" s="15" t="n">
        <v>0.02358405530353719</v>
      </c>
      <c r="S523" s="15" t="n">
        <v>0.0007562078705459869</v>
      </c>
      <c r="T523" s="29">
        <f>HIPERLINK($A$1 &amp; "\Dados\Imagem_perfil_523.png", "Imagem_perfil_523")</f>
        <v/>
      </c>
      <c r="U523" s="29">
        <f>HIPERLINK($A$1 &amp; "\Dados\Results_airgap523.txt", "Results_airgap523")</f>
        <v/>
      </c>
      <c r="V523" s="19" t="n"/>
      <c r="W523" s="43" t="n">
        <v>1.368654347826087</v>
      </c>
      <c r="X523" s="15" t="n">
        <v>0.6999137373330384</v>
      </c>
      <c r="Y523" s="15" t="n">
        <v>0.00775935692163066</v>
      </c>
      <c r="Z523" s="15" t="n">
        <v>0.9824520000991677</v>
      </c>
      <c r="AA523" s="15" t="n">
        <v>4.422528736147909</v>
      </c>
      <c r="AB523" s="15" t="n">
        <v>0</v>
      </c>
      <c r="AC523" s="15" t="n">
        <v>0</v>
      </c>
      <c r="AD523" s="15" t="n">
        <v>0</v>
      </c>
      <c r="AE523" s="15" t="n">
        <v>50.08060622462985</v>
      </c>
      <c r="AF523" s="15" t="n">
        <v>102.35770549381</v>
      </c>
      <c r="AH523" s="29">
        <f>HIPERLINK($A$1 &amp; "\Dados\Magnet_fields.txt_523.txt.txt", "Magnet_fields.txt_523.txt")</f>
        <v/>
      </c>
      <c r="AI523" t="n">
        <v>7402</v>
      </c>
      <c r="AJ523" t="n">
        <v>29</v>
      </c>
      <c r="AK523" s="29">
        <f>HIPERLINK($A$1 &amp; "\Dados\Magnet_3D_results.txt_523.txt.txt", "Magnet_3D_results.txt_523.txt")</f>
        <v/>
      </c>
      <c r="AL523" s="29">
        <f>HIPERLINK($A$1 &amp; "\Dados\Magnet_fields_2D.txt_523.txt.txt", "Magnet_fields_2D.txt_523.txt")</f>
        <v/>
      </c>
    </row>
    <row customHeight="1" ht="15.75" r="524" s="34">
      <c r="D524" s="30" t="n"/>
      <c r="E524" s="15" t="n">
        <v>150</v>
      </c>
      <c r="F524" s="15" t="n">
        <v>200</v>
      </c>
      <c r="G524" s="15" t="n">
        <v>430</v>
      </c>
      <c r="H524" s="15" t="n">
        <v>45</v>
      </c>
      <c r="I524" s="15" t="n">
        <v>180</v>
      </c>
      <c r="J524" s="13" t="n">
        <v>25</v>
      </c>
      <c r="K524" t="n">
        <v>35</v>
      </c>
      <c r="L524" s="13" t="n">
        <v>1.5</v>
      </c>
      <c r="M524" s="12" t="n"/>
      <c r="N524" s="8" t="n">
        <v>1.21610964000673</v>
      </c>
      <c r="O524" s="15" t="n">
        <v>1.072064761340761</v>
      </c>
      <c r="P524" s="15" t="n">
        <v>1.176284777099829</v>
      </c>
      <c r="Q524" s="15" t="n">
        <v>0.0006932758489350151</v>
      </c>
      <c r="R524" s="15" t="n">
        <v>0.02834290960078793</v>
      </c>
      <c r="S524" s="15" t="n">
        <v>0.0008242351795768232</v>
      </c>
      <c r="T524" s="29">
        <f>HIPERLINK($A$1 &amp; "\Dados\Imagem_perfil_524.png", "Imagem_perfil_524")</f>
        <v/>
      </c>
      <c r="U524" s="29">
        <f>HIPERLINK($A$1 &amp; "\Dados\Results_airgap524.txt", "Results_airgap524")</f>
        <v/>
      </c>
      <c r="V524" s="19" t="n"/>
      <c r="W524" s="43" t="n">
        <v>1.494661956521739</v>
      </c>
      <c r="X524" s="15" t="n">
        <v>0.7680983023648248</v>
      </c>
      <c r="Y524" s="15" t="n">
        <v>0.05934246778450723</v>
      </c>
      <c r="Z524" s="15" t="n">
        <v>0.2237803846645099</v>
      </c>
      <c r="AA524" s="15" t="n">
        <v>0.01698967522936267</v>
      </c>
      <c r="AB524" s="15" t="n">
        <v>0</v>
      </c>
      <c r="AC524" s="15" t="n">
        <v>0</v>
      </c>
      <c r="AD524" s="15" t="n">
        <v>22.97160036533701</v>
      </c>
      <c r="AE524" s="15" t="n">
        <v>66.15017155233195</v>
      </c>
      <c r="AF524" s="15" t="n">
        <v>107.1183897939404</v>
      </c>
      <c r="AH524" s="29">
        <f>HIPERLINK($A$1 &amp; "\Dados\Magnet_fields.txt_524.txt.txt", "Magnet_fields.txt_524.txt")</f>
        <v/>
      </c>
      <c r="AI524" t="n">
        <v>7402</v>
      </c>
      <c r="AJ524" t="n">
        <v>29</v>
      </c>
      <c r="AK524" s="29">
        <f>HIPERLINK($A$1 &amp; "\Dados\Magnet_3D_results.txt_524.txt.txt", "Magnet_3D_results.txt_524.txt")</f>
        <v/>
      </c>
      <c r="AL524" s="29">
        <f>HIPERLINK($A$1 &amp; "\Dados\Magnet_fields_2D.txt_524.txt.txt", "Magnet_fields_2D.txt_524.txt")</f>
        <v/>
      </c>
    </row>
    <row customHeight="1" ht="15.75" r="525" s="34">
      <c r="D525" s="30" t="n"/>
      <c r="E525" s="15" t="n">
        <v>150</v>
      </c>
      <c r="F525" s="15" t="n">
        <v>200</v>
      </c>
      <c r="G525" s="15" t="n">
        <v>430</v>
      </c>
      <c r="H525" s="15" t="n">
        <v>45</v>
      </c>
      <c r="I525" s="15" t="n">
        <v>180</v>
      </c>
      <c r="J525" s="13" t="n">
        <v>25</v>
      </c>
      <c r="K525" t="n">
        <v>35</v>
      </c>
      <c r="L525" s="13" t="n">
        <v>1.7</v>
      </c>
      <c r="M525" s="12" t="n"/>
      <c r="N525" s="8" t="n">
        <v>1.243747678431551</v>
      </c>
      <c r="O525" s="15" t="n">
        <v>1.095586254853859</v>
      </c>
      <c r="P525" s="15" t="n">
        <v>1.202338037248576</v>
      </c>
      <c r="Q525" s="15" t="n">
        <v>0.0007071535206836019</v>
      </c>
      <c r="R525" s="15" t="n">
        <v>0.02915823546428562</v>
      </c>
      <c r="S525" s="15" t="n">
        <v>0.0008398846945806732</v>
      </c>
      <c r="T525" s="29">
        <f>HIPERLINK($A$1 &amp; "\Dados\Imagem_perfil_525.png", "Imagem_perfil_525")</f>
        <v/>
      </c>
      <c r="U525" s="29">
        <f>HIPERLINK($A$1 &amp; "\Dados\Results_airgap525.txt", "Results_airgap525")</f>
        <v/>
      </c>
      <c r="V525" s="19" t="n"/>
      <c r="W525" s="15" t="n">
        <v>1.531051086956522</v>
      </c>
      <c r="X525" s="15" t="n">
        <v>0.7859666612766587</v>
      </c>
      <c r="Y525" s="15" t="n">
        <v>0.1842515092794385</v>
      </c>
      <c r="Z525" s="15" t="n">
        <v>0.1276095498627498</v>
      </c>
      <c r="AA525" s="15" t="n">
        <v>0.01506363153186326</v>
      </c>
      <c r="AB525" s="15" t="n">
        <v>0.4524696794221256</v>
      </c>
      <c r="AC525" s="15" t="n">
        <v>6.357007464981636</v>
      </c>
      <c r="AD525" s="15" t="n">
        <v>27.91714002589554</v>
      </c>
      <c r="AE525" s="15" t="n">
        <v>68.44709982861957</v>
      </c>
      <c r="AF525" s="15" t="n">
        <v>107.6067828655792</v>
      </c>
      <c r="AH525" s="29">
        <f>HIPERLINK($A$1 &amp; "\Dados\Magnet_fields.txt_525.txt.txt", "Magnet_fields.txt_525.txt")</f>
        <v/>
      </c>
      <c r="AI525" t="n">
        <v>7402</v>
      </c>
      <c r="AJ525" t="n">
        <v>29</v>
      </c>
      <c r="AK525" s="29">
        <f>HIPERLINK($A$1 &amp; "\Dados\Magnet_3D_results.txt_525.txt.txt", "Magnet_3D_results.txt_525.txt")</f>
        <v/>
      </c>
      <c r="AL525" s="29">
        <f>HIPERLINK($A$1 &amp; "\Dados\Magnet_fields_2D.txt_525.txt.txt", "Magnet_fields_2D.txt_525.txt")</f>
        <v/>
      </c>
    </row>
    <row customHeight="1" ht="15.75" r="526" s="34">
      <c r="D526" s="30" t="n"/>
      <c r="E526" s="15" t="n">
        <v>150</v>
      </c>
      <c r="F526" s="15" t="n">
        <v>200</v>
      </c>
      <c r="G526" s="15" t="n">
        <v>430</v>
      </c>
      <c r="H526" s="15" t="n">
        <v>45</v>
      </c>
      <c r="I526" s="15" t="n">
        <v>180</v>
      </c>
      <c r="J526" s="13" t="n">
        <v>25</v>
      </c>
      <c r="K526" t="n">
        <v>35</v>
      </c>
      <c r="L526" s="13" t="n">
        <v>1.9</v>
      </c>
      <c r="M526" s="12" t="n"/>
      <c r="N526" s="8" t="n">
        <v>1.253712811293309</v>
      </c>
      <c r="O526" s="15" t="n">
        <v>1.103973125089287</v>
      </c>
      <c r="P526" s="15" t="n">
        <v>1.211649652254971</v>
      </c>
      <c r="Q526" s="15" t="n">
        <v>0.000711846954070014</v>
      </c>
      <c r="R526" s="15" t="n">
        <v>0.02946136635827788</v>
      </c>
      <c r="S526" s="15" t="n">
        <v>0.0008451741770524388</v>
      </c>
      <c r="T526" s="29">
        <f>HIPERLINK($A$1 &amp; "\Dados\Imagem_perfil_526.png", "Imagem_perfil_526")</f>
        <v/>
      </c>
      <c r="U526" s="29">
        <f>HIPERLINK($A$1 &amp; "\Dados\Results_airgap526.txt", "Results_airgap526")</f>
        <v/>
      </c>
      <c r="V526" s="19" t="n"/>
      <c r="W526" s="15" t="n">
        <v>1.543646086956522</v>
      </c>
      <c r="X526" s="15" t="n">
        <v>0.7924286343193327</v>
      </c>
      <c r="Y526" s="15" t="n">
        <v>0.344716812169571</v>
      </c>
      <c r="Z526" s="15" t="n">
        <v>0.1039661800015503</v>
      </c>
      <c r="AA526" s="15" t="n">
        <v>0.01259588804444214</v>
      </c>
      <c r="AB526" s="15" t="n">
        <v>1.533354874176747</v>
      </c>
      <c r="AC526" s="15" t="n">
        <v>8.65315322488769</v>
      </c>
      <c r="AD526" s="15" t="n">
        <v>29.73349431563512</v>
      </c>
      <c r="AE526" s="15" t="n">
        <v>69.30162916600291</v>
      </c>
      <c r="AF526" s="15" t="n">
        <v>107.7972937413456</v>
      </c>
      <c r="AH526" s="29">
        <f>HIPERLINK($A$1 &amp; "\Dados\Magnet_fields.txt_526.txt.txt", "Magnet_fields.txt_526.txt")</f>
        <v/>
      </c>
      <c r="AI526" t="n">
        <v>7402</v>
      </c>
      <c r="AJ526" t="n">
        <v>28</v>
      </c>
      <c r="AK526" s="29">
        <f>HIPERLINK($A$1 &amp; "\Dados\Magnet_3D_results.txt_526.txt.txt", "Magnet_3D_results.txt_526.txt")</f>
        <v/>
      </c>
      <c r="AL526" s="29">
        <f>HIPERLINK($A$1 &amp; "\Dados\Magnet_fields_2D.txt_526.txt.txt", "Magnet_fields_2D.txt_526.txt")</f>
        <v/>
      </c>
    </row>
    <row customHeight="1" ht="15.75" r="527" s="34">
      <c r="D527" s="30" t="n"/>
      <c r="E527" s="15" t="n">
        <v>150</v>
      </c>
      <c r="F527" s="15" t="n">
        <v>200</v>
      </c>
      <c r="G527" s="15" t="n">
        <v>430</v>
      </c>
      <c r="H527" s="15" t="n">
        <v>45</v>
      </c>
      <c r="I527" s="15" t="n">
        <v>180</v>
      </c>
      <c r="J527" s="13" t="n">
        <v>25</v>
      </c>
      <c r="K527" t="n">
        <v>35</v>
      </c>
      <c r="L527" s="13" t="n">
        <v>2.1</v>
      </c>
      <c r="M527" s="12" t="n"/>
      <c r="N527" s="8" t="n">
        <v>1.258337027916764</v>
      </c>
      <c r="O527" s="15" t="n">
        <v>1.107787380988276</v>
      </c>
      <c r="P527" s="15" t="n">
        <v>1.21591883606272</v>
      </c>
      <c r="Q527" s="15" t="n">
        <v>0.0007141309201117374</v>
      </c>
      <c r="R527" s="15" t="n">
        <v>0.02957484994945625</v>
      </c>
      <c r="S527" s="15" t="n">
        <v>0.0008476224464593926</v>
      </c>
      <c r="T527" s="29">
        <f>HIPERLINK($A$1 &amp; "\Dados\Imagem_perfil_527.png", "Imagem_perfil_527")</f>
        <v/>
      </c>
      <c r="U527" s="29">
        <f>HIPERLINK($A$1 &amp; "\Dados\Results_airgap527.txt", "Results_airgap527")</f>
        <v/>
      </c>
      <c r="V527" s="19" t="n"/>
      <c r="W527" s="15" t="n">
        <v>1.549559130434783</v>
      </c>
      <c r="X527" s="15" t="n">
        <v>0.7953924555279772</v>
      </c>
      <c r="Y527" s="15" t="n">
        <v>0.5157408981093339</v>
      </c>
      <c r="Z527" s="15" t="n">
        <v>0.1003572238905363</v>
      </c>
      <c r="AA527" s="15" t="n">
        <v>0.01214447155284072</v>
      </c>
      <c r="AB527" s="15" t="n">
        <v>2.054756921847278</v>
      </c>
      <c r="AC527" s="15" t="n">
        <v>9.794604051871557</v>
      </c>
      <c r="AD527" s="15" t="n">
        <v>30.6574964313184</v>
      </c>
      <c r="AE527" s="15" t="n">
        <v>69.71602325300437</v>
      </c>
      <c r="AF527" s="15" t="n">
        <v>107.8887991290972</v>
      </c>
      <c r="AH527" s="29">
        <f>HIPERLINK($A$1 &amp; "\Dados\Magnet_fields.txt_527.txt.txt", "Magnet_fields.txt_527.txt")</f>
        <v/>
      </c>
      <c r="AI527" t="n">
        <v>7402</v>
      </c>
      <c r="AJ527" t="n">
        <v>29</v>
      </c>
      <c r="AK527" s="29">
        <f>HIPERLINK($A$1 &amp; "\Dados\Magnet_3D_results.txt_527.txt.txt", "Magnet_3D_results.txt_527.txt")</f>
        <v/>
      </c>
      <c r="AL527" s="29">
        <f>HIPERLINK($A$1 &amp; "\Dados\Magnet_fields_2D.txt_527.txt.txt", "Magnet_fields_2D.txt_527.txt")</f>
        <v/>
      </c>
    </row>
    <row customHeight="1" ht="15.75" r="528" s="34">
      <c r="D528" s="30" t="n"/>
      <c r="E528" s="15" t="n">
        <v>120</v>
      </c>
      <c r="F528" s="15" t="n">
        <v>170</v>
      </c>
      <c r="G528" s="15" t="n">
        <v>350</v>
      </c>
      <c r="H528" s="15" t="n">
        <v>45</v>
      </c>
      <c r="I528" s="15" t="n">
        <v>140</v>
      </c>
      <c r="J528" s="13" t="n">
        <v>25</v>
      </c>
      <c r="K528" t="n">
        <v>40</v>
      </c>
      <c r="L528" s="13" t="n">
        <v>1.3</v>
      </c>
      <c r="M528" s="12" t="n"/>
      <c r="N528" s="8" t="n">
        <v>1.009674127300076</v>
      </c>
      <c r="O528" s="15" t="n">
        <v>0.7773999601584688</v>
      </c>
      <c r="P528" s="15" t="n">
        <v>0.9492204985690217</v>
      </c>
      <c r="Q528" s="15" t="n">
        <v>0.002028510457342102</v>
      </c>
      <c r="R528" s="15" t="n">
        <v>0.02673391805309078</v>
      </c>
      <c r="S528" s="15" t="n">
        <v>0.002954933121644359</v>
      </c>
      <c r="T528" s="29">
        <f>HIPERLINK($A$1 &amp; "\Dados\Imagem_perfil_528.png", "Imagem_perfil_528")</f>
        <v/>
      </c>
      <c r="U528" s="29">
        <f>HIPERLINK($A$1 &amp; "\Dados\Results_airgap528.txt", "Results_airgap528")</f>
        <v/>
      </c>
      <c r="V528" s="19" t="n"/>
      <c r="W528" s="43" t="n">
        <v>1.319407826086956</v>
      </c>
      <c r="X528" s="15" t="n">
        <v>0.6624361929583631</v>
      </c>
      <c r="Y528" s="15" t="n">
        <v>0.0005433565856971978</v>
      </c>
      <c r="Z528" s="15" t="n">
        <v>0.5055903461134456</v>
      </c>
      <c r="AA528" s="15" t="n">
        <v>1.343469602623492</v>
      </c>
      <c r="AB528" s="15" t="n">
        <v>0</v>
      </c>
      <c r="AC528" s="15" t="n">
        <v>0</v>
      </c>
      <c r="AD528" s="15" t="n">
        <v>0</v>
      </c>
      <c r="AE528" s="15" t="n">
        <v>59.77105814893149</v>
      </c>
      <c r="AF528" s="15" t="n">
        <v>110.0858729416765</v>
      </c>
      <c r="AH528" s="29">
        <f>HIPERLINK($A$1 &amp; "\Dados\Magnet_fields.txt_528.txt.txt", "Magnet_fields.txt_528.txt")</f>
        <v/>
      </c>
      <c r="AI528" t="n">
        <v>7565</v>
      </c>
      <c r="AJ528" t="n">
        <v>28</v>
      </c>
      <c r="AK528" s="29">
        <f>HIPERLINK($A$1 &amp; "\Dados\Magnet_3D_results.txt_528.txt.txt", "Magnet_3D_results.txt_528.txt")</f>
        <v/>
      </c>
      <c r="AL528" s="29">
        <f>HIPERLINK($A$1 &amp; "\Dados\Magnet_fields_2D.txt_528.txt.txt", "Magnet_fields_2D.txt_528.txt")</f>
        <v/>
      </c>
    </row>
    <row customHeight="1" ht="15.75" r="529" s="34">
      <c r="D529" s="30" t="n"/>
      <c r="E529" s="15" t="n">
        <v>120</v>
      </c>
      <c r="F529" s="15" t="n">
        <v>170</v>
      </c>
      <c r="G529" s="15" t="n">
        <v>350</v>
      </c>
      <c r="H529" s="15" t="n">
        <v>45</v>
      </c>
      <c r="I529" s="15" t="n">
        <v>140</v>
      </c>
      <c r="J529" s="13" t="n">
        <v>25</v>
      </c>
      <c r="K529" t="n">
        <v>40</v>
      </c>
      <c r="L529" s="13" t="n">
        <v>1.5</v>
      </c>
      <c r="M529" s="12" t="n"/>
      <c r="N529" s="8" t="n">
        <v>1.134612426033348</v>
      </c>
      <c r="O529" s="15" t="n">
        <v>0.8702959677384509</v>
      </c>
      <c r="P529" s="15" t="n">
        <v>1.057597523720962</v>
      </c>
      <c r="Q529" s="15" t="n">
        <v>0.002011625473096514</v>
      </c>
      <c r="R529" s="15" t="n">
        <v>0.03145706255534791</v>
      </c>
      <c r="S529" s="15" t="n">
        <v>0.003069155068381121</v>
      </c>
      <c r="T529" s="29">
        <f>HIPERLINK($A$1 &amp; "\Dados\Imagem_perfil_529.png", "Imagem_perfil_529")</f>
        <v/>
      </c>
      <c r="U529" s="29">
        <f>HIPERLINK($A$1 &amp; "\Dados\Results_airgap529.txt", "Results_airgap529")</f>
        <v/>
      </c>
      <c r="V529" s="19" t="n"/>
      <c r="W529" s="43" t="n">
        <v>1.478603043478261</v>
      </c>
      <c r="X529" s="15" t="n">
        <v>0.7456457101092065</v>
      </c>
      <c r="Y529" s="15" t="n">
        <v>0.02671322534517476</v>
      </c>
      <c r="Z529" s="15" t="n">
        <v>0.03506656498674537</v>
      </c>
      <c r="AA529" s="15" t="n">
        <v>0.01620595083790827</v>
      </c>
      <c r="AB529" s="15" t="n">
        <v>0</v>
      </c>
      <c r="AC529" s="15" t="n">
        <v>4.190787611431549</v>
      </c>
      <c r="AD529" s="15" t="n">
        <v>34.12996249562972</v>
      </c>
      <c r="AE529" s="15" t="n">
        <v>77.41172073091094</v>
      </c>
      <c r="AF529" s="15" t="n">
        <v>113.0274623208269</v>
      </c>
      <c r="AH529" s="29">
        <f>HIPERLINK($A$1 &amp; "\Dados\Magnet_fields.txt_529.txt.txt", "Magnet_fields.txt_529.txt")</f>
        <v/>
      </c>
      <c r="AI529" t="n">
        <v>7565</v>
      </c>
      <c r="AJ529" t="n">
        <v>28</v>
      </c>
      <c r="AK529" s="29">
        <f>HIPERLINK($A$1 &amp; "\Dados\Magnet_3D_results.txt_529.txt.txt", "Magnet_3D_results.txt_529.txt")</f>
        <v/>
      </c>
      <c r="AL529" s="29">
        <f>HIPERLINK($A$1 &amp; "\Dados\Magnet_fields_2D.txt_529.txt.txt", "Magnet_fields_2D.txt_529.txt")</f>
        <v/>
      </c>
    </row>
    <row customHeight="1" ht="15.75" r="530" s="34">
      <c r="D530" s="30" t="n"/>
      <c r="E530" s="15" t="n">
        <v>120</v>
      </c>
      <c r="F530" s="15" t="n">
        <v>170</v>
      </c>
      <c r="G530" s="15" t="n">
        <v>350</v>
      </c>
      <c r="H530" s="15" t="n">
        <v>45</v>
      </c>
      <c r="I530" s="15" t="n">
        <v>140</v>
      </c>
      <c r="J530" s="13" t="n">
        <v>25</v>
      </c>
      <c r="K530" t="n">
        <v>40</v>
      </c>
      <c r="L530" s="13" t="n">
        <v>1.7</v>
      </c>
      <c r="M530" s="12" t="n"/>
      <c r="N530" s="8" t="n">
        <v>1.151581072135249</v>
      </c>
      <c r="O530" s="15" t="n">
        <v>0.8825216385099104</v>
      </c>
      <c r="P530" s="15" t="n">
        <v>1.072639168221812</v>
      </c>
      <c r="Q530" s="15" t="n">
        <v>0.002008851757903514</v>
      </c>
      <c r="R530" s="15" t="n">
        <v>0.03175103978583909</v>
      </c>
      <c r="S530" s="15" t="n">
        <v>0.003072636902946264</v>
      </c>
      <c r="T530" s="29">
        <f>HIPERLINK($A$1 &amp; "\Dados\Imagem_perfil_530.png", "Imagem_perfil_530")</f>
        <v/>
      </c>
      <c r="U530" s="29">
        <f>HIPERLINK($A$1 &amp; "\Dados\Results_airgap530.txt", "Results_airgap530")</f>
        <v/>
      </c>
      <c r="V530" s="19" t="n"/>
      <c r="W530" s="15" t="n">
        <v>1.503825869565217</v>
      </c>
      <c r="X530" s="15" t="n">
        <v>0.7564844315762048</v>
      </c>
      <c r="Y530" s="15" t="n">
        <v>0.1340546697922135</v>
      </c>
      <c r="Z530" s="15" t="n">
        <v>0.02404814307071067</v>
      </c>
      <c r="AA530" s="15" t="n">
        <v>0.01620595083790827</v>
      </c>
      <c r="AB530" s="15" t="n">
        <v>1.220387281658231</v>
      </c>
      <c r="AC530" s="15" t="n">
        <v>9.740129466661957</v>
      </c>
      <c r="AD530" s="15" t="n">
        <v>37.66092347451936</v>
      </c>
      <c r="AE530" s="15" t="n">
        <v>78.72362415270813</v>
      </c>
      <c r="AF530" s="15" t="n">
        <v>113.3237595246703</v>
      </c>
      <c r="AH530" s="29">
        <f>HIPERLINK($A$1 &amp; "\Dados\Magnet_fields.txt_530.txt.txt", "Magnet_fields.txt_530.txt")</f>
        <v/>
      </c>
      <c r="AI530" t="n">
        <v>7565</v>
      </c>
      <c r="AJ530" t="n">
        <v>28</v>
      </c>
      <c r="AK530" s="29">
        <f>HIPERLINK($A$1 &amp; "\Dados\Magnet_3D_results.txt_530.txt.txt", "Magnet_3D_results.txt_530.txt")</f>
        <v/>
      </c>
      <c r="AL530" s="29">
        <f>HIPERLINK($A$1 &amp; "\Dados\Magnet_fields_2D.txt_530.txt.txt", "Magnet_fields_2D.txt_530.txt")</f>
        <v/>
      </c>
    </row>
    <row customHeight="1" ht="15.75" r="531" s="34">
      <c r="D531" s="30" t="n"/>
      <c r="E531" s="15" t="n">
        <v>120</v>
      </c>
      <c r="F531" s="15" t="n">
        <v>170</v>
      </c>
      <c r="G531" s="15" t="n">
        <v>350</v>
      </c>
      <c r="H531" s="15" t="n">
        <v>45</v>
      </c>
      <c r="I531" s="15" t="n">
        <v>140</v>
      </c>
      <c r="J531" s="13" t="n">
        <v>25</v>
      </c>
      <c r="K531" t="n">
        <v>40</v>
      </c>
      <c r="L531" s="13" t="n">
        <v>1.9</v>
      </c>
      <c r="M531" s="12" t="n"/>
      <c r="N531" s="8" t="n">
        <v>1.157884735727623</v>
      </c>
      <c r="O531" s="15" t="n">
        <v>0.8871128534126084</v>
      </c>
      <c r="P531" s="15" t="n">
        <v>1.07831352230327</v>
      </c>
      <c r="Q531" s="15" t="n">
        <v>0.002001676285006883</v>
      </c>
      <c r="R531" s="15" t="n">
        <v>0.03185527607467575</v>
      </c>
      <c r="S531" s="15" t="n">
        <v>0.003068029105331127</v>
      </c>
      <c r="T531" s="29">
        <f>HIPERLINK($A$1 &amp; "\Dados\Imagem_perfil_531.png", "Imagem_perfil_531")</f>
        <v/>
      </c>
      <c r="U531" s="29">
        <f>HIPERLINK($A$1 &amp; "\Dados\Results_airgap531.txt", "Results_airgap531")</f>
        <v/>
      </c>
      <c r="V531" s="19" t="n"/>
      <c r="W531" s="15" t="n">
        <v>1.510628913043479</v>
      </c>
      <c r="X531" s="15" t="n">
        <v>0.7605394718571497</v>
      </c>
      <c r="Y531" s="15" t="n">
        <v>0.285686030317902</v>
      </c>
      <c r="Z531" s="15" t="n">
        <v>0.02404814307071067</v>
      </c>
      <c r="AA531" s="15" t="n">
        <v>0.01588161914462992</v>
      </c>
      <c r="AB531" s="15" t="n">
        <v>2.010677001786636</v>
      </c>
      <c r="AC531" s="15" t="n">
        <v>11.28230220850242</v>
      </c>
      <c r="AD531" s="15" t="n">
        <v>38.70205330138633</v>
      </c>
      <c r="AE531" s="15" t="n">
        <v>79.09112340109044</v>
      </c>
      <c r="AF531" s="15" t="n">
        <v>113.4552713658639</v>
      </c>
      <c r="AH531" s="29">
        <f>HIPERLINK($A$1 &amp; "\Dados\Magnet_fields.txt_531.txt.txt", "Magnet_fields.txt_531.txt")</f>
        <v/>
      </c>
      <c r="AI531" t="n">
        <v>7565</v>
      </c>
      <c r="AJ531" t="n">
        <v>28</v>
      </c>
      <c r="AK531" s="29">
        <f>HIPERLINK($A$1 &amp; "\Dados\Magnet_3D_results.txt_531.txt.txt", "Magnet_3D_results.txt_531.txt")</f>
        <v/>
      </c>
      <c r="AL531" s="29">
        <f>HIPERLINK($A$1 &amp; "\Dados\Magnet_fields_2D.txt_531.txt.txt", "Magnet_fields_2D.txt_531.txt")</f>
        <v/>
      </c>
    </row>
    <row customHeight="1" ht="15.75" r="532" s="34">
      <c r="D532" s="30" t="n"/>
      <c r="E532" s="15" t="n">
        <v>120</v>
      </c>
      <c r="F532" s="15" t="n">
        <v>170</v>
      </c>
      <c r="G532" s="15" t="n">
        <v>350</v>
      </c>
      <c r="H532" s="15" t="n">
        <v>45</v>
      </c>
      <c r="I532" s="15" t="n">
        <v>140</v>
      </c>
      <c r="J532" s="13" t="n">
        <v>25</v>
      </c>
      <c r="K532" t="n">
        <v>40</v>
      </c>
      <c r="L532" s="13" t="n">
        <v>2.1</v>
      </c>
      <c r="M532" s="12" t="n"/>
      <c r="N532" s="8" t="n">
        <v>1.159289753512065</v>
      </c>
      <c r="O532" s="15" t="n">
        <v>0.8880622410987874</v>
      </c>
      <c r="P532" s="15" t="n">
        <v>1.079369979109557</v>
      </c>
      <c r="Q532" s="15" t="n">
        <v>0.00199910150493955</v>
      </c>
      <c r="R532" s="15" t="n">
        <v>0.03187784283786745</v>
      </c>
      <c r="S532" s="15" t="n">
        <v>0.003065953444771786</v>
      </c>
      <c r="T532" s="29">
        <f>HIPERLINK($A$1 &amp; "\Dados\Imagem_perfil_532.png", "Imagem_perfil_532")</f>
        <v/>
      </c>
      <c r="U532" s="29">
        <f>HIPERLINK($A$1 &amp; "\Dados\Results_airgap532.txt", "Results_airgap532")</f>
        <v/>
      </c>
      <c r="V532" s="19" t="n"/>
      <c r="W532" s="15" t="n">
        <v>1.513559130434783</v>
      </c>
      <c r="X532" s="15" t="n">
        <v>0.7614414505638449</v>
      </c>
      <c r="Y532" s="15" t="n">
        <v>0.4522722597245232</v>
      </c>
      <c r="Z532" s="15" t="n">
        <v>0.01809622766070978</v>
      </c>
      <c r="AA532" s="15" t="n">
        <v>0.01551741060381735</v>
      </c>
      <c r="AB532" s="15" t="n">
        <v>2.358024051933611</v>
      </c>
      <c r="AC532" s="15" t="n">
        <v>11.98993292286303</v>
      </c>
      <c r="AD532" s="15" t="n">
        <v>39.16673642540941</v>
      </c>
      <c r="AE532" s="15" t="n">
        <v>79.24643833707191</v>
      </c>
      <c r="AF532" s="15" t="n">
        <v>113.4410223229323</v>
      </c>
      <c r="AH532" s="29">
        <f>HIPERLINK($A$1 &amp; "\Dados\Magnet_fields.txt_532.txt.txt", "Magnet_fields.txt_532.txt")</f>
        <v/>
      </c>
      <c r="AI532" t="n">
        <v>7565</v>
      </c>
      <c r="AJ532" t="n">
        <v>28</v>
      </c>
      <c r="AK532" s="29">
        <f>HIPERLINK($A$1 &amp; "\Dados\Magnet_3D_results.txt_532.txt.txt", "Magnet_3D_results.txt_532.txt")</f>
        <v/>
      </c>
      <c r="AL532" s="29">
        <f>HIPERLINK($A$1 &amp; "\Dados\Magnet_fields_2D.txt_532.txt.txt", "Magnet_fields_2D.txt_532.txt")</f>
        <v/>
      </c>
    </row>
    <row customHeight="1" ht="15.75" r="533" s="34">
      <c r="D533" s="30" t="n"/>
      <c r="E533" s="15" t="n">
        <v>120</v>
      </c>
      <c r="F533" s="15" t="n">
        <v>170</v>
      </c>
      <c r="G533" s="15" t="n">
        <v>350</v>
      </c>
      <c r="H533" s="15" t="n">
        <v>25</v>
      </c>
      <c r="I533" s="15" t="n">
        <v>180</v>
      </c>
      <c r="J533" s="13" t="n">
        <v>25</v>
      </c>
      <c r="K533" t="n">
        <v>40</v>
      </c>
      <c r="L533" s="13" t="n">
        <v>1.3</v>
      </c>
      <c r="M533" s="12" t="n"/>
      <c r="N533" s="8" t="n">
        <v>1.068154987972299</v>
      </c>
      <c r="O533" s="15" t="n">
        <v>0.9344019187331547</v>
      </c>
      <c r="P533" s="15" t="n">
        <v>1.024427318080495</v>
      </c>
      <c r="Q533" s="15" t="n">
        <v>0.002125743731563581</v>
      </c>
      <c r="R533" s="15" t="n">
        <v>0.02039845734547694</v>
      </c>
      <c r="S533" s="15" t="n">
        <v>0.002179692688278805</v>
      </c>
      <c r="T533" s="29">
        <f>HIPERLINK($A$1 &amp; "\Dados\Imagem_perfil_533.png", "Imagem_perfil_533")</f>
        <v/>
      </c>
      <c r="U533" s="29">
        <f>HIPERLINK($A$1 &amp; "\Dados\Results_airgap533.txt", "Results_airgap533")</f>
        <v/>
      </c>
      <c r="V533" s="19" t="n"/>
      <c r="W533" s="43" t="n">
        <v>1.319047391304348</v>
      </c>
      <c r="X533" s="15" t="n">
        <v>0.6618080762531013</v>
      </c>
      <c r="Y533" s="15" t="n">
        <v>0.000549765215898423</v>
      </c>
      <c r="Z533" s="15" t="n">
        <v>0.6128867801804666</v>
      </c>
      <c r="AA533" s="15" t="n">
        <v>7.065760434546781</v>
      </c>
      <c r="AB533" s="15" t="n">
        <v>0</v>
      </c>
      <c r="AC533" s="15" t="n">
        <v>0</v>
      </c>
      <c r="AD533" s="15" t="n">
        <v>0</v>
      </c>
      <c r="AE533" s="15" t="n">
        <v>60.65137090920789</v>
      </c>
      <c r="AF533" s="15" t="n">
        <v>105.4563115587809</v>
      </c>
      <c r="AH533" s="29">
        <f>HIPERLINK($A$1 &amp; "\Dados\Magnet_fields.txt_533.txt.txt", "Magnet_fields.txt_533.txt")</f>
        <v/>
      </c>
      <c r="AI533" t="n">
        <v>9994</v>
      </c>
      <c r="AJ533" t="n">
        <v>30</v>
      </c>
      <c r="AK533" s="29">
        <f>HIPERLINK($A$1 &amp; "\Dados\Magnet_3D_results.txt_533.txt.txt", "Magnet_3D_results.txt_533.txt")</f>
        <v/>
      </c>
      <c r="AL533" s="29">
        <f>HIPERLINK($A$1 &amp; "\Dados\Magnet_fields_2D.txt_533.txt.txt", "Magnet_fields_2D.txt_533.txt")</f>
        <v/>
      </c>
    </row>
    <row customHeight="1" ht="15.75" r="534" s="34">
      <c r="D534" s="30" t="n"/>
      <c r="E534" s="15" t="n">
        <v>120</v>
      </c>
      <c r="F534" s="15" t="n">
        <v>170</v>
      </c>
      <c r="G534" s="15" t="n">
        <v>350</v>
      </c>
      <c r="H534" s="15" t="n">
        <v>25</v>
      </c>
      <c r="I534" s="15" t="n">
        <v>180</v>
      </c>
      <c r="J534" s="13" t="n">
        <v>25</v>
      </c>
      <c r="K534" t="n">
        <v>40</v>
      </c>
      <c r="L534" s="13" t="n">
        <v>1.5</v>
      </c>
      <c r="M534" s="12" t="n"/>
      <c r="N534" s="8" t="n">
        <v>1.219069631110391</v>
      </c>
      <c r="O534" s="15" t="n">
        <v>1.070932889830618</v>
      </c>
      <c r="P534" s="15" t="n">
        <v>1.17054466398448</v>
      </c>
      <c r="Q534" s="15" t="n">
        <v>0.002127639960728028</v>
      </c>
      <c r="R534" s="15" t="n">
        <v>0.02966187585570825</v>
      </c>
      <c r="S534" s="15" t="n">
        <v>0.002237695662554665</v>
      </c>
      <c r="T534" s="29">
        <f>HIPERLINK($A$1 &amp; "\Dados\Imagem_perfil_534.png", "Imagem_perfil_534")</f>
        <v/>
      </c>
      <c r="U534" s="29">
        <f>HIPERLINK($A$1 &amp; "\Dados\Results_airgap534.txt", "Results_airgap534")</f>
        <v/>
      </c>
      <c r="V534" s="19" t="n"/>
      <c r="W534" s="43" t="n">
        <v>1.478534565217391</v>
      </c>
      <c r="X534" s="15" t="n">
        <v>0.7618551709660266</v>
      </c>
      <c r="Y534" s="15" t="n">
        <v>0.02675905905158716</v>
      </c>
      <c r="Z534" s="15" t="n">
        <v>0.09241528538618048</v>
      </c>
      <c r="AA534" s="15" t="n">
        <v>2.233947259925364</v>
      </c>
      <c r="AB534" s="15" t="n">
        <v>0</v>
      </c>
      <c r="AC534" s="15" t="n">
        <v>4.205029347541653</v>
      </c>
      <c r="AD534" s="15" t="n">
        <v>34.14065122612801</v>
      </c>
      <c r="AE534" s="15" t="n">
        <v>77.42157336857703</v>
      </c>
      <c r="AF534" s="15" t="n">
        <v>113.0403730839485</v>
      </c>
      <c r="AH534" s="29">
        <f>HIPERLINK($A$1 &amp; "\Dados\Magnet_fields.txt_534.txt.txt", "Magnet_fields.txt_534.txt")</f>
        <v/>
      </c>
      <c r="AI534" t="n">
        <v>9994</v>
      </c>
      <c r="AJ534" t="n">
        <v>30</v>
      </c>
      <c r="AK534" s="29">
        <f>HIPERLINK($A$1 &amp; "\Dados\Magnet_3D_results.txt_534.txt.txt", "Magnet_3D_results.txt_534.txt")</f>
        <v/>
      </c>
      <c r="AL534" s="29">
        <f>HIPERLINK($A$1 &amp; "\Dados\Magnet_fields_2D.txt_534.txt.txt", "Magnet_fields_2D.txt_534.txt")</f>
        <v/>
      </c>
    </row>
    <row customHeight="1" ht="15.75" r="535" s="34">
      <c r="D535" s="30" t="n"/>
      <c r="E535" s="15" t="n">
        <v>120</v>
      </c>
      <c r="F535" s="15" t="n">
        <v>170</v>
      </c>
      <c r="G535" s="15" t="n">
        <v>350</v>
      </c>
      <c r="H535" s="15" t="n">
        <v>25</v>
      </c>
      <c r="I535" s="15" t="n">
        <v>180</v>
      </c>
      <c r="J535" s="13" t="n">
        <v>25</v>
      </c>
      <c r="K535" t="n">
        <v>40</v>
      </c>
      <c r="L535" s="13" t="n">
        <v>1.7</v>
      </c>
      <c r="M535" s="12" t="n"/>
      <c r="N535" s="8" t="n">
        <v>1.240352347658806</v>
      </c>
      <c r="O535" s="15" t="n">
        <v>1.088680329260699</v>
      </c>
      <c r="P535" s="15" t="n">
        <v>1.190390374280139</v>
      </c>
      <c r="Q535" s="15" t="n">
        <v>0.002136089249542067</v>
      </c>
      <c r="R535" s="15" t="n">
        <v>0.03054601626787629</v>
      </c>
      <c r="S535" s="15" t="n">
        <v>0.002250289783951413</v>
      </c>
      <c r="T535" s="29">
        <f>HIPERLINK($A$1 &amp; "\Dados\Imagem_perfil_535.png", "Imagem_perfil_535")</f>
        <v/>
      </c>
      <c r="U535" s="29">
        <f>HIPERLINK($A$1 &amp; "\Dados\Results_airgap535.txt", "Results_airgap535")</f>
        <v/>
      </c>
      <c r="V535" s="19" t="n"/>
      <c r="W535" s="15" t="n">
        <v>1.503750652173913</v>
      </c>
      <c r="X535" s="15" t="n">
        <v>0.7750613419210167</v>
      </c>
      <c r="Y535" s="15" t="n">
        <v>0.1341505627990302</v>
      </c>
      <c r="Z535" s="15" t="n">
        <v>0.07524151570080012</v>
      </c>
      <c r="AA535" s="15" t="n">
        <v>1.651257790335839</v>
      </c>
      <c r="AB535" s="15" t="n">
        <v>1.221671722323274</v>
      </c>
      <c r="AC535" s="15" t="n">
        <v>9.74876679962258</v>
      </c>
      <c r="AD535" s="15" t="n">
        <v>37.67405132615402</v>
      </c>
      <c r="AE535" s="15" t="n">
        <v>78.74042224641103</v>
      </c>
      <c r="AF535" s="15" t="n">
        <v>113.3347802539557</v>
      </c>
      <c r="AH535" s="29">
        <f>HIPERLINK($A$1 &amp; "\Dados\Magnet_fields.txt_535.txt.txt", "Magnet_fields.txt_535.txt")</f>
        <v/>
      </c>
      <c r="AI535" t="n">
        <v>9994</v>
      </c>
      <c r="AJ535" t="n">
        <v>30</v>
      </c>
      <c r="AK535" s="29">
        <f>HIPERLINK($A$1 &amp; "\Dados\Magnet_3D_results.txt_535.txt.txt", "Magnet_3D_results.txt_535.txt")</f>
        <v/>
      </c>
      <c r="AL535" s="29">
        <f>HIPERLINK($A$1 &amp; "\Dados\Magnet_fields_2D.txt_535.txt.txt", "Magnet_fields_2D.txt_535.txt")</f>
        <v/>
      </c>
    </row>
    <row customHeight="1" ht="15.75" r="536" s="34">
      <c r="D536" s="30" t="n"/>
      <c r="E536" s="15" t="n">
        <v>120</v>
      </c>
      <c r="F536" s="15" t="n">
        <v>170</v>
      </c>
      <c r="G536" s="15" t="n">
        <v>350</v>
      </c>
      <c r="H536" s="15" t="n">
        <v>25</v>
      </c>
      <c r="I536" s="15" t="n">
        <v>180</v>
      </c>
      <c r="J536" s="13" t="n">
        <v>25</v>
      </c>
      <c r="K536" t="n">
        <v>40</v>
      </c>
      <c r="L536" s="13" t="n">
        <v>1.9</v>
      </c>
      <c r="M536" s="12" t="n"/>
      <c r="N536" s="8" t="n">
        <v>1.248688656211808</v>
      </c>
      <c r="O536" s="15" t="n">
        <v>1.09559788139758</v>
      </c>
      <c r="P536" s="15" t="n">
        <v>1.198165934591494</v>
      </c>
      <c r="Q536" s="15" t="n">
        <v>0.002134573245660385</v>
      </c>
      <c r="R536" s="15" t="n">
        <v>0.03096888126942669</v>
      </c>
      <c r="S536" s="15" t="n">
        <v>0.002251108764028041</v>
      </c>
      <c r="T536" s="29">
        <f>HIPERLINK($A$1 &amp; "\Dados\Imagem_perfil_536.png", "Imagem_perfil_536")</f>
        <v/>
      </c>
      <c r="U536" s="29">
        <f>HIPERLINK($A$1 &amp; "\Dados\Results_airgap536.txt", "Results_airgap536")</f>
        <v/>
      </c>
      <c r="V536" s="19" t="n"/>
      <c r="W536" s="15" t="n">
        <v>1.510577826086957</v>
      </c>
      <c r="X536" s="15" t="n">
        <v>0.7803086225354867</v>
      </c>
      <c r="Y536" s="15" t="n">
        <v>0.2858113074561058</v>
      </c>
      <c r="Z536" s="15" t="n">
        <v>0.07017865439008525</v>
      </c>
      <c r="AA536" s="15" t="n">
        <v>1.24300143581823</v>
      </c>
      <c r="AB536" s="15" t="n">
        <v>2.016891422537172</v>
      </c>
      <c r="AC536" s="15" t="n">
        <v>11.29787799889074</v>
      </c>
      <c r="AD536" s="15" t="n">
        <v>38.71734514832261</v>
      </c>
      <c r="AE536" s="15" t="n">
        <v>79.10847266929906</v>
      </c>
      <c r="AF536" s="15" t="n">
        <v>113.4559781519523</v>
      </c>
      <c r="AH536" s="29">
        <f>HIPERLINK($A$1 &amp; "\Dados\Magnet_fields.txt_536.txt.txt", "Magnet_fields.txt_536.txt")</f>
        <v/>
      </c>
      <c r="AI536" t="n">
        <v>9994</v>
      </c>
      <c r="AJ536" t="n">
        <v>30</v>
      </c>
      <c r="AK536" s="29">
        <f>HIPERLINK($A$1 &amp; "\Dados\Magnet_3D_results.txt_536.txt.txt", "Magnet_3D_results.txt_536.txt")</f>
        <v/>
      </c>
      <c r="AL536" s="29">
        <f>HIPERLINK($A$1 &amp; "\Dados\Magnet_fields_2D.txt_536.txt.txt", "Magnet_fields_2D.txt_536.txt")</f>
        <v/>
      </c>
    </row>
    <row customHeight="1" ht="15.75" r="537" s="34">
      <c r="D537" s="30" t="n"/>
      <c r="E537" s="15" t="n">
        <v>120</v>
      </c>
      <c r="F537" s="15" t="n">
        <v>170</v>
      </c>
      <c r="G537" s="15" t="n">
        <v>350</v>
      </c>
      <c r="H537" s="15" t="n">
        <v>25</v>
      </c>
      <c r="I537" s="15" t="n">
        <v>180</v>
      </c>
      <c r="J537" s="13" t="n">
        <v>25</v>
      </c>
      <c r="K537" t="n">
        <v>40</v>
      </c>
      <c r="L537" s="13" t="n">
        <v>2.1</v>
      </c>
      <c r="M537" s="12" t="n"/>
      <c r="N537" s="8" t="n">
        <v>1.250604137360431</v>
      </c>
      <c r="O537" s="15" t="n">
        <v>1.097350406574035</v>
      </c>
      <c r="P537" s="15" t="n">
        <v>1.200034561783092</v>
      </c>
      <c r="Q537" s="15" t="n">
        <v>0.002134010023457669</v>
      </c>
      <c r="R537" s="15" t="n">
        <v>0.03110259698047181</v>
      </c>
      <c r="S537" s="15" t="n">
        <v>0.002251278244575155</v>
      </c>
      <c r="T537" s="29">
        <f>HIPERLINK($A$1 &amp; "\Dados\Imagem_perfil_537.png", "Imagem_perfil_537")</f>
        <v/>
      </c>
      <c r="U537" s="29">
        <f>HIPERLINK($A$1 &amp; "\Dados\Results_airgap537.txt", "Results_airgap537")</f>
        <v/>
      </c>
      <c r="V537" s="19" t="n"/>
      <c r="W537" s="15" t="n">
        <v>1.513500434782609</v>
      </c>
      <c r="X537" s="15" t="n">
        <v>0.7816063502789412</v>
      </c>
      <c r="Y537" s="15" t="n">
        <v>0.4524145597356863</v>
      </c>
      <c r="Z537" s="15" t="n">
        <v>0.06896713845930967</v>
      </c>
      <c r="AA537" s="15" t="n">
        <v>1.07268132201393</v>
      </c>
      <c r="AB537" s="15" t="n">
        <v>2.385065486617402</v>
      </c>
      <c r="AC537" s="15" t="n">
        <v>11.99765108790361</v>
      </c>
      <c r="AD537" s="15" t="n">
        <v>39.17787833691082</v>
      </c>
      <c r="AE537" s="15" t="n">
        <v>79.25813317544059</v>
      </c>
      <c r="AF537" s="15" t="n">
        <v>113.446559633342</v>
      </c>
      <c r="AH537" s="29">
        <f>HIPERLINK($A$1 &amp; "\Dados\Magnet_fields.txt_537.txt.txt", "Magnet_fields.txt_537.txt")</f>
        <v/>
      </c>
      <c r="AI537" t="n">
        <v>9994</v>
      </c>
      <c r="AJ537" t="n">
        <v>30</v>
      </c>
      <c r="AK537" s="29">
        <f>HIPERLINK($A$1 &amp; "\Dados\Magnet_3D_results.txt_537.txt.txt", "Magnet_3D_results.txt_537.txt")</f>
        <v/>
      </c>
      <c r="AL537" s="29">
        <f>HIPERLINK($A$1 &amp; "\Dados\Magnet_fields_2D.txt_537.txt.txt", "Magnet_fields_2D.txt_537.txt")</f>
        <v/>
      </c>
    </row>
    <row customHeight="1" ht="15.75" r="538" s="34">
      <c r="D538" s="30" t="n"/>
      <c r="E538" s="15" t="n">
        <v>120</v>
      </c>
      <c r="F538" s="15" t="n">
        <v>170</v>
      </c>
      <c r="G538" s="15" t="n">
        <v>350</v>
      </c>
      <c r="H538" s="15" t="n">
        <v>45</v>
      </c>
      <c r="I538" s="15" t="n">
        <v>180</v>
      </c>
      <c r="J538" s="13" t="n">
        <v>25</v>
      </c>
      <c r="K538" t="n">
        <v>40</v>
      </c>
      <c r="L538" s="13" t="n">
        <v>1.3</v>
      </c>
      <c r="M538" s="12" t="n"/>
      <c r="N538" s="8" t="n">
        <v>1.09752868487351</v>
      </c>
      <c r="O538" s="15" t="n">
        <v>0.9628880432341864</v>
      </c>
      <c r="P538" s="15" t="n">
        <v>1.053487368832709</v>
      </c>
      <c r="Q538" s="15" t="n">
        <v>0.002243704870222644</v>
      </c>
      <c r="R538" s="15" t="n">
        <v>0.02725898315934265</v>
      </c>
      <c r="S538" s="15" t="n">
        <v>0.00233806496245559</v>
      </c>
      <c r="T538" s="29">
        <f>HIPERLINK($A$1 &amp; "\Dados\Imagem_perfil_538.png", "Imagem_perfil_538")</f>
        <v/>
      </c>
      <c r="U538" s="29">
        <f>HIPERLINK($A$1 &amp; "\Dados\Results_airgap538.txt", "Results_airgap538")</f>
        <v/>
      </c>
      <c r="V538" s="19" t="n"/>
      <c r="W538" s="43" t="n">
        <v>1.318259565217391</v>
      </c>
      <c r="X538" s="15" t="n">
        <v>0.6848664389808674</v>
      </c>
      <c r="Y538" s="15" t="n">
        <v>0.0005562379741022767</v>
      </c>
      <c r="Z538" s="15" t="n">
        <v>0.7235472856933954</v>
      </c>
      <c r="AA538" s="15" t="n">
        <v>1.433095676765012</v>
      </c>
      <c r="AB538" s="15" t="n">
        <v>0</v>
      </c>
      <c r="AC538" s="15" t="n">
        <v>0</v>
      </c>
      <c r="AD538" s="15" t="n">
        <v>0</v>
      </c>
      <c r="AE538" s="15" t="n">
        <v>60.51730713182117</v>
      </c>
      <c r="AF538" s="15" t="n">
        <v>104.1151533248772</v>
      </c>
      <c r="AH538" s="29">
        <f>HIPERLINK($A$1 &amp; "\Dados\Magnet_fields.txt_538.txt.txt", "Magnet_fields.txt_538.txt")</f>
        <v/>
      </c>
      <c r="AI538" t="n">
        <v>7427</v>
      </c>
      <c r="AJ538" t="n">
        <v>28</v>
      </c>
      <c r="AK538" s="29">
        <f>HIPERLINK($A$1 &amp; "\Dados\Magnet_3D_results.txt_538.txt.txt", "Magnet_3D_results.txt_538.txt")</f>
        <v/>
      </c>
      <c r="AL538" s="29">
        <f>HIPERLINK($A$1 &amp; "\Dados\Magnet_fields_2D.txt_538.txt.txt", "Magnet_fields_2D.txt_538.txt")</f>
        <v/>
      </c>
    </row>
    <row customHeight="1" ht="15.75" r="539" s="34">
      <c r="D539" s="30" t="n"/>
      <c r="E539" s="15" t="n">
        <v>120</v>
      </c>
      <c r="F539" s="15" t="n">
        <v>170</v>
      </c>
      <c r="G539" s="15" t="n">
        <v>350</v>
      </c>
      <c r="H539" s="15" t="n">
        <v>45</v>
      </c>
      <c r="I539" s="15" t="n">
        <v>180</v>
      </c>
      <c r="J539" s="13" t="n">
        <v>25</v>
      </c>
      <c r="K539" t="n">
        <v>40</v>
      </c>
      <c r="L539" s="13" t="n">
        <v>1.5</v>
      </c>
      <c r="M539" s="12" t="n"/>
      <c r="N539" s="8" t="n">
        <v>1.233142053810541</v>
      </c>
      <c r="O539" s="15" t="n">
        <v>1.084465753993712</v>
      </c>
      <c r="P539" s="15" t="n">
        <v>1.184433423581728</v>
      </c>
      <c r="Q539" s="15" t="n">
        <v>0.002201810303190886</v>
      </c>
      <c r="R539" s="15" t="n">
        <v>0.03269869132105883</v>
      </c>
      <c r="S539" s="15" t="n">
        <v>0.002334888943973974</v>
      </c>
      <c r="T539" s="29">
        <f>HIPERLINK($A$1 &amp; "\Dados\Imagem_perfil_539.png", "Imagem_perfil_539")</f>
        <v/>
      </c>
      <c r="U539" s="29">
        <f>HIPERLINK($A$1 &amp; "\Dados\Results_airgap539.txt", "Results_airgap539")</f>
        <v/>
      </c>
      <c r="V539" s="19" t="n"/>
      <c r="W539" s="43" t="n">
        <v>1.478626304347826</v>
      </c>
      <c r="X539" s="15" t="n">
        <v>0.7726692648931115</v>
      </c>
      <c r="Y539" s="15" t="n">
        <v>0.02671322707256671</v>
      </c>
      <c r="Z539" s="15" t="n">
        <v>0.1001605152812588</v>
      </c>
      <c r="AA539" s="15" t="n">
        <v>0.009885614487294629</v>
      </c>
      <c r="AB539" s="15" t="n">
        <v>0</v>
      </c>
      <c r="AC539" s="15" t="n">
        <v>4.201652055754209</v>
      </c>
      <c r="AD539" s="15" t="n">
        <v>34.12831238124254</v>
      </c>
      <c r="AE539" s="15" t="n">
        <v>77.40058118283574</v>
      </c>
      <c r="AF539" s="15" t="n">
        <v>113.0284583852022</v>
      </c>
      <c r="AH539" s="29">
        <f>HIPERLINK($A$1 &amp; "\Dados\Magnet_fields.txt_539.txt.txt", "Magnet_fields.txt_539.txt")</f>
        <v/>
      </c>
      <c r="AI539" t="n">
        <v>7427</v>
      </c>
      <c r="AJ539" t="n">
        <v>28</v>
      </c>
      <c r="AK539" s="29">
        <f>HIPERLINK($A$1 &amp; "\Dados\Magnet_3D_results.txt_539.txt.txt", "Magnet_3D_results.txt_539.txt")</f>
        <v/>
      </c>
      <c r="AL539" s="29">
        <f>HIPERLINK($A$1 &amp; "\Dados\Magnet_fields_2D.txt_539.txt.txt", "Magnet_fields_2D.txt_539.txt")</f>
        <v/>
      </c>
    </row>
    <row customHeight="1" ht="15.75" r="540" s="34">
      <c r="D540" s="30" t="n"/>
      <c r="E540" s="15" t="n">
        <v>120</v>
      </c>
      <c r="F540" s="15" t="n">
        <v>170</v>
      </c>
      <c r="G540" s="15" t="n">
        <v>350</v>
      </c>
      <c r="H540" s="15" t="n">
        <v>45</v>
      </c>
      <c r="I540" s="15" t="n">
        <v>180</v>
      </c>
      <c r="J540" s="13" t="n">
        <v>25</v>
      </c>
      <c r="K540" t="n">
        <v>40</v>
      </c>
      <c r="L540" s="13" t="n">
        <v>1.7</v>
      </c>
      <c r="M540" s="12" t="n"/>
      <c r="N540" s="8" t="n">
        <v>1.252041839902843</v>
      </c>
      <c r="O540" s="15" t="n">
        <v>1.099904351488366</v>
      </c>
      <c r="P540" s="15" t="n">
        <v>1.201927260929466</v>
      </c>
      <c r="Q540" s="15" t="n">
        <v>0.002199869403644086</v>
      </c>
      <c r="R540" s="15" t="n">
        <v>0.03300507906101596</v>
      </c>
      <c r="S540" s="15" t="n">
        <v>0.00233459387031678</v>
      </c>
      <c r="T540" s="29">
        <f>HIPERLINK($A$1 &amp; "\Dados\Imagem_perfil_540.png", "Imagem_perfil_540")</f>
        <v/>
      </c>
      <c r="U540" s="29">
        <f>HIPERLINK($A$1 &amp; "\Dados\Results_airgap540.txt", "Results_airgap540")</f>
        <v/>
      </c>
      <c r="V540" s="19" t="n"/>
      <c r="W540" s="15" t="n">
        <v>1.504075869565218</v>
      </c>
      <c r="X540" s="15" t="n">
        <v>0.7839713670684483</v>
      </c>
      <c r="Y540" s="15" t="n">
        <v>0.1340553326698753</v>
      </c>
      <c r="Z540" s="15" t="n">
        <v>0.08246387555984805</v>
      </c>
      <c r="AA540" s="15" t="n">
        <v>0.009885614487294629</v>
      </c>
      <c r="AB540" s="15" t="n">
        <v>1.222209191225185</v>
      </c>
      <c r="AC540" s="15" t="n">
        <v>9.75910303765775</v>
      </c>
      <c r="AD540" s="15" t="n">
        <v>37.73735491747576</v>
      </c>
      <c r="AE540" s="15" t="n">
        <v>78.81796988937353</v>
      </c>
      <c r="AF540" s="15" t="n">
        <v>113.3196755066894</v>
      </c>
      <c r="AH540" s="29">
        <f>HIPERLINK($A$1 &amp; "\Dados\Magnet_fields.txt_540.txt.txt", "Magnet_fields.txt_540.txt")</f>
        <v/>
      </c>
      <c r="AI540" t="n">
        <v>7427</v>
      </c>
      <c r="AJ540" t="n">
        <v>28</v>
      </c>
      <c r="AK540" s="29">
        <f>HIPERLINK($A$1 &amp; "\Dados\Magnet_3D_results.txt_540.txt.txt", "Magnet_3D_results.txt_540.txt")</f>
        <v/>
      </c>
      <c r="AL540" s="29">
        <f>HIPERLINK($A$1 &amp; "\Dados\Magnet_fields_2D.txt_540.txt.txt", "Magnet_fields_2D.txt_540.txt")</f>
        <v/>
      </c>
    </row>
    <row customHeight="1" ht="15.75" r="541" s="34">
      <c r="D541" s="30" t="n"/>
      <c r="E541" s="15" t="n">
        <v>120</v>
      </c>
      <c r="F541" s="15" t="n">
        <v>170</v>
      </c>
      <c r="G541" s="15" t="n">
        <v>350</v>
      </c>
      <c r="H541" s="15" t="n">
        <v>45</v>
      </c>
      <c r="I541" s="15" t="n">
        <v>180</v>
      </c>
      <c r="J541" s="13" t="n">
        <v>25</v>
      </c>
      <c r="K541" t="n">
        <v>40</v>
      </c>
      <c r="L541" s="13" t="n">
        <v>1.9</v>
      </c>
      <c r="M541" s="12" t="n"/>
      <c r="N541" s="8" t="n">
        <v>1.259150453616878</v>
      </c>
      <c r="O541" s="15" t="n">
        <v>1.105626438588075</v>
      </c>
      <c r="P541" s="15" t="n">
        <v>1.208488601516445</v>
      </c>
      <c r="Q541" s="15" t="n">
        <v>0.002192474595674982</v>
      </c>
      <c r="R541" s="15" t="n">
        <v>0.03311578405521998</v>
      </c>
      <c r="S541" s="15" t="n">
        <v>0.002328203671230094</v>
      </c>
      <c r="T541" s="29">
        <f>HIPERLINK($A$1 &amp; "\Dados\Imagem_perfil_541.png", "Imagem_perfil_541")</f>
        <v/>
      </c>
      <c r="U541" s="29">
        <f>HIPERLINK($A$1 &amp; "\Dados\Results_airgap541.txt", "Results_airgap541")</f>
        <v/>
      </c>
      <c r="V541" s="19" t="n"/>
      <c r="W541" s="15" t="n">
        <v>1.510628695652174</v>
      </c>
      <c r="X541" s="15" t="n">
        <v>0.7882317979641171</v>
      </c>
      <c r="Y541" s="15" t="n">
        <v>0.285686020903058</v>
      </c>
      <c r="Z541" s="15" t="n">
        <v>0.07357942275712202</v>
      </c>
      <c r="AA541" s="15" t="n">
        <v>0.009885614487294629</v>
      </c>
      <c r="AB541" s="15" t="n">
        <v>2.006750580042245</v>
      </c>
      <c r="AC541" s="15" t="n">
        <v>11.28371658204994</v>
      </c>
      <c r="AD541" s="15" t="n">
        <v>38.70153267585449</v>
      </c>
      <c r="AE541" s="15" t="n">
        <v>79.09230396074192</v>
      </c>
      <c r="AF541" s="15" t="n">
        <v>113.4538419508189</v>
      </c>
      <c r="AH541" s="29">
        <f>HIPERLINK($A$1 &amp; "\Dados\Magnet_fields.txt_541.txt.txt", "Magnet_fields.txt_541.txt")</f>
        <v/>
      </c>
      <c r="AI541" t="n">
        <v>7427</v>
      </c>
      <c r="AJ541" t="n">
        <v>29</v>
      </c>
      <c r="AK541" s="29">
        <f>HIPERLINK($A$1 &amp; "\Dados\Magnet_3D_results.txt_541.txt.txt", "Magnet_3D_results.txt_541.txt")</f>
        <v/>
      </c>
      <c r="AL541" s="29">
        <f>HIPERLINK($A$1 &amp; "\Dados\Magnet_fields_2D.txt_541.txt.txt", "Magnet_fields_2D.txt_541.txt")</f>
        <v/>
      </c>
    </row>
    <row customHeight="1" ht="15.75" r="542" s="34">
      <c r="D542" s="30" t="n"/>
      <c r="E542" s="15" t="n">
        <v>120</v>
      </c>
      <c r="F542" s="15" t="n">
        <v>170</v>
      </c>
      <c r="G542" s="15" t="n">
        <v>350</v>
      </c>
      <c r="H542" s="15" t="n">
        <v>45</v>
      </c>
      <c r="I542" s="15" t="n">
        <v>180</v>
      </c>
      <c r="J542" s="13" t="n">
        <v>25</v>
      </c>
      <c r="K542" t="n">
        <v>40</v>
      </c>
      <c r="L542" s="13" t="n">
        <v>2.1</v>
      </c>
      <c r="M542" s="12" t="n"/>
      <c r="N542" s="8" t="n">
        <v>1.260617482980612</v>
      </c>
      <c r="O542" s="15" t="n">
        <v>1.106942981345933</v>
      </c>
      <c r="P542" s="15" t="n">
        <v>1.209913020109094</v>
      </c>
      <c r="Q542" s="15" t="n">
        <v>0.002189753651244807</v>
      </c>
      <c r="R542" s="15" t="n">
        <v>0.0331398438985756</v>
      </c>
      <c r="S542" s="15" t="n">
        <v>0.002325744651734039</v>
      </c>
      <c r="T542" s="29">
        <f>HIPERLINK($A$1 &amp; "\Dados\Imagem_perfil_542.png", "Imagem_perfil_542")</f>
        <v/>
      </c>
      <c r="U542" s="29">
        <f>HIPERLINK($A$1 &amp; "\Dados\Results_airgap542.txt", "Results_airgap542")</f>
        <v/>
      </c>
      <c r="V542" s="19" t="n"/>
      <c r="W542" s="15" t="n">
        <v>1.513553695652174</v>
      </c>
      <c r="X542" s="15" t="n">
        <v>0.7891711818076752</v>
      </c>
      <c r="Y542" s="15" t="n">
        <v>0.4522723233266229</v>
      </c>
      <c r="Z542" s="15" t="n">
        <v>0.07266122093636182</v>
      </c>
      <c r="AA542" s="15" t="n">
        <v>0.009885614487294629</v>
      </c>
      <c r="AB542" s="15" t="n">
        <v>2.355306587674026</v>
      </c>
      <c r="AC542" s="15" t="n">
        <v>11.99630633776416</v>
      </c>
      <c r="AD542" s="15" t="n">
        <v>39.16293324339298</v>
      </c>
      <c r="AE542" s="15" t="n">
        <v>79.22883280732904</v>
      </c>
      <c r="AF542" s="15" t="n">
        <v>113.4204712144414</v>
      </c>
      <c r="AH542" s="29">
        <f>HIPERLINK($A$1 &amp; "\Dados\Magnet_fields.txt_542.txt.txt", "Magnet_fields.txt_542.txt")</f>
        <v/>
      </c>
      <c r="AI542" t="n">
        <v>7427</v>
      </c>
      <c r="AJ542" t="n">
        <v>28</v>
      </c>
      <c r="AK542" s="29">
        <f>HIPERLINK($A$1 &amp; "\Dados\Magnet_3D_results.txt_542.txt.txt", "Magnet_3D_results.txt_542.txt")</f>
        <v/>
      </c>
      <c r="AL542" s="29">
        <f>HIPERLINK($A$1 &amp; "\Dados\Magnet_fields_2D.txt_542.txt.txt", "Magnet_fields_2D.txt_542.txt")</f>
        <v/>
      </c>
    </row>
    <row customHeight="1" ht="15.75" r="543" s="34">
      <c r="D543" s="30" t="n"/>
      <c r="E543" s="15" t="n">
        <v>120</v>
      </c>
      <c r="F543" s="15" t="n">
        <v>170</v>
      </c>
      <c r="G543" s="15" t="n">
        <v>430</v>
      </c>
      <c r="H543" s="15" t="n">
        <v>45</v>
      </c>
      <c r="I543" s="15" t="n">
        <v>140</v>
      </c>
      <c r="J543" s="13" t="n">
        <v>25</v>
      </c>
      <c r="K543" t="n">
        <v>40</v>
      </c>
      <c r="L543" s="13" t="n">
        <v>1.3</v>
      </c>
      <c r="M543" s="12" t="n"/>
      <c r="N543" s="8" t="n">
        <v>0.9717445000399855</v>
      </c>
      <c r="O543" s="15" t="n">
        <v>0.7447431305658333</v>
      </c>
      <c r="P543" s="15" t="n">
        <v>0.911801693526441</v>
      </c>
      <c r="Q543" s="15" t="n">
        <v>0.002305415708287313</v>
      </c>
      <c r="R543" s="15" t="n">
        <v>0.02451657152034852</v>
      </c>
      <c r="S543" s="15" t="n">
        <v>0.003163694061636317</v>
      </c>
      <c r="T543" s="29">
        <f>HIPERLINK($A$1 &amp; "\Dados\Imagem_perfil_543.png", "Imagem_perfil_543")</f>
        <v/>
      </c>
      <c r="U543" s="29">
        <f>HIPERLINK($A$1 &amp; "\Dados\Results_airgap543.txt", "Results_airgap543")</f>
        <v/>
      </c>
      <c r="V543" s="19" t="n"/>
      <c r="W543" s="43" t="n">
        <v>1.337376086956522</v>
      </c>
      <c r="X543" s="15" t="n">
        <v>0.6304485557528168</v>
      </c>
      <c r="Y543" s="15" t="n">
        <v>0.001545826994418085</v>
      </c>
      <c r="Z543" s="15" t="n">
        <v>0.100080696804842</v>
      </c>
      <c r="AA543" s="15" t="n">
        <v>8.606342246718674</v>
      </c>
      <c r="AB543" s="15" t="n">
        <v>0</v>
      </c>
      <c r="AC543" s="15" t="n">
        <v>0</v>
      </c>
      <c r="AD543" s="15" t="n">
        <v>0</v>
      </c>
      <c r="AE543" s="15" t="n">
        <v>30.71293239001289</v>
      </c>
      <c r="AF543" s="15" t="n">
        <v>84.25885105539281</v>
      </c>
      <c r="AH543" s="29">
        <f>HIPERLINK($A$1 &amp; "\Dados\Magnet_fields.txt_543.txt.txt", "Magnet_fields.txt_543.txt")</f>
        <v/>
      </c>
      <c r="AI543" t="n">
        <v>7578</v>
      </c>
      <c r="AJ543" t="n">
        <v>29</v>
      </c>
      <c r="AK543" s="29">
        <f>HIPERLINK($A$1 &amp; "\Dados\Magnet_3D_results.txt_543.txt.txt", "Magnet_3D_results.txt_543.txt")</f>
        <v/>
      </c>
      <c r="AL543" s="29">
        <f>HIPERLINK($A$1 &amp; "\Dados\Magnet_fields_2D.txt_543.txt.txt", "Magnet_fields_2D.txt_543.txt")</f>
        <v/>
      </c>
    </row>
    <row customHeight="1" ht="15.75" r="544" s="34">
      <c r="D544" s="30" t="n"/>
      <c r="E544" s="15" t="n">
        <v>120</v>
      </c>
      <c r="F544" s="15" t="n">
        <v>170</v>
      </c>
      <c r="G544" s="15" t="n">
        <v>430</v>
      </c>
      <c r="H544" s="15" t="n">
        <v>45</v>
      </c>
      <c r="I544" s="15" t="n">
        <v>140</v>
      </c>
      <c r="J544" s="13" t="n">
        <v>25</v>
      </c>
      <c r="K544" t="n">
        <v>40</v>
      </c>
      <c r="L544" s="13" t="n">
        <v>1.5</v>
      </c>
      <c r="M544" s="12" t="n"/>
      <c r="N544" s="8" t="n">
        <v>1.125531415895503</v>
      </c>
      <c r="O544" s="15" t="n">
        <v>0.87171633430784</v>
      </c>
      <c r="P544" s="15" t="n">
        <v>1.058264823730105</v>
      </c>
      <c r="Q544" s="15" t="n">
        <v>0.002414970493772419</v>
      </c>
      <c r="R544" s="15" t="n">
        <v>0.04156376107255031</v>
      </c>
      <c r="S544" s="15" t="n">
        <v>0.003764005450810432</v>
      </c>
      <c r="T544" s="29">
        <f>HIPERLINK($A$1 &amp; "\Dados\Imagem_perfil_544.png", "Imagem_perfil_544")</f>
        <v/>
      </c>
      <c r="U544" s="29">
        <f>HIPERLINK($A$1 &amp; "\Dados\Results_airgap544.txt", "Results_airgap544")</f>
        <v/>
      </c>
      <c r="V544" s="19" t="n"/>
      <c r="W544" s="43" t="n">
        <v>1.548188913043478</v>
      </c>
      <c r="X544" s="15" t="n">
        <v>0.743123940347174</v>
      </c>
      <c r="Y544" s="15" t="n">
        <v>0.002950492397008792</v>
      </c>
      <c r="Z544" s="15" t="n">
        <v>0.2601888242270907</v>
      </c>
      <c r="AA544" s="15" t="n">
        <v>2.232124985563461</v>
      </c>
      <c r="AB544" s="15" t="n">
        <v>0</v>
      </c>
      <c r="AC544" s="15" t="n">
        <v>0</v>
      </c>
      <c r="AD544" s="15" t="n">
        <v>8.813442292808437</v>
      </c>
      <c r="AE544" s="15" t="n">
        <v>70.08291280147991</v>
      </c>
      <c r="AF544" s="15" t="n">
        <v>111.6657062993811</v>
      </c>
      <c r="AH544" s="29">
        <f>HIPERLINK($A$1 &amp; "\Dados\Magnet_fields.txt_544.txt.txt", "Magnet_fields.txt_544.txt")</f>
        <v/>
      </c>
      <c r="AI544" t="n">
        <v>7578</v>
      </c>
      <c r="AJ544" t="n">
        <v>29</v>
      </c>
      <c r="AK544" s="29">
        <f>HIPERLINK($A$1 &amp; "\Dados\Magnet_3D_results.txt_544.txt.txt", "Magnet_3D_results.txt_544.txt")</f>
        <v/>
      </c>
      <c r="AL544" s="29">
        <f>HIPERLINK($A$1 &amp; "\Dados\Magnet_fields_2D.txt_544.txt.txt", "Magnet_fields_2D.txt_544.txt")</f>
        <v/>
      </c>
    </row>
    <row customHeight="1" ht="15.75" r="545" s="34">
      <c r="D545" s="30" t="n"/>
      <c r="E545" s="15" t="n">
        <v>120</v>
      </c>
      <c r="F545" s="15" t="n">
        <v>170</v>
      </c>
      <c r="G545" s="15" t="n">
        <v>430</v>
      </c>
      <c r="H545" s="15" t="n">
        <v>45</v>
      </c>
      <c r="I545" s="15" t="n">
        <v>140</v>
      </c>
      <c r="J545" s="13" t="n">
        <v>25</v>
      </c>
      <c r="K545" t="n">
        <v>40</v>
      </c>
      <c r="L545" s="13" t="n">
        <v>1.7</v>
      </c>
      <c r="M545" s="12" t="n"/>
      <c r="N545" s="8" t="n">
        <v>1.234738255187665</v>
      </c>
      <c r="O545" s="15" t="n">
        <v>0.9532509154228935</v>
      </c>
      <c r="P545" s="15" t="n">
        <v>1.153057281200512</v>
      </c>
      <c r="Q545" s="15" t="n">
        <v>0.002528978538398694</v>
      </c>
      <c r="R545" s="15" t="n">
        <v>0.04732235283387025</v>
      </c>
      <c r="S545" s="15" t="n">
        <v>0.004014607891343789</v>
      </c>
      <c r="T545" s="29">
        <f>HIPERLINK($A$1 &amp; "\Dados\Imagem_perfil_545.png", "Imagem_perfil_545")</f>
        <v/>
      </c>
      <c r="U545" s="29">
        <f>HIPERLINK($A$1 &amp; "\Dados\Results_airgap545.txt", "Results_airgap545")</f>
        <v/>
      </c>
      <c r="V545" s="19" t="n"/>
      <c r="W545" s="43" t="n">
        <v>1.69826152173913</v>
      </c>
      <c r="X545" s="15" t="n">
        <v>0.8166629442626878</v>
      </c>
      <c r="Y545" s="15" t="n">
        <v>0.03320925584048311</v>
      </c>
      <c r="Z545" s="15" t="n">
        <v>0.04201100320347427</v>
      </c>
      <c r="AA545" s="15" t="n">
        <v>0.00763880543860816</v>
      </c>
      <c r="AB545" s="15" t="n">
        <v>0</v>
      </c>
      <c r="AC545" s="15" t="n">
        <v>6.740875214378923</v>
      </c>
      <c r="AD545" s="15" t="n">
        <v>37.44351224686411</v>
      </c>
      <c r="AE545" s="15" t="n">
        <v>80.4589458293237</v>
      </c>
      <c r="AF545" s="15" t="n">
        <v>114.2960061852446</v>
      </c>
      <c r="AH545" s="29">
        <f>HIPERLINK($A$1 &amp; "\Dados\Magnet_fields.txt_545.txt.txt", "Magnet_fields.txt_545.txt")</f>
        <v/>
      </c>
      <c r="AI545" t="n">
        <v>7578</v>
      </c>
      <c r="AJ545" t="n">
        <v>28</v>
      </c>
      <c r="AK545" s="29">
        <f>HIPERLINK($A$1 &amp; "\Dados\Magnet_3D_results.txt_545.txt.txt", "Magnet_3D_results.txt_545.txt")</f>
        <v/>
      </c>
      <c r="AL545" s="29">
        <f>HIPERLINK($A$1 &amp; "\Dados\Magnet_fields_2D.txt_545.txt.txt", "Magnet_fields_2D.txt_545.txt")</f>
        <v/>
      </c>
    </row>
    <row customHeight="1" ht="15.75" r="546" s="34">
      <c r="D546" s="30" t="n"/>
      <c r="E546" s="15" t="n">
        <v>120</v>
      </c>
      <c r="F546" s="15" t="n">
        <v>170</v>
      </c>
      <c r="G546" s="15" t="n">
        <v>430</v>
      </c>
      <c r="H546" s="15" t="n">
        <v>45</v>
      </c>
      <c r="I546" s="15" t="n">
        <v>140</v>
      </c>
      <c r="J546" s="13" t="n">
        <v>25</v>
      </c>
      <c r="K546" t="n">
        <v>40</v>
      </c>
      <c r="L546" s="13" t="n">
        <v>1.9</v>
      </c>
      <c r="M546" s="12" t="n"/>
      <c r="N546" s="8" t="n">
        <v>1.257482978551419</v>
      </c>
      <c r="O546" s="15" t="n">
        <v>0.9699694840359777</v>
      </c>
      <c r="P546" s="15" t="n">
        <v>1.173385361902541</v>
      </c>
      <c r="Q546" s="15" t="n">
        <v>0.002537935580255862</v>
      </c>
      <c r="R546" s="15" t="n">
        <v>0.04812769242650628</v>
      </c>
      <c r="S546" s="15" t="n">
        <v>0.00404062916315113</v>
      </c>
      <c r="T546" s="29">
        <f>HIPERLINK($A$1 &amp; "\Dados\Imagem_perfil_546.png", "Imagem_perfil_546")</f>
        <v/>
      </c>
      <c r="U546" s="29">
        <f>HIPERLINK($A$1 &amp; "\Dados\Results_airgap546.txt", "Results_airgap546")</f>
        <v/>
      </c>
      <c r="V546" s="19" t="n"/>
      <c r="W546" s="15" t="n">
        <v>1.731020869565217</v>
      </c>
      <c r="X546" s="15" t="n">
        <v>0.8315238805374556</v>
      </c>
      <c r="Y546" s="15" t="n">
        <v>0.1258101384775657</v>
      </c>
      <c r="Z546" s="15" t="n">
        <v>0.02643764794523531</v>
      </c>
      <c r="AA546" s="15" t="n">
        <v>0.007385368435738451</v>
      </c>
      <c r="AB546" s="15" t="n">
        <v>2.460090997375107</v>
      </c>
      <c r="AC546" s="15" t="n">
        <v>12.89095746608692</v>
      </c>
      <c r="AD546" s="15" t="n">
        <v>41.45291962989313</v>
      </c>
      <c r="AE546" s="15" t="n">
        <v>82.10606829886069</v>
      </c>
      <c r="AF546" s="15" t="n">
        <v>114.7280643020977</v>
      </c>
      <c r="AH546" s="29">
        <f>HIPERLINK($A$1 &amp; "\Dados\Magnet_fields.txt_546.txt.txt", "Magnet_fields.txt_546.txt")</f>
        <v/>
      </c>
      <c r="AI546" t="n">
        <v>7578</v>
      </c>
      <c r="AJ546" t="n">
        <v>30</v>
      </c>
      <c r="AK546" s="29">
        <f>HIPERLINK($A$1 &amp; "\Dados\Magnet_3D_results.txt_546.txt.txt", "Magnet_3D_results.txt_546.txt")</f>
        <v/>
      </c>
      <c r="AL546" s="29">
        <f>HIPERLINK($A$1 &amp; "\Dados\Magnet_fields_2D.txt_546.txt.txt", "Magnet_fields_2D.txt_546.txt")</f>
        <v/>
      </c>
    </row>
    <row customHeight="1" ht="15.75" r="547" s="34">
      <c r="D547" s="30" t="n"/>
      <c r="E547" s="15" t="n">
        <v>120</v>
      </c>
      <c r="F547" s="15" t="n">
        <v>170</v>
      </c>
      <c r="G547" s="15" t="n">
        <v>430</v>
      </c>
      <c r="H547" s="15" t="n">
        <v>45</v>
      </c>
      <c r="I547" s="15" t="n">
        <v>140</v>
      </c>
      <c r="J547" s="13" t="n">
        <v>25</v>
      </c>
      <c r="K547" t="n">
        <v>40</v>
      </c>
      <c r="L547" s="13" t="n">
        <v>2.1</v>
      </c>
      <c r="M547" s="12" t="n"/>
      <c r="N547" s="8" t="n">
        <v>1.263471289146391</v>
      </c>
      <c r="O547" s="15" t="n">
        <v>0.9743761466544236</v>
      </c>
      <c r="P547" s="15" t="n">
        <v>1.178817380579389</v>
      </c>
      <c r="Q547" s="15" t="n">
        <v>0.002542571454615069</v>
      </c>
      <c r="R547" s="15" t="n">
        <v>0.04829562281726796</v>
      </c>
      <c r="S547" s="15" t="n">
        <v>0.004048109096527907</v>
      </c>
      <c r="T547" s="29">
        <f>HIPERLINK($A$1 &amp; "\Dados\Imagem_perfil_547.png", "Imagem_perfil_547")</f>
        <v/>
      </c>
      <c r="U547" s="29">
        <f>HIPERLINK($A$1 &amp; "\Dados\Results_airgap547.txt", "Results_airgap547")</f>
        <v/>
      </c>
      <c r="V547" s="19" t="n"/>
      <c r="W547" s="15" t="n">
        <v>1.740172826086957</v>
      </c>
      <c r="X547" s="15" t="n">
        <v>0.8354067792305756</v>
      </c>
      <c r="Y547" s="15" t="n">
        <v>0.2554783092289471</v>
      </c>
      <c r="Z547" s="15" t="n">
        <v>0.02643764794523531</v>
      </c>
      <c r="AA547" s="15" t="n">
        <v>0.007385368435738451</v>
      </c>
      <c r="AB547" s="15" t="n">
        <v>3.421172979300849</v>
      </c>
      <c r="AC547" s="15" t="n">
        <v>14.83267284400341</v>
      </c>
      <c r="AD547" s="15" t="n">
        <v>42.77619961283758</v>
      </c>
      <c r="AE547" s="15" t="n">
        <v>82.49194935906428</v>
      </c>
      <c r="AF547" s="15" t="n">
        <v>114.9682271071727</v>
      </c>
      <c r="AH547" s="29">
        <f>HIPERLINK($A$1 &amp; "\Dados\Magnet_fields.txt_547.txt.txt", "Magnet_fields.txt_547.txt")</f>
        <v/>
      </c>
      <c r="AI547" t="n">
        <v>7578</v>
      </c>
      <c r="AJ547" t="n">
        <v>29</v>
      </c>
      <c r="AK547" s="29">
        <f>HIPERLINK($A$1 &amp; "\Dados\Magnet_3D_results.txt_547.txt.txt", "Magnet_3D_results.txt_547.txt")</f>
        <v/>
      </c>
      <c r="AL547" s="29">
        <f>HIPERLINK($A$1 &amp; "\Dados\Magnet_fields_2D.txt_547.txt.txt", "Magnet_fields_2D.txt_547.txt")</f>
        <v/>
      </c>
    </row>
    <row customHeight="1" ht="15.75" r="548" s="34">
      <c r="D548" s="30" t="n"/>
      <c r="E548" s="15" t="n">
        <v>120</v>
      </c>
      <c r="F548" s="15" t="n">
        <v>170</v>
      </c>
      <c r="G548" s="15" t="n">
        <v>430</v>
      </c>
      <c r="H548" s="15" t="n">
        <v>25</v>
      </c>
      <c r="I548" s="15" t="n">
        <v>180</v>
      </c>
      <c r="J548" s="13" t="n">
        <v>25</v>
      </c>
      <c r="K548" t="n">
        <v>40</v>
      </c>
      <c r="L548" s="13" t="n">
        <v>1.3</v>
      </c>
      <c r="M548" s="12" t="n"/>
      <c r="N548" s="8" t="n">
        <v>1.033247699837038</v>
      </c>
      <c r="O548" s="15" t="n">
        <v>0.9101540137366432</v>
      </c>
      <c r="P548" s="15" t="n">
        <v>0.9919943221038626</v>
      </c>
      <c r="Q548" s="15" t="n">
        <v>0.002437761978942782</v>
      </c>
      <c r="R548" s="15" t="n">
        <v>0.01799369751017784</v>
      </c>
      <c r="S548" s="15" t="n">
        <v>0.002477417951078639</v>
      </c>
      <c r="T548" s="29">
        <f>HIPERLINK($A$1 &amp; "\Dados\Imagem_perfil_548.png", "Imagem_perfil_548")</f>
        <v/>
      </c>
      <c r="U548" s="29">
        <f>HIPERLINK($A$1 &amp; "\Dados\Results_airgap548.txt", "Results_airgap548")</f>
        <v/>
      </c>
      <c r="V548" s="19" t="n"/>
      <c r="W548" s="43" t="n">
        <v>1.337573043478261</v>
      </c>
      <c r="X548" s="15" t="n">
        <v>0.6430728464540385</v>
      </c>
      <c r="Y548" s="15" t="n">
        <v>0.00152972911133578</v>
      </c>
      <c r="Z548" s="15" t="n">
        <v>0.1662556991943062</v>
      </c>
      <c r="AA548" s="15" t="n">
        <v>6.828876234330148</v>
      </c>
      <c r="AB548" s="15" t="n">
        <v>0</v>
      </c>
      <c r="AC548" s="15" t="n">
        <v>0</v>
      </c>
      <c r="AD548" s="15" t="n">
        <v>0</v>
      </c>
      <c r="AE548" s="15" t="n">
        <v>29.49625267557592</v>
      </c>
      <c r="AF548" s="15" t="n">
        <v>86.84163257506603</v>
      </c>
      <c r="AH548" s="29">
        <f>HIPERLINK($A$1 &amp; "\Dados\Magnet_fields.txt_548.txt.txt", "Magnet_fields.txt_548.txt")</f>
        <v/>
      </c>
      <c r="AI548" t="n">
        <v>11214</v>
      </c>
      <c r="AJ548" t="n">
        <v>30</v>
      </c>
      <c r="AK548" s="29">
        <f>HIPERLINK($A$1 &amp; "\Dados\Magnet_3D_results.txt_548.txt.txt", "Magnet_3D_results.txt_548.txt")</f>
        <v/>
      </c>
      <c r="AL548" s="29">
        <f>HIPERLINK($A$1 &amp; "\Dados\Magnet_fields_2D.txt_548.txt.txt", "Magnet_fields_2D.txt_548.txt")</f>
        <v/>
      </c>
    </row>
    <row customHeight="1" ht="15.75" r="549" s="34">
      <c r="D549" s="30" t="n"/>
      <c r="E549" s="15" t="n">
        <v>120</v>
      </c>
      <c r="F549" s="15" t="n">
        <v>170</v>
      </c>
      <c r="G549" s="15" t="n">
        <v>430</v>
      </c>
      <c r="H549" s="15" t="n">
        <v>25</v>
      </c>
      <c r="I549" s="15" t="n">
        <v>180</v>
      </c>
      <c r="J549" s="13" t="n">
        <v>25</v>
      </c>
      <c r="K549" t="n">
        <v>40</v>
      </c>
      <c r="L549" s="13" t="n">
        <v>1.5</v>
      </c>
      <c r="M549" s="12" t="n"/>
      <c r="N549" s="8" t="n">
        <v>1.210799688315351</v>
      </c>
      <c r="O549" s="15" t="n">
        <v>1.074567063402159</v>
      </c>
      <c r="P549" s="15" t="n">
        <v>1.165525051552006</v>
      </c>
      <c r="Q549" s="15" t="n">
        <v>0.002525361216830804</v>
      </c>
      <c r="R549" s="15" t="n">
        <v>0.03819608373771793</v>
      </c>
      <c r="S549" s="15" t="n">
        <v>0.002686884436050987</v>
      </c>
      <c r="T549" s="29">
        <f>HIPERLINK($A$1 &amp; "\Dados\Imagem_perfil_549.png", "Imagem_perfil_549")</f>
        <v/>
      </c>
      <c r="U549" s="29">
        <f>HIPERLINK($A$1 &amp; "\Dados\Results_airgap549.txt", "Results_airgap549")</f>
        <v/>
      </c>
      <c r="V549" s="19" t="n"/>
      <c r="W549" s="43" t="n">
        <v>1.547904130434782</v>
      </c>
      <c r="X549" s="15" t="n">
        <v>0.7687786834841137</v>
      </c>
      <c r="Y549" s="15" t="n">
        <v>0.002953698922347822</v>
      </c>
      <c r="Z549" s="15" t="n">
        <v>0.7783620288755522</v>
      </c>
      <c r="AA549" s="15" t="n">
        <v>4.892600334101591</v>
      </c>
      <c r="AB549" s="15" t="n">
        <v>0</v>
      </c>
      <c r="AC549" s="15" t="n">
        <v>0</v>
      </c>
      <c r="AD549" s="15" t="n">
        <v>8.802591747888396</v>
      </c>
      <c r="AE549" s="15" t="n">
        <v>70.037107762657</v>
      </c>
      <c r="AF549" s="15" t="n">
        <v>111.7289475271091</v>
      </c>
      <c r="AH549" s="29">
        <f>HIPERLINK($A$1 &amp; "\Dados\Magnet_fields.txt_549.txt.txt", "Magnet_fields.txt_549.txt")</f>
        <v/>
      </c>
      <c r="AI549" t="n">
        <v>11214</v>
      </c>
      <c r="AJ549" t="n">
        <v>31</v>
      </c>
      <c r="AK549" s="29">
        <f>HIPERLINK($A$1 &amp; "\Dados\Magnet_3D_results.txt_549.txt.txt", "Magnet_3D_results.txt_549.txt")</f>
        <v/>
      </c>
      <c r="AL549" s="29">
        <f>HIPERLINK($A$1 &amp; "\Dados\Magnet_fields_2D.txt_549.txt.txt", "Magnet_fields_2D.txt_549.txt")</f>
        <v/>
      </c>
    </row>
    <row customHeight="1" ht="15.75" r="550" s="34">
      <c r="D550" s="30" t="n"/>
      <c r="E550" s="15" t="n">
        <v>120</v>
      </c>
      <c r="F550" s="15" t="n">
        <v>170</v>
      </c>
      <c r="G550" s="15" t="n">
        <v>430</v>
      </c>
      <c r="H550" s="15" t="n">
        <v>25</v>
      </c>
      <c r="I550" s="15" t="n">
        <v>180</v>
      </c>
      <c r="J550" s="13" t="n">
        <v>25</v>
      </c>
      <c r="K550" t="n">
        <v>40</v>
      </c>
      <c r="L550" s="13" t="n">
        <v>1.7</v>
      </c>
      <c r="M550" s="12" t="n"/>
      <c r="N550" s="8" t="n">
        <v>1.337707345057732</v>
      </c>
      <c r="O550" s="15" t="n">
        <v>1.18660124641034</v>
      </c>
      <c r="P550" s="15" t="n">
        <v>1.288150138420098</v>
      </c>
      <c r="Q550" s="15" t="n">
        <v>0.002682672102441295</v>
      </c>
      <c r="R550" s="15" t="n">
        <v>0.04687097838728784</v>
      </c>
      <c r="S550" s="15" t="n">
        <v>0.002884802427791944</v>
      </c>
      <c r="T550" s="29">
        <f>HIPERLINK($A$1 &amp; "\Dados\Imagem_perfil_550.png", "Imagem_perfil_550")</f>
        <v/>
      </c>
      <c r="U550" s="29">
        <f>HIPERLINK($A$1 &amp; "\Dados\Results_airgap550.txt", "Results_airgap550")</f>
        <v/>
      </c>
      <c r="V550" s="19" t="n"/>
      <c r="W550" s="43" t="n">
        <v>1.698371304347826</v>
      </c>
      <c r="X550" s="15" t="n">
        <v>0.8530747272451211</v>
      </c>
      <c r="Y550" s="15" t="n">
        <v>0.03324317498733444</v>
      </c>
      <c r="Z550" s="15" t="n">
        <v>0.1103550769673546</v>
      </c>
      <c r="AA550" s="15" t="n">
        <v>2.537692897992383</v>
      </c>
      <c r="AB550" s="15" t="n">
        <v>0</v>
      </c>
      <c r="AC550" s="15" t="n">
        <v>6.775981095329811</v>
      </c>
      <c r="AD550" s="15" t="n">
        <v>37.47487821367436</v>
      </c>
      <c r="AE550" s="15" t="n">
        <v>80.49046062950524</v>
      </c>
      <c r="AF550" s="15" t="n">
        <v>114.3288904200248</v>
      </c>
      <c r="AH550" s="29">
        <f>HIPERLINK($A$1 &amp; "\Dados\Magnet_fields.txt_550.txt.txt", "Magnet_fields.txt_550.txt")</f>
        <v/>
      </c>
      <c r="AI550" t="n">
        <v>11214</v>
      </c>
      <c r="AJ550" t="n">
        <v>30</v>
      </c>
      <c r="AK550" s="29">
        <f>HIPERLINK($A$1 &amp; "\Dados\Magnet_3D_results.txt_550.txt.txt", "Magnet_3D_results.txt_550.txt")</f>
        <v/>
      </c>
      <c r="AL550" s="29">
        <f>HIPERLINK($A$1 &amp; "\Dados\Magnet_fields_2D.txt_550.txt.txt", "Magnet_fields_2D.txt_550.txt")</f>
        <v/>
      </c>
    </row>
    <row customHeight="1" ht="15.75" r="551" s="34">
      <c r="D551" s="30" t="n"/>
      <c r="E551" s="15" t="n">
        <v>120</v>
      </c>
      <c r="F551" s="15" t="n">
        <v>170</v>
      </c>
      <c r="G551" s="15" t="n">
        <v>430</v>
      </c>
      <c r="H551" s="15" t="n">
        <v>25</v>
      </c>
      <c r="I551" s="15" t="n">
        <v>180</v>
      </c>
      <c r="J551" s="13" t="n">
        <v>25</v>
      </c>
      <c r="K551" t="n">
        <v>40</v>
      </c>
      <c r="L551" s="13" t="n">
        <v>1.9</v>
      </c>
      <c r="M551" s="12" t="n"/>
      <c r="N551" s="8" t="n">
        <v>1.365228550625208</v>
      </c>
      <c r="O551" s="15" t="n">
        <v>1.209722177244684</v>
      </c>
      <c r="P551" s="15" t="n">
        <v>1.314038087533039</v>
      </c>
      <c r="Q551" s="15" t="n">
        <v>0.002716996116291972</v>
      </c>
      <c r="R551" s="15" t="n">
        <v>0.04839498312062734</v>
      </c>
      <c r="S551" s="15" t="n">
        <v>0.00292544154981701</v>
      </c>
      <c r="T551" s="29">
        <f>HIPERLINK($A$1 &amp; "\Dados\Imagem_perfil_551.png", "Imagem_perfil_551")</f>
        <v/>
      </c>
      <c r="U551" s="29">
        <f>HIPERLINK($A$1 &amp; "\Dados\Results_airgap551.txt", "Results_airgap551")</f>
        <v/>
      </c>
      <c r="V551" s="19" t="n"/>
      <c r="W551" s="15" t="n">
        <v>1.730453260869565</v>
      </c>
      <c r="X551" s="15" t="n">
        <v>0.8703756949281756</v>
      </c>
      <c r="Y551" s="15" t="n">
        <v>0.1258735191312601</v>
      </c>
      <c r="Z551" s="15" t="n">
        <v>0.08313295071703508</v>
      </c>
      <c r="AA551" s="15" t="n">
        <v>1.593156135195247</v>
      </c>
      <c r="AB551" s="15" t="n">
        <v>2.397305796406371</v>
      </c>
      <c r="AC551" s="15" t="n">
        <v>12.857739141942</v>
      </c>
      <c r="AD551" s="15" t="n">
        <v>41.35431761849886</v>
      </c>
      <c r="AE551" s="15" t="n">
        <v>81.97664241062382</v>
      </c>
      <c r="AF551" s="15" t="n">
        <v>114.74912663883</v>
      </c>
      <c r="AH551" s="29">
        <f>HIPERLINK($A$1 &amp; "\Dados\Magnet_fields.txt_551.txt.txt", "Magnet_fields.txt_551.txt")</f>
        <v/>
      </c>
      <c r="AI551" t="n">
        <v>11214</v>
      </c>
      <c r="AJ551" t="n">
        <v>31</v>
      </c>
      <c r="AK551" s="29">
        <f>HIPERLINK($A$1 &amp; "\Dados\Magnet_3D_results.txt_551.txt.txt", "Magnet_3D_results.txt_551.txt")</f>
        <v/>
      </c>
      <c r="AL551" s="29">
        <f>HIPERLINK($A$1 &amp; "\Dados\Magnet_fields_2D.txt_551.txt.txt", "Magnet_fields_2D.txt_551.txt")</f>
        <v/>
      </c>
    </row>
    <row customHeight="1" ht="15.75" r="552" s="34">
      <c r="D552" s="30" t="n"/>
      <c r="E552" s="15" t="n">
        <v>120</v>
      </c>
      <c r="F552" s="15" t="n">
        <v>170</v>
      </c>
      <c r="G552" s="15" t="n">
        <v>430</v>
      </c>
      <c r="H552" s="15" t="n">
        <v>25</v>
      </c>
      <c r="I552" s="15" t="n">
        <v>180</v>
      </c>
      <c r="J552" s="13" t="n">
        <v>25</v>
      </c>
      <c r="K552" t="n">
        <v>40</v>
      </c>
      <c r="L552" s="13" t="n">
        <v>2.1</v>
      </c>
      <c r="M552" s="12" t="n"/>
      <c r="N552" s="8" t="n">
        <v>1.373454310579018</v>
      </c>
      <c r="O552" s="15" t="n">
        <v>1.216675811987564</v>
      </c>
      <c r="P552" s="15" t="n">
        <v>1.321783903137957</v>
      </c>
      <c r="Q552" s="15" t="n">
        <v>0.002720478756243109</v>
      </c>
      <c r="R552" s="15" t="n">
        <v>0.0489572359359592</v>
      </c>
      <c r="S552" s="15" t="n">
        <v>0.002931828178673672</v>
      </c>
      <c r="T552" s="29">
        <f>HIPERLINK($A$1 &amp; "\Dados\Imagem_perfil_552.png", "Imagem_perfil_552")</f>
        <v/>
      </c>
      <c r="U552" s="29">
        <f>HIPERLINK($A$1 &amp; "\Dados\Results_airgap552.txt", "Results_airgap552")</f>
        <v/>
      </c>
      <c r="V552" s="19" t="n"/>
      <c r="W552" s="15" t="n">
        <v>1.740102173913044</v>
      </c>
      <c r="X552" s="15" t="n">
        <v>0.8756258563588541</v>
      </c>
      <c r="Y552" s="15" t="n">
        <v>0.2555596338038006</v>
      </c>
      <c r="Z552" s="15" t="n">
        <v>0.07039545437166866</v>
      </c>
      <c r="AA552" s="15" t="n">
        <v>1.321229235075758</v>
      </c>
      <c r="AB552" s="15" t="n">
        <v>3.423449928243668</v>
      </c>
      <c r="AC552" s="15" t="n">
        <v>14.83646019058574</v>
      </c>
      <c r="AD552" s="15" t="n">
        <v>42.78274187430677</v>
      </c>
      <c r="AE552" s="15" t="n">
        <v>82.49877134736721</v>
      </c>
      <c r="AF552" s="15" t="n">
        <v>114.9871297233166</v>
      </c>
      <c r="AH552" s="29">
        <f>HIPERLINK($A$1 &amp; "\Dados\Magnet_fields.txt_552.txt.txt", "Magnet_fields.txt_552.txt")</f>
        <v/>
      </c>
      <c r="AI552" t="n">
        <v>11214</v>
      </c>
      <c r="AJ552" t="n">
        <v>30</v>
      </c>
      <c r="AK552" s="29">
        <f>HIPERLINK($A$1 &amp; "\Dados\Magnet_3D_results.txt_552.txt.txt", "Magnet_3D_results.txt_552.txt")</f>
        <v/>
      </c>
      <c r="AL552" s="29">
        <f>HIPERLINK($A$1 &amp; "\Dados\Magnet_fields_2D.txt_552.txt.txt", "Magnet_fields_2D.txt_552.txt")</f>
        <v/>
      </c>
    </row>
    <row customHeight="1" ht="15.75" r="553" s="34">
      <c r="D553" s="30" t="n"/>
      <c r="E553" s="15" t="n">
        <v>120</v>
      </c>
      <c r="F553" s="15" t="n">
        <v>170</v>
      </c>
      <c r="G553" s="15" t="n">
        <v>430</v>
      </c>
      <c r="H553" s="15" t="n">
        <v>45</v>
      </c>
      <c r="I553" s="15" t="n">
        <v>180</v>
      </c>
      <c r="J553" s="13" t="n">
        <v>25</v>
      </c>
      <c r="K553" t="n">
        <v>40</v>
      </c>
      <c r="L553" s="13" t="n">
        <v>1.3</v>
      </c>
      <c r="M553" s="12" t="n"/>
      <c r="N553" s="8" t="n">
        <v>1.058179391737754</v>
      </c>
      <c r="O553" s="15" t="n">
        <v>0.9350277333612703</v>
      </c>
      <c r="P553" s="15" t="n">
        <v>1.016862519421178</v>
      </c>
      <c r="Q553" s="15" t="n">
        <v>0.002472461806230238</v>
      </c>
      <c r="R553" s="15" t="n">
        <v>0.0261946667515161</v>
      </c>
      <c r="S553" s="15" t="n">
        <v>0.002551138914737242</v>
      </c>
      <c r="T553" s="29">
        <f>HIPERLINK($A$1 &amp; "\Dados\Imagem_perfil_553.png", "Imagem_perfil_553")</f>
        <v/>
      </c>
      <c r="U553" s="29">
        <f>HIPERLINK($A$1 &amp; "\Dados\Results_airgap553.txt", "Results_airgap553")</f>
        <v/>
      </c>
      <c r="V553" s="19" t="n"/>
      <c r="W553" s="43" t="n">
        <v>1.33759</v>
      </c>
      <c r="X553" s="15" t="n">
        <v>0.6661071507288874</v>
      </c>
      <c r="Y553" s="15" t="n">
        <v>0.001522670906179626</v>
      </c>
      <c r="Z553" s="15" t="n">
        <v>0.4699049732757424</v>
      </c>
      <c r="AA553" s="15" t="n">
        <v>8.825739880500381</v>
      </c>
      <c r="AB553" s="15" t="n">
        <v>0</v>
      </c>
      <c r="AC553" s="15" t="n">
        <v>0</v>
      </c>
      <c r="AD553" s="15" t="n">
        <v>0</v>
      </c>
      <c r="AE553" s="15" t="n">
        <v>27.17900674554023</v>
      </c>
      <c r="AF553" s="15" t="n">
        <v>91.95825355208032</v>
      </c>
      <c r="AH553" s="29">
        <f>HIPERLINK($A$1 &amp; "\Dados\Magnet_fields.txt_553.txt.txt", "Magnet_fields.txt_553.txt")</f>
        <v/>
      </c>
      <c r="AI553" t="n">
        <v>7932</v>
      </c>
      <c r="AJ553" t="n">
        <v>30</v>
      </c>
      <c r="AK553" s="29">
        <f>HIPERLINK($A$1 &amp; "\Dados\Magnet_3D_results.txt_553.txt.txt", "Magnet_3D_results.txt_553.txt")</f>
        <v/>
      </c>
      <c r="AL553" s="29">
        <f>HIPERLINK($A$1 &amp; "\Dados\Magnet_fields_2D.txt_553.txt.txt", "Magnet_fields_2D.txt_553.txt")</f>
        <v/>
      </c>
    </row>
    <row customHeight="1" ht="15.75" r="554" s="34">
      <c r="D554" s="30" t="n"/>
      <c r="E554" s="15" t="n">
        <v>120</v>
      </c>
      <c r="F554" s="15" t="n">
        <v>170</v>
      </c>
      <c r="G554" s="15" t="n">
        <v>430</v>
      </c>
      <c r="H554" s="15" t="n">
        <v>45</v>
      </c>
      <c r="I554" s="15" t="n">
        <v>180</v>
      </c>
      <c r="J554" s="13" t="n">
        <v>25</v>
      </c>
      <c r="K554" t="n">
        <v>40</v>
      </c>
      <c r="L554" s="13" t="n">
        <v>1.5</v>
      </c>
      <c r="M554" s="12" t="n"/>
      <c r="N554" s="8" t="n">
        <v>1.229242151846894</v>
      </c>
      <c r="O554" s="15" t="n">
        <v>1.092809474956761</v>
      </c>
      <c r="P554" s="15" t="n">
        <v>1.18387092389978</v>
      </c>
      <c r="Q554" s="15" t="n">
        <v>0.00262987307926526</v>
      </c>
      <c r="R554" s="15" t="n">
        <v>0.04373479942300258</v>
      </c>
      <c r="S554" s="15" t="n">
        <v>0.002810668687009297</v>
      </c>
      <c r="T554" s="29">
        <f>HIPERLINK($A$1 &amp; "\Dados\Imagem_perfil_554.png", "Imagem_perfil_554")</f>
        <v/>
      </c>
      <c r="U554" s="29">
        <f>HIPERLINK($A$1 &amp; "\Dados\Results_airgap554.txt", "Results_airgap554")</f>
        <v/>
      </c>
      <c r="V554" s="19" t="n"/>
      <c r="W554" s="43" t="n">
        <v>1.548996956521739</v>
      </c>
      <c r="X554" s="15" t="n">
        <v>0.7864618523822925</v>
      </c>
      <c r="Y554" s="15" t="n">
        <v>0.00295872557454919</v>
      </c>
      <c r="Z554" s="15" t="n">
        <v>0.8401009042347356</v>
      </c>
      <c r="AA554" s="15" t="n">
        <v>2.315978902366287</v>
      </c>
      <c r="AB554" s="15" t="n">
        <v>0</v>
      </c>
      <c r="AC554" s="15" t="n">
        <v>0</v>
      </c>
      <c r="AD554" s="15" t="n">
        <v>8.983645443589044</v>
      </c>
      <c r="AE554" s="15" t="n">
        <v>70.4134669480277</v>
      </c>
      <c r="AF554" s="15" t="n">
        <v>110.0739480143762</v>
      </c>
      <c r="AH554" s="29">
        <f>HIPERLINK($A$1 &amp; "\Dados\Magnet_fields.txt_554.txt.txt", "Magnet_fields.txt_554.txt")</f>
        <v/>
      </c>
      <c r="AI554" t="n">
        <v>7932</v>
      </c>
      <c r="AJ554" t="n">
        <v>29</v>
      </c>
      <c r="AK554" s="29">
        <f>HIPERLINK($A$1 &amp; "\Dados\Magnet_3D_results.txt_554.txt.txt", "Magnet_3D_results.txt_554.txt")</f>
        <v/>
      </c>
      <c r="AL554" s="29">
        <f>HIPERLINK($A$1 &amp; "\Dados\Magnet_fields_2D.txt_554.txt.txt", "Magnet_fields_2D.txt_554.txt")</f>
        <v/>
      </c>
    </row>
    <row customHeight="1" ht="15.75" r="555" s="34">
      <c r="D555" s="30" t="n"/>
      <c r="E555" s="15" t="n">
        <v>120</v>
      </c>
      <c r="F555" s="15" t="n">
        <v>170</v>
      </c>
      <c r="G555" s="15" t="n">
        <v>430</v>
      </c>
      <c r="H555" s="15" t="n">
        <v>45</v>
      </c>
      <c r="I555" s="15" t="n">
        <v>180</v>
      </c>
      <c r="J555" s="13" t="n">
        <v>25</v>
      </c>
      <c r="K555" t="n">
        <v>40</v>
      </c>
      <c r="L555" s="13" t="n">
        <v>1.7</v>
      </c>
      <c r="M555" s="12" t="n"/>
      <c r="N555" s="8" t="n">
        <v>1.349452174633607</v>
      </c>
      <c r="O555" s="15" t="n">
        <v>1.198130210039169</v>
      </c>
      <c r="P555" s="15" t="n">
        <v>1.299825665049906</v>
      </c>
      <c r="Q555" s="15" t="n">
        <v>0.002759146211876627</v>
      </c>
      <c r="R555" s="15" t="n">
        <v>0.05025686840025841</v>
      </c>
      <c r="S555" s="15" t="n">
        <v>0.002969532915618695</v>
      </c>
      <c r="T555" s="29">
        <f>HIPERLINK($A$1 &amp; "\Dados\Imagem_perfil_555.png", "Imagem_perfil_555")</f>
        <v/>
      </c>
      <c r="U555" s="29">
        <f>HIPERLINK($A$1 &amp; "\Dados\Results_airgap555.txt", "Results_airgap555")</f>
        <v/>
      </c>
      <c r="V555" s="19" t="n"/>
      <c r="W555" s="43" t="n">
        <v>1.698313695652174</v>
      </c>
      <c r="X555" s="15" t="n">
        <v>0.8652183506668919</v>
      </c>
      <c r="Y555" s="15" t="n">
        <v>0.03320906785212668</v>
      </c>
      <c r="Z555" s="15" t="n">
        <v>0.1256711926183937</v>
      </c>
      <c r="AA555" s="15" t="n">
        <v>0.005143103131322468</v>
      </c>
      <c r="AB555" s="15" t="n">
        <v>0</v>
      </c>
      <c r="AC555" s="15" t="n">
        <v>6.748022219493333</v>
      </c>
      <c r="AD555" s="15" t="n">
        <v>37.45306211698171</v>
      </c>
      <c r="AE555" s="15" t="n">
        <v>80.45892124277266</v>
      </c>
      <c r="AF555" s="15" t="n">
        <v>114.3211380470968</v>
      </c>
      <c r="AH555" s="29">
        <f>HIPERLINK($A$1 &amp; "\Dados\Magnet_fields.txt_555.txt.txt", "Magnet_fields.txt_555.txt")</f>
        <v/>
      </c>
      <c r="AI555" t="n">
        <v>7932</v>
      </c>
      <c r="AJ555" t="n">
        <v>29</v>
      </c>
      <c r="AK555" s="29">
        <f>HIPERLINK($A$1 &amp; "\Dados\Magnet_3D_results.txt_555.txt.txt", "Magnet_3D_results.txt_555.txt")</f>
        <v/>
      </c>
      <c r="AL555" s="29">
        <f>HIPERLINK($A$1 &amp; "\Dados\Magnet_fields_2D.txt_555.txt.txt", "Magnet_fields_2D.txt_555.txt")</f>
        <v/>
      </c>
    </row>
    <row customHeight="1" ht="15.75" r="556" s="34">
      <c r="D556" s="30" t="n"/>
      <c r="E556" s="15" t="n">
        <v>120</v>
      </c>
      <c r="F556" s="15" t="n">
        <v>170</v>
      </c>
      <c r="G556" s="15" t="n">
        <v>430</v>
      </c>
      <c r="H556" s="15" t="n">
        <v>45</v>
      </c>
      <c r="I556" s="15" t="n">
        <v>180</v>
      </c>
      <c r="J556" s="13" t="n">
        <v>25</v>
      </c>
      <c r="K556" t="n">
        <v>40</v>
      </c>
      <c r="L556" s="13" t="n">
        <v>1.9</v>
      </c>
      <c r="M556" s="12" t="n"/>
      <c r="N556" s="8" t="n">
        <v>1.375108521895725</v>
      </c>
      <c r="O556" s="15" t="n">
        <v>1.219402181583237</v>
      </c>
      <c r="P556" s="15" t="n">
        <v>1.323860286437907</v>
      </c>
      <c r="Q556" s="15" t="n">
        <v>0.002771781327096974</v>
      </c>
      <c r="R556" s="15" t="n">
        <v>0.05112067168016788</v>
      </c>
      <c r="S556" s="15" t="n">
        <v>0.002985963705205353</v>
      </c>
      <c r="T556" s="29">
        <f>HIPERLINK($A$1 &amp; "\Dados\Imagem_perfil_556.png", "Imagem_perfil_556")</f>
        <v/>
      </c>
      <c r="U556" s="29">
        <f>HIPERLINK($A$1 &amp; "\Dados\Results_airgap556.txt", "Results_airgap556")</f>
        <v/>
      </c>
      <c r="V556" s="19" t="n"/>
      <c r="W556" s="15" t="n">
        <v>1.731111086956522</v>
      </c>
      <c r="X556" s="15" t="n">
        <v>0.8809800934881392</v>
      </c>
      <c r="Y556" s="15" t="n">
        <v>0.1258100387594597</v>
      </c>
      <c r="Z556" s="15" t="n">
        <v>0.08623443380475504</v>
      </c>
      <c r="AA556" s="15" t="n">
        <v>0.005143103131322468</v>
      </c>
      <c r="AB556" s="15" t="n">
        <v>2.465853602184823</v>
      </c>
      <c r="AC556" s="15" t="n">
        <v>12.90951460159995</v>
      </c>
      <c r="AD556" s="15" t="n">
        <v>41.4697999552948</v>
      </c>
      <c r="AE556" s="15" t="n">
        <v>82.0993649458745</v>
      </c>
      <c r="AF556" s="15" t="n">
        <v>114.7460339765104</v>
      </c>
      <c r="AH556" s="29">
        <f>HIPERLINK($A$1 &amp; "\Dados\Magnet_fields.txt_556.txt.txt", "Magnet_fields.txt_556.txt")</f>
        <v/>
      </c>
      <c r="AI556" t="n">
        <v>7932</v>
      </c>
      <c r="AJ556" t="n">
        <v>29</v>
      </c>
      <c r="AK556" s="29">
        <f>HIPERLINK($A$1 &amp; "\Dados\Magnet_3D_results.txt_556.txt.txt", "Magnet_3D_results.txt_556.txt")</f>
        <v/>
      </c>
      <c r="AL556" s="29">
        <f>HIPERLINK($A$1 &amp; "\Dados\Magnet_fields_2D.txt_556.txt.txt", "Magnet_fields_2D.txt_556.txt")</f>
        <v/>
      </c>
    </row>
    <row customHeight="1" ht="15.75" r="557" s="34">
      <c r="D557" s="30" t="n"/>
      <c r="E557" s="15" t="n">
        <v>120</v>
      </c>
      <c r="F557" s="15" t="n">
        <v>170</v>
      </c>
      <c r="G557" s="15" t="n">
        <v>430</v>
      </c>
      <c r="H557" s="15" t="n">
        <v>45</v>
      </c>
      <c r="I557" s="15" t="n">
        <v>180</v>
      </c>
      <c r="J557" s="13" t="n">
        <v>25</v>
      </c>
      <c r="K557" t="n">
        <v>40</v>
      </c>
      <c r="L557" s="13" t="n">
        <v>2.1</v>
      </c>
      <c r="M557" s="12" t="n"/>
      <c r="N557" s="8" t="n">
        <v>1.381931039581031</v>
      </c>
      <c r="O557" s="15" t="n">
        <v>1.224948018553067</v>
      </c>
      <c r="P557" s="15" t="n">
        <v>1.330192893176588</v>
      </c>
      <c r="Q557" s="15" t="n">
        <v>0.002777623531424168</v>
      </c>
      <c r="R557" s="15" t="n">
        <v>0.05129950054818194</v>
      </c>
      <c r="S557" s="15" t="n">
        <v>0.002992292397226616</v>
      </c>
      <c r="T557" s="29">
        <f>HIPERLINK($A$1 &amp; "\Dados\Imagem_perfil_557.png", "Imagem_perfil_557")</f>
        <v/>
      </c>
      <c r="U557" s="29">
        <f>HIPERLINK($A$1 &amp; "\Dados\Results_airgap557.txt", "Results_airgap557")</f>
        <v/>
      </c>
      <c r="V557" s="19" t="n"/>
      <c r="W557" s="15" t="n">
        <v>1.740079130434782</v>
      </c>
      <c r="X557" s="15" t="n">
        <v>0.8851171387614272</v>
      </c>
      <c r="Y557" s="15" t="n">
        <v>0.255478224308563</v>
      </c>
      <c r="Z557" s="15" t="n">
        <v>0.08205151539482311</v>
      </c>
      <c r="AA557" s="15" t="n">
        <v>0.005011228692057791</v>
      </c>
      <c r="AB557" s="15" t="n">
        <v>3.404380682455856</v>
      </c>
      <c r="AC557" s="15" t="n">
        <v>14.81963105607694</v>
      </c>
      <c r="AD557" s="15" t="n">
        <v>42.75794427275982</v>
      </c>
      <c r="AE557" s="15" t="n">
        <v>82.4804931181031</v>
      </c>
      <c r="AF557" s="15" t="n">
        <v>114.9841220424144</v>
      </c>
      <c r="AH557" s="29">
        <f>HIPERLINK($A$1 &amp; "\Dados\Magnet_fields.txt_557.txt.txt", "Magnet_fields.txt_557.txt")</f>
        <v/>
      </c>
      <c r="AI557" t="n">
        <v>7932</v>
      </c>
      <c r="AJ557" t="n">
        <v>29</v>
      </c>
      <c r="AK557" s="29">
        <f>HIPERLINK($A$1 &amp; "\Dados\Magnet_3D_results.txt_557.txt.txt", "Magnet_3D_results.txt_557.txt")</f>
        <v/>
      </c>
      <c r="AL557" s="29">
        <f>HIPERLINK($A$1 &amp; "\Dados\Magnet_fields_2D.txt_557.txt.txt", "Magnet_fields_2D.txt_557.txt")</f>
        <v/>
      </c>
    </row>
    <row customHeight="1" ht="15.75" r="558" s="34">
      <c r="D558" s="30" t="n"/>
      <c r="E558" s="15" t="n">
        <v>150</v>
      </c>
      <c r="F558" s="15" t="n">
        <v>170</v>
      </c>
      <c r="G558" s="15" t="n">
        <v>350</v>
      </c>
      <c r="H558" s="15" t="n">
        <v>45</v>
      </c>
      <c r="I558" s="15" t="n">
        <v>140</v>
      </c>
      <c r="J558" s="13" t="n">
        <v>25</v>
      </c>
      <c r="K558" t="n">
        <v>40</v>
      </c>
      <c r="L558" s="13" t="n">
        <v>1.3</v>
      </c>
      <c r="M558" s="12" t="n"/>
      <c r="N558" s="8" t="n">
        <v>1.057300146189544</v>
      </c>
      <c r="O558" s="15" t="n">
        <v>0.8160821818539791</v>
      </c>
      <c r="P558" s="15" t="n">
        <v>0.9942089008091073</v>
      </c>
      <c r="Q558" s="15" t="n">
        <v>0.0008181259737950092</v>
      </c>
      <c r="R558" s="15" t="n">
        <v>0.01584883943678486</v>
      </c>
      <c r="S558" s="15" t="n">
        <v>0.0008206547659236361</v>
      </c>
      <c r="T558" s="29">
        <f>HIPERLINK($A$1 &amp; "\Dados\Imagem_perfil_558.png", "Imagem_perfil_558")</f>
        <v/>
      </c>
      <c r="U558" s="29">
        <f>HIPERLINK($A$1 &amp; "\Dados\Results_airgap558.txt", "Results_airgap558")</f>
        <v/>
      </c>
      <c r="V558" s="19" t="n"/>
      <c r="W558" s="43" t="n">
        <v>1.311554782608696</v>
      </c>
      <c r="X558" s="15" t="n">
        <v>0.605229903980457</v>
      </c>
      <c r="Y558" s="15" t="n">
        <v>0.0002336213313629649</v>
      </c>
      <c r="Z558" s="15" t="n">
        <v>0</v>
      </c>
      <c r="AA558" s="15" t="n">
        <v>8.437600049404784</v>
      </c>
      <c r="AB558" s="15" t="n">
        <v>0</v>
      </c>
      <c r="AC558" s="15" t="n">
        <v>0</v>
      </c>
      <c r="AD558" s="15" t="n">
        <v>0</v>
      </c>
      <c r="AE558" s="15" t="n">
        <v>20.62330735749658</v>
      </c>
      <c r="AF558" s="15" t="n">
        <v>16.41223727928129</v>
      </c>
      <c r="AH558" s="29">
        <f>HIPERLINK($A$1 &amp; "\Dados\Magnet_fields.txt_558.txt.txt", "Magnet_fields.txt_558.txt")</f>
        <v/>
      </c>
      <c r="AI558" t="n">
        <v>7555</v>
      </c>
      <c r="AJ558" t="n">
        <v>29</v>
      </c>
      <c r="AK558" s="29">
        <f>HIPERLINK($A$1 &amp; "\Dados\Magnet_3D_results.txt_558.txt.txt", "Magnet_3D_results.txt_558.txt")</f>
        <v/>
      </c>
      <c r="AL558" s="29">
        <f>HIPERLINK($A$1 &amp; "\Dados\Magnet_fields_2D.txt_558.txt.txt", "Magnet_fields_2D.txt_558.txt")</f>
        <v/>
      </c>
    </row>
    <row customHeight="1" ht="15.75" r="559" s="34">
      <c r="D559" s="30" t="n"/>
      <c r="E559" s="15" t="n">
        <v>150</v>
      </c>
      <c r="F559" s="15" t="n">
        <v>170</v>
      </c>
      <c r="G559" s="15" t="n">
        <v>350</v>
      </c>
      <c r="H559" s="15" t="n">
        <v>45</v>
      </c>
      <c r="I559" s="15" t="n">
        <v>140</v>
      </c>
      <c r="J559" s="13" t="n">
        <v>25</v>
      </c>
      <c r="K559" t="n">
        <v>40</v>
      </c>
      <c r="L559" s="13" t="n">
        <v>1.5</v>
      </c>
      <c r="M559" s="12" t="n"/>
      <c r="N559" s="8" t="n">
        <v>1.218167701648961</v>
      </c>
      <c r="O559" s="15" t="n">
        <v>0.9490540666314873</v>
      </c>
      <c r="P559" s="15" t="n">
        <v>1.146920725885302</v>
      </c>
      <c r="Q559" s="15" t="n">
        <v>0.001162790502793664</v>
      </c>
      <c r="R559" s="15" t="n">
        <v>0.009225297049442784</v>
      </c>
      <c r="S559" s="15" t="n">
        <v>0.001161439333949</v>
      </c>
      <c r="T559" s="29">
        <f>HIPERLINK($A$1 &amp; "\Dados\Imagem_perfil_559.png", "Imagem_perfil_559")</f>
        <v/>
      </c>
      <c r="U559" s="29">
        <f>HIPERLINK($A$1 &amp; "\Dados\Results_airgap559.txt", "Results_airgap559")</f>
        <v/>
      </c>
      <c r="V559" s="19" t="n"/>
      <c r="W559" s="43" t="n">
        <v>1.499674565217391</v>
      </c>
      <c r="X559" s="15" t="n">
        <v>0.7206039270138433</v>
      </c>
      <c r="Y559" s="15" t="n">
        <v>9.836296388360252e-05</v>
      </c>
      <c r="Z559" s="15" t="n">
        <v>0</v>
      </c>
      <c r="AA559" s="15" t="n">
        <v>7.20450621389299</v>
      </c>
      <c r="AB559" s="15" t="n">
        <v>2.214973300751126</v>
      </c>
      <c r="AC559" s="15" t="n">
        <v>3.015762843471753</v>
      </c>
      <c r="AD559" s="15" t="n">
        <v>4.424915883039977</v>
      </c>
      <c r="AE559" s="15" t="n">
        <v>35.25747557591909</v>
      </c>
      <c r="AF559" s="15" t="n">
        <v>30.7293445173755</v>
      </c>
      <c r="AH559" s="29">
        <f>HIPERLINK($A$1 &amp; "\Dados\Magnet_fields.txt_559.txt.txt", "Magnet_fields.txt_559.txt")</f>
        <v/>
      </c>
      <c r="AI559" t="n">
        <v>7555</v>
      </c>
      <c r="AJ559" t="n">
        <v>28</v>
      </c>
      <c r="AK559" s="29">
        <f>HIPERLINK($A$1 &amp; "\Dados\Magnet_3D_results.txt_559.txt.txt", "Magnet_3D_results.txt_559.txt")</f>
        <v/>
      </c>
      <c r="AL559" s="29">
        <f>HIPERLINK($A$1 &amp; "\Dados\Magnet_fields_2D.txt_559.txt.txt", "Magnet_fields_2D.txt_559.txt")</f>
        <v/>
      </c>
    </row>
    <row customHeight="1" ht="15.75" r="560" s="34">
      <c r="D560" s="30" t="n"/>
      <c r="E560" s="15" t="n">
        <v>150</v>
      </c>
      <c r="F560" s="15" t="n">
        <v>170</v>
      </c>
      <c r="G560" s="15" t="n">
        <v>350</v>
      </c>
      <c r="H560" s="15" t="n">
        <v>45</v>
      </c>
      <c r="I560" s="15" t="n">
        <v>140</v>
      </c>
      <c r="J560" s="13" t="n">
        <v>25</v>
      </c>
      <c r="K560" t="n">
        <v>40</v>
      </c>
      <c r="L560" s="13" t="n">
        <v>1.7</v>
      </c>
      <c r="M560" s="12" t="n"/>
      <c r="N560" s="8" t="n">
        <v>1.39220738106137</v>
      </c>
      <c r="O560" s="15" t="n">
        <v>1.095580696028553</v>
      </c>
      <c r="P560" s="15" t="n">
        <v>1.313065875885102</v>
      </c>
      <c r="Q560" s="15" t="n">
        <v>0.001862725046115148</v>
      </c>
      <c r="R560" s="15" t="n">
        <v>0.001593640897194327</v>
      </c>
      <c r="S560" s="15" t="n">
        <v>0.001865015276888727</v>
      </c>
      <c r="T560" s="29">
        <f>HIPERLINK($A$1 &amp; "\Dados\Imagem_perfil_560.png", "Imagem_perfil_560")</f>
        <v/>
      </c>
      <c r="U560" s="29">
        <f>HIPERLINK($A$1 &amp; "\Dados\Results_airgap560.txt", "Results_airgap560")</f>
        <v/>
      </c>
      <c r="V560" s="19" t="n"/>
      <c r="W560" s="43" t="n">
        <v>1.700072826086957</v>
      </c>
      <c r="X560" s="15" t="n">
        <v>0.8496546135615743</v>
      </c>
      <c r="Y560" s="15" t="n">
        <v>9.699058225732459e-05</v>
      </c>
      <c r="Z560" s="15" t="n">
        <v>0</v>
      </c>
      <c r="AA560" s="15" t="n">
        <v>5.830386499116821</v>
      </c>
      <c r="AB560" s="15" t="n">
        <v>3.465049637191236</v>
      </c>
      <c r="AC560" s="15" t="n">
        <v>7.487189700577951</v>
      </c>
      <c r="AD560" s="15" t="n">
        <v>8.867532107994352</v>
      </c>
      <c r="AE560" s="15" t="n">
        <v>51.07537571703646</v>
      </c>
      <c r="AF560" s="15" t="n">
        <v>49.93133230286208</v>
      </c>
      <c r="AH560" s="29">
        <f>HIPERLINK($A$1 &amp; "\Dados\Magnet_fields.txt_560.txt.txt", "Magnet_fields.txt_560.txt")</f>
        <v/>
      </c>
      <c r="AI560" t="n">
        <v>7555</v>
      </c>
      <c r="AJ560" t="n">
        <v>29</v>
      </c>
      <c r="AK560" s="29">
        <f>HIPERLINK($A$1 &amp; "\Dados\Magnet_3D_results.txt_560.txt.txt", "Magnet_3D_results.txt_560.txt")</f>
        <v/>
      </c>
      <c r="AL560" s="29">
        <f>HIPERLINK($A$1 &amp; "\Dados\Magnet_fields_2D.txt_560.txt.txt", "Magnet_fields_2D.txt_560.txt")</f>
        <v/>
      </c>
    </row>
    <row customHeight="1" ht="15.75" r="561" s="34">
      <c r="D561" s="30" t="n"/>
      <c r="E561" s="15" t="n">
        <v>150</v>
      </c>
      <c r="F561" s="15" t="n">
        <v>170</v>
      </c>
      <c r="G561" s="15" t="n">
        <v>350</v>
      </c>
      <c r="H561" s="15" t="n">
        <v>45</v>
      </c>
      <c r="I561" s="15" t="n">
        <v>140</v>
      </c>
      <c r="J561" s="13" t="n">
        <v>25</v>
      </c>
      <c r="K561" t="n">
        <v>40</v>
      </c>
      <c r="L561" s="13" t="n">
        <v>1.9</v>
      </c>
      <c r="M561" s="12" t="n"/>
      <c r="N561" s="8" t="n">
        <v>1.581460113935298</v>
      </c>
      <c r="O561" s="15" t="n">
        <v>1.257384585341382</v>
      </c>
      <c r="P561" s="15" t="n">
        <v>1.495254108352224</v>
      </c>
      <c r="Q561" s="15" t="n">
        <v>0.003493167638315842</v>
      </c>
      <c r="R561" s="15" t="n">
        <v>0.01379869938724634</v>
      </c>
      <c r="S561" s="15" t="n">
        <v>0.003508609278991588</v>
      </c>
      <c r="T561" s="29">
        <f>HIPERLINK($A$1 &amp; "\Dados\Imagem_perfil_561.png", "Imagem_perfil_561")</f>
        <v/>
      </c>
      <c r="U561" s="29">
        <f>HIPERLINK($A$1 &amp; "\Dados\Results_airgap561.txt", "Results_airgap561")</f>
        <v/>
      </c>
      <c r="V561" s="19" t="n"/>
      <c r="W561" s="43" t="n">
        <v>1.899028913043478</v>
      </c>
      <c r="X561" s="15" t="n">
        <v>0.991235643348642</v>
      </c>
      <c r="Y561" s="15" t="n">
        <v>0.0001022191329849936</v>
      </c>
      <c r="Z561" s="15" t="n">
        <v>0</v>
      </c>
      <c r="AA561" s="15" t="n">
        <v>3.45118357340937</v>
      </c>
      <c r="AB561" s="15" t="n">
        <v>5.011472991375834</v>
      </c>
      <c r="AC561" s="15" t="n">
        <v>11.52315717810309</v>
      </c>
      <c r="AD561" s="15" t="n">
        <v>11.28128957046583</v>
      </c>
      <c r="AE561" s="15" t="n">
        <v>69.69910640342661</v>
      </c>
      <c r="AF561" s="15" t="n">
        <v>83.47218691459703</v>
      </c>
      <c r="AH561" s="29">
        <f>HIPERLINK($A$1 &amp; "\Dados\Magnet_fields.txt_561.txt.txt", "Magnet_fields.txt_561.txt")</f>
        <v/>
      </c>
      <c r="AI561" t="n">
        <v>7555</v>
      </c>
      <c r="AJ561" t="n">
        <v>29</v>
      </c>
      <c r="AK561" s="29">
        <f>HIPERLINK($A$1 &amp; "\Dados\Magnet_3D_results.txt_561.txt.txt", "Magnet_3D_results.txt_561.txt")</f>
        <v/>
      </c>
      <c r="AL561" s="29">
        <f>HIPERLINK($A$1 &amp; "\Dados\Magnet_fields_2D.txt_561.txt.txt", "Magnet_fields_2D.txt_561.txt")</f>
        <v/>
      </c>
    </row>
    <row customHeight="1" ht="15.75" r="562" s="34">
      <c r="D562" s="30" t="n"/>
      <c r="E562" s="15" t="n">
        <v>150</v>
      </c>
      <c r="F562" s="15" t="n">
        <v>170</v>
      </c>
      <c r="G562" s="15" t="n">
        <v>350</v>
      </c>
      <c r="H562" s="15" t="n">
        <v>45</v>
      </c>
      <c r="I562" s="15" t="n">
        <v>140</v>
      </c>
      <c r="J562" s="13" t="n">
        <v>25</v>
      </c>
      <c r="K562" t="n">
        <v>40</v>
      </c>
      <c r="L562" s="13" t="n">
        <v>2.1</v>
      </c>
      <c r="M562" s="12" t="n"/>
      <c r="N562" s="8" t="n">
        <v>1.662531556638697</v>
      </c>
      <c r="O562" s="15" t="n">
        <v>1.31974743915065</v>
      </c>
      <c r="P562" s="15" t="n">
        <v>1.569467540698565</v>
      </c>
      <c r="Q562" s="15" t="n">
        <v>0.003990764252442491</v>
      </c>
      <c r="R562" s="15" t="n">
        <v>0.0199958487312498</v>
      </c>
      <c r="S562" s="15" t="n">
        <v>0.004012812232321849</v>
      </c>
      <c r="T562" s="29">
        <f>HIPERLINK($A$1 &amp; "\Dados\Imagem_perfil_562.png", "Imagem_perfil_562")</f>
        <v/>
      </c>
      <c r="U562" s="29">
        <f>HIPERLINK($A$1 &amp; "\Dados\Results_airgap562.txt", "Results_airgap562")</f>
        <v/>
      </c>
      <c r="V562" s="19" t="n"/>
      <c r="W562" s="43" t="n">
        <v>1.977077173913044</v>
      </c>
      <c r="X562" s="15" t="n">
        <v>1.044432367249092</v>
      </c>
      <c r="Y562" s="15" t="n">
        <v>0.01496677767970923</v>
      </c>
      <c r="Z562" s="15" t="n">
        <v>0</v>
      </c>
      <c r="AA562" s="15" t="n">
        <v>0.008951028040324875</v>
      </c>
      <c r="AB562" s="15" t="n">
        <v>1.643211742504463</v>
      </c>
      <c r="AC562" s="15" t="n">
        <v>1.653227829601458</v>
      </c>
      <c r="AD562" s="15" t="n">
        <v>22.30583984789279</v>
      </c>
      <c r="AE562" s="15" t="n">
        <v>78.57870212647127</v>
      </c>
      <c r="AF562" s="15" t="n">
        <v>114.0572296620714</v>
      </c>
      <c r="AH562" s="29">
        <f>HIPERLINK($A$1 &amp; "\Dados\Magnet_fields.txt_562.txt.txt", "Magnet_fields.txt_562.txt")</f>
        <v/>
      </c>
      <c r="AI562" t="n">
        <v>7555</v>
      </c>
      <c r="AJ562" t="n">
        <v>28</v>
      </c>
      <c r="AK562" s="29">
        <f>HIPERLINK($A$1 &amp; "\Dados\Magnet_3D_results.txt_562.txt.txt", "Magnet_3D_results.txt_562.txt")</f>
        <v/>
      </c>
      <c r="AL562" s="29">
        <f>HIPERLINK($A$1 &amp; "\Dados\Magnet_fields_2D.txt_562.txt.txt", "Magnet_fields_2D.txt_562.txt")</f>
        <v/>
      </c>
    </row>
    <row customHeight="1" ht="15.75" r="563" s="34">
      <c r="D563" s="30" t="n"/>
      <c r="E563" s="15" t="n">
        <v>150</v>
      </c>
      <c r="F563" s="15" t="n">
        <v>170</v>
      </c>
      <c r="G563" s="15" t="n">
        <v>350</v>
      </c>
      <c r="H563" s="15" t="n">
        <v>25</v>
      </c>
      <c r="I563" s="15" t="n">
        <v>180</v>
      </c>
      <c r="J563" s="13" t="n">
        <v>25</v>
      </c>
      <c r="K563" t="n">
        <v>40</v>
      </c>
      <c r="L563" s="13" t="n">
        <v>1.3</v>
      </c>
      <c r="M563" s="12" t="n"/>
      <c r="N563" s="8" t="n">
        <v>1.031308750179333</v>
      </c>
      <c r="O563" s="15" t="n">
        <v>0.9223582840672768</v>
      </c>
      <c r="P563" s="15" t="n">
        <v>1.00224764074541</v>
      </c>
      <c r="Q563" s="15" t="n">
        <v>0.0007603053698435238</v>
      </c>
      <c r="R563" s="15" t="n">
        <v>0.02764615205389254</v>
      </c>
      <c r="S563" s="15" t="n">
        <v>0.0007603486276999467</v>
      </c>
      <c r="T563" s="29">
        <f>HIPERLINK($A$1 &amp; "\Dados\Imagem_perfil_563.png", "Imagem_perfil_563")</f>
        <v/>
      </c>
      <c r="U563" s="29">
        <f>HIPERLINK($A$1 &amp; "\Dados\Results_airgap563.txt", "Results_airgap563")</f>
        <v/>
      </c>
      <c r="V563" s="19" t="n"/>
      <c r="W563" s="43" t="n">
        <v>1.311327826086956</v>
      </c>
      <c r="X563" s="15" t="n">
        <v>0.5670537652494491</v>
      </c>
      <c r="Y563" s="15" t="n">
        <v>0.0002286433461251031</v>
      </c>
      <c r="Z563" s="15" t="n">
        <v>0</v>
      </c>
      <c r="AA563" s="15" t="n">
        <v>8.247308264942987</v>
      </c>
      <c r="AB563" s="15" t="n">
        <v>0</v>
      </c>
      <c r="AC563" s="15" t="n">
        <v>0</v>
      </c>
      <c r="AD563" s="15" t="n">
        <v>0</v>
      </c>
      <c r="AE563" s="15" t="n">
        <v>20.73429829461848</v>
      </c>
      <c r="AF563" s="15" t="n">
        <v>16.35673538145526</v>
      </c>
      <c r="AH563" s="29">
        <f>HIPERLINK($A$1 &amp; "\Dados\Magnet_fields.txt_563.txt.txt", "Magnet_fields.txt_563.txt")</f>
        <v/>
      </c>
      <c r="AI563" t="n">
        <v>10618</v>
      </c>
      <c r="AJ563" t="n">
        <v>30</v>
      </c>
      <c r="AK563" s="29">
        <f>HIPERLINK($A$1 &amp; "\Dados\Magnet_3D_results.txt_563.txt.txt", "Magnet_3D_results.txt_563.txt")</f>
        <v/>
      </c>
      <c r="AL563" s="29">
        <f>HIPERLINK($A$1 &amp; "\Dados\Magnet_fields_2D.txt_563.txt.txt", "Magnet_fields_2D.txt_563.txt")</f>
        <v/>
      </c>
    </row>
    <row customHeight="1" ht="15.75" r="564" s="34">
      <c r="D564" s="30" t="n"/>
      <c r="E564" s="15" t="n">
        <v>150</v>
      </c>
      <c r="F564" s="15" t="n">
        <v>170</v>
      </c>
      <c r="G564" s="15" t="n">
        <v>350</v>
      </c>
      <c r="H564" s="15" t="n">
        <v>25</v>
      </c>
      <c r="I564" s="15" t="n">
        <v>180</v>
      </c>
      <c r="J564" s="13" t="n">
        <v>25</v>
      </c>
      <c r="K564" t="n">
        <v>40</v>
      </c>
      <c r="L564" s="13" t="n">
        <v>1.5</v>
      </c>
      <c r="M564" s="12" t="n"/>
      <c r="N564" s="8" t="n">
        <v>1.211151327972798</v>
      </c>
      <c r="O564" s="15" t="n">
        <v>1.083920495500914</v>
      </c>
      <c r="P564" s="15" t="n">
        <v>1.176249231766442</v>
      </c>
      <c r="Q564" s="15" t="n">
        <v>0.001086600503843181</v>
      </c>
      <c r="R564" s="15" t="n">
        <v>0.02000266720052443</v>
      </c>
      <c r="S564" s="15" t="n">
        <v>0.001086547682545674</v>
      </c>
      <c r="T564" s="29">
        <f>HIPERLINK($A$1 &amp; "\Dados\Imagem_perfil_564.png", "Imagem_perfil_564")</f>
        <v/>
      </c>
      <c r="U564" s="29">
        <f>HIPERLINK($A$1 &amp; "\Dados\Results_airgap564.txt", "Results_airgap564")</f>
        <v/>
      </c>
      <c r="V564" s="19" t="n"/>
      <c r="W564" s="43" t="n">
        <v>1.499485434782609</v>
      </c>
      <c r="X564" s="15" t="n">
        <v>0.6892541260291679</v>
      </c>
      <c r="Y564" s="15" t="n">
        <v>9.689961178226923e-05</v>
      </c>
      <c r="Z564" s="15" t="n">
        <v>0</v>
      </c>
      <c r="AA564" s="15" t="n">
        <v>8.072136179501456</v>
      </c>
      <c r="AB564" s="15" t="n">
        <v>2.083142982177955</v>
      </c>
      <c r="AC564" s="15" t="n">
        <v>3.127180703907245</v>
      </c>
      <c r="AD564" s="15" t="n">
        <v>4.351397105748365</v>
      </c>
      <c r="AE564" s="15" t="n">
        <v>35.33969733877071</v>
      </c>
      <c r="AF564" s="15" t="n">
        <v>30.76279102277737</v>
      </c>
      <c r="AH564" s="29">
        <f>HIPERLINK($A$1 &amp; "\Dados\Magnet_fields.txt_564.txt.txt", "Magnet_fields.txt_564.txt")</f>
        <v/>
      </c>
      <c r="AI564" t="n">
        <v>10618</v>
      </c>
      <c r="AJ564" t="n">
        <v>30</v>
      </c>
      <c r="AK564" s="29">
        <f>HIPERLINK($A$1 &amp; "\Dados\Magnet_3D_results.txt_564.txt.txt", "Magnet_3D_results.txt_564.txt")</f>
        <v/>
      </c>
      <c r="AL564" s="29">
        <f>HIPERLINK($A$1 &amp; "\Dados\Magnet_fields_2D.txt_564.txt.txt", "Magnet_fields_2D.txt_564.txt")</f>
        <v/>
      </c>
    </row>
    <row customHeight="1" ht="15.75" r="565" s="34">
      <c r="D565" s="30" t="n"/>
      <c r="E565" s="15" t="n">
        <v>150</v>
      </c>
      <c r="F565" s="15" t="n">
        <v>170</v>
      </c>
      <c r="G565" s="15" t="n">
        <v>350</v>
      </c>
      <c r="H565" s="15" t="n">
        <v>25</v>
      </c>
      <c r="I565" s="15" t="n">
        <v>180</v>
      </c>
      <c r="J565" s="13" t="n">
        <v>25</v>
      </c>
      <c r="K565" t="n">
        <v>40</v>
      </c>
      <c r="L565" s="13" t="n">
        <v>1.7</v>
      </c>
      <c r="M565" s="12" t="n"/>
      <c r="N565" s="8" t="n">
        <v>1.411384539093228</v>
      </c>
      <c r="O565" s="15" t="n">
        <v>1.265435900579475</v>
      </c>
      <c r="P565" s="15" t="n">
        <v>1.370657183355636</v>
      </c>
      <c r="Q565" s="15" t="n">
        <v>0.001690483141557068</v>
      </c>
      <c r="R565" s="15" t="n">
        <v>0.009258904865572157</v>
      </c>
      <c r="S565" s="15" t="n">
        <v>0.001689749074462184</v>
      </c>
      <c r="T565" s="29">
        <f>HIPERLINK($A$1 &amp; "\Dados\Imagem_perfil_565.png", "Imagem_perfil_565")</f>
        <v/>
      </c>
      <c r="U565" s="29">
        <f>HIPERLINK($A$1 &amp; "\Dados\Results_airgap565.txt", "Results_airgap565")</f>
        <v/>
      </c>
      <c r="V565" s="19" t="n"/>
      <c r="W565" s="43" t="n">
        <v>1.700057826086956</v>
      </c>
      <c r="X565" s="15" t="n">
        <v>0.832861238961318</v>
      </c>
      <c r="Y565" s="15" t="n">
        <v>9.709111235877454e-05</v>
      </c>
      <c r="Z565" s="15" t="n">
        <v>0</v>
      </c>
      <c r="AA565" s="15" t="n">
        <v>6.985796394477125</v>
      </c>
      <c r="AB565" s="15" t="n">
        <v>3.480181361104986</v>
      </c>
      <c r="AC565" s="15" t="n">
        <v>7.497947946448312</v>
      </c>
      <c r="AD565" s="15" t="n">
        <v>8.880721895724031</v>
      </c>
      <c r="AE565" s="15" t="n">
        <v>51.08220478039864</v>
      </c>
      <c r="AF565" s="15" t="n">
        <v>50.00051494569093</v>
      </c>
      <c r="AH565" s="29">
        <f>HIPERLINK($A$1 &amp; "\Dados\Magnet_fields.txt_565.txt.txt", "Magnet_fields.txt_565.txt")</f>
        <v/>
      </c>
      <c r="AI565" t="n">
        <v>10618</v>
      </c>
      <c r="AJ565" t="n">
        <v>30</v>
      </c>
      <c r="AK565" s="29">
        <f>HIPERLINK($A$1 &amp; "\Dados\Magnet_3D_results.txt_565.txt.txt", "Magnet_3D_results.txt_565.txt")</f>
        <v/>
      </c>
      <c r="AL565" s="29">
        <f>HIPERLINK($A$1 &amp; "\Dados\Magnet_fields_2D.txt_565.txt.txt", "Magnet_fields_2D.txt_565.txt")</f>
        <v/>
      </c>
    </row>
    <row customHeight="1" ht="15.75" r="566" s="34">
      <c r="D566" s="30" t="n"/>
      <c r="E566" s="15" t="n">
        <v>150</v>
      </c>
      <c r="F566" s="15" t="n">
        <v>170</v>
      </c>
      <c r="G566" s="15" t="n">
        <v>350</v>
      </c>
      <c r="H566" s="15" t="n">
        <v>25</v>
      </c>
      <c r="I566" s="15" t="n">
        <v>180</v>
      </c>
      <c r="J566" s="13" t="n">
        <v>25</v>
      </c>
      <c r="K566" t="n">
        <v>40</v>
      </c>
      <c r="L566" s="13" t="n">
        <v>1.9</v>
      </c>
      <c r="M566" s="12" t="n"/>
      <c r="N566" s="8" t="n">
        <v>1.621639217974142</v>
      </c>
      <c r="O566" s="15" t="n">
        <v>1.459310436164706</v>
      </c>
      <c r="P566" s="15" t="n">
        <v>1.576019057942957</v>
      </c>
      <c r="Q566" s="15" t="n">
        <v>0.003232039134186993</v>
      </c>
      <c r="R566" s="15" t="n">
        <v>0.006752257496136315</v>
      </c>
      <c r="S566" s="15" t="n">
        <v>0.003232605047732549</v>
      </c>
      <c r="T566" s="29">
        <f>HIPERLINK($A$1 &amp; "\Dados\Imagem_perfil_566.png", "Imagem_perfil_566")</f>
        <v/>
      </c>
      <c r="U566" s="29">
        <f>HIPERLINK($A$1 &amp; "\Dados\Results_airgap566.txt", "Results_airgap566")</f>
        <v/>
      </c>
      <c r="V566" s="19" t="n"/>
      <c r="W566" s="43" t="n">
        <v>1.899071956521739</v>
      </c>
      <c r="X566" s="15" t="n">
        <v>0.9881180614195769</v>
      </c>
      <c r="Y566" s="15" t="n">
        <v>0.0001046727514200797</v>
      </c>
      <c r="Z566" s="15" t="n">
        <v>0.03583961840902362</v>
      </c>
      <c r="AA566" s="15" t="n">
        <v>6.583483630700202</v>
      </c>
      <c r="AB566" s="15" t="n">
        <v>5.064318441914733</v>
      </c>
      <c r="AC566" s="15" t="n">
        <v>11.01800320896887</v>
      </c>
      <c r="AD566" s="15" t="n">
        <v>11.61395292578004</v>
      </c>
      <c r="AE566" s="15" t="n">
        <v>69.72124189929363</v>
      </c>
      <c r="AF566" s="15" t="n">
        <v>83.38720429375209</v>
      </c>
      <c r="AH566" s="29">
        <f>HIPERLINK($A$1 &amp; "\Dados\Magnet_fields.txt_566.txt.txt", "Magnet_fields.txt_566.txt")</f>
        <v/>
      </c>
      <c r="AI566" t="n">
        <v>10618</v>
      </c>
      <c r="AJ566" t="n">
        <v>30</v>
      </c>
      <c r="AK566" s="29">
        <f>HIPERLINK($A$1 &amp; "\Dados\Magnet_3D_results.txt_566.txt.txt", "Magnet_3D_results.txt_566.txt")</f>
        <v/>
      </c>
      <c r="AL566" s="29">
        <f>HIPERLINK($A$1 &amp; "\Dados\Magnet_fields_2D.txt_566.txt.txt", "Magnet_fields_2D.txt_566.txt")</f>
        <v/>
      </c>
    </row>
    <row customHeight="1" ht="15.75" r="567" s="34">
      <c r="D567" s="30" t="n"/>
      <c r="E567" s="15" t="n">
        <v>150</v>
      </c>
      <c r="F567" s="15" t="n">
        <v>170</v>
      </c>
      <c r="G567" s="15" t="n">
        <v>350</v>
      </c>
      <c r="H567" s="15" t="n">
        <v>25</v>
      </c>
      <c r="I567" s="15" t="n">
        <v>180</v>
      </c>
      <c r="J567" s="13" t="n">
        <v>25</v>
      </c>
      <c r="K567" t="n">
        <v>40</v>
      </c>
      <c r="L567" s="13" t="n">
        <v>2.1</v>
      </c>
      <c r="M567" s="12" t="n"/>
      <c r="N567" s="8" t="n">
        <v>1.717693396997512</v>
      </c>
      <c r="O567" s="15" t="n">
        <v>1.548051416480311</v>
      </c>
      <c r="P567" s="15" t="n">
        <v>1.668911248154652</v>
      </c>
      <c r="Q567" s="15" t="n">
        <v>0.003850833680664451</v>
      </c>
      <c r="R567" s="15" t="n">
        <v>0.01546340454845435</v>
      </c>
      <c r="S567" s="15" t="n">
        <v>0.003852572323875957</v>
      </c>
      <c r="T567" s="29">
        <f>HIPERLINK($A$1 &amp; "\Dados\Imagem_perfil_567.png", "Imagem_perfil_567")</f>
        <v/>
      </c>
      <c r="U567" s="29">
        <f>HIPERLINK($A$1 &amp; "\Dados\Results_airgap567.txt", "Results_airgap567")</f>
        <v/>
      </c>
      <c r="V567" s="19" t="n"/>
      <c r="W567" s="43" t="n">
        <v>1.976631739130434</v>
      </c>
      <c r="X567" s="15" t="n">
        <v>1.054799639274947</v>
      </c>
      <c r="Y567" s="15" t="n">
        <v>0.01501752454821892</v>
      </c>
      <c r="Z567" s="15" t="n">
        <v>0.02096135196001607</v>
      </c>
      <c r="AA567" s="15" t="n">
        <v>5.561981020166073</v>
      </c>
      <c r="AB567" s="15" t="n">
        <v>1.624465992992376</v>
      </c>
      <c r="AC567" s="15" t="n">
        <v>1.610205576773576</v>
      </c>
      <c r="AD567" s="15" t="n">
        <v>22.3046201457107</v>
      </c>
      <c r="AE567" s="15" t="n">
        <v>78.60743768314704</v>
      </c>
      <c r="AF567" s="15" t="n">
        <v>114.0760477776371</v>
      </c>
      <c r="AH567" s="29">
        <f>HIPERLINK($A$1 &amp; "\Dados\Magnet_fields.txt_567.txt.txt", "Magnet_fields.txt_567.txt")</f>
        <v/>
      </c>
      <c r="AI567" t="n">
        <v>10618</v>
      </c>
      <c r="AJ567" t="n">
        <v>30</v>
      </c>
      <c r="AK567" s="29">
        <f>HIPERLINK($A$1 &amp; "\Dados\Magnet_3D_results.txt_567.txt.txt", "Magnet_3D_results.txt_567.txt")</f>
        <v/>
      </c>
      <c r="AL567" s="29">
        <f>HIPERLINK($A$1 &amp; "\Dados\Magnet_fields_2D.txt_567.txt.txt", "Magnet_fields_2D.txt_567.txt")</f>
        <v/>
      </c>
    </row>
    <row customHeight="1" ht="15.75" r="568" s="34">
      <c r="D568" s="30" t="n"/>
      <c r="E568" s="15" t="n">
        <v>150</v>
      </c>
      <c r="F568" s="15" t="n">
        <v>170</v>
      </c>
      <c r="G568" s="15" t="n">
        <v>350</v>
      </c>
      <c r="H568" s="15" t="n">
        <v>45</v>
      </c>
      <c r="I568" s="15" t="n">
        <v>180</v>
      </c>
      <c r="J568" s="13" t="n">
        <v>25</v>
      </c>
      <c r="K568" t="n">
        <v>40</v>
      </c>
      <c r="L568" s="13" t="n">
        <v>1.3</v>
      </c>
      <c r="M568" s="12" t="n"/>
      <c r="N568" s="8" t="n">
        <v>1.084705479930332</v>
      </c>
      <c r="O568" s="15" t="n">
        <v>0.9767504419624583</v>
      </c>
      <c r="P568" s="15" t="n">
        <v>1.055894525273284</v>
      </c>
      <c r="Q568" s="15" t="n">
        <v>0.0008378187756772847</v>
      </c>
      <c r="R568" s="15" t="n">
        <v>0.01883317529667519</v>
      </c>
      <c r="S568" s="15" t="n">
        <v>0.0008377344842503738</v>
      </c>
      <c r="T568" s="29">
        <f>HIPERLINK($A$1 &amp; "\Dados\Imagem_perfil_568.png", "Imagem_perfil_568")</f>
        <v/>
      </c>
      <c r="U568" s="29">
        <f>HIPERLINK($A$1 &amp; "\Dados\Results_airgap568.txt", "Results_airgap568")</f>
        <v/>
      </c>
      <c r="V568" s="19" t="n"/>
      <c r="W568" s="43" t="n">
        <v>1.311561521739131</v>
      </c>
      <c r="X568" s="15" t="n">
        <v>0.6189228741177676</v>
      </c>
      <c r="Y568" s="15" t="n">
        <v>0.000233757100886368</v>
      </c>
      <c r="Z568" s="15" t="n">
        <v>0</v>
      </c>
      <c r="AA568" s="15" t="n">
        <v>9.148357560577484</v>
      </c>
      <c r="AB568" s="15" t="n">
        <v>0</v>
      </c>
      <c r="AC568" s="15" t="n">
        <v>0</v>
      </c>
      <c r="AD568" s="15" t="n">
        <v>0</v>
      </c>
      <c r="AE568" s="15" t="n">
        <v>20.64335777654885</v>
      </c>
      <c r="AF568" s="15" t="n">
        <v>16.38834314472593</v>
      </c>
      <c r="AH568" s="29">
        <f>HIPERLINK($A$1 &amp; "\Dados\Magnet_fields.txt_568.txt.txt", "Magnet_fields.txt_568.txt")</f>
        <v/>
      </c>
      <c r="AI568" t="n">
        <v>7666</v>
      </c>
      <c r="AJ568" t="n">
        <v>29</v>
      </c>
      <c r="AK568" s="29">
        <f>HIPERLINK($A$1 &amp; "\Dados\Magnet_3D_results.txt_568.txt.txt", "Magnet_3D_results.txt_568.txt")</f>
        <v/>
      </c>
      <c r="AL568" s="29">
        <f>HIPERLINK($A$1 &amp; "\Dados\Magnet_fields_2D.txt_568.txt.txt", "Magnet_fields_2D.txt_568.txt")</f>
        <v/>
      </c>
    </row>
    <row customHeight="1" ht="15.75" r="569" s="34">
      <c r="D569" s="30" t="n"/>
      <c r="E569" s="15" t="n">
        <v>150</v>
      </c>
      <c r="F569" s="15" t="n">
        <v>170</v>
      </c>
      <c r="G569" s="15" t="n">
        <v>350</v>
      </c>
      <c r="H569" s="15" t="n">
        <v>45</v>
      </c>
      <c r="I569" s="15" t="n">
        <v>180</v>
      </c>
      <c r="J569" s="13" t="n">
        <v>25</v>
      </c>
      <c r="K569" t="n">
        <v>40</v>
      </c>
      <c r="L569" s="13" t="n">
        <v>1.5</v>
      </c>
      <c r="M569" s="12" t="n"/>
      <c r="N569" s="8" t="n">
        <v>1.261532625366393</v>
      </c>
      <c r="O569" s="15" t="n">
        <v>1.135246251893936</v>
      </c>
      <c r="P569" s="15" t="n">
        <v>1.226878964709172</v>
      </c>
      <c r="Q569" s="15" t="n">
        <v>0.001193738792598508</v>
      </c>
      <c r="R569" s="15" t="n">
        <v>0.01152574874864071</v>
      </c>
      <c r="S569" s="15" t="n">
        <v>0.001193470723271227</v>
      </c>
      <c r="T569" s="29">
        <f>HIPERLINK($A$1 &amp; "\Dados\Imagem_perfil_569.png", "Imagem_perfil_569")</f>
        <v/>
      </c>
      <c r="U569" s="29">
        <f>HIPERLINK($A$1 &amp; "\Dados\Results_airgap569.txt", "Results_airgap569")</f>
        <v/>
      </c>
      <c r="V569" s="19" t="n"/>
      <c r="W569" s="43" t="n">
        <v>1.499700434782609</v>
      </c>
      <c r="X569" s="15" t="n">
        <v>0.7409772216849626</v>
      </c>
      <c r="Y569" s="15" t="n">
        <v>9.847642496019305e-05</v>
      </c>
      <c r="Z569" s="15" t="n">
        <v>0</v>
      </c>
      <c r="AA569" s="15" t="n">
        <v>8.045694427397502</v>
      </c>
      <c r="AB569" s="15" t="n">
        <v>2.217703444389278</v>
      </c>
      <c r="AC569" s="15" t="n">
        <v>3.013244824059882</v>
      </c>
      <c r="AD569" s="15" t="n">
        <v>4.452518472038523</v>
      </c>
      <c r="AE569" s="15" t="n">
        <v>35.12912339075525</v>
      </c>
      <c r="AF569" s="15" t="n">
        <v>30.83681792026548</v>
      </c>
      <c r="AH569" s="29">
        <f>HIPERLINK($A$1 &amp; "\Dados\Magnet_fields.txt_569.txt.txt", "Magnet_fields.txt_569.txt")</f>
        <v/>
      </c>
      <c r="AI569" t="n">
        <v>7666</v>
      </c>
      <c r="AJ569" t="n">
        <v>29</v>
      </c>
      <c r="AK569" s="29">
        <f>HIPERLINK($A$1 &amp; "\Dados\Magnet_3D_results.txt_569.txt.txt", "Magnet_3D_results.txt_569.txt")</f>
        <v/>
      </c>
      <c r="AL569" s="29">
        <f>HIPERLINK($A$1 &amp; "\Dados\Magnet_fields_2D.txt_569.txt.txt", "Magnet_fields_2D.txt_569.txt")</f>
        <v/>
      </c>
    </row>
    <row customHeight="1" ht="15.75" r="570" s="34">
      <c r="D570" s="30" t="n"/>
      <c r="E570" s="15" t="n">
        <v>150</v>
      </c>
      <c r="F570" s="15" t="n">
        <v>170</v>
      </c>
      <c r="G570" s="15" t="n">
        <v>350</v>
      </c>
      <c r="H570" s="15" t="n">
        <v>45</v>
      </c>
      <c r="I570" s="15" t="n">
        <v>180</v>
      </c>
      <c r="J570" s="13" t="n">
        <v>25</v>
      </c>
      <c r="K570" t="n">
        <v>40</v>
      </c>
      <c r="L570" s="13" t="n">
        <v>1.7</v>
      </c>
      <c r="M570" s="12" t="n"/>
      <c r="N570" s="8" t="n">
        <v>1.453539663270866</v>
      </c>
      <c r="O570" s="15" t="n">
        <v>1.30879219254577</v>
      </c>
      <c r="P570" s="15" t="n">
        <v>1.413162753330039</v>
      </c>
      <c r="Q570" s="15" t="n">
        <v>0.001964982557606785</v>
      </c>
      <c r="R570" s="15" t="n">
        <v>0.002152736429553138</v>
      </c>
      <c r="S570" s="15" t="n">
        <v>0.001964562728886707</v>
      </c>
      <c r="T570" s="29">
        <f>HIPERLINK($A$1 &amp; "\Dados\Imagem_perfil_570.png", "Imagem_perfil_570")</f>
        <v/>
      </c>
      <c r="U570" s="29">
        <f>HIPERLINK($A$1 &amp; "\Dados\Results_airgap570.txt", "Results_airgap570")</f>
        <v/>
      </c>
      <c r="V570" s="19" t="n"/>
      <c r="W570" s="43" t="n">
        <v>1.700167608695652</v>
      </c>
      <c r="X570" s="15" t="n">
        <v>0.8785794931568499</v>
      </c>
      <c r="Y570" s="15" t="n">
        <v>9.740547726784668e-05</v>
      </c>
      <c r="Z570" s="15" t="n">
        <v>0</v>
      </c>
      <c r="AA570" s="15" t="n">
        <v>6.540940315261294</v>
      </c>
      <c r="AB570" s="15" t="n">
        <v>3.494352698580097</v>
      </c>
      <c r="AC570" s="15" t="n">
        <v>7.461085493792026</v>
      </c>
      <c r="AD570" s="15" t="n">
        <v>8.892092144009657</v>
      </c>
      <c r="AE570" s="15" t="n">
        <v>51.15078233929636</v>
      </c>
      <c r="AF570" s="15" t="n">
        <v>49.86124476092498</v>
      </c>
      <c r="AH570" s="29">
        <f>HIPERLINK($A$1 &amp; "\Dados\Magnet_fields.txt_570.txt.txt", "Magnet_fields.txt_570.txt")</f>
        <v/>
      </c>
      <c r="AI570" t="n">
        <v>7666</v>
      </c>
      <c r="AJ570" t="n">
        <v>29</v>
      </c>
      <c r="AK570" s="29">
        <f>HIPERLINK($A$1 &amp; "\Dados\Magnet_3D_results.txt_570.txt.txt", "Magnet_3D_results.txt_570.txt")</f>
        <v/>
      </c>
      <c r="AL570" s="29">
        <f>HIPERLINK($A$1 &amp; "\Dados\Magnet_fields_2D.txt_570.txt.txt", "Magnet_fields_2D.txt_570.txt")</f>
        <v/>
      </c>
    </row>
    <row customHeight="1" ht="15.75" r="571" s="34">
      <c r="D571" s="30" t="n"/>
      <c r="E571" s="15" t="n">
        <v>150</v>
      </c>
      <c r="F571" s="15" t="n">
        <v>170</v>
      </c>
      <c r="G571" s="15" t="n">
        <v>350</v>
      </c>
      <c r="H571" s="15" t="n">
        <v>45</v>
      </c>
      <c r="I571" s="15" t="n">
        <v>180</v>
      </c>
      <c r="J571" s="13" t="n">
        <v>25</v>
      </c>
      <c r="K571" t="n">
        <v>40</v>
      </c>
      <c r="L571" s="13" t="n">
        <v>1.9</v>
      </c>
      <c r="M571" s="12" t="n"/>
      <c r="N571" s="8" t="n">
        <v>1.662050147964492</v>
      </c>
      <c r="O571" s="15" t="n">
        <v>1.500673525631935</v>
      </c>
      <c r="P571" s="15" t="n">
        <v>1.616689047802309</v>
      </c>
      <c r="Q571" s="15" t="n">
        <v>0.003688888606281787</v>
      </c>
      <c r="R571" s="15" t="n">
        <v>0.01388523155750026</v>
      </c>
      <c r="S571" s="15" t="n">
        <v>0.003690902896622075</v>
      </c>
      <c r="T571" s="29">
        <f>HIPERLINK($A$1 &amp; "\Dados\Imagem_perfil_571.png", "Imagem_perfil_571")</f>
        <v/>
      </c>
      <c r="U571" s="29">
        <f>HIPERLINK($A$1 &amp; "\Dados\Results_airgap571.txt", "Results_airgap571")</f>
        <v/>
      </c>
      <c r="V571" s="19" t="n"/>
      <c r="W571" s="43" t="n">
        <v>1.898944565217391</v>
      </c>
      <c r="X571" s="15" t="n">
        <v>1.029056526390823</v>
      </c>
      <c r="Y571" s="15" t="n">
        <v>0.0001021354716498779</v>
      </c>
      <c r="Z571" s="15" t="n">
        <v>0.01616630404069606</v>
      </c>
      <c r="AA571" s="15" t="n">
        <v>3.482702875807349</v>
      </c>
      <c r="AB571" s="15" t="n">
        <v>5.012815524547984</v>
      </c>
      <c r="AC571" s="15" t="n">
        <v>11.52549039694019</v>
      </c>
      <c r="AD571" s="15" t="n">
        <v>11.32259319639276</v>
      </c>
      <c r="AE571" s="15" t="n">
        <v>69.46692579827359</v>
      </c>
      <c r="AF571" s="15" t="n">
        <v>83.53847546791371</v>
      </c>
      <c r="AH571" s="29">
        <f>HIPERLINK($A$1 &amp; "\Dados\Magnet_fields.txt_571.txt.txt", "Magnet_fields.txt_571.txt")</f>
        <v/>
      </c>
      <c r="AI571" t="n">
        <v>7666</v>
      </c>
      <c r="AJ571" t="n">
        <v>29</v>
      </c>
      <c r="AK571" s="29">
        <f>HIPERLINK($A$1 &amp; "\Dados\Magnet_3D_results.txt_571.txt.txt", "Magnet_3D_results.txt_571.txt")</f>
        <v/>
      </c>
      <c r="AL571" s="29">
        <f>HIPERLINK($A$1 &amp; "\Dados\Magnet_fields_2D.txt_571.txt.txt", "Magnet_fields_2D.txt_571.txt")</f>
        <v/>
      </c>
    </row>
    <row customHeight="1" ht="15.75" r="572" s="34">
      <c r="D572" s="30" t="n"/>
      <c r="E572" s="15" t="n">
        <v>150</v>
      </c>
      <c r="F572" s="15" t="n">
        <v>170</v>
      </c>
      <c r="G572" s="15" t="n">
        <v>350</v>
      </c>
      <c r="H572" s="15" t="n">
        <v>45</v>
      </c>
      <c r="I572" s="15" t="n">
        <v>180</v>
      </c>
      <c r="J572" s="13" t="n">
        <v>25</v>
      </c>
      <c r="K572" t="n">
        <v>40</v>
      </c>
      <c r="L572" s="13" t="n">
        <v>2.1</v>
      </c>
      <c r="M572" s="12" t="n"/>
      <c r="N572" s="8" t="n">
        <v>1.748404156335007</v>
      </c>
      <c r="O572" s="15" t="n">
        <v>1.579049682279537</v>
      </c>
      <c r="P572" s="15" t="n">
        <v>1.699796203305223</v>
      </c>
      <c r="Q572" s="15" t="n">
        <v>0.004207928421882771</v>
      </c>
      <c r="R572" s="15" t="n">
        <v>0.0206759002252796</v>
      </c>
      <c r="S572" s="15" t="n">
        <v>0.004211345905310061</v>
      </c>
      <c r="T572" s="29">
        <f>HIPERLINK($A$1 &amp; "\Dados\Imagem_perfil_572.png", "Imagem_perfil_572")</f>
        <v/>
      </c>
      <c r="U572" s="29">
        <f>HIPERLINK($A$1 &amp; "\Dados\Results_airgap572.txt", "Results_airgap572")</f>
        <v/>
      </c>
      <c r="V572" s="19" t="n"/>
      <c r="W572" s="43" t="n">
        <v>1.976548043478261</v>
      </c>
      <c r="X572" s="15" t="n">
        <v>1.084284243197845</v>
      </c>
      <c r="Y572" s="15" t="n">
        <v>0.0149673513870701</v>
      </c>
      <c r="Z572" s="15" t="n">
        <v>0.01616630404069606</v>
      </c>
      <c r="AA572" s="15" t="n">
        <v>0.006167914833729722</v>
      </c>
      <c r="AB572" s="15" t="n">
        <v>1.613701479634832</v>
      </c>
      <c r="AC572" s="15" t="n">
        <v>1.577059294732597</v>
      </c>
      <c r="AD572" s="15" t="n">
        <v>22.27286595204599</v>
      </c>
      <c r="AE572" s="15" t="n">
        <v>78.58614484319389</v>
      </c>
      <c r="AF572" s="15" t="n">
        <v>114.0772419501969</v>
      </c>
      <c r="AH572" s="29">
        <f>HIPERLINK($A$1 &amp; "\Dados\Magnet_fields.txt_572.txt.txt", "Magnet_fields.txt_572.txt")</f>
        <v/>
      </c>
      <c r="AI572" t="n">
        <v>7666</v>
      </c>
      <c r="AJ572" t="n">
        <v>29</v>
      </c>
      <c r="AK572" s="29">
        <f>HIPERLINK($A$1 &amp; "\Dados\Magnet_3D_results.txt_572.txt.txt", "Magnet_3D_results.txt_572.txt")</f>
        <v/>
      </c>
      <c r="AL572" s="29">
        <f>HIPERLINK($A$1 &amp; "\Dados\Magnet_fields_2D.txt_572.txt.txt", "Magnet_fields_2D.txt_572.txt")</f>
        <v/>
      </c>
    </row>
    <row customHeight="1" ht="15.75" r="573" s="34">
      <c r="D573" s="30" t="n"/>
      <c r="E573" s="15" t="n">
        <v>150</v>
      </c>
      <c r="F573" s="15" t="n">
        <v>170</v>
      </c>
      <c r="G573" s="15" t="n">
        <v>430</v>
      </c>
      <c r="H573" s="15" t="n">
        <v>45</v>
      </c>
      <c r="I573" s="15" t="n">
        <v>140</v>
      </c>
      <c r="J573" s="13" t="n">
        <v>25</v>
      </c>
      <c r="K573" t="n">
        <v>40</v>
      </c>
      <c r="L573" s="13" t="n">
        <v>1.3</v>
      </c>
      <c r="M573" s="12" t="n"/>
      <c r="N573" s="8" t="n">
        <v>1.066592007445642</v>
      </c>
      <c r="O573" s="15" t="n">
        <v>0.8251643014017397</v>
      </c>
      <c r="P573" s="15" t="n">
        <v>1.003185731312489</v>
      </c>
      <c r="Q573" s="15" t="n">
        <v>0.000651398248067783</v>
      </c>
      <c r="R573" s="15" t="n">
        <v>0.01753276581922963</v>
      </c>
      <c r="S573" s="15" t="n">
        <v>0.0006545690441232189</v>
      </c>
      <c r="T573" s="29">
        <f>HIPERLINK($A$1 &amp; "\Dados\Imagem_perfil_573.png", "Imagem_perfil_573")</f>
        <v/>
      </c>
      <c r="U573" s="29">
        <f>HIPERLINK($A$1 &amp; "\Dados\Results_airgap573.txt", "Results_airgap573")</f>
        <v/>
      </c>
      <c r="V573" s="19" t="n"/>
      <c r="W573" s="43" t="n">
        <v>1.333273695652174</v>
      </c>
      <c r="X573" s="15" t="n">
        <v>0.6174303059456624</v>
      </c>
      <c r="Y573" s="15" t="n">
        <v>0.001149702351044536</v>
      </c>
      <c r="Z573" s="15" t="n">
        <v>0</v>
      </c>
      <c r="AA573" s="15" t="n">
        <v>8.506396814931</v>
      </c>
      <c r="AB573" s="15" t="n">
        <v>0</v>
      </c>
      <c r="AC573" s="15" t="n">
        <v>0</v>
      </c>
      <c r="AD573" s="15" t="n">
        <v>0</v>
      </c>
      <c r="AE573" s="15" t="n">
        <v>17.30287673081786</v>
      </c>
      <c r="AF573" s="15" t="n">
        <v>13.70486767046514</v>
      </c>
      <c r="AH573" s="29">
        <f>HIPERLINK($A$1 &amp; "\Dados\Magnet_fields.txt_573.txt.txt", "Magnet_fields.txt_573.txt")</f>
        <v/>
      </c>
      <c r="AI573" t="n">
        <v>8008</v>
      </c>
      <c r="AJ573" t="n">
        <v>28</v>
      </c>
      <c r="AK573" s="29">
        <f>HIPERLINK($A$1 &amp; "\Dados\Magnet_3D_results.txt_573.txt.txt", "Magnet_3D_results.txt_573.txt")</f>
        <v/>
      </c>
      <c r="AL573" s="29">
        <f>HIPERLINK($A$1 &amp; "\Dados\Magnet_fields_2D.txt_573.txt.txt", "Magnet_fields_2D.txt_573.txt")</f>
        <v/>
      </c>
    </row>
    <row customHeight="1" ht="15.75" r="574" s="34">
      <c r="D574" s="30" t="n"/>
      <c r="E574" s="15" t="n">
        <v>150</v>
      </c>
      <c r="F574" s="15" t="n">
        <v>170</v>
      </c>
      <c r="G574" s="15" t="n">
        <v>430</v>
      </c>
      <c r="H574" s="15" t="n">
        <v>45</v>
      </c>
      <c r="I574" s="15" t="n">
        <v>140</v>
      </c>
      <c r="J574" s="13" t="n">
        <v>25</v>
      </c>
      <c r="K574" t="n">
        <v>40</v>
      </c>
      <c r="L574" s="13" t="n">
        <v>1.5</v>
      </c>
      <c r="M574" s="12" t="n"/>
      <c r="N574" s="8" t="n">
        <v>1.191407152979544</v>
      </c>
      <c r="O574" s="15" t="n">
        <v>0.9332773018088522</v>
      </c>
      <c r="P574" s="15" t="n">
        <v>1.123667006991201</v>
      </c>
      <c r="Q574" s="15" t="n">
        <v>0.0009381337017782502</v>
      </c>
      <c r="R574" s="15" t="n">
        <v>0.009736672400528411</v>
      </c>
      <c r="S574" s="15" t="n">
        <v>0.0009369974996942797</v>
      </c>
      <c r="T574" s="29">
        <f>HIPERLINK($A$1 &amp; "\Dados\Imagem_perfil_574.png", "Imagem_perfil_574")</f>
        <v/>
      </c>
      <c r="U574" s="29">
        <f>HIPERLINK($A$1 &amp; "\Dados\Results_airgap574.txt", "Results_airgap574")</f>
        <v/>
      </c>
      <c r="V574" s="19" t="n"/>
      <c r="W574" s="43" t="n">
        <v>1.498265</v>
      </c>
      <c r="X574" s="15" t="n">
        <v>0.7143136281032574</v>
      </c>
      <c r="Y574" s="15" t="n">
        <v>9.045671329125022e-05</v>
      </c>
      <c r="Z574" s="15" t="n">
        <v>0</v>
      </c>
      <c r="AA574" s="15" t="n">
        <v>7.16501848368546</v>
      </c>
      <c r="AB574" s="15" t="n">
        <v>0.3309643629448486</v>
      </c>
      <c r="AC574" s="15" t="n">
        <v>0.7934213688039625</v>
      </c>
      <c r="AD574" s="15" t="n">
        <v>0.25911259730209</v>
      </c>
      <c r="AE574" s="15" t="n">
        <v>30.16677395608792</v>
      </c>
      <c r="AF574" s="15" t="n">
        <v>26.16789050064753</v>
      </c>
      <c r="AH574" s="29">
        <f>HIPERLINK($A$1 &amp; "\Dados\Magnet_fields.txt_574.txt.txt", "Magnet_fields.txt_574.txt")</f>
        <v/>
      </c>
      <c r="AI574" t="n">
        <v>8008</v>
      </c>
      <c r="AJ574" t="n">
        <v>29</v>
      </c>
      <c r="AK574" s="29">
        <f>HIPERLINK($A$1 &amp; "\Dados\Magnet_3D_results.txt_574.txt.txt", "Magnet_3D_results.txt_574.txt")</f>
        <v/>
      </c>
      <c r="AL574" s="29">
        <f>HIPERLINK($A$1 &amp; "\Dados\Magnet_fields_2D.txt_574.txt.txt", "Magnet_fields_2D.txt_574.txt")</f>
        <v/>
      </c>
    </row>
    <row customHeight="1" ht="15.75" r="575" s="34">
      <c r="D575" s="30" t="n"/>
      <c r="E575" s="15" t="n">
        <v>150</v>
      </c>
      <c r="F575" s="15" t="n">
        <v>170</v>
      </c>
      <c r="G575" s="15" t="n">
        <v>430</v>
      </c>
      <c r="H575" s="15" t="n">
        <v>45</v>
      </c>
      <c r="I575" s="15" t="n">
        <v>140</v>
      </c>
      <c r="J575" s="13" t="n">
        <v>25</v>
      </c>
      <c r="K575" t="n">
        <v>40</v>
      </c>
      <c r="L575" s="13" t="n">
        <v>1.7</v>
      </c>
      <c r="M575" s="12" t="n"/>
      <c r="N575" s="8" t="n">
        <v>1.34381323657711</v>
      </c>
      <c r="O575" s="15" t="n">
        <v>1.062513574935651</v>
      </c>
      <c r="P575" s="15" t="n">
        <v>1.269306283315209</v>
      </c>
      <c r="Q575" s="15" t="n">
        <v>0.001449807057546815</v>
      </c>
      <c r="R575" s="15" t="n">
        <v>0.001991171939111267</v>
      </c>
      <c r="S575" s="15" t="n">
        <v>0.001453833719939271</v>
      </c>
      <c r="T575" s="29">
        <f>HIPERLINK($A$1 &amp; "\Dados\Imagem_perfil_575.png", "Imagem_perfil_575")</f>
        <v/>
      </c>
      <c r="U575" s="29">
        <f>HIPERLINK($A$1 &amp; "\Dados\Results_airgap575.txt", "Results_airgap575")</f>
        <v/>
      </c>
      <c r="V575" s="19" t="n"/>
      <c r="W575" s="43" t="n">
        <v>1.699331956521739</v>
      </c>
      <c r="X575" s="15" t="n">
        <v>0.8294410910624831</v>
      </c>
      <c r="Y575" s="15" t="n">
        <v>0.0001000706002437069</v>
      </c>
      <c r="Z575" s="15" t="n">
        <v>0</v>
      </c>
      <c r="AA575" s="15" t="n">
        <v>6.125719330795404</v>
      </c>
      <c r="AB575" s="15" t="n">
        <v>2.601126618193161</v>
      </c>
      <c r="AC575" s="15" t="n">
        <v>2.895382587246991</v>
      </c>
      <c r="AD575" s="15" t="n">
        <v>4.336695356452786</v>
      </c>
      <c r="AE575" s="15" t="n">
        <v>42.47409200557658</v>
      </c>
      <c r="AF575" s="15" t="n">
        <v>39.93870043164713</v>
      </c>
      <c r="AH575" s="29">
        <f>HIPERLINK($A$1 &amp; "\Dados\Magnet_fields.txt_575.txt.txt", "Magnet_fields.txt_575.txt")</f>
        <v/>
      </c>
      <c r="AI575" t="n">
        <v>8008</v>
      </c>
      <c r="AJ575" t="n">
        <v>28</v>
      </c>
      <c r="AK575" s="29">
        <f>HIPERLINK($A$1 &amp; "\Dados\Magnet_3D_results.txt_575.txt.txt", "Magnet_3D_results.txt_575.txt")</f>
        <v/>
      </c>
      <c r="AL575" s="29">
        <f>HIPERLINK($A$1 &amp; "\Dados\Magnet_fields_2D.txt_575.txt.txt", "Magnet_fields_2D.txt_575.txt")</f>
        <v/>
      </c>
    </row>
    <row customHeight="1" ht="15.75" r="576" s="34">
      <c r="D576" s="30" t="n"/>
      <c r="E576" s="15" t="n">
        <v>150</v>
      </c>
      <c r="F576" s="15" t="n">
        <v>170</v>
      </c>
      <c r="G576" s="15" t="n">
        <v>430</v>
      </c>
      <c r="H576" s="15" t="n">
        <v>45</v>
      </c>
      <c r="I576" s="15" t="n">
        <v>140</v>
      </c>
      <c r="J576" s="13" t="n">
        <v>25</v>
      </c>
      <c r="K576" t="n">
        <v>40</v>
      </c>
      <c r="L576" s="13" t="n">
        <v>1.9</v>
      </c>
      <c r="M576" s="12" t="n"/>
      <c r="N576" s="8" t="n">
        <v>1.504387809037432</v>
      </c>
      <c r="O576" s="15" t="n">
        <v>1.201327232597854</v>
      </c>
      <c r="P576" s="15" t="n">
        <v>1.424379326651546</v>
      </c>
      <c r="Q576" s="15" t="n">
        <v>0.002767455598427038</v>
      </c>
      <c r="R576" s="15" t="n">
        <v>0.01100448293123485</v>
      </c>
      <c r="S576" s="15" t="n">
        <v>0.002784151814439528</v>
      </c>
      <c r="T576" s="29">
        <f>HIPERLINK($A$1 &amp; "\Dados\Imagem_perfil_576.png", "Imagem_perfil_576")</f>
        <v/>
      </c>
      <c r="U576" s="29">
        <f>HIPERLINK($A$1 &amp; "\Dados\Results_airgap576.txt", "Results_airgap576")</f>
        <v/>
      </c>
      <c r="V576" s="19" t="n"/>
      <c r="W576" s="43" t="n">
        <v>1.899580652173913</v>
      </c>
      <c r="X576" s="15" t="n">
        <v>0.9523184928270498</v>
      </c>
      <c r="Y576" s="15" t="n">
        <v>0.0001002566223865621</v>
      </c>
      <c r="Z576" s="15" t="n">
        <v>0</v>
      </c>
      <c r="AA576" s="15" t="n">
        <v>5.404567625505488</v>
      </c>
      <c r="AB576" s="15" t="n">
        <v>3.691642778110973</v>
      </c>
      <c r="AC576" s="15" t="n">
        <v>5.860208601441245</v>
      </c>
      <c r="AD576" s="15" t="n">
        <v>6.386823354012903</v>
      </c>
      <c r="AE576" s="15" t="n">
        <v>56.34639526788224</v>
      </c>
      <c r="AF576" s="15" t="n">
        <v>58.39704780040515</v>
      </c>
      <c r="AH576" s="29">
        <f>HIPERLINK($A$1 &amp; "\Dados\Magnet_fields.txt_576.txt.txt", "Magnet_fields.txt_576.txt")</f>
        <v/>
      </c>
      <c r="AI576" t="n">
        <v>8008</v>
      </c>
      <c r="AJ576" t="n">
        <v>29</v>
      </c>
      <c r="AK576" s="29">
        <f>HIPERLINK($A$1 &amp; "\Dados\Magnet_3D_results.txt_576.txt.txt", "Magnet_3D_results.txt_576.txt")</f>
        <v/>
      </c>
      <c r="AL576" s="29">
        <f>HIPERLINK($A$1 &amp; "\Dados\Magnet_fields_2D.txt_576.txt.txt", "Magnet_fields_2D.txt_576.txt")</f>
        <v/>
      </c>
    </row>
    <row customHeight="1" ht="15.75" r="577" s="34">
      <c r="D577" s="30" t="n"/>
      <c r="E577" s="15" t="n">
        <v>150</v>
      </c>
      <c r="F577" s="15" t="n">
        <v>170</v>
      </c>
      <c r="G577" s="15" t="n">
        <v>430</v>
      </c>
      <c r="H577" s="15" t="n">
        <v>45</v>
      </c>
      <c r="I577" s="15" t="n">
        <v>140</v>
      </c>
      <c r="J577" s="13" t="n">
        <v>25</v>
      </c>
      <c r="K577" t="n">
        <v>40</v>
      </c>
      <c r="L577" s="13" t="n">
        <v>2.1</v>
      </c>
      <c r="M577" s="12" t="n"/>
      <c r="N577" s="8" t="n">
        <v>1.658368914617177</v>
      </c>
      <c r="O577" s="15" t="n">
        <v>1.335136054311579</v>
      </c>
      <c r="P577" s="15" t="n">
        <v>1.574702268750341</v>
      </c>
      <c r="Q577" s="15" t="n">
        <v>0.004609869039217444</v>
      </c>
      <c r="R577" s="15" t="n">
        <v>0.02604021829539529</v>
      </c>
      <c r="S577" s="15" t="n">
        <v>0.004645852432852566</v>
      </c>
      <c r="T577" s="29">
        <f>HIPERLINK($A$1 &amp; "\Dados\Imagem_perfil_577.png", "Imagem_perfil_577")</f>
        <v/>
      </c>
      <c r="U577" s="29">
        <f>HIPERLINK($A$1 &amp; "\Dados\Results_airgap577.txt", "Results_airgap577")</f>
        <v/>
      </c>
      <c r="V577" s="19" t="n"/>
      <c r="W577" s="43" t="n">
        <v>2.098751304347826</v>
      </c>
      <c r="X577" s="15" t="n">
        <v>1.066419415837315</v>
      </c>
      <c r="Y577" s="15" t="n">
        <v>0.0001084510085593457</v>
      </c>
      <c r="Z577" s="15" t="n">
        <v>0.03487526607762063</v>
      </c>
      <c r="AA577" s="15" t="n">
        <v>4.562142697189371</v>
      </c>
      <c r="AB577" s="15" t="n">
        <v>4.721018676440214</v>
      </c>
      <c r="AC577" s="15" t="n">
        <v>7.921130612259186</v>
      </c>
      <c r="AD577" s="15" t="n">
        <v>6.794458818192885</v>
      </c>
      <c r="AE577" s="15" t="n">
        <v>73.35734956172908</v>
      </c>
      <c r="AF577" s="15" t="n">
        <v>90.85270058550495</v>
      </c>
      <c r="AH577" s="29">
        <f>HIPERLINK($A$1 &amp; "\Dados\Magnet_fields.txt_577.txt.txt", "Magnet_fields.txt_577.txt")</f>
        <v/>
      </c>
      <c r="AI577" t="n">
        <v>8008</v>
      </c>
      <c r="AJ577" t="n">
        <v>29</v>
      </c>
      <c r="AK577" s="29">
        <f>HIPERLINK($A$1 &amp; "\Dados\Magnet_3D_results.txt_577.txt.txt", "Magnet_3D_results.txt_577.txt")</f>
        <v/>
      </c>
      <c r="AL577" s="29">
        <f>HIPERLINK($A$1 &amp; "\Dados\Magnet_fields_2D.txt_577.txt.txt", "Magnet_fields_2D.txt_577.txt")</f>
        <v/>
      </c>
    </row>
    <row customHeight="1" ht="15.75" r="578" s="34">
      <c r="D578" s="30" t="n"/>
      <c r="E578" s="15" t="n">
        <v>150</v>
      </c>
      <c r="F578" s="15" t="n">
        <v>170</v>
      </c>
      <c r="G578" s="15" t="n">
        <v>430</v>
      </c>
      <c r="H578" s="15" t="n">
        <v>25</v>
      </c>
      <c r="I578" s="15" t="n">
        <v>180</v>
      </c>
      <c r="J578" s="13" t="n">
        <v>25</v>
      </c>
      <c r="K578" t="n">
        <v>40</v>
      </c>
      <c r="L578" s="13" t="n">
        <v>1.3</v>
      </c>
      <c r="M578" s="12" t="n"/>
      <c r="N578" s="8" t="n">
        <v>1.063525911163595</v>
      </c>
      <c r="O578" s="15" t="n">
        <v>0.9518747675076235</v>
      </c>
      <c r="P578" s="15" t="n">
        <v>1.03341942287415</v>
      </c>
      <c r="Q578" s="15" t="n">
        <v>0.0006310606759808565</v>
      </c>
      <c r="R578" s="15" t="n">
        <v>0.02852752761295234</v>
      </c>
      <c r="S578" s="15" t="n">
        <v>0.0006310566797647909</v>
      </c>
      <c r="T578" s="29">
        <f>HIPERLINK($A$1 &amp; "\Dados\Imagem_perfil_578.png", "Imagem_perfil_578")</f>
        <v/>
      </c>
      <c r="U578" s="29">
        <f>HIPERLINK($A$1 &amp; "\Dados\Results_airgap578.txt", "Results_airgap578")</f>
        <v/>
      </c>
      <c r="V578" s="19" t="n"/>
      <c r="W578" s="43" t="n">
        <v>1.333057826086957</v>
      </c>
      <c r="X578" s="15" t="n">
        <v>0.5921697793905136</v>
      </c>
      <c r="Y578" s="15" t="n">
        <v>0.001136543115652941</v>
      </c>
      <c r="Z578" s="15" t="n">
        <v>0.007804713419467613</v>
      </c>
      <c r="AA578" s="15" t="n">
        <v>6.77495642934387</v>
      </c>
      <c r="AB578" s="15" t="n">
        <v>0</v>
      </c>
      <c r="AC578" s="15" t="n">
        <v>0</v>
      </c>
      <c r="AD578" s="15" t="n">
        <v>0</v>
      </c>
      <c r="AE578" s="15" t="n">
        <v>17.32130503310328</v>
      </c>
      <c r="AF578" s="15" t="n">
        <v>13.74489058894018</v>
      </c>
      <c r="AH578" s="29">
        <f>HIPERLINK($A$1 &amp; "\Dados\Magnet_fields.txt_578.txt.txt", "Magnet_fields.txt_578.txt")</f>
        <v/>
      </c>
      <c r="AI578" t="n">
        <v>11988</v>
      </c>
      <c r="AJ578" t="n">
        <v>31</v>
      </c>
      <c r="AK578" s="29">
        <f>HIPERLINK($A$1 &amp; "\Dados\Magnet_3D_results.txt_578.txt.txt", "Magnet_3D_results.txt_578.txt")</f>
        <v/>
      </c>
      <c r="AL578" s="29">
        <f>HIPERLINK($A$1 &amp; "\Dados\Magnet_fields_2D.txt_578.txt.txt", "Magnet_fields_2D.txt_578.txt")</f>
        <v/>
      </c>
    </row>
    <row customHeight="1" ht="15.75" r="579" s="34">
      <c r="D579" s="30" t="n"/>
      <c r="E579" s="15" t="n">
        <v>150</v>
      </c>
      <c r="F579" s="15" t="n">
        <v>170</v>
      </c>
      <c r="G579" s="15" t="n">
        <v>430</v>
      </c>
      <c r="H579" s="15" t="n">
        <v>25</v>
      </c>
      <c r="I579" s="15" t="n">
        <v>180</v>
      </c>
      <c r="J579" s="13" t="n">
        <v>25</v>
      </c>
      <c r="K579" t="n">
        <v>40</v>
      </c>
      <c r="L579" s="13" t="n">
        <v>1.5</v>
      </c>
      <c r="M579" s="12" t="n"/>
      <c r="N579" s="8" t="n">
        <v>1.203795526446587</v>
      </c>
      <c r="O579" s="15" t="n">
        <v>1.080253104932615</v>
      </c>
      <c r="P579" s="15" t="n">
        <v>1.170143582802409</v>
      </c>
      <c r="Q579" s="15" t="n">
        <v>0.000905211889523338</v>
      </c>
      <c r="R579" s="15" t="n">
        <v>0.01976980711439687</v>
      </c>
      <c r="S579" s="15" t="n">
        <v>0.000905454835846057</v>
      </c>
      <c r="T579" s="29">
        <f>HIPERLINK($A$1 &amp; "\Dados\Imagem_perfil_579.png", "Imagem_perfil_579")</f>
        <v/>
      </c>
      <c r="U579" s="29">
        <f>HIPERLINK($A$1 &amp; "\Dados\Results_airgap579.txt", "Results_airgap579")</f>
        <v/>
      </c>
      <c r="V579" s="19" t="n"/>
      <c r="W579" s="43" t="n">
        <v>1.498274130434783</v>
      </c>
      <c r="X579" s="15" t="n">
        <v>0.695456129447546</v>
      </c>
      <c r="Y579" s="15" t="n">
        <v>9.054462103485206e-05</v>
      </c>
      <c r="Z579" s="15" t="n">
        <v>0</v>
      </c>
      <c r="AA579" s="15" t="n">
        <v>6.968969162302152</v>
      </c>
      <c r="AB579" s="15" t="n">
        <v>0.3417494630600686</v>
      </c>
      <c r="AC579" s="15" t="n">
        <v>0.8042453936293843</v>
      </c>
      <c r="AD579" s="15" t="n">
        <v>0.2862202729099348</v>
      </c>
      <c r="AE579" s="15" t="n">
        <v>30.13938206606722</v>
      </c>
      <c r="AF579" s="15" t="n">
        <v>26.2379142618588</v>
      </c>
      <c r="AH579" s="29">
        <f>HIPERLINK($A$1 &amp; "\Dados\Magnet_fields.txt_579.txt.txt", "Magnet_fields.txt_579.txt")</f>
        <v/>
      </c>
      <c r="AI579" t="n">
        <v>11988</v>
      </c>
      <c r="AJ579" t="n">
        <v>30</v>
      </c>
      <c r="AK579" s="29">
        <f>HIPERLINK($A$1 &amp; "\Dados\Magnet_3D_results.txt_579.txt.txt", "Magnet_3D_results.txt_579.txt")</f>
        <v/>
      </c>
      <c r="AL579" s="29">
        <f>HIPERLINK($A$1 &amp; "\Dados\Magnet_fields_2D.txt_579.txt.txt", "Magnet_fields_2D.txt_579.txt")</f>
        <v/>
      </c>
    </row>
    <row customHeight="1" ht="15.75" r="580" s="34">
      <c r="D580" s="30" t="n"/>
      <c r="E580" s="15" t="n">
        <v>150</v>
      </c>
      <c r="F580" s="15" t="n">
        <v>170</v>
      </c>
      <c r="G580" s="15" t="n">
        <v>430</v>
      </c>
      <c r="H580" s="15" t="n">
        <v>25</v>
      </c>
      <c r="I580" s="15" t="n">
        <v>180</v>
      </c>
      <c r="J580" s="13" t="n">
        <v>25</v>
      </c>
      <c r="K580" t="n">
        <v>40</v>
      </c>
      <c r="L580" s="13" t="n">
        <v>1.7</v>
      </c>
      <c r="M580" s="12" t="n"/>
      <c r="N580" s="8" t="n">
        <v>1.378748900305256</v>
      </c>
      <c r="O580" s="15" t="n">
        <v>1.239765149457381</v>
      </c>
      <c r="P580" s="15" t="n">
        <v>1.33999765885959</v>
      </c>
      <c r="Q580" s="15" t="n">
        <v>0.001395276403092425</v>
      </c>
      <c r="R580" s="15" t="n">
        <v>0.00967563838846534</v>
      </c>
      <c r="S580" s="15" t="n">
        <v>0.001395150766792556</v>
      </c>
      <c r="T580" s="29">
        <f>HIPERLINK($A$1 &amp; "\Dados\Imagem_perfil_580.png", "Imagem_perfil_580")</f>
        <v/>
      </c>
      <c r="U580" s="29">
        <f>HIPERLINK($A$1 &amp; "\Dados\Results_airgap580.txt", "Results_airgap580")</f>
        <v/>
      </c>
      <c r="V580" s="19" t="n"/>
      <c r="W580" s="43" t="n">
        <v>1.69908847826087</v>
      </c>
      <c r="X580" s="15" t="n">
        <v>0.8239150983222548</v>
      </c>
      <c r="Y580" s="15" t="n">
        <v>9.951254313843503e-05</v>
      </c>
      <c r="Z580" s="15" t="n">
        <v>0</v>
      </c>
      <c r="AA580" s="15" t="n">
        <v>6.779407000846501</v>
      </c>
      <c r="AB580" s="15" t="n">
        <v>2.562567378295478</v>
      </c>
      <c r="AC580" s="15" t="n">
        <v>2.987332555968239</v>
      </c>
      <c r="AD580" s="15" t="n">
        <v>4.272737952789929</v>
      </c>
      <c r="AE580" s="15" t="n">
        <v>42.4607485785699</v>
      </c>
      <c r="AF580" s="15" t="n">
        <v>40.00787445639751</v>
      </c>
      <c r="AH580" s="29">
        <f>HIPERLINK($A$1 &amp; "\Dados\Magnet_fields.txt_580.txt.txt", "Magnet_fields.txt_580.txt")</f>
        <v/>
      </c>
      <c r="AI580" t="n">
        <v>11988</v>
      </c>
      <c r="AJ580" t="n">
        <v>30</v>
      </c>
      <c r="AK580" s="29">
        <f>HIPERLINK($A$1 &amp; "\Dados\Magnet_3D_results.txt_580.txt.txt", "Magnet_3D_results.txt_580.txt")</f>
        <v/>
      </c>
      <c r="AL580" s="29">
        <f>HIPERLINK($A$1 &amp; "\Dados\Magnet_fields_2D.txt_580.txt.txt", "Magnet_fields_2D.txt_580.txt")</f>
        <v/>
      </c>
    </row>
    <row customHeight="1" ht="15.75" r="581" s="34">
      <c r="D581" s="30" t="n"/>
      <c r="E581" s="15" t="n">
        <v>150</v>
      </c>
      <c r="F581" s="15" t="n">
        <v>170</v>
      </c>
      <c r="G581" s="15" t="n">
        <v>430</v>
      </c>
      <c r="H581" s="15" t="n">
        <v>25</v>
      </c>
      <c r="I581" s="15" t="n">
        <v>180</v>
      </c>
      <c r="J581" s="13" t="n">
        <v>25</v>
      </c>
      <c r="K581" t="n">
        <v>40</v>
      </c>
      <c r="L581" s="13" t="n">
        <v>1.9</v>
      </c>
      <c r="M581" s="12" t="n"/>
      <c r="N581" s="8" t="n">
        <v>1.553934823208693</v>
      </c>
      <c r="O581" s="15" t="n">
        <v>1.401504096895199</v>
      </c>
      <c r="P581" s="15" t="n">
        <v>1.511170439948818</v>
      </c>
      <c r="Q581" s="15" t="n">
        <v>0.002627036504548091</v>
      </c>
      <c r="R581" s="15" t="n">
        <v>0.004053615855089478</v>
      </c>
      <c r="S581" s="15" t="n">
        <v>0.002628510866497962</v>
      </c>
      <c r="T581" s="29">
        <f>HIPERLINK($A$1 &amp; "\Dados\Imagem_perfil_581.png", "Imagem_perfil_581")</f>
        <v/>
      </c>
      <c r="U581" s="29">
        <f>HIPERLINK($A$1 &amp; "\Dados\Results_airgap581.txt", "Results_airgap581")</f>
        <v/>
      </c>
      <c r="V581" s="19" t="n"/>
      <c r="W581" s="43" t="n">
        <v>1.89956152173913</v>
      </c>
      <c r="X581" s="15" t="n">
        <v>0.9554697284093543</v>
      </c>
      <c r="Y581" s="15" t="n">
        <v>0.0001002752735682102</v>
      </c>
      <c r="Z581" s="15" t="n">
        <v>0.01952708690831505</v>
      </c>
      <c r="AA581" s="15" t="n">
        <v>5.842750255529936</v>
      </c>
      <c r="AB581" s="15" t="n">
        <v>3.687897258837591</v>
      </c>
      <c r="AC581" s="15" t="n">
        <v>5.872675660963331</v>
      </c>
      <c r="AD581" s="15" t="n">
        <v>6.337405191106439</v>
      </c>
      <c r="AE581" s="15" t="n">
        <v>56.63368046205252</v>
      </c>
      <c r="AF581" s="15" t="n">
        <v>58.28823494256937</v>
      </c>
      <c r="AH581" s="29">
        <f>HIPERLINK($A$1 &amp; "\Dados\Magnet_fields.txt_581.txt.txt", "Magnet_fields.txt_581.txt")</f>
        <v/>
      </c>
      <c r="AI581" t="n">
        <v>11988</v>
      </c>
      <c r="AJ581" t="n">
        <v>30</v>
      </c>
      <c r="AK581" s="29">
        <f>HIPERLINK($A$1 &amp; "\Dados\Magnet_3D_results.txt_581.txt.txt", "Magnet_3D_results.txt_581.txt")</f>
        <v/>
      </c>
      <c r="AL581" s="29">
        <f>HIPERLINK($A$1 &amp; "\Dados\Magnet_fields_2D.txt_581.txt.txt", "Magnet_fields_2D.txt_581.txt")</f>
        <v/>
      </c>
    </row>
    <row customHeight="1" ht="15.75" r="582" s="34">
      <c r="D582" s="30" t="n"/>
      <c r="E582" s="15" t="n">
        <v>150</v>
      </c>
      <c r="F582" s="15" t="n">
        <v>170</v>
      </c>
      <c r="G582" s="15" t="n">
        <v>430</v>
      </c>
      <c r="H582" s="15" t="n">
        <v>25</v>
      </c>
      <c r="I582" s="15" t="n">
        <v>180</v>
      </c>
      <c r="J582" s="13" t="n">
        <v>25</v>
      </c>
      <c r="K582" t="n">
        <v>40</v>
      </c>
      <c r="L582" s="13" t="n">
        <v>2.1</v>
      </c>
      <c r="M582" s="12" t="n"/>
      <c r="N582" s="8" t="n">
        <v>1.735385008094496</v>
      </c>
      <c r="O582" s="15" t="n">
        <v>1.57233991073768</v>
      </c>
      <c r="P582" s="15" t="n">
        <v>1.68969379264536</v>
      </c>
      <c r="Q582" s="15" t="n">
        <v>0.004507733222117868</v>
      </c>
      <c r="R582" s="15" t="n">
        <v>0.02090365041763665</v>
      </c>
      <c r="S582" s="15" t="n">
        <v>0.004513533357436777</v>
      </c>
      <c r="T582" s="29">
        <f>HIPERLINK($A$1 &amp; "\Dados\Imagem_perfil_582.png", "Imagem_perfil_582")</f>
        <v/>
      </c>
      <c r="U582" s="29">
        <f>HIPERLINK($A$1 &amp; "\Dados\Results_airgap582.txt", "Results_airgap582")</f>
        <v/>
      </c>
      <c r="V582" s="19" t="n"/>
      <c r="W582" s="43" t="n">
        <v>2.099493260869565</v>
      </c>
      <c r="X582" s="15" t="n">
        <v>1.086458375872869</v>
      </c>
      <c r="Y582" s="15" t="n">
        <v>0.0001138230340036972</v>
      </c>
      <c r="Z582" s="15" t="n">
        <v>0.0741345752451783</v>
      </c>
      <c r="AA582" s="15" t="n">
        <v>5.173316356359049</v>
      </c>
      <c r="AB582" s="15" t="n">
        <v>5.081079291483379</v>
      </c>
      <c r="AC582" s="15" t="n">
        <v>7.489081535771863</v>
      </c>
      <c r="AD582" s="15" t="n">
        <v>7.307818996399941</v>
      </c>
      <c r="AE582" s="15" t="n">
        <v>73.20559407619076</v>
      </c>
      <c r="AF582" s="15" t="n">
        <v>90.45604751460105</v>
      </c>
      <c r="AH582" s="29">
        <f>HIPERLINK($A$1 &amp; "\Dados\Magnet_fields.txt_582.txt.txt", "Magnet_fields.txt_582.txt")</f>
        <v/>
      </c>
      <c r="AI582" t="n">
        <v>11988</v>
      </c>
      <c r="AJ582" t="n">
        <v>30</v>
      </c>
      <c r="AK582" s="29">
        <f>HIPERLINK($A$1 &amp; "\Dados\Magnet_3D_results.txt_582.txt.txt", "Magnet_3D_results.txt_582.txt")</f>
        <v/>
      </c>
      <c r="AL582" s="29">
        <f>HIPERLINK($A$1 &amp; "\Dados\Magnet_fields_2D.txt_582.txt.txt", "Magnet_fields_2D.txt_582.txt")</f>
        <v/>
      </c>
    </row>
    <row customHeight="1" ht="15.75" r="583" s="34">
      <c r="D583" s="30" t="n"/>
      <c r="E583" s="15" t="n">
        <v>150</v>
      </c>
      <c r="F583" s="15" t="n">
        <v>170</v>
      </c>
      <c r="G583" s="15" t="n">
        <v>430</v>
      </c>
      <c r="H583" s="15" t="n">
        <v>45</v>
      </c>
      <c r="I583" s="15" t="n">
        <v>180</v>
      </c>
      <c r="J583" s="13" t="n">
        <v>25</v>
      </c>
      <c r="K583" t="n">
        <v>40</v>
      </c>
      <c r="L583" s="13" t="n">
        <v>1.3</v>
      </c>
      <c r="M583" s="12" t="n"/>
      <c r="N583" s="8" t="n">
        <v>1.098097633773407</v>
      </c>
      <c r="O583" s="15" t="n">
        <v>0.9884995755534479</v>
      </c>
      <c r="P583" s="15" t="n">
        <v>1.068648295351375</v>
      </c>
      <c r="Q583" s="15" t="n">
        <v>0.0006675379532751071</v>
      </c>
      <c r="R583" s="15" t="n">
        <v>0.02097934109154213</v>
      </c>
      <c r="S583" s="15" t="n">
        <v>0.0006676919225454005</v>
      </c>
      <c r="T583" s="29">
        <f>HIPERLINK($A$1 &amp; "\Dados\Imagem_perfil_583.png", "Imagem_perfil_583")</f>
        <v/>
      </c>
      <c r="U583" s="29">
        <f>HIPERLINK($A$1 &amp; "\Dados\Results_airgap583.txt", "Results_airgap583")</f>
        <v/>
      </c>
      <c r="V583" s="19" t="n"/>
      <c r="W583" s="43" t="n">
        <v>1.33326847826087</v>
      </c>
      <c r="X583" s="15" t="n">
        <v>0.6241239132359132</v>
      </c>
      <c r="Y583" s="15" t="n">
        <v>0.001149431998225271</v>
      </c>
      <c r="Z583" s="15" t="n">
        <v>0</v>
      </c>
      <c r="AA583" s="15" t="n">
        <v>8.992000077736535</v>
      </c>
      <c r="AB583" s="15" t="n">
        <v>0</v>
      </c>
      <c r="AC583" s="15" t="n">
        <v>0</v>
      </c>
      <c r="AD583" s="15" t="n">
        <v>0</v>
      </c>
      <c r="AE583" s="15" t="n">
        <v>17.27664050530252</v>
      </c>
      <c r="AF583" s="15" t="n">
        <v>13.73631693990505</v>
      </c>
      <c r="AH583" s="29">
        <f>HIPERLINK($A$1 &amp; "\Dados\Magnet_fields.txt_583.txt.txt", "Magnet_fields.txt_583.txt")</f>
        <v/>
      </c>
      <c r="AI583" t="n">
        <v>8494</v>
      </c>
      <c r="AJ583" t="n">
        <v>29</v>
      </c>
      <c r="AK583" s="29">
        <f>HIPERLINK($A$1 &amp; "\Dados\Magnet_3D_results.txt_583.txt.txt", "Magnet_3D_results.txt_583.txt")</f>
        <v/>
      </c>
      <c r="AL583" s="29">
        <f>HIPERLINK($A$1 &amp; "\Dados\Magnet_fields_2D.txt_583.txt.txt", "Magnet_fields_2D.txt_583.txt")</f>
        <v/>
      </c>
    </row>
    <row customHeight="1" ht="15.75" r="584" s="34">
      <c r="D584" s="30" t="n"/>
      <c r="E584" s="15" t="n">
        <v>150</v>
      </c>
      <c r="F584" s="15" t="n">
        <v>170</v>
      </c>
      <c r="G584" s="15" t="n">
        <v>430</v>
      </c>
      <c r="H584" s="15" t="n">
        <v>45</v>
      </c>
      <c r="I584" s="15" t="n">
        <v>180</v>
      </c>
      <c r="J584" s="13" t="n">
        <v>25</v>
      </c>
      <c r="K584" t="n">
        <v>40</v>
      </c>
      <c r="L584" s="13" t="n">
        <v>1.5</v>
      </c>
      <c r="M584" s="12" t="n"/>
      <c r="N584" s="8" t="n">
        <v>1.237395417802975</v>
      </c>
      <c r="O584" s="15" t="n">
        <v>1.115842683573246</v>
      </c>
      <c r="P584" s="15" t="n">
        <v>1.204415555449595</v>
      </c>
      <c r="Q584" s="15" t="n">
        <v>0.0009632010307951525</v>
      </c>
      <c r="R584" s="15" t="n">
        <v>0.01238267116596946</v>
      </c>
      <c r="S584" s="15" t="n">
        <v>0.000963521770379001</v>
      </c>
      <c r="T584" s="29">
        <f>HIPERLINK($A$1 &amp; "\Dados\Imagem_perfil_584.png", "Imagem_perfil_584")</f>
        <v/>
      </c>
      <c r="U584" s="29">
        <f>HIPERLINK($A$1 &amp; "\Dados\Results_airgap584.txt", "Results_airgap584")</f>
        <v/>
      </c>
      <c r="V584" s="19" t="n"/>
      <c r="W584" s="43" t="n">
        <v>1.498251956521739</v>
      </c>
      <c r="X584" s="15" t="n">
        <v>0.7273251607478022</v>
      </c>
      <c r="Y584" s="15" t="n">
        <v>9.044765085024544e-05</v>
      </c>
      <c r="Z584" s="15" t="n">
        <v>0</v>
      </c>
      <c r="AA584" s="15" t="n">
        <v>8.440600958935676</v>
      </c>
      <c r="AB584" s="15" t="n">
        <v>0.3291805523429669</v>
      </c>
      <c r="AC584" s="15" t="n">
        <v>0.7931127047691791</v>
      </c>
      <c r="AD584" s="15" t="n">
        <v>0.2576126737377553</v>
      </c>
      <c r="AE584" s="15" t="n">
        <v>30.18093762415679</v>
      </c>
      <c r="AF584" s="15" t="n">
        <v>26.1531763743607</v>
      </c>
      <c r="AH584" s="29">
        <f>HIPERLINK($A$1 &amp; "\Dados\Magnet_fields.txt_584.txt.txt", "Magnet_fields.txt_584.txt")</f>
        <v/>
      </c>
      <c r="AI584" t="n">
        <v>8494</v>
      </c>
      <c r="AJ584" t="n">
        <v>29</v>
      </c>
      <c r="AK584" s="29">
        <f>HIPERLINK($A$1 &amp; "\Dados\Magnet_3D_results.txt_584.txt.txt", "Magnet_3D_results.txt_584.txt")</f>
        <v/>
      </c>
      <c r="AL584" s="29">
        <f>HIPERLINK($A$1 &amp; "\Dados\Magnet_fields_2D.txt_584.txt.txt", "Magnet_fields_2D.txt_584.txt")</f>
        <v/>
      </c>
    </row>
    <row customHeight="1" ht="15.75" r="585" s="34">
      <c r="D585" s="30" t="n"/>
      <c r="E585" s="15" t="n">
        <v>150</v>
      </c>
      <c r="F585" s="15" t="n">
        <v>170</v>
      </c>
      <c r="G585" s="15" t="n">
        <v>430</v>
      </c>
      <c r="H585" s="15" t="n">
        <v>45</v>
      </c>
      <c r="I585" s="15" t="n">
        <v>180</v>
      </c>
      <c r="J585" s="13" t="n">
        <v>25</v>
      </c>
      <c r="K585" t="n">
        <v>40</v>
      </c>
      <c r="L585" s="13" t="n">
        <v>1.7</v>
      </c>
      <c r="M585" s="12" t="n"/>
      <c r="N585" s="8" t="n">
        <v>1.40575999540434</v>
      </c>
      <c r="O585" s="15" t="n">
        <v>1.269066517296933</v>
      </c>
      <c r="P585" s="15" t="n">
        <v>1.367828435440638</v>
      </c>
      <c r="Q585" s="15" t="n">
        <v>0.00153973619917925</v>
      </c>
      <c r="R585" s="15" t="n">
        <v>0.003405471296312099</v>
      </c>
      <c r="S585" s="15" t="n">
        <v>0.001540104997195647</v>
      </c>
      <c r="T585" s="29">
        <f>HIPERLINK($A$1 &amp; "\Dados\Imagem_perfil_585.png", "Imagem_perfil_585")</f>
        <v/>
      </c>
      <c r="U585" s="29">
        <f>HIPERLINK($A$1 &amp; "\Dados\Results_airgap585.txt", "Results_airgap585")</f>
        <v/>
      </c>
      <c r="V585" s="19" t="n"/>
      <c r="W585" s="43" t="n">
        <v>1.699536956521739</v>
      </c>
      <c r="X585" s="15" t="n">
        <v>0.850174825025623</v>
      </c>
      <c r="Y585" s="15" t="n">
        <v>0.0001008783476568326</v>
      </c>
      <c r="Z585" s="15" t="n">
        <v>0</v>
      </c>
      <c r="AA585" s="15" t="n">
        <v>6.657957861245839</v>
      </c>
      <c r="AB585" s="15" t="n">
        <v>2.661509558887035</v>
      </c>
      <c r="AC585" s="15" t="n">
        <v>2.830105925976171</v>
      </c>
      <c r="AD585" s="15" t="n">
        <v>4.391786223996465</v>
      </c>
      <c r="AE585" s="15" t="n">
        <v>42.53799445067573</v>
      </c>
      <c r="AF585" s="15" t="n">
        <v>39.87794958260287</v>
      </c>
      <c r="AH585" s="29">
        <f>HIPERLINK($A$1 &amp; "\Dados\Magnet_fields.txt_585.txt.txt", "Magnet_fields.txt_585.txt")</f>
        <v/>
      </c>
      <c r="AI585" t="n">
        <v>8494</v>
      </c>
      <c r="AJ585" t="n">
        <v>29</v>
      </c>
      <c r="AK585" s="29">
        <f>HIPERLINK($A$1 &amp; "\Dados\Magnet_3D_results.txt_585.txt.txt", "Magnet_3D_results.txt_585.txt")</f>
        <v/>
      </c>
      <c r="AL585" s="29">
        <f>HIPERLINK($A$1 &amp; "\Dados\Magnet_fields_2D.txt_585.txt.txt", "Magnet_fields_2D.txt_585.txt")</f>
        <v/>
      </c>
    </row>
    <row customHeight="1" ht="15.75" r="586" s="34">
      <c r="D586" s="30" t="n"/>
      <c r="E586" s="15" t="n">
        <v>150</v>
      </c>
      <c r="F586" s="15" t="n">
        <v>170</v>
      </c>
      <c r="G586" s="15" t="n">
        <v>430</v>
      </c>
      <c r="H586" s="15" t="n">
        <v>45</v>
      </c>
      <c r="I586" s="15" t="n">
        <v>180</v>
      </c>
      <c r="J586" s="13" t="n">
        <v>25</v>
      </c>
      <c r="K586" t="n">
        <v>40</v>
      </c>
      <c r="L586" s="13" t="n">
        <v>1.9</v>
      </c>
      <c r="M586" s="12" t="n"/>
      <c r="N586" s="8" t="n">
        <v>1.583916768082612</v>
      </c>
      <c r="O586" s="15" t="n">
        <v>1.433471773641502</v>
      </c>
      <c r="P586" s="15" t="n">
        <v>1.541899683062987</v>
      </c>
      <c r="Q586" s="15" t="n">
        <v>0.002942623991764996</v>
      </c>
      <c r="R586" s="15" t="n">
        <v>0.0106515587875497</v>
      </c>
      <c r="S586" s="15" t="n">
        <v>0.002945172640738119</v>
      </c>
      <c r="T586" s="29">
        <f>HIPERLINK($A$1 &amp; "\Dados\Imagem_perfil_586.png", "Imagem_perfil_586")</f>
        <v/>
      </c>
      <c r="U586" s="29">
        <f>HIPERLINK($A$1 &amp; "\Dados\Results_airgap586.txt", "Results_airgap586")</f>
        <v/>
      </c>
      <c r="V586" s="19" t="n"/>
      <c r="W586" s="43" t="n">
        <v>1.899602391304348</v>
      </c>
      <c r="X586" s="15" t="n">
        <v>0.981416633459406</v>
      </c>
      <c r="Y586" s="15" t="n">
        <v>0.0001002159376084252</v>
      </c>
      <c r="Z586" s="15" t="n">
        <v>0</v>
      </c>
      <c r="AA586" s="15" t="n">
        <v>6.374461049831895</v>
      </c>
      <c r="AB586" s="15" t="n">
        <v>3.685134426124893</v>
      </c>
      <c r="AC586" s="15" t="n">
        <v>5.864208102845148</v>
      </c>
      <c r="AD586" s="15" t="n">
        <v>6.361062302340763</v>
      </c>
      <c r="AE586" s="15" t="n">
        <v>56.46854156278183</v>
      </c>
      <c r="AF586" s="15" t="n">
        <v>58.33342209260009</v>
      </c>
      <c r="AH586" s="29">
        <f>HIPERLINK($A$1 &amp; "\Dados\Magnet_fields.txt_586.txt.txt", "Magnet_fields.txt_586.txt")</f>
        <v/>
      </c>
      <c r="AI586" t="n">
        <v>8494</v>
      </c>
      <c r="AJ586" t="n">
        <v>30</v>
      </c>
      <c r="AK586" s="29">
        <f>HIPERLINK($A$1 &amp; "\Dados\Magnet_3D_results.txt_586.txt.txt", "Magnet_3D_results.txt_586.txt")</f>
        <v/>
      </c>
      <c r="AL586" s="29">
        <f>HIPERLINK($A$1 &amp; "\Dados\Magnet_fields_2D.txt_586.txt.txt", "Magnet_fields_2D.txt_586.txt")</f>
        <v/>
      </c>
    </row>
    <row customHeight="1" ht="15.75" r="587" s="34">
      <c r="D587" s="30" t="n"/>
      <c r="E587" s="15" t="n">
        <v>150</v>
      </c>
      <c r="F587" s="15" t="n">
        <v>170</v>
      </c>
      <c r="G587" s="15" t="n">
        <v>430</v>
      </c>
      <c r="H587" s="15" t="n">
        <v>45</v>
      </c>
      <c r="I587" s="15" t="n">
        <v>180</v>
      </c>
      <c r="J587" s="13" t="n">
        <v>25</v>
      </c>
      <c r="K587" t="n">
        <v>40</v>
      </c>
      <c r="L587" s="13" t="n">
        <v>2.1</v>
      </c>
      <c r="M587" s="12" t="n"/>
      <c r="N587" s="8" t="n">
        <v>1.754088624943907</v>
      </c>
      <c r="O587" s="15" t="n">
        <v>1.593843677972334</v>
      </c>
      <c r="P587" s="15" t="n">
        <v>1.709659750240174</v>
      </c>
      <c r="Q587" s="15" t="n">
        <v>0.004901954591637732</v>
      </c>
      <c r="R587" s="15" t="n">
        <v>0.02727600930273482</v>
      </c>
      <c r="S587" s="15" t="n">
        <v>0.004909586988936568</v>
      </c>
      <c r="T587" s="29">
        <f>HIPERLINK($A$1 &amp; "\Dados\Imagem_perfil_587.png", "Imagem_perfil_587")</f>
        <v/>
      </c>
      <c r="U587" s="29">
        <f>HIPERLINK($A$1 &amp; "\Dados\Results_airgap587.txt", "Results_airgap587")</f>
        <v/>
      </c>
      <c r="V587" s="19" t="n"/>
      <c r="W587" s="43" t="n">
        <v>2.098807173913043</v>
      </c>
      <c r="X587" s="15" t="n">
        <v>1.100476546969635</v>
      </c>
      <c r="Y587" s="15" t="n">
        <v>0.0001088421867872386</v>
      </c>
      <c r="Z587" s="15" t="n">
        <v>0.0503199983594798</v>
      </c>
      <c r="AA587" s="15" t="n">
        <v>4.609605736956226</v>
      </c>
      <c r="AB587" s="15" t="n">
        <v>4.755307426433627</v>
      </c>
      <c r="AC587" s="15" t="n">
        <v>7.90031408689501</v>
      </c>
      <c r="AD587" s="15" t="n">
        <v>6.831012697223821</v>
      </c>
      <c r="AE587" s="15" t="n">
        <v>73.3185789038117</v>
      </c>
      <c r="AF587" s="15" t="n">
        <v>90.82329841192752</v>
      </c>
      <c r="AH587" s="29">
        <f>HIPERLINK($A$1 &amp; "\Dados\Magnet_fields.txt_587.txt.txt", "Magnet_fields.txt_587.txt")</f>
        <v/>
      </c>
      <c r="AI587" t="n">
        <v>8494</v>
      </c>
      <c r="AJ587" t="n">
        <v>30</v>
      </c>
      <c r="AK587" s="29">
        <f>HIPERLINK($A$1 &amp; "\Dados\Magnet_3D_results.txt_587.txt.txt", "Magnet_3D_results.txt_587.txt")</f>
        <v/>
      </c>
      <c r="AL587" s="29">
        <f>HIPERLINK($A$1 &amp; "\Dados\Magnet_fields_2D.txt_587.txt.txt", "Magnet_fields_2D.txt_587.txt")</f>
        <v/>
      </c>
    </row>
    <row customHeight="1" ht="15.75" r="588" s="34">
      <c r="D588" s="30" t="n"/>
      <c r="E588" s="15" t="n">
        <v>150</v>
      </c>
      <c r="F588" s="15" t="n">
        <v>180</v>
      </c>
      <c r="G588" s="15" t="n">
        <v>350</v>
      </c>
      <c r="H588" s="15" t="n">
        <v>45</v>
      </c>
      <c r="I588" s="15" t="n">
        <v>140</v>
      </c>
      <c r="J588" s="13" t="n">
        <v>25</v>
      </c>
      <c r="K588" t="n">
        <v>40</v>
      </c>
      <c r="L588" s="13" t="n">
        <v>1.3</v>
      </c>
      <c r="M588" s="12" t="n"/>
      <c r="N588" s="8" t="n">
        <v>1.026268621900855</v>
      </c>
      <c r="O588" s="15" t="n">
        <v>0.7816684004730106</v>
      </c>
      <c r="P588" s="15" t="n">
        <v>0.9578380341085346</v>
      </c>
      <c r="Q588" s="15" t="n">
        <v>0.0006974503494925063</v>
      </c>
      <c r="R588" s="15" t="n">
        <v>0.006504936605180559</v>
      </c>
      <c r="S588" s="15" t="n">
        <v>0.0006995719366633601</v>
      </c>
      <c r="T588" s="29">
        <f>HIPERLINK($A$1 &amp; "\Dados\Imagem_perfil_588.png", "Imagem_perfil_588")</f>
        <v/>
      </c>
      <c r="U588" s="29">
        <f>HIPERLINK($A$1 &amp; "\Dados\Results_airgap588.txt", "Results_airgap588")</f>
        <v/>
      </c>
      <c r="V588" s="19" t="n"/>
      <c r="W588" s="43" t="n">
        <v>1.310398913043478</v>
      </c>
      <c r="X588" s="15" t="n">
        <v>0.646306242385546</v>
      </c>
      <c r="Y588" s="15" t="n">
        <v>0.0001619835292032327</v>
      </c>
      <c r="Z588" s="15" t="n">
        <v>0</v>
      </c>
      <c r="AA588" s="15" t="n">
        <v>7.774773533237314</v>
      </c>
      <c r="AB588" s="15" t="n">
        <v>0</v>
      </c>
      <c r="AC588" s="15" t="n">
        <v>0</v>
      </c>
      <c r="AD588" s="15" t="n">
        <v>0</v>
      </c>
      <c r="AE588" s="15" t="n">
        <v>34.95599143914475</v>
      </c>
      <c r="AF588" s="15" t="n">
        <v>33.03339446447877</v>
      </c>
      <c r="AH588" s="29">
        <f>HIPERLINK($A$1 &amp; "\Dados\Magnet_fields.txt_588.txt.txt", "Magnet_fields.txt_588.txt")</f>
        <v/>
      </c>
      <c r="AI588" t="n">
        <v>7201</v>
      </c>
      <c r="AJ588" t="n">
        <v>28</v>
      </c>
      <c r="AK588" s="29">
        <f>HIPERLINK($A$1 &amp; "\Dados\Magnet_3D_results.txt_588.txt.txt", "Magnet_3D_results.txt_588.txt")</f>
        <v/>
      </c>
      <c r="AL588" s="29">
        <f>HIPERLINK($A$1 &amp; "\Dados\Magnet_fields_2D.txt_588.txt.txt", "Magnet_fields_2D.txt_588.txt")</f>
        <v/>
      </c>
    </row>
    <row customHeight="1" ht="15.75" r="589" s="34">
      <c r="D589" s="30" t="n"/>
      <c r="E589" s="15" t="n">
        <v>150</v>
      </c>
      <c r="F589" s="15" t="n">
        <v>180</v>
      </c>
      <c r="G589" s="15" t="n">
        <v>350</v>
      </c>
      <c r="H589" s="15" t="n">
        <v>45</v>
      </c>
      <c r="I589" s="15" t="n">
        <v>140</v>
      </c>
      <c r="J589" s="13" t="n">
        <v>25</v>
      </c>
      <c r="K589" t="n">
        <v>40</v>
      </c>
      <c r="L589" s="13" t="n">
        <v>1.5</v>
      </c>
      <c r="M589" s="12" t="n"/>
      <c r="N589" s="8" t="n">
        <v>1.198577392653721</v>
      </c>
      <c r="O589" s="15" t="n">
        <v>0.9257789136461523</v>
      </c>
      <c r="P589" s="15" t="n">
        <v>1.121138990608964</v>
      </c>
      <c r="Q589" s="15" t="n">
        <v>0.001051148533115453</v>
      </c>
      <c r="R589" s="15" t="n">
        <v>0.005367363184025658</v>
      </c>
      <c r="S589" s="15" t="n">
        <v>0.00110131310417351</v>
      </c>
      <c r="T589" s="29">
        <f>HIPERLINK($A$1 &amp; "\Dados\Imagem_perfil_589.png", "Imagem_perfil_589")</f>
        <v/>
      </c>
      <c r="U589" s="29">
        <f>HIPERLINK($A$1 &amp; "\Dados\Results_airgap589.txt", "Results_airgap589")</f>
        <v/>
      </c>
      <c r="V589" s="19" t="n"/>
      <c r="W589" s="43" t="n">
        <v>1.502777173913044</v>
      </c>
      <c r="X589" s="15" t="n">
        <v>0.7700331615244135</v>
      </c>
      <c r="Y589" s="15" t="n">
        <v>0.0001252498708730652</v>
      </c>
      <c r="Z589" s="15" t="n">
        <v>0</v>
      </c>
      <c r="AA589" s="15" t="n">
        <v>5.697510447467889</v>
      </c>
      <c r="AB589" s="15" t="n">
        <v>4.700623604029049</v>
      </c>
      <c r="AC589" s="15" t="n">
        <v>3.439580171336981</v>
      </c>
      <c r="AD589" s="15" t="n">
        <v>2.714011686608091</v>
      </c>
      <c r="AE589" s="15" t="n">
        <v>53.42284886793424</v>
      </c>
      <c r="AF589" s="15" t="n">
        <v>59.37420327559201</v>
      </c>
      <c r="AH589" s="29">
        <f>HIPERLINK($A$1 &amp; "\Dados\Magnet_fields.txt_589.txt.txt", "Magnet_fields.txt_589.txt")</f>
        <v/>
      </c>
      <c r="AI589" t="n">
        <v>7201</v>
      </c>
      <c r="AJ589" t="n">
        <v>29</v>
      </c>
      <c r="AK589" s="29">
        <f>HIPERLINK($A$1 &amp; "\Dados\Magnet_3D_results.txt_589.txt.txt", "Magnet_3D_results.txt_589.txt")</f>
        <v/>
      </c>
      <c r="AL589" s="29">
        <f>HIPERLINK($A$1 &amp; "\Dados\Magnet_fields_2D.txt_589.txt.txt", "Magnet_fields_2D.txt_589.txt")</f>
        <v/>
      </c>
    </row>
    <row customHeight="1" ht="15.75" r="590" s="34">
      <c r="D590" s="30" t="n"/>
      <c r="E590" s="15" t="n">
        <v>150</v>
      </c>
      <c r="F590" s="15" t="n">
        <v>180</v>
      </c>
      <c r="G590" s="15" t="n">
        <v>350</v>
      </c>
      <c r="H590" s="15" t="n">
        <v>45</v>
      </c>
      <c r="I590" s="15" t="n">
        <v>140</v>
      </c>
      <c r="J590" s="13" t="n">
        <v>25</v>
      </c>
      <c r="K590" t="n">
        <v>40</v>
      </c>
      <c r="L590" s="13" t="n">
        <v>1.7</v>
      </c>
      <c r="M590" s="12" t="n"/>
      <c r="N590" s="8" t="n">
        <v>1.381442453668155</v>
      </c>
      <c r="O590" s="15" t="n">
        <v>1.085055694636972</v>
      </c>
      <c r="P590" s="15" t="n">
        <v>1.29942193124119</v>
      </c>
      <c r="Q590" s="15" t="n">
        <v>0.001784938883903129</v>
      </c>
      <c r="R590" s="15" t="n">
        <v>0.01963727311853733</v>
      </c>
      <c r="S590" s="15" t="n">
        <v>0.001908841023768682</v>
      </c>
      <c r="T590" s="29">
        <f>HIPERLINK($A$1 &amp; "\Dados\Imagem_perfil_590.png", "Imagem_perfil_590")</f>
        <v/>
      </c>
      <c r="U590" s="29">
        <f>HIPERLINK($A$1 &amp; "\Dados\Results_airgap590.txt", "Results_airgap590")</f>
        <v/>
      </c>
      <c r="V590" s="19" t="n"/>
      <c r="W590" s="43" t="n">
        <v>1.691899565217392</v>
      </c>
      <c r="X590" s="15" t="n">
        <v>0.9067685418086825</v>
      </c>
      <c r="Y590" s="15" t="n">
        <v>0.001805519862836039</v>
      </c>
      <c r="Z590" s="15" t="n">
        <v>0.02557848105384023</v>
      </c>
      <c r="AA590" s="15" t="n">
        <v>0.1223294016400502</v>
      </c>
      <c r="AB590" s="15" t="n">
        <v>2.871404642916564</v>
      </c>
      <c r="AC590" s="15" t="n">
        <v>0.3165173102541264</v>
      </c>
      <c r="AD590" s="15" t="n">
        <v>15.0850858579743</v>
      </c>
      <c r="AE590" s="15" t="n">
        <v>73.25243524517049</v>
      </c>
      <c r="AF590" s="15" t="n">
        <v>112.6680053142895</v>
      </c>
      <c r="AH590" s="29">
        <f>HIPERLINK($A$1 &amp; "\Dados\Magnet_fields.txt_590.txt.txt", "Magnet_fields.txt_590.txt")</f>
        <v/>
      </c>
      <c r="AI590" t="n">
        <v>7201</v>
      </c>
      <c r="AJ590" t="n">
        <v>29</v>
      </c>
      <c r="AK590" s="29">
        <f>HIPERLINK($A$1 &amp; "\Dados\Magnet_3D_results.txt_590.txt.txt", "Magnet_3D_results.txt_590.txt")</f>
        <v/>
      </c>
      <c r="AL590" s="29">
        <f>HIPERLINK($A$1 &amp; "\Dados\Magnet_fields_2D.txt_590.txt.txt", "Magnet_fields_2D.txt_590.txt")</f>
        <v/>
      </c>
    </row>
    <row customHeight="1" ht="15.75" r="591" s="34">
      <c r="D591" s="30" t="n"/>
      <c r="E591" s="15" t="n">
        <v>150</v>
      </c>
      <c r="F591" s="15" t="n">
        <v>180</v>
      </c>
      <c r="G591" s="15" t="n">
        <v>350</v>
      </c>
      <c r="H591" s="15" t="n">
        <v>45</v>
      </c>
      <c r="I591" s="15" t="n">
        <v>140</v>
      </c>
      <c r="J591" s="13" t="n">
        <v>25</v>
      </c>
      <c r="K591" t="n">
        <v>40</v>
      </c>
      <c r="L591" s="13" t="n">
        <v>1.9</v>
      </c>
      <c r="M591" s="12" t="n"/>
      <c r="N591" s="8" t="n">
        <v>1.397280341714529</v>
      </c>
      <c r="O591" s="15" t="n">
        <v>1.098786418114883</v>
      </c>
      <c r="P591" s="15" t="n">
        <v>1.315750894608475</v>
      </c>
      <c r="Q591" s="15" t="n">
        <v>0.001829679098317625</v>
      </c>
      <c r="R591" s="15" t="n">
        <v>0.02003972403221032</v>
      </c>
      <c r="S591" s="15" t="n">
        <v>0.00195390710242199</v>
      </c>
      <c r="T591" s="29">
        <f>HIPERLINK($A$1 &amp; "\Dados\Imagem_perfil_591.png", "Imagem_perfil_591")</f>
        <v/>
      </c>
      <c r="U591" s="29">
        <f>HIPERLINK($A$1 &amp; "\Dados\Results_airgap591.txt", "Results_airgap591")</f>
        <v/>
      </c>
      <c r="V591" s="19" t="n"/>
      <c r="W591" s="15" t="n">
        <v>1.711930652173913</v>
      </c>
      <c r="X591" s="15" t="n">
        <v>0.9181890746943444</v>
      </c>
      <c r="Y591" s="15" t="n">
        <v>0.05771499186503375</v>
      </c>
      <c r="Z591" s="15" t="n">
        <v>0</v>
      </c>
      <c r="AA591" s="15" t="n">
        <v>0.005946587026288104</v>
      </c>
      <c r="AB591" s="15" t="n">
        <v>0</v>
      </c>
      <c r="AC591" s="15" t="n">
        <v>0</v>
      </c>
      <c r="AD591" s="15" t="n">
        <v>20.16664356967233</v>
      </c>
      <c r="AE591" s="15" t="n">
        <v>74.76498741589913</v>
      </c>
      <c r="AF591" s="15" t="n">
        <v>112.7779963270061</v>
      </c>
      <c r="AH591" s="29">
        <f>HIPERLINK($A$1 &amp; "\Dados\Magnet_fields.txt_591.txt.txt", "Magnet_fields.txt_591.txt")</f>
        <v/>
      </c>
      <c r="AI591" t="n">
        <v>7201</v>
      </c>
      <c r="AJ591" t="n">
        <v>28</v>
      </c>
      <c r="AK591" s="29">
        <f>HIPERLINK($A$1 &amp; "\Dados\Magnet_3D_results.txt_591.txt.txt", "Magnet_3D_results.txt_591.txt")</f>
        <v/>
      </c>
      <c r="AL591" s="29">
        <f>HIPERLINK($A$1 &amp; "\Dados\Magnet_fields_2D.txt_591.txt.txt", "Magnet_fields_2D.txt_591.txt")</f>
        <v/>
      </c>
    </row>
    <row customHeight="1" ht="15.75" r="592" s="34">
      <c r="D592" s="30" t="n"/>
      <c r="E592" s="15" t="n">
        <v>150</v>
      </c>
      <c r="F592" s="15" t="n">
        <v>180</v>
      </c>
      <c r="G592" s="15" t="n">
        <v>350</v>
      </c>
      <c r="H592" s="15" t="n">
        <v>45</v>
      </c>
      <c r="I592" s="15" t="n">
        <v>140</v>
      </c>
      <c r="J592" s="13" t="n">
        <v>25</v>
      </c>
      <c r="K592" t="n">
        <v>40</v>
      </c>
      <c r="L592" s="13" t="n">
        <v>2.1</v>
      </c>
      <c r="M592" s="12" t="n"/>
      <c r="N592" s="8" t="n">
        <v>1.397280341714529</v>
      </c>
      <c r="O592" s="15" t="n">
        <v>1.098786418114883</v>
      </c>
      <c r="P592" s="15" t="n">
        <v>1.315750894608475</v>
      </c>
      <c r="Q592" s="15" t="n">
        <v>0.001829679098317625</v>
      </c>
      <c r="R592" s="15" t="n">
        <v>0.02003972403221032</v>
      </c>
      <c r="S592" s="15" t="n">
        <v>0.001953907102421989</v>
      </c>
      <c r="T592" s="29">
        <f>HIPERLINK($A$1 &amp; "\Dados\Imagem_perfil_592.png", "Imagem_perfil_592")</f>
        <v/>
      </c>
      <c r="U592" s="29">
        <f>HIPERLINK($A$1 &amp; "\Dados\Results_airgap592.txt", "Results_airgap592")</f>
        <v/>
      </c>
      <c r="V592" s="19" t="n"/>
      <c r="W592" s="15" t="n">
        <v>1.715106521739131</v>
      </c>
      <c r="X592" s="15" t="n">
        <v>0.9181890746943445</v>
      </c>
      <c r="Y592" s="15" t="n">
        <v>0.1656138596974899</v>
      </c>
      <c r="Z592" s="15" t="n">
        <v>0</v>
      </c>
      <c r="AA592" s="15" t="n">
        <v>0.005946587026288104</v>
      </c>
      <c r="AB592" s="15" t="n">
        <v>0</v>
      </c>
      <c r="AC592" s="15" t="n">
        <v>0</v>
      </c>
      <c r="AD592" s="15" t="n">
        <v>20.88341475730299</v>
      </c>
      <c r="AE592" s="15" t="n">
        <v>74.87842997610606</v>
      </c>
      <c r="AF592" s="15" t="n">
        <v>112.879451848046</v>
      </c>
      <c r="AH592" s="29">
        <f>HIPERLINK($A$1 &amp; "\Dados\Magnet_fields.txt_592.txt.txt", "Magnet_fields.txt_592.txt")</f>
        <v/>
      </c>
      <c r="AI592" t="n">
        <v>7201</v>
      </c>
      <c r="AJ592" t="n">
        <v>28</v>
      </c>
      <c r="AK592" s="29">
        <f>HIPERLINK($A$1 &amp; "\Dados\Magnet_3D_results.txt_592.txt.txt", "Magnet_3D_results.txt_592.txt")</f>
        <v/>
      </c>
      <c r="AL592" s="29">
        <f>HIPERLINK($A$1 &amp; "\Dados\Magnet_fields_2D.txt_592.txt.txt", "Magnet_fields_2D.txt_592.txt")</f>
        <v/>
      </c>
    </row>
    <row customHeight="1" ht="15.75" r="593" s="34">
      <c r="D593" s="30" t="n"/>
      <c r="E593" s="15" t="n">
        <v>150</v>
      </c>
      <c r="F593" s="15" t="n">
        <v>180</v>
      </c>
      <c r="G593" s="15" t="n">
        <v>350</v>
      </c>
      <c r="H593" s="15" t="n">
        <v>25</v>
      </c>
      <c r="I593" s="15" t="n">
        <v>180</v>
      </c>
      <c r="J593" s="13" t="n">
        <v>25</v>
      </c>
      <c r="K593" t="n">
        <v>40</v>
      </c>
      <c r="L593" s="13" t="n">
        <v>1.3</v>
      </c>
      <c r="M593" s="12" t="n"/>
      <c r="N593" s="8" t="n">
        <v>1.027973209233843</v>
      </c>
      <c r="O593" s="15" t="n">
        <v>0.9000163859400557</v>
      </c>
      <c r="P593" s="15" t="n">
        <v>0.98898261799342</v>
      </c>
      <c r="Q593" s="15" t="n">
        <v>0.0006560111621260849</v>
      </c>
      <c r="R593" s="15" t="n">
        <v>0.01674895421729003</v>
      </c>
      <c r="S593" s="15" t="n">
        <v>0.0006525282843429514</v>
      </c>
      <c r="T593" s="29">
        <f>HIPERLINK($A$1 &amp; "\Dados\Imagem_perfil_593.png", "Imagem_perfil_593")</f>
        <v/>
      </c>
      <c r="U593" s="29">
        <f>HIPERLINK($A$1 &amp; "\Dados\Results_airgap593.txt", "Results_airgap593")</f>
        <v/>
      </c>
      <c r="V593" s="19" t="n"/>
      <c r="W593" s="43" t="n">
        <v>1.310108478260869</v>
      </c>
      <c r="X593" s="15" t="n">
        <v>0.5942997779328723</v>
      </c>
      <c r="Y593" s="15" t="n">
        <v>0.0001589542882210402</v>
      </c>
      <c r="Z593" s="15" t="n">
        <v>0</v>
      </c>
      <c r="AA593" s="15" t="n">
        <v>8.581473029138198</v>
      </c>
      <c r="AB593" s="15" t="n">
        <v>0</v>
      </c>
      <c r="AC593" s="15" t="n">
        <v>0</v>
      </c>
      <c r="AD593" s="15" t="n">
        <v>0</v>
      </c>
      <c r="AE593" s="15" t="n">
        <v>34.85494009128053</v>
      </c>
      <c r="AF593" s="15" t="n">
        <v>33.2001427251374</v>
      </c>
      <c r="AH593" s="29">
        <f>HIPERLINK($A$1 &amp; "\Dados\Magnet_fields.txt_593.txt.txt", "Magnet_fields.txt_593.txt")</f>
        <v/>
      </c>
      <c r="AI593" t="n">
        <v>10487</v>
      </c>
      <c r="AJ593" t="n">
        <v>30</v>
      </c>
      <c r="AK593" s="29">
        <f>HIPERLINK($A$1 &amp; "\Dados\Magnet_3D_results.txt_593.txt.txt", "Magnet_3D_results.txt_593.txt")</f>
        <v/>
      </c>
      <c r="AL593" s="29">
        <f>HIPERLINK($A$1 &amp; "\Dados\Magnet_fields_2D.txt_593.txt.txt", "Magnet_fields_2D.txt_593.txt")</f>
        <v/>
      </c>
    </row>
    <row customHeight="1" ht="15.75" r="594" s="34">
      <c r="D594" s="30" t="n"/>
      <c r="E594" s="15" t="n">
        <v>150</v>
      </c>
      <c r="F594" s="15" t="n">
        <v>180</v>
      </c>
      <c r="G594" s="15" t="n">
        <v>350</v>
      </c>
      <c r="H594" s="15" t="n">
        <v>25</v>
      </c>
      <c r="I594" s="15" t="n">
        <v>180</v>
      </c>
      <c r="J594" s="13" t="n">
        <v>25</v>
      </c>
      <c r="K594" t="n">
        <v>40</v>
      </c>
      <c r="L594" s="13" t="n">
        <v>1.5</v>
      </c>
      <c r="M594" s="12" t="n"/>
      <c r="N594" s="8" t="n">
        <v>1.224035517513572</v>
      </c>
      <c r="O594" s="15" t="n">
        <v>1.075954519488346</v>
      </c>
      <c r="P594" s="15" t="n">
        <v>1.177099495804315</v>
      </c>
      <c r="Q594" s="15" t="n">
        <v>0.0009916425339426486</v>
      </c>
      <c r="R594" s="15" t="n">
        <v>0.004264823388900467</v>
      </c>
      <c r="S594" s="15" t="n">
        <v>0.000990817463542563</v>
      </c>
      <c r="T594" s="29">
        <f>HIPERLINK($A$1 &amp; "\Dados\Imagem_perfil_594.png", "Imagem_perfil_594")</f>
        <v/>
      </c>
      <c r="U594" s="29">
        <f>HIPERLINK($A$1 &amp; "\Dados\Results_airgap594.txt", "Results_airgap594")</f>
        <v/>
      </c>
      <c r="V594" s="19" t="n"/>
      <c r="W594" s="43" t="n">
        <v>1.503805434782609</v>
      </c>
      <c r="X594" s="15" t="n">
        <v>0.7292709184852316</v>
      </c>
      <c r="Y594" s="15" t="n">
        <v>0.0001245199383574992</v>
      </c>
      <c r="Z594" s="15" t="n">
        <v>0.03454245162202026</v>
      </c>
      <c r="AA594" s="15" t="n">
        <v>7.493364572382573</v>
      </c>
      <c r="AB594" s="15" t="n">
        <v>4.764200611987721</v>
      </c>
      <c r="AC594" s="15" t="n">
        <v>3.614044276490084</v>
      </c>
      <c r="AD594" s="15" t="n">
        <v>2.939560192367535</v>
      </c>
      <c r="AE594" s="15" t="n">
        <v>53.19572121552936</v>
      </c>
      <c r="AF594" s="15" t="n">
        <v>59.41682719916827</v>
      </c>
      <c r="AH594" s="29">
        <f>HIPERLINK($A$1 &amp; "\Dados\Magnet_fields.txt_594.txt.txt", "Magnet_fields.txt_594.txt")</f>
        <v/>
      </c>
      <c r="AI594" t="n">
        <v>10487</v>
      </c>
      <c r="AJ594" t="n">
        <v>30</v>
      </c>
      <c r="AK594" s="29">
        <f>HIPERLINK($A$1 &amp; "\Dados\Magnet_3D_results.txt_594.txt.txt", "Magnet_3D_results.txt_594.txt")</f>
        <v/>
      </c>
      <c r="AL594" s="29">
        <f>HIPERLINK($A$1 &amp; "\Dados\Magnet_fields_2D.txt_594.txt.txt", "Magnet_fields_2D.txt_594.txt")</f>
        <v/>
      </c>
    </row>
    <row customHeight="1" ht="15.75" r="595" s="34">
      <c r="D595" s="30" t="n"/>
      <c r="E595" s="15" t="n">
        <v>150</v>
      </c>
      <c r="F595" s="15" t="n">
        <v>180</v>
      </c>
      <c r="G595" s="15" t="n">
        <v>350</v>
      </c>
      <c r="H595" s="15" t="n">
        <v>25</v>
      </c>
      <c r="I595" s="15" t="n">
        <v>180</v>
      </c>
      <c r="J595" s="13" t="n">
        <v>25</v>
      </c>
      <c r="K595" t="n">
        <v>40</v>
      </c>
      <c r="L595" s="13" t="n">
        <v>1.7</v>
      </c>
      <c r="M595" s="12" t="n"/>
      <c r="N595" s="8" t="n">
        <v>1.440180888516593</v>
      </c>
      <c r="O595" s="15" t="n">
        <v>1.276310170355846</v>
      </c>
      <c r="P595" s="15" t="n">
        <v>1.390075344965573</v>
      </c>
      <c r="Q595" s="15" t="n">
        <v>0.001692815958054024</v>
      </c>
      <c r="R595" s="15" t="n">
        <v>0.01468562481755095</v>
      </c>
      <c r="S595" s="15" t="n">
        <v>0.001697821008410079</v>
      </c>
      <c r="T595" s="29">
        <f>HIPERLINK($A$1 &amp; "\Dados\Imagem_perfil_595.png", "Imagem_perfil_595")</f>
        <v/>
      </c>
      <c r="U595" s="29">
        <f>HIPERLINK($A$1 &amp; "\Dados\Results_airgap595.txt", "Results_airgap595")</f>
        <v/>
      </c>
      <c r="V595" s="19" t="n"/>
      <c r="W595" s="43" t="n">
        <v>1.691701956521739</v>
      </c>
      <c r="X595" s="15" t="n">
        <v>0.8844502891853301</v>
      </c>
      <c r="Y595" s="15" t="n">
        <v>0.001823144173248906</v>
      </c>
      <c r="Z595" s="15" t="n">
        <v>0.05217137860682017</v>
      </c>
      <c r="AA595" s="15" t="n">
        <v>6.228685734549073</v>
      </c>
      <c r="AB595" s="15" t="n">
        <v>2.855816627398641</v>
      </c>
      <c r="AC595" s="15" t="n">
        <v>0.2975846067724305</v>
      </c>
      <c r="AD595" s="15" t="n">
        <v>15.11377051248367</v>
      </c>
      <c r="AE595" s="15" t="n">
        <v>73.27349552574775</v>
      </c>
      <c r="AF595" s="15" t="n">
        <v>112.6634389064527</v>
      </c>
      <c r="AH595" s="29">
        <f>HIPERLINK($A$1 &amp; "\Dados\Magnet_fields.txt_595.txt.txt", "Magnet_fields.txt_595.txt")</f>
        <v/>
      </c>
      <c r="AI595" t="n">
        <v>10487</v>
      </c>
      <c r="AJ595" t="n">
        <v>29</v>
      </c>
      <c r="AK595" s="29">
        <f>HIPERLINK($A$1 &amp; "\Dados\Magnet_3D_results.txt_595.txt.txt", "Magnet_3D_results.txt_595.txt")</f>
        <v/>
      </c>
      <c r="AL595" s="29">
        <f>HIPERLINK($A$1 &amp; "\Dados\Magnet_fields_2D.txt_595.txt.txt", "Magnet_fields_2D.txt_595.txt")</f>
        <v/>
      </c>
    </row>
    <row customHeight="1" ht="15.75" r="596" s="34">
      <c r="D596" s="30" t="n"/>
      <c r="E596" s="15" t="n">
        <v>150</v>
      </c>
      <c r="F596" s="15" t="n">
        <v>180</v>
      </c>
      <c r="G596" s="15" t="n">
        <v>350</v>
      </c>
      <c r="H596" s="15" t="n">
        <v>25</v>
      </c>
      <c r="I596" s="15" t="n">
        <v>180</v>
      </c>
      <c r="J596" s="13" t="n">
        <v>25</v>
      </c>
      <c r="K596" t="n">
        <v>40</v>
      </c>
      <c r="L596" s="13" t="n">
        <v>1.9</v>
      </c>
      <c r="M596" s="12" t="n"/>
      <c r="N596" s="8" t="n">
        <v>1.459559191106007</v>
      </c>
      <c r="O596" s="15" t="n">
        <v>1.294745815595567</v>
      </c>
      <c r="P596" s="15" t="n">
        <v>1.410434446347997</v>
      </c>
      <c r="Q596" s="15" t="n">
        <v>0.001747777572338344</v>
      </c>
      <c r="R596" s="15" t="n">
        <v>0.01536314151177373</v>
      </c>
      <c r="S596" s="15" t="n">
        <v>0.001753067703934528</v>
      </c>
      <c r="T596" s="29">
        <f>HIPERLINK($A$1 &amp; "\Dados\Imagem_perfil_596.png", "Imagem_perfil_596")</f>
        <v/>
      </c>
      <c r="U596" s="29">
        <f>HIPERLINK($A$1 &amp; "\Dados\Results_airgap596.txt", "Results_airgap596")</f>
        <v/>
      </c>
      <c r="V596" s="19" t="n"/>
      <c r="W596" s="15" t="n">
        <v>1.711670869565217</v>
      </c>
      <c r="X596" s="15" t="n">
        <v>0.8970822836555701</v>
      </c>
      <c r="Y596" s="15" t="n">
        <v>0.05782072600667197</v>
      </c>
      <c r="Z596" s="15" t="n">
        <v>0.02392181800517563</v>
      </c>
      <c r="AA596" s="15" t="n">
        <v>6.241944658827024</v>
      </c>
      <c r="AB596" s="15" t="n">
        <v>0</v>
      </c>
      <c r="AC596" s="15" t="n">
        <v>0</v>
      </c>
      <c r="AD596" s="15" t="n">
        <v>20.17946471884489</v>
      </c>
      <c r="AE596" s="15" t="n">
        <v>74.71066409663412</v>
      </c>
      <c r="AF596" s="15" t="n">
        <v>112.8267502859388</v>
      </c>
      <c r="AH596" s="29">
        <f>HIPERLINK($A$1 &amp; "\Dados\Magnet_fields.txt_596.txt.txt", "Magnet_fields.txt_596.txt")</f>
        <v/>
      </c>
      <c r="AI596" t="n">
        <v>10487</v>
      </c>
      <c r="AJ596" t="n">
        <v>30</v>
      </c>
      <c r="AK596" s="29">
        <f>HIPERLINK($A$1 &amp; "\Dados\Magnet_3D_results.txt_596.txt.txt", "Magnet_3D_results.txt_596.txt")</f>
        <v/>
      </c>
      <c r="AL596" s="29">
        <f>HIPERLINK($A$1 &amp; "\Dados\Magnet_fields_2D.txt_596.txt.txt", "Magnet_fields_2D.txt_596.txt")</f>
        <v/>
      </c>
    </row>
    <row customHeight="1" ht="15.75" r="597" s="34">
      <c r="D597" s="30" t="n"/>
      <c r="E597" s="15" t="n">
        <v>150</v>
      </c>
      <c r="F597" s="15" t="n">
        <v>180</v>
      </c>
      <c r="G597" s="15" t="n">
        <v>350</v>
      </c>
      <c r="H597" s="15" t="n">
        <v>25</v>
      </c>
      <c r="I597" s="15" t="n">
        <v>180</v>
      </c>
      <c r="J597" s="13" t="n">
        <v>25</v>
      </c>
      <c r="K597" t="n">
        <v>40</v>
      </c>
      <c r="L597" s="13" t="n">
        <v>2.1</v>
      </c>
      <c r="M597" s="12" t="n"/>
      <c r="N597" s="8" t="n">
        <v>1.459559191106007</v>
      </c>
      <c r="O597" s="15" t="n">
        <v>1.294745815595567</v>
      </c>
      <c r="P597" s="15" t="n">
        <v>1.410434446347997</v>
      </c>
      <c r="Q597" s="15" t="n">
        <v>0.001747777572338343</v>
      </c>
      <c r="R597" s="15" t="n">
        <v>0.01536314151177373</v>
      </c>
      <c r="S597" s="15" t="n">
        <v>0.001753067703934527</v>
      </c>
      <c r="T597" s="29">
        <f>HIPERLINK($A$1 &amp; "\Dados\Imagem_perfil_597.png", "Imagem_perfil_597")</f>
        <v/>
      </c>
      <c r="U597" s="29">
        <f>HIPERLINK($A$1 &amp; "\Dados\Results_airgap597.txt", "Results_airgap597")</f>
        <v/>
      </c>
      <c r="V597" s="19" t="n"/>
      <c r="W597" s="15" t="n">
        <v>1.714908913043478</v>
      </c>
      <c r="X597" s="15" t="n">
        <v>0.8970822836555701</v>
      </c>
      <c r="Y597" s="15" t="n">
        <v>0.1657769795164049</v>
      </c>
      <c r="Z597" s="15" t="n">
        <v>0.02392181800517563</v>
      </c>
      <c r="AA597" s="15" t="n">
        <v>6.241944658827024</v>
      </c>
      <c r="AB597" s="15" t="n">
        <v>0</v>
      </c>
      <c r="AC597" s="15" t="n">
        <v>0</v>
      </c>
      <c r="AD597" s="15" t="n">
        <v>20.89245459545862</v>
      </c>
      <c r="AE597" s="15" t="n">
        <v>74.89521201226339</v>
      </c>
      <c r="AF597" s="15" t="n">
        <v>112.894290017889</v>
      </c>
      <c r="AH597" s="29">
        <f>HIPERLINK($A$1 &amp; "\Dados\Magnet_fields.txt_597.txt.txt", "Magnet_fields.txt_597.txt")</f>
        <v/>
      </c>
      <c r="AI597" t="n">
        <v>10487</v>
      </c>
      <c r="AJ597" t="n">
        <v>30</v>
      </c>
      <c r="AK597" s="29">
        <f>HIPERLINK($A$1 &amp; "\Dados\Magnet_3D_results.txt_597.txt.txt", "Magnet_3D_results.txt_597.txt")</f>
        <v/>
      </c>
      <c r="AL597" s="29">
        <f>HIPERLINK($A$1 &amp; "\Dados\Magnet_fields_2D.txt_597.txt.txt", "Magnet_fields_2D.txt_597.txt")</f>
        <v/>
      </c>
    </row>
    <row customHeight="1" ht="15.75" r="598" s="34">
      <c r="D598" s="30" t="n"/>
      <c r="E598" s="15" t="n">
        <v>150</v>
      </c>
      <c r="F598" s="15" t="n">
        <v>180</v>
      </c>
      <c r="G598" s="15" t="n">
        <v>350</v>
      </c>
      <c r="H598" s="15" t="n">
        <v>45</v>
      </c>
      <c r="I598" s="15" t="n">
        <v>180</v>
      </c>
      <c r="J598" s="13" t="n">
        <v>25</v>
      </c>
      <c r="K598" t="n">
        <v>40</v>
      </c>
      <c r="L598" s="13" t="n">
        <v>1.3</v>
      </c>
      <c r="M598" s="12" t="n"/>
      <c r="N598" s="8" t="n">
        <v>1.07716781057537</v>
      </c>
      <c r="O598" s="15" t="n">
        <v>0.9492125862430102</v>
      </c>
      <c r="P598" s="15" t="n">
        <v>1.038171207227718</v>
      </c>
      <c r="Q598" s="15" t="n">
        <v>0.0007116989381258233</v>
      </c>
      <c r="R598" s="15" t="n">
        <v>0.008496124889201538</v>
      </c>
      <c r="S598" s="15" t="n">
        <v>0.0007099787559449447</v>
      </c>
      <c r="T598" s="29">
        <f>HIPERLINK($A$1 &amp; "\Dados\Imagem_perfil_598.png", "Imagem_perfil_598")</f>
        <v/>
      </c>
      <c r="U598" s="29">
        <f>HIPERLINK($A$1 &amp; "\Dados\Results_airgap598.txt", "Results_airgap598")</f>
        <v/>
      </c>
      <c r="V598" s="19" t="n"/>
      <c r="W598" s="43" t="n">
        <v>1.310353913043478</v>
      </c>
      <c r="X598" s="15" t="n">
        <v>0.6343155058098449</v>
      </c>
      <c r="Y598" s="15" t="n">
        <v>0.0001614955927204641</v>
      </c>
      <c r="Z598" s="15" t="n">
        <v>0</v>
      </c>
      <c r="AA598" s="15" t="n">
        <v>8.235872201770036</v>
      </c>
      <c r="AB598" s="15" t="n">
        <v>0</v>
      </c>
      <c r="AC598" s="15" t="n">
        <v>0</v>
      </c>
      <c r="AD598" s="15" t="n">
        <v>0</v>
      </c>
      <c r="AE598" s="15" t="n">
        <v>34.89060420612841</v>
      </c>
      <c r="AF598" s="15" t="n">
        <v>33.09103540957645</v>
      </c>
      <c r="AH598" s="29">
        <f>HIPERLINK($A$1 &amp; "\Dados\Magnet_fields.txt_598.txt.txt", "Magnet_fields.txt_598.txt")</f>
        <v/>
      </c>
      <c r="AI598" t="n">
        <v>7318</v>
      </c>
      <c r="AJ598" t="n">
        <v>29</v>
      </c>
      <c r="AK598" s="29">
        <f>HIPERLINK($A$1 &amp; "\Dados\Magnet_3D_results.txt_598.txt.txt", "Magnet_3D_results.txt_598.txt")</f>
        <v/>
      </c>
      <c r="AL598" s="29">
        <f>HIPERLINK($A$1 &amp; "\Dados\Magnet_fields_2D.txt_598.txt.txt", "Magnet_fields_2D.txt_598.txt")</f>
        <v/>
      </c>
    </row>
    <row customHeight="1" ht="15.75" r="599" s="34">
      <c r="D599" s="30" t="n"/>
      <c r="E599" s="15" t="n">
        <v>150</v>
      </c>
      <c r="F599" s="15" t="n">
        <v>180</v>
      </c>
      <c r="G599" s="15" t="n">
        <v>350</v>
      </c>
      <c r="H599" s="15" t="n">
        <v>45</v>
      </c>
      <c r="I599" s="15" t="n">
        <v>180</v>
      </c>
      <c r="J599" s="13" t="n">
        <v>25</v>
      </c>
      <c r="K599" t="n">
        <v>40</v>
      </c>
      <c r="L599" s="13" t="n">
        <v>1.5</v>
      </c>
      <c r="M599" s="12" t="n"/>
      <c r="N599" s="8" t="n">
        <v>1.269458395182133</v>
      </c>
      <c r="O599" s="15" t="n">
        <v>1.121573467039132</v>
      </c>
      <c r="P599" s="15" t="n">
        <v>1.222583956657475</v>
      </c>
      <c r="Q599" s="15" t="n">
        <v>0.001080538634988674</v>
      </c>
      <c r="R599" s="15" t="n">
        <v>0.00464253070881202</v>
      </c>
      <c r="S599" s="15" t="n">
        <v>0.001082122588309423</v>
      </c>
      <c r="T599" s="29">
        <f>HIPERLINK($A$1 &amp; "\Dados\Imagem_perfil_599.png", "Imagem_perfil_599")</f>
        <v/>
      </c>
      <c r="U599" s="29">
        <f>HIPERLINK($A$1 &amp; "\Dados\Results_airgap599.txt", "Results_airgap599")</f>
        <v/>
      </c>
      <c r="V599" s="19" t="n"/>
      <c r="W599" s="43" t="n">
        <v>1.503472391304348</v>
      </c>
      <c r="X599" s="15" t="n">
        <v>0.7676323450450738</v>
      </c>
      <c r="Y599" s="15" t="n">
        <v>0.0001245015224414906</v>
      </c>
      <c r="Z599" s="15" t="n">
        <v>0</v>
      </c>
      <c r="AA599" s="15" t="n">
        <v>5.981318234816844</v>
      </c>
      <c r="AB599" s="15" t="n">
        <v>4.783719003313614</v>
      </c>
      <c r="AC599" s="15" t="n">
        <v>3.523298071340488</v>
      </c>
      <c r="AD599" s="15" t="n">
        <v>2.876376229070314</v>
      </c>
      <c r="AE599" s="15" t="n">
        <v>53.17554727760579</v>
      </c>
      <c r="AF599" s="15" t="n">
        <v>59.40930992672528</v>
      </c>
      <c r="AH599" s="29">
        <f>HIPERLINK($A$1 &amp; "\Dados\Magnet_fields.txt_599.txt.txt", "Magnet_fields.txt_599.txt")</f>
        <v/>
      </c>
      <c r="AI599" t="n">
        <v>7318</v>
      </c>
      <c r="AJ599" t="n">
        <v>29</v>
      </c>
      <c r="AK599" s="29">
        <f>HIPERLINK($A$1 &amp; "\Dados\Magnet_3D_results.txt_599.txt.txt", "Magnet_3D_results.txt_599.txt")</f>
        <v/>
      </c>
      <c r="AL599" s="29">
        <f>HIPERLINK($A$1 &amp; "\Dados\Magnet_fields_2D.txt_599.txt.txt", "Magnet_fields_2D.txt_599.txt")</f>
        <v/>
      </c>
    </row>
    <row customHeight="1" ht="15.75" r="600" s="34">
      <c r="D600" s="30" t="n"/>
      <c r="E600" s="15" t="n">
        <v>150</v>
      </c>
      <c r="F600" s="15" t="n">
        <v>180</v>
      </c>
      <c r="G600" s="15" t="n">
        <v>350</v>
      </c>
      <c r="H600" s="15" t="n">
        <v>45</v>
      </c>
      <c r="I600" s="15" t="n">
        <v>180</v>
      </c>
      <c r="J600" s="13" t="n">
        <v>25</v>
      </c>
      <c r="K600" t="n">
        <v>40</v>
      </c>
      <c r="L600" s="13" t="n">
        <v>1.7</v>
      </c>
      <c r="M600" s="12" t="n"/>
      <c r="N600" s="8" t="n">
        <v>1.474870436736553</v>
      </c>
      <c r="O600" s="15" t="n">
        <v>1.311140646549333</v>
      </c>
      <c r="P600" s="15" t="n">
        <v>1.424925722295455</v>
      </c>
      <c r="Q600" s="15" t="n">
        <v>0.001879869391252622</v>
      </c>
      <c r="R600" s="15" t="n">
        <v>0.02031924538758125</v>
      </c>
      <c r="S600" s="15" t="n">
        <v>0.001887472439153015</v>
      </c>
      <c r="T600" s="29">
        <f>HIPERLINK($A$1 &amp; "\Dados\Imagem_perfil_600.png", "Imagem_perfil_600")</f>
        <v/>
      </c>
      <c r="U600" s="29">
        <f>HIPERLINK($A$1 &amp; "\Dados\Results_airgap600.txt", "Results_airgap600")</f>
        <v/>
      </c>
      <c r="V600" s="19" t="n"/>
      <c r="W600" s="43" t="n">
        <v>1.691800652173913</v>
      </c>
      <c r="X600" s="15" t="n">
        <v>0.912897057795551</v>
      </c>
      <c r="Y600" s="15" t="n">
        <v>0.001805342726375386</v>
      </c>
      <c r="Z600" s="15" t="n">
        <v>0.02823190507332148</v>
      </c>
      <c r="AA600" s="15" t="n">
        <v>0.1943439466813677</v>
      </c>
      <c r="AB600" s="15" t="n">
        <v>2.873628894386271</v>
      </c>
      <c r="AC600" s="15" t="n">
        <v>0.2922829271276337</v>
      </c>
      <c r="AD600" s="15" t="n">
        <v>15.08383999863643</v>
      </c>
      <c r="AE600" s="15" t="n">
        <v>73.25739348620758</v>
      </c>
      <c r="AF600" s="15" t="n">
        <v>112.639354460218</v>
      </c>
      <c r="AH600" s="29">
        <f>HIPERLINK($A$1 &amp; "\Dados\Magnet_fields.txt_600.txt.txt", "Magnet_fields.txt_600.txt")</f>
        <v/>
      </c>
      <c r="AI600" t="n">
        <v>7318</v>
      </c>
      <c r="AJ600" t="n">
        <v>29</v>
      </c>
      <c r="AK600" s="29">
        <f>HIPERLINK($A$1 &amp; "\Dados\Magnet_3D_results.txt_600.txt.txt", "Magnet_3D_results.txt_600.txt")</f>
        <v/>
      </c>
      <c r="AL600" s="29">
        <f>HIPERLINK($A$1 &amp; "\Dados\Magnet_fields_2D.txt_600.txt.txt", "Magnet_fields_2D.txt_600.txt")</f>
        <v/>
      </c>
    </row>
    <row customHeight="1" ht="15.75" r="601" s="34">
      <c r="D601" s="30" t="n"/>
      <c r="E601" s="15" t="n">
        <v>150</v>
      </c>
      <c r="F601" s="15" t="n">
        <v>180</v>
      </c>
      <c r="G601" s="15" t="n">
        <v>350</v>
      </c>
      <c r="H601" s="15" t="n">
        <v>45</v>
      </c>
      <c r="I601" s="15" t="n">
        <v>180</v>
      </c>
      <c r="J601" s="13" t="n">
        <v>25</v>
      </c>
      <c r="K601" t="n">
        <v>40</v>
      </c>
      <c r="L601" s="13" t="n">
        <v>1.9</v>
      </c>
      <c r="M601" s="12" t="n"/>
      <c r="N601" s="8" t="n">
        <v>1.492488434670272</v>
      </c>
      <c r="O601" s="15" t="n">
        <v>1.327859375494847</v>
      </c>
      <c r="P601" s="15" t="n">
        <v>1.443569557165201</v>
      </c>
      <c r="Q601" s="15" t="n">
        <v>0.001929357288975225</v>
      </c>
      <c r="R601" s="15" t="n">
        <v>0.02075733974989757</v>
      </c>
      <c r="S601" s="15" t="n">
        <v>0.001937179580759057</v>
      </c>
      <c r="T601" s="29">
        <f>HIPERLINK($A$1 &amp; "\Dados\Imagem_perfil_601.png", "Imagem_perfil_601")</f>
        <v/>
      </c>
      <c r="U601" s="29">
        <f>HIPERLINK($A$1 &amp; "\Dados\Results_airgap601.txt", "Results_airgap601")</f>
        <v/>
      </c>
      <c r="V601" s="19" t="n"/>
      <c r="W601" s="15" t="n">
        <v>1.712003478260869</v>
      </c>
      <c r="X601" s="15" t="n">
        <v>0.9238959067378469</v>
      </c>
      <c r="Y601" s="15" t="n">
        <v>0.05771528766790521</v>
      </c>
      <c r="Z601" s="15" t="n">
        <v>0</v>
      </c>
      <c r="AA601" s="15" t="n">
        <v>0.006311407156471356</v>
      </c>
      <c r="AB601" s="15" t="n">
        <v>0</v>
      </c>
      <c r="AC601" s="15" t="n">
        <v>0</v>
      </c>
      <c r="AD601" s="15" t="n">
        <v>20.17443845049707</v>
      </c>
      <c r="AE601" s="15" t="n">
        <v>74.79855159421848</v>
      </c>
      <c r="AF601" s="15" t="n">
        <v>112.7881071298767</v>
      </c>
      <c r="AH601" s="29">
        <f>HIPERLINK($A$1 &amp; "\Dados\Magnet_fields.txt_601.txt.txt", "Magnet_fields.txt_601.txt")</f>
        <v/>
      </c>
      <c r="AI601" t="n">
        <v>7318</v>
      </c>
      <c r="AJ601" t="n">
        <v>28</v>
      </c>
      <c r="AK601" s="29">
        <f>HIPERLINK($A$1 &amp; "\Dados\Magnet_3D_results.txt_601.txt.txt", "Magnet_3D_results.txt_601.txt")</f>
        <v/>
      </c>
      <c r="AL601" s="29">
        <f>HIPERLINK($A$1 &amp; "\Dados\Magnet_fields_2D.txt_601.txt.txt", "Magnet_fields_2D.txt_601.txt")</f>
        <v/>
      </c>
    </row>
    <row customHeight="1" ht="15.75" r="602" s="34">
      <c r="D602" s="30" t="n"/>
      <c r="E602" s="15" t="n">
        <v>150</v>
      </c>
      <c r="F602" s="15" t="n">
        <v>180</v>
      </c>
      <c r="G602" s="15" t="n">
        <v>350</v>
      </c>
      <c r="H602" s="15" t="n">
        <v>45</v>
      </c>
      <c r="I602" s="15" t="n">
        <v>180</v>
      </c>
      <c r="J602" s="13" t="n">
        <v>25</v>
      </c>
      <c r="K602" t="n">
        <v>40</v>
      </c>
      <c r="L602" s="13" t="n">
        <v>2.1</v>
      </c>
      <c r="M602" s="12" t="n"/>
      <c r="N602" s="8" t="n">
        <v>1.492488434670272</v>
      </c>
      <c r="O602" s="15" t="n">
        <v>1.327859375494847</v>
      </c>
      <c r="P602" s="15" t="n">
        <v>1.443569557165202</v>
      </c>
      <c r="Q602" s="15" t="n">
        <v>0.001929357288975223</v>
      </c>
      <c r="R602" s="15" t="n">
        <v>0.02075733974989757</v>
      </c>
      <c r="S602" s="15" t="n">
        <v>0.001937179580759055</v>
      </c>
      <c r="T602" s="29">
        <f>HIPERLINK($A$1 &amp; "\Dados\Imagem_perfil_602.png", "Imagem_perfil_602")</f>
        <v/>
      </c>
      <c r="U602" s="29">
        <f>HIPERLINK($A$1 &amp; "\Dados\Results_airgap602.txt", "Results_airgap602")</f>
        <v/>
      </c>
      <c r="V602" s="19" t="n"/>
      <c r="W602" s="15" t="n">
        <v>1.715125434782609</v>
      </c>
      <c r="X602" s="15" t="n">
        <v>0.9238959067378471</v>
      </c>
      <c r="Y602" s="15" t="n">
        <v>0.1656138399502674</v>
      </c>
      <c r="Z602" s="15" t="n">
        <v>0</v>
      </c>
      <c r="AA602" s="15" t="n">
        <v>0.006311407156471356</v>
      </c>
      <c r="AB602" s="15" t="n">
        <v>0</v>
      </c>
      <c r="AC602" s="15" t="n">
        <v>0</v>
      </c>
      <c r="AD602" s="15" t="n">
        <v>20.88881377763017</v>
      </c>
      <c r="AE602" s="15" t="n">
        <v>74.87529659389284</v>
      </c>
      <c r="AF602" s="15" t="n">
        <v>112.8718844358425</v>
      </c>
      <c r="AH602" s="29">
        <f>HIPERLINK($A$1 &amp; "\Dados\Magnet_fields.txt_602.txt.txt", "Magnet_fields.txt_602.txt")</f>
        <v/>
      </c>
      <c r="AI602" t="n">
        <v>7318</v>
      </c>
      <c r="AJ602" t="n">
        <v>29</v>
      </c>
      <c r="AK602" s="29">
        <f>HIPERLINK($A$1 &amp; "\Dados\Magnet_3D_results.txt_602.txt.txt", "Magnet_3D_results.txt_602.txt")</f>
        <v/>
      </c>
      <c r="AL602" s="29">
        <f>HIPERLINK($A$1 &amp; "\Dados\Magnet_fields_2D.txt_602.txt.txt", "Magnet_fields_2D.txt_602.txt")</f>
        <v/>
      </c>
    </row>
    <row customHeight="1" ht="15.75" r="603" s="34">
      <c r="D603" s="30" t="n"/>
      <c r="E603" s="15" t="n">
        <v>150</v>
      </c>
      <c r="F603" s="15" t="n">
        <v>180</v>
      </c>
      <c r="G603" s="15" t="n">
        <v>430</v>
      </c>
      <c r="H603" s="15" t="n">
        <v>45</v>
      </c>
      <c r="I603" s="15" t="n">
        <v>140</v>
      </c>
      <c r="J603" s="13" t="n">
        <v>25</v>
      </c>
      <c r="K603" t="n">
        <v>40</v>
      </c>
      <c r="L603" s="13" t="n">
        <v>1.3</v>
      </c>
      <c r="M603" s="12" t="n"/>
      <c r="N603" s="8" t="n">
        <v>1.02634733631622</v>
      </c>
      <c r="O603" s="15" t="n">
        <v>0.7862427617223203</v>
      </c>
      <c r="P603" s="15" t="n">
        <v>0.9588743103773912</v>
      </c>
      <c r="Q603" s="15" t="n">
        <v>0.0006151406508451615</v>
      </c>
      <c r="R603" s="15" t="n">
        <v>0.004658576560893307</v>
      </c>
      <c r="S603" s="15" t="n">
        <v>0.0006348583505831021</v>
      </c>
      <c r="T603" s="29">
        <f>HIPERLINK($A$1 &amp; "\Dados\Imagem_perfil_603.png", "Imagem_perfil_603")</f>
        <v/>
      </c>
      <c r="U603" s="29">
        <f>HIPERLINK($A$1 &amp; "\Dados\Results_airgap603.txt", "Results_airgap603")</f>
        <v/>
      </c>
      <c r="V603" s="19" t="n"/>
      <c r="W603" s="43" t="n">
        <v>1.33886</v>
      </c>
      <c r="X603" s="15" t="n">
        <v>0.6554598145993453</v>
      </c>
      <c r="Y603" s="15" t="n">
        <v>0.001238027526064367</v>
      </c>
      <c r="Z603" s="15" t="n">
        <v>0</v>
      </c>
      <c r="AA603" s="15" t="n">
        <v>9.131239171622704</v>
      </c>
      <c r="AB603" s="15" t="n">
        <v>0</v>
      </c>
      <c r="AC603" s="15" t="n">
        <v>0</v>
      </c>
      <c r="AD603" s="15" t="n">
        <v>0</v>
      </c>
      <c r="AE603" s="15" t="n">
        <v>13.02342653273181</v>
      </c>
      <c r="AF603" s="15" t="n">
        <v>42.8259794791424</v>
      </c>
      <c r="AH603" s="29">
        <f>HIPERLINK($A$1 &amp; "\Dados\Magnet_fields.txt_603.txt.txt", "Magnet_fields.txt_603.txt")</f>
        <v/>
      </c>
      <c r="AI603" t="n">
        <v>7440</v>
      </c>
      <c r="AJ603" t="n">
        <v>28</v>
      </c>
      <c r="AK603" s="29">
        <f>HIPERLINK($A$1 &amp; "\Dados\Magnet_3D_results.txt_603.txt.txt", "Magnet_3D_results.txt_603.txt")</f>
        <v/>
      </c>
      <c r="AL603" s="29">
        <f>HIPERLINK($A$1 &amp; "\Dados\Magnet_fields_2D.txt_603.txt.txt", "Magnet_fields_2D.txt_603.txt")</f>
        <v/>
      </c>
    </row>
    <row customHeight="1" ht="15.75" r="604" s="34">
      <c r="D604" s="30" t="n"/>
      <c r="E604" s="15" t="n">
        <v>150</v>
      </c>
      <c r="F604" s="15" t="n">
        <v>180</v>
      </c>
      <c r="G604" s="15" t="n">
        <v>430</v>
      </c>
      <c r="H604" s="15" t="n">
        <v>45</v>
      </c>
      <c r="I604" s="15" t="n">
        <v>140</v>
      </c>
      <c r="J604" s="13" t="n">
        <v>25</v>
      </c>
      <c r="K604" t="n">
        <v>40</v>
      </c>
      <c r="L604" s="13" t="n">
        <v>1.5</v>
      </c>
      <c r="M604" s="12" t="n"/>
      <c r="N604" s="8" t="n">
        <v>1.159965667823815</v>
      </c>
      <c r="O604" s="15" t="n">
        <v>0.8991335998815586</v>
      </c>
      <c r="P604" s="15" t="n">
        <v>1.086907118590523</v>
      </c>
      <c r="Q604" s="15" t="n">
        <v>0.0008122765341991498</v>
      </c>
      <c r="R604" s="15" t="n">
        <v>0.003686122841450343</v>
      </c>
      <c r="S604" s="15" t="n">
        <v>0.0008695343690380495</v>
      </c>
      <c r="T604" s="29">
        <f>HIPERLINK($A$1 &amp; "\Dados\Imagem_perfil_604.png", "Imagem_perfil_604")</f>
        <v/>
      </c>
      <c r="U604" s="29">
        <f>HIPERLINK($A$1 &amp; "\Dados\Results_airgap604.txt", "Results_airgap604")</f>
        <v/>
      </c>
      <c r="V604" s="19" t="n"/>
      <c r="W604" s="43" t="n">
        <v>1.515124565217391</v>
      </c>
      <c r="X604" s="15" t="n">
        <v>0.7493385646758713</v>
      </c>
      <c r="Y604" s="15" t="n">
        <v>0.0002037587097538519</v>
      </c>
      <c r="Z604" s="15" t="n">
        <v>0</v>
      </c>
      <c r="AA604" s="15" t="n">
        <v>6.473528192530778</v>
      </c>
      <c r="AB604" s="15" t="n">
        <v>0</v>
      </c>
      <c r="AC604" s="15" t="n">
        <v>0</v>
      </c>
      <c r="AD604" s="15" t="n">
        <v>0</v>
      </c>
      <c r="AE604" s="15" t="n">
        <v>43.22053190279871</v>
      </c>
      <c r="AF604" s="15" t="n">
        <v>44.69642997225675</v>
      </c>
      <c r="AH604" s="29">
        <f>HIPERLINK($A$1 &amp; "\Dados\Magnet_fields.txt_604.txt.txt", "Magnet_fields.txt_604.txt")</f>
        <v/>
      </c>
      <c r="AI604" t="n">
        <v>7440</v>
      </c>
      <c r="AJ604" t="n">
        <v>29</v>
      </c>
      <c r="AK604" s="29">
        <f>HIPERLINK($A$1 &amp; "\Dados\Magnet_3D_results.txt_604.txt.txt", "Magnet_3D_results.txt_604.txt")</f>
        <v/>
      </c>
      <c r="AL604" s="29">
        <f>HIPERLINK($A$1 &amp; "\Dados\Magnet_fields_2D.txt_604.txt.txt", "Magnet_fields_2D.txt_604.txt")</f>
        <v/>
      </c>
    </row>
    <row customHeight="1" ht="15.75" r="605" s="34">
      <c r="D605" s="30" t="n"/>
      <c r="E605" s="15" t="n">
        <v>150</v>
      </c>
      <c r="F605" s="15" t="n">
        <v>180</v>
      </c>
      <c r="G605" s="15" t="n">
        <v>430</v>
      </c>
      <c r="H605" s="15" t="n">
        <v>45</v>
      </c>
      <c r="I605" s="15" t="n">
        <v>140</v>
      </c>
      <c r="J605" s="13" t="n">
        <v>25</v>
      </c>
      <c r="K605" t="n">
        <v>40</v>
      </c>
      <c r="L605" s="13" t="n">
        <v>1.7</v>
      </c>
      <c r="M605" s="12" t="n"/>
      <c r="N605" s="8" t="n">
        <v>1.308831451774682</v>
      </c>
      <c r="O605" s="15" t="n">
        <v>1.028970867750547</v>
      </c>
      <c r="P605" s="15" t="n">
        <v>1.230347281121417</v>
      </c>
      <c r="Q605" s="15" t="n">
        <v>0.001449632092778525</v>
      </c>
      <c r="R605" s="15" t="n">
        <v>0.01686174833089088</v>
      </c>
      <c r="S605" s="15" t="n">
        <v>0.00158440010200685</v>
      </c>
      <c r="T605" s="29">
        <f>HIPERLINK($A$1 &amp; "\Dados\Imagem_perfil_605.png", "Imagem_perfil_605")</f>
        <v/>
      </c>
      <c r="U605" s="29">
        <f>HIPERLINK($A$1 &amp; "\Dados\Results_airgap605.txt", "Results_airgap605")</f>
        <v/>
      </c>
      <c r="V605" s="19" t="n"/>
      <c r="W605" s="43" t="n">
        <v>1.706709565217391</v>
      </c>
      <c r="X605" s="15" t="n">
        <v>0.8626998299230961</v>
      </c>
      <c r="Y605" s="15" t="n">
        <v>0.0001349599200737063</v>
      </c>
      <c r="Z605" s="15" t="n">
        <v>0.006101933554807692</v>
      </c>
      <c r="AA605" s="15" t="n">
        <v>6.153851368074715</v>
      </c>
      <c r="AB605" s="15" t="n">
        <v>1.387740857421669</v>
      </c>
      <c r="AC605" s="15" t="n">
        <v>1.658314046814628</v>
      </c>
      <c r="AD605" s="15" t="n">
        <v>0</v>
      </c>
      <c r="AE605" s="15" t="n">
        <v>59.99052401040265</v>
      </c>
      <c r="AF605" s="15" t="n">
        <v>70.93574036161142</v>
      </c>
      <c r="AH605" s="29">
        <f>HIPERLINK($A$1 &amp; "\Dados\Magnet_fields.txt_605.txt.txt", "Magnet_fields.txt_605.txt")</f>
        <v/>
      </c>
      <c r="AI605" t="n">
        <v>7440</v>
      </c>
      <c r="AJ605" t="n">
        <v>28</v>
      </c>
      <c r="AK605" s="29">
        <f>HIPERLINK($A$1 &amp; "\Dados\Magnet_3D_results.txt_605.txt.txt", "Magnet_3D_results.txt_605.txt")</f>
        <v/>
      </c>
      <c r="AL605" s="29">
        <f>HIPERLINK($A$1 &amp; "\Dados\Magnet_fields_2D.txt_605.txt.txt", "Magnet_fields_2D.txt_605.txt")</f>
        <v/>
      </c>
    </row>
    <row customHeight="1" ht="15.75" r="606" s="34">
      <c r="D606" s="30" t="n"/>
      <c r="E606" s="15" t="n">
        <v>150</v>
      </c>
      <c r="F606" s="15" t="n">
        <v>180</v>
      </c>
      <c r="G606" s="15" t="n">
        <v>430</v>
      </c>
      <c r="H606" s="15" t="n">
        <v>45</v>
      </c>
      <c r="I606" s="15" t="n">
        <v>140</v>
      </c>
      <c r="J606" s="13" t="n">
        <v>25</v>
      </c>
      <c r="K606" t="n">
        <v>40</v>
      </c>
      <c r="L606" s="13" t="n">
        <v>1.9</v>
      </c>
      <c r="M606" s="12" t="n"/>
      <c r="N606" s="8" t="n">
        <v>1.474860171340553</v>
      </c>
      <c r="O606" s="15" t="n">
        <v>1.172568365719016</v>
      </c>
      <c r="P606" s="15" t="n">
        <v>1.392050127896328</v>
      </c>
      <c r="Q606" s="15" t="n">
        <v>0.002396453014916958</v>
      </c>
      <c r="R606" s="15" t="n">
        <v>0.03122841426581964</v>
      </c>
      <c r="S606" s="15" t="n">
        <v>0.002592652356282927</v>
      </c>
      <c r="T606" s="29">
        <f>HIPERLINK($A$1 &amp; "\Dados\Imagem_perfil_606.png", "Imagem_perfil_606")</f>
        <v/>
      </c>
      <c r="U606" s="29">
        <f>HIPERLINK($A$1 &amp; "\Dados\Results_airgap606.txt", "Results_airgap606")</f>
        <v/>
      </c>
      <c r="V606" s="19" t="n"/>
      <c r="W606" s="43" t="n">
        <v>1.912574782608695</v>
      </c>
      <c r="X606" s="15" t="n">
        <v>0.9861774040846539</v>
      </c>
      <c r="Y606" s="15" t="n">
        <v>0.003329101290093657</v>
      </c>
      <c r="Z606" s="15" t="n">
        <v>0.03065726814589747</v>
      </c>
      <c r="AA606" s="15" t="n">
        <v>2.066341477631177</v>
      </c>
      <c r="AB606" s="15" t="n">
        <v>0</v>
      </c>
      <c r="AC606" s="15" t="n">
        <v>0</v>
      </c>
      <c r="AD606" s="15" t="n">
        <v>13.92137989963715</v>
      </c>
      <c r="AE606" s="15" t="n">
        <v>74.65234673136132</v>
      </c>
      <c r="AF606" s="15" t="n">
        <v>113.5355388041319</v>
      </c>
      <c r="AH606" s="29">
        <f>HIPERLINK($A$1 &amp; "\Dados\Magnet_fields.txt_606.txt.txt", "Magnet_fields.txt_606.txt")</f>
        <v/>
      </c>
      <c r="AI606" t="n">
        <v>7440</v>
      </c>
      <c r="AJ606" t="n">
        <v>29</v>
      </c>
      <c r="AK606" s="29">
        <f>HIPERLINK($A$1 &amp; "\Dados\Magnet_3D_results.txt_606.txt.txt", "Magnet_3D_results.txt_606.txt")</f>
        <v/>
      </c>
      <c r="AL606" s="29">
        <f>HIPERLINK($A$1 &amp; "\Dados\Magnet_fields_2D.txt_606.txt.txt", "Magnet_fields_2D.txt_606.txt")</f>
        <v/>
      </c>
    </row>
    <row customHeight="1" ht="15.75" r="607" s="34">
      <c r="D607" s="30" t="n"/>
      <c r="E607" s="15" t="n">
        <v>150</v>
      </c>
      <c r="F607" s="15" t="n">
        <v>180</v>
      </c>
      <c r="G607" s="15" t="n">
        <v>430</v>
      </c>
      <c r="H607" s="15" t="n">
        <v>45</v>
      </c>
      <c r="I607" s="15" t="n">
        <v>140</v>
      </c>
      <c r="J607" s="13" t="n">
        <v>25</v>
      </c>
      <c r="K607" t="n">
        <v>40</v>
      </c>
      <c r="L607" s="13" t="n">
        <v>2.1</v>
      </c>
      <c r="M607" s="12" t="n"/>
      <c r="N607" s="8" t="n">
        <v>1.514991899341247</v>
      </c>
      <c r="O607" s="15" t="n">
        <v>1.20490668180275</v>
      </c>
      <c r="P607" s="15" t="n">
        <v>1.430685430885396</v>
      </c>
      <c r="Q607" s="15" t="n">
        <v>0.002555799510033542</v>
      </c>
      <c r="R607" s="15" t="n">
        <v>0.03274148165113513</v>
      </c>
      <c r="S607" s="15" t="n">
        <v>0.002754126286301891</v>
      </c>
      <c r="T607" s="29">
        <f>HIPERLINK($A$1 &amp; "\Dados\Imagem_perfil_607.png", "Imagem_perfil_607")</f>
        <v/>
      </c>
      <c r="U607" s="29">
        <f>HIPERLINK($A$1 &amp; "\Dados\Results_airgap607.txt", "Results_airgap607")</f>
        <v/>
      </c>
      <c r="V607" s="19" t="n"/>
      <c r="W607" s="43" t="n">
        <v>1.964531739130435</v>
      </c>
      <c r="X607" s="15" t="n">
        <v>1.013291439052161</v>
      </c>
      <c r="Y607" s="15" t="n">
        <v>0.05143926003156388</v>
      </c>
      <c r="Z607" s="15" t="n">
        <v>0.00582015102671322</v>
      </c>
      <c r="AA607" s="15" t="n">
        <v>0.9420787932506178</v>
      </c>
      <c r="AB607" s="15" t="n">
        <v>0</v>
      </c>
      <c r="AC607" s="15" t="n">
        <v>0</v>
      </c>
      <c r="AD607" s="15" t="n">
        <v>22.59272616191677</v>
      </c>
      <c r="AE607" s="15" t="n">
        <v>77.46647960005309</v>
      </c>
      <c r="AF607" s="15" t="n">
        <v>114.1838052492064</v>
      </c>
      <c r="AH607" s="29">
        <f>HIPERLINK($A$1 &amp; "\Dados\Magnet_fields.txt_607.txt.txt", "Magnet_fields.txt_607.txt")</f>
        <v/>
      </c>
      <c r="AI607" t="n">
        <v>7440</v>
      </c>
      <c r="AJ607" t="n">
        <v>29</v>
      </c>
      <c r="AK607" s="29">
        <f>HIPERLINK($A$1 &amp; "\Dados\Magnet_3D_results.txt_607.txt.txt", "Magnet_3D_results.txt_607.txt")</f>
        <v/>
      </c>
      <c r="AL607" s="29">
        <f>HIPERLINK($A$1 &amp; "\Dados\Magnet_fields_2D.txt_607.txt.txt", "Magnet_fields_2D.txt_607.txt")</f>
        <v/>
      </c>
    </row>
    <row customHeight="1" ht="15.75" r="608" s="34">
      <c r="D608" s="30" t="n"/>
      <c r="E608" s="15" t="n">
        <v>150</v>
      </c>
      <c r="F608" s="15" t="n">
        <v>180</v>
      </c>
      <c r="G608" s="15" t="n">
        <v>430</v>
      </c>
      <c r="H608" s="15" t="n">
        <v>25</v>
      </c>
      <c r="I608" s="15" t="n">
        <v>180</v>
      </c>
      <c r="J608" s="13" t="n">
        <v>25</v>
      </c>
      <c r="K608" t="n">
        <v>40</v>
      </c>
      <c r="L608" s="13" t="n">
        <v>1.3</v>
      </c>
      <c r="M608" s="12" t="n"/>
      <c r="N608" s="8" t="n">
        <v>1.047216624829343</v>
      </c>
      <c r="O608" s="15" t="n">
        <v>0.9199476320931312</v>
      </c>
      <c r="P608" s="15" t="n">
        <v>1.008417925309491</v>
      </c>
      <c r="Q608" s="15" t="n">
        <v>0.0005899445088382784</v>
      </c>
      <c r="R608" s="15" t="n">
        <v>0.01445952289824077</v>
      </c>
      <c r="S608" s="15" t="n">
        <v>0.0005876653126817134</v>
      </c>
      <c r="T608" s="29">
        <f>HIPERLINK($A$1 &amp; "\Dados\Imagem_perfil_608.png", "Imagem_perfil_608")</f>
        <v/>
      </c>
      <c r="U608" s="29">
        <f>HIPERLINK($A$1 &amp; "\Dados\Results_airgap608.txt", "Results_airgap608")</f>
        <v/>
      </c>
      <c r="V608" s="19" t="n"/>
      <c r="W608" s="43" t="n">
        <v>1.338751086956522</v>
      </c>
      <c r="X608" s="15" t="n">
        <v>0.613419930067273</v>
      </c>
      <c r="Y608" s="15" t="n">
        <v>0.001231645518992931</v>
      </c>
      <c r="Z608" s="15" t="n">
        <v>0</v>
      </c>
      <c r="AA608" s="15" t="n">
        <v>7.024628490734283</v>
      </c>
      <c r="AB608" s="15" t="n">
        <v>0</v>
      </c>
      <c r="AC608" s="15" t="n">
        <v>0</v>
      </c>
      <c r="AD608" s="15" t="n">
        <v>0</v>
      </c>
      <c r="AE608" s="15" t="n">
        <v>14.1812903607351</v>
      </c>
      <c r="AF608" s="15" t="n">
        <v>41.4795781085724</v>
      </c>
      <c r="AH608" s="29">
        <f>HIPERLINK($A$1 &amp; "\Dados\Magnet_fields.txt_608.txt.txt", "Magnet_fields.txt_608.txt")</f>
        <v/>
      </c>
      <c r="AI608" t="n">
        <v>11721</v>
      </c>
      <c r="AJ608" t="n">
        <v>30</v>
      </c>
      <c r="AK608" s="29">
        <f>HIPERLINK($A$1 &amp; "\Dados\Magnet_3D_results.txt_608.txt.txt", "Magnet_3D_results.txt_608.txt")</f>
        <v/>
      </c>
      <c r="AL608" s="29">
        <f>HIPERLINK($A$1 &amp; "\Dados\Magnet_fields_2D.txt_608.txt.txt", "Magnet_fields_2D.txt_608.txt")</f>
        <v/>
      </c>
    </row>
    <row customHeight="1" ht="15.75" r="609" s="34">
      <c r="D609" s="30" t="n"/>
      <c r="E609" s="15" t="n">
        <v>150</v>
      </c>
      <c r="F609" s="15" t="n">
        <v>180</v>
      </c>
      <c r="G609" s="15" t="n">
        <v>430</v>
      </c>
      <c r="H609" s="15" t="n">
        <v>25</v>
      </c>
      <c r="I609" s="15" t="n">
        <v>180</v>
      </c>
      <c r="J609" s="13" t="n">
        <v>25</v>
      </c>
      <c r="K609" t="n">
        <v>40</v>
      </c>
      <c r="L609" s="13" t="n">
        <v>1.5</v>
      </c>
      <c r="M609" s="12" t="n"/>
      <c r="N609" s="8" t="n">
        <v>1.198724527733622</v>
      </c>
      <c r="O609" s="15" t="n">
        <v>1.056529995807326</v>
      </c>
      <c r="P609" s="15" t="n">
        <v>1.154913094278529</v>
      </c>
      <c r="Q609" s="15" t="n">
        <v>0.0007824679997543329</v>
      </c>
      <c r="R609" s="15" t="n">
        <v>0.006186389737809332</v>
      </c>
      <c r="S609" s="15" t="n">
        <v>0.0007827375382433576</v>
      </c>
      <c r="T609" s="29">
        <f>HIPERLINK($A$1 &amp; "\Dados\Imagem_perfil_609.png", "Imagem_perfil_609")</f>
        <v/>
      </c>
      <c r="U609" s="29">
        <f>HIPERLINK($A$1 &amp; "\Dados\Results_airgap609.txt", "Results_airgap609")</f>
        <v/>
      </c>
      <c r="V609" s="19" t="n"/>
      <c r="W609" s="43" t="n">
        <v>1.515075</v>
      </c>
      <c r="X609" s="15" t="n">
        <v>0.7173743684731422</v>
      </c>
      <c r="Y609" s="15" t="n">
        <v>0.0002031746132761662</v>
      </c>
      <c r="Z609" s="15" t="n">
        <v>0</v>
      </c>
      <c r="AA609" s="15" t="n">
        <v>6.7934442196261</v>
      </c>
      <c r="AB609" s="15" t="n">
        <v>0</v>
      </c>
      <c r="AC609" s="15" t="n">
        <v>0</v>
      </c>
      <c r="AD609" s="15" t="n">
        <v>0</v>
      </c>
      <c r="AE609" s="15" t="n">
        <v>43.34485246225992</v>
      </c>
      <c r="AF609" s="15" t="n">
        <v>44.65868295107181</v>
      </c>
      <c r="AH609" s="29">
        <f>HIPERLINK($A$1 &amp; "\Dados\Magnet_fields.txt_609.txt.txt", "Magnet_fields.txt_609.txt")</f>
        <v/>
      </c>
      <c r="AI609" t="n">
        <v>11721</v>
      </c>
      <c r="AJ609" t="n">
        <v>30</v>
      </c>
      <c r="AK609" s="29">
        <f>HIPERLINK($A$1 &amp; "\Dados\Magnet_3D_results.txt_609.txt.txt", "Magnet_3D_results.txt_609.txt")</f>
        <v/>
      </c>
      <c r="AL609" s="29">
        <f>HIPERLINK($A$1 &amp; "\Dados\Magnet_fields_2D.txt_609.txt.txt", "Magnet_fields_2D.txt_609.txt")</f>
        <v/>
      </c>
    </row>
    <row customHeight="1" ht="15.75" r="610" s="34">
      <c r="D610" s="30" t="n"/>
      <c r="E610" s="15" t="n">
        <v>150</v>
      </c>
      <c r="F610" s="15" t="n">
        <v>180</v>
      </c>
      <c r="G610" s="15" t="n">
        <v>430</v>
      </c>
      <c r="H610" s="15" t="n">
        <v>25</v>
      </c>
      <c r="I610" s="15" t="n">
        <v>180</v>
      </c>
      <c r="J610" s="13" t="n">
        <v>25</v>
      </c>
      <c r="K610" t="n">
        <v>40</v>
      </c>
      <c r="L610" s="13" t="n">
        <v>1.7</v>
      </c>
      <c r="M610" s="12" t="n"/>
      <c r="N610" s="8" t="n">
        <v>1.371186148803056</v>
      </c>
      <c r="O610" s="15" t="n">
        <v>1.21481043400501</v>
      </c>
      <c r="P610" s="15" t="n">
        <v>1.32221207711772</v>
      </c>
      <c r="Q610" s="15" t="n">
        <v>0.001374401861635996</v>
      </c>
      <c r="R610" s="15" t="n">
        <v>0.01049031824050942</v>
      </c>
      <c r="S610" s="15" t="n">
        <v>0.001380791066015339</v>
      </c>
      <c r="T610" s="29">
        <f>HIPERLINK($A$1 &amp; "\Dados\Imagem_perfil_610.png", "Imagem_perfil_610")</f>
        <v/>
      </c>
      <c r="U610" s="29">
        <f>HIPERLINK($A$1 &amp; "\Dados\Results_airgap610.txt", "Results_airgap610")</f>
        <v/>
      </c>
      <c r="V610" s="19" t="n"/>
      <c r="W610" s="43" t="n">
        <v>1.706742173913043</v>
      </c>
      <c r="X610" s="15" t="n">
        <v>0.843795113607944</v>
      </c>
      <c r="Y610" s="15" t="n">
        <v>0.000135383177873678</v>
      </c>
      <c r="Z610" s="15" t="n">
        <v>0.06423075942658407</v>
      </c>
      <c r="AA610" s="15" t="n">
        <v>5.977012852546579</v>
      </c>
      <c r="AB610" s="15" t="n">
        <v>1.389821294715102</v>
      </c>
      <c r="AC610" s="15" t="n">
        <v>1.647854624998759</v>
      </c>
      <c r="AD610" s="15" t="n">
        <v>0</v>
      </c>
      <c r="AE610" s="15" t="n">
        <v>60.16224188831866</v>
      </c>
      <c r="AF610" s="15" t="n">
        <v>70.90162659544825</v>
      </c>
      <c r="AH610" s="29">
        <f>HIPERLINK($A$1 &amp; "\Dados\Magnet_fields.txt_610.txt.txt", "Magnet_fields.txt_610.txt")</f>
        <v/>
      </c>
      <c r="AI610" t="n">
        <v>11721</v>
      </c>
      <c r="AJ610" t="n">
        <v>30</v>
      </c>
      <c r="AK610" s="29">
        <f>HIPERLINK($A$1 &amp; "\Dados\Magnet_3D_results.txt_610.txt.txt", "Magnet_3D_results.txt_610.txt")</f>
        <v/>
      </c>
      <c r="AL610" s="29">
        <f>HIPERLINK($A$1 &amp; "\Dados\Magnet_fields_2D.txt_610.txt.txt", "Magnet_fields_2D.txt_610.txt")</f>
        <v/>
      </c>
    </row>
    <row customHeight="1" ht="15.75" r="611" s="34">
      <c r="D611" s="30" t="n"/>
      <c r="E611" s="15" t="n">
        <v>150</v>
      </c>
      <c r="F611" s="15" t="n">
        <v>180</v>
      </c>
      <c r="G611" s="15" t="n">
        <v>430</v>
      </c>
      <c r="H611" s="15" t="n">
        <v>25</v>
      </c>
      <c r="I611" s="15" t="n">
        <v>180</v>
      </c>
      <c r="J611" s="13" t="n">
        <v>25</v>
      </c>
      <c r="K611" t="n">
        <v>40</v>
      </c>
      <c r="L611" s="13" t="n">
        <v>1.9</v>
      </c>
      <c r="M611" s="12" t="n"/>
      <c r="N611" s="8" t="n">
        <v>1.559842800302216</v>
      </c>
      <c r="O611" s="15" t="n">
        <v>1.390515763713834</v>
      </c>
      <c r="P611" s="15" t="n">
        <v>1.508501093184036</v>
      </c>
      <c r="Q611" s="15" t="n">
        <v>0.002342142358579607</v>
      </c>
      <c r="R611" s="15" t="n">
        <v>0.02753741280001194</v>
      </c>
      <c r="S611" s="15" t="n">
        <v>0.002357372594551142</v>
      </c>
      <c r="T611" s="29">
        <f>HIPERLINK($A$1 &amp; "\Dados\Imagem_perfil_611.png", "Imagem_perfil_611")</f>
        <v/>
      </c>
      <c r="U611" s="29">
        <f>HIPERLINK($A$1 &amp; "\Dados\Results_airgap611.txt", "Results_airgap611")</f>
        <v/>
      </c>
      <c r="V611" s="19" t="n"/>
      <c r="W611" s="43" t="n">
        <v>1.912533260869565</v>
      </c>
      <c r="X611" s="15" t="n">
        <v>0.97606866880316</v>
      </c>
      <c r="Y611" s="15" t="n">
        <v>0.003345264707011135</v>
      </c>
      <c r="Z611" s="15" t="n">
        <v>0.05008945159929973</v>
      </c>
      <c r="AA611" s="15" t="n">
        <v>4.990189361306427</v>
      </c>
      <c r="AB611" s="15" t="n">
        <v>0</v>
      </c>
      <c r="AC611" s="15" t="n">
        <v>0</v>
      </c>
      <c r="AD611" s="15" t="n">
        <v>13.94867346967499</v>
      </c>
      <c r="AE611" s="15" t="n">
        <v>74.66610456214551</v>
      </c>
      <c r="AF611" s="15" t="n">
        <v>113.552095142985</v>
      </c>
      <c r="AH611" s="29">
        <f>HIPERLINK($A$1 &amp; "\Dados\Magnet_fields.txt_611.txt.txt", "Magnet_fields.txt_611.txt")</f>
        <v/>
      </c>
      <c r="AI611" t="n">
        <v>11721</v>
      </c>
      <c r="AJ611" t="n">
        <v>30</v>
      </c>
      <c r="AK611" s="29">
        <f>HIPERLINK($A$1 &amp; "\Dados\Magnet_3D_results.txt_611.txt.txt", "Magnet_3D_results.txt_611.txt")</f>
        <v/>
      </c>
      <c r="AL611" s="29">
        <f>HIPERLINK($A$1 &amp; "\Dados\Magnet_fields_2D.txt_611.txt.txt", "Magnet_fields_2D.txt_611.txt")</f>
        <v/>
      </c>
    </row>
    <row customHeight="1" ht="15.75" r="612" s="34">
      <c r="D612" s="30" t="n"/>
      <c r="E612" s="15" t="n">
        <v>150</v>
      </c>
      <c r="F612" s="15" t="n">
        <v>180</v>
      </c>
      <c r="G612" s="15" t="n">
        <v>430</v>
      </c>
      <c r="H612" s="15" t="n">
        <v>25</v>
      </c>
      <c r="I612" s="15" t="n">
        <v>180</v>
      </c>
      <c r="J612" s="13" t="n">
        <v>25</v>
      </c>
      <c r="K612" t="n">
        <v>40</v>
      </c>
      <c r="L612" s="13" t="n">
        <v>2.1</v>
      </c>
      <c r="M612" s="12" t="n"/>
      <c r="N612" s="8" t="n">
        <v>1.606148017648975</v>
      </c>
      <c r="O612" s="15" t="n">
        <v>1.433001813177947</v>
      </c>
      <c r="P612" s="15" t="n">
        <v>1.554658238419065</v>
      </c>
      <c r="Q612" s="15" t="n">
        <v>0.002524212251601091</v>
      </c>
      <c r="R612" s="15" t="n">
        <v>0.02963388523089622</v>
      </c>
      <c r="S612" s="15" t="n">
        <v>0.002540659543193998</v>
      </c>
      <c r="T612" s="29">
        <f>HIPERLINK($A$1 &amp; "\Dados\Imagem_perfil_612.png", "Imagem_perfil_612")</f>
        <v/>
      </c>
      <c r="U612" s="29">
        <f>HIPERLINK($A$1 &amp; "\Dados\Results_airgap612.txt", "Results_airgap612")</f>
        <v/>
      </c>
      <c r="V612" s="19" t="n"/>
      <c r="W612" s="43" t="n">
        <v>1.964583695652174</v>
      </c>
      <c r="X612" s="15" t="n">
        <v>1.00497856700421</v>
      </c>
      <c r="Y612" s="15" t="n">
        <v>0.05150991910559755</v>
      </c>
      <c r="Z612" s="15" t="n">
        <v>0.0168365054261007</v>
      </c>
      <c r="AA612" s="15" t="n">
        <v>4.799431677586034</v>
      </c>
      <c r="AB612" s="15" t="n">
        <v>0</v>
      </c>
      <c r="AC612" s="15" t="n">
        <v>0</v>
      </c>
      <c r="AD612" s="15" t="n">
        <v>22.62073451506003</v>
      </c>
      <c r="AE612" s="15" t="n">
        <v>77.54828489833676</v>
      </c>
      <c r="AF612" s="15" t="n">
        <v>114.211527535013</v>
      </c>
      <c r="AH612" s="29">
        <f>HIPERLINK($A$1 &amp; "\Dados\Magnet_fields.txt_612.txt.txt", "Magnet_fields.txt_612.txt")</f>
        <v/>
      </c>
      <c r="AI612" t="n">
        <v>11721</v>
      </c>
      <c r="AJ612" t="n">
        <v>30</v>
      </c>
      <c r="AK612" s="29">
        <f>HIPERLINK($A$1 &amp; "\Dados\Magnet_3D_results.txt_612.txt.txt", "Magnet_3D_results.txt_612.txt")</f>
        <v/>
      </c>
      <c r="AL612" s="29">
        <f>HIPERLINK($A$1 &amp; "\Dados\Magnet_fields_2D.txt_612.txt.txt", "Magnet_fields_2D.txt_612.txt")</f>
        <v/>
      </c>
    </row>
    <row customHeight="1" ht="15.75" r="613" s="34">
      <c r="D613" s="30" t="n"/>
      <c r="E613" s="15" t="n">
        <v>150</v>
      </c>
      <c r="F613" s="15" t="n">
        <v>180</v>
      </c>
      <c r="G613" s="15" t="n">
        <v>430</v>
      </c>
      <c r="H613" s="15" t="n">
        <v>45</v>
      </c>
      <c r="I613" s="15" t="n">
        <v>180</v>
      </c>
      <c r="J613" s="13" t="n">
        <v>25</v>
      </c>
      <c r="K613" t="n">
        <v>40</v>
      </c>
      <c r="L613" s="13" t="n">
        <v>1.3</v>
      </c>
      <c r="M613" s="12" t="n"/>
      <c r="N613" s="8" t="n">
        <v>1.079987251366936</v>
      </c>
      <c r="O613" s="15" t="n">
        <v>0.9541647081886195</v>
      </c>
      <c r="P613" s="15" t="n">
        <v>1.041552640834245</v>
      </c>
      <c r="Q613" s="15" t="n">
        <v>0.0006265185875397094</v>
      </c>
      <c r="R613" s="15" t="n">
        <v>0.007045788086340956</v>
      </c>
      <c r="S613" s="15" t="n">
        <v>0.000626846043195814</v>
      </c>
      <c r="T613" s="29">
        <f>HIPERLINK($A$1 &amp; "\Dados\Imagem_perfil_613.png", "Imagem_perfil_613")</f>
        <v/>
      </c>
      <c r="U613" s="29">
        <f>HIPERLINK($A$1 &amp; "\Dados\Results_airgap613.txt", "Results_airgap613")</f>
        <v/>
      </c>
      <c r="V613" s="19" t="n"/>
      <c r="W613" s="43" t="n">
        <v>1.338868043478261</v>
      </c>
      <c r="X613" s="15" t="n">
        <v>0.6496857972320457</v>
      </c>
      <c r="Y613" s="15" t="n">
        <v>0.001238228559321263</v>
      </c>
      <c r="Z613" s="15" t="n">
        <v>0</v>
      </c>
      <c r="AA613" s="15" t="n">
        <v>9.747053950635793</v>
      </c>
      <c r="AB613" s="15" t="n">
        <v>0</v>
      </c>
      <c r="AC613" s="15" t="n">
        <v>0</v>
      </c>
      <c r="AD613" s="15" t="n">
        <v>0</v>
      </c>
      <c r="AE613" s="15" t="n">
        <v>13.08787705305155</v>
      </c>
      <c r="AF613" s="15" t="n">
        <v>42.74788009559554</v>
      </c>
      <c r="AH613" s="29">
        <f>HIPERLINK($A$1 &amp; "\Dados\Magnet_fields.txt_613.txt.txt", "Magnet_fields.txt_613.txt")</f>
        <v/>
      </c>
      <c r="AI613" t="n">
        <v>8142</v>
      </c>
      <c r="AJ613" t="n">
        <v>29</v>
      </c>
      <c r="AK613" s="29">
        <f>HIPERLINK($A$1 &amp; "\Dados\Magnet_3D_results.txt_613.txt.txt", "Magnet_3D_results.txt_613.txt")</f>
        <v/>
      </c>
      <c r="AL613" s="29">
        <f>HIPERLINK($A$1 &amp; "\Dados\Magnet_fields_2D.txt_613.txt.txt", "Magnet_fields_2D.txt_613.txt")</f>
        <v/>
      </c>
    </row>
    <row customHeight="1" ht="15.75" r="614" s="34">
      <c r="D614" s="30" t="n"/>
      <c r="E614" s="15" t="n">
        <v>150</v>
      </c>
      <c r="F614" s="15" t="n">
        <v>180</v>
      </c>
      <c r="G614" s="15" t="n">
        <v>430</v>
      </c>
      <c r="H614" s="15" t="n">
        <v>45</v>
      </c>
      <c r="I614" s="15" t="n">
        <v>180</v>
      </c>
      <c r="J614" s="13" t="n">
        <v>25</v>
      </c>
      <c r="K614" t="n">
        <v>40</v>
      </c>
      <c r="L614" s="13" t="n">
        <v>1.5</v>
      </c>
      <c r="M614" s="12" t="n"/>
      <c r="N614" s="8" t="n">
        <v>1.230522398775678</v>
      </c>
      <c r="O614" s="15" t="n">
        <v>1.089552681859771</v>
      </c>
      <c r="P614" s="15" t="n">
        <v>1.186988291803824</v>
      </c>
      <c r="Q614" s="15" t="n">
        <v>0.000838610019458557</v>
      </c>
      <c r="R614" s="15" t="n">
        <v>0.00271694123698338</v>
      </c>
      <c r="S614" s="15" t="n">
        <v>0.0008418003506512514</v>
      </c>
      <c r="T614" s="29">
        <f>HIPERLINK($A$1 &amp; "\Dados\Imagem_perfil_614.png", "Imagem_perfil_614")</f>
        <v/>
      </c>
      <c r="U614" s="29">
        <f>HIPERLINK($A$1 &amp; "\Dados\Results_airgap614.txt", "Results_airgap614")</f>
        <v/>
      </c>
      <c r="V614" s="19" t="n"/>
      <c r="W614" s="43" t="n">
        <v>1.515188913043478</v>
      </c>
      <c r="X614" s="15" t="n">
        <v>0.7541474987766952</v>
      </c>
      <c r="Y614" s="15" t="n">
        <v>0.0002046553927924435</v>
      </c>
      <c r="Z614" s="15" t="n">
        <v>0</v>
      </c>
      <c r="AA614" s="15" t="n">
        <v>7.835960216043033</v>
      </c>
      <c r="AB614" s="15" t="n">
        <v>0</v>
      </c>
      <c r="AC614" s="15" t="n">
        <v>0</v>
      </c>
      <c r="AD614" s="15" t="n">
        <v>0</v>
      </c>
      <c r="AE614" s="15" t="n">
        <v>43.29507038582917</v>
      </c>
      <c r="AF614" s="15" t="n">
        <v>44.63924000892597</v>
      </c>
      <c r="AH614" s="29">
        <f>HIPERLINK($A$1 &amp; "\Dados\Magnet_fields.txt_614.txt.txt", "Magnet_fields.txt_614.txt")</f>
        <v/>
      </c>
      <c r="AI614" t="n">
        <v>8142</v>
      </c>
      <c r="AJ614" t="n">
        <v>29</v>
      </c>
      <c r="AK614" s="29">
        <f>HIPERLINK($A$1 &amp; "\Dados\Magnet_3D_results.txt_614.txt.txt", "Magnet_3D_results.txt_614.txt")</f>
        <v/>
      </c>
      <c r="AL614" s="29">
        <f>HIPERLINK($A$1 &amp; "\Dados\Magnet_fields_2D.txt_614.txt.txt", "Magnet_fields_2D.txt_614.txt")</f>
        <v/>
      </c>
    </row>
    <row customHeight="1" ht="15.75" r="615" s="34">
      <c r="D615" s="30" t="n"/>
      <c r="E615" s="15" t="n">
        <v>150</v>
      </c>
      <c r="F615" s="15" t="n">
        <v>180</v>
      </c>
      <c r="G615" s="15" t="n">
        <v>430</v>
      </c>
      <c r="H615" s="15" t="n">
        <v>45</v>
      </c>
      <c r="I615" s="15" t="n">
        <v>180</v>
      </c>
      <c r="J615" s="13" t="n">
        <v>25</v>
      </c>
      <c r="K615" t="n">
        <v>40</v>
      </c>
      <c r="L615" s="13" t="n">
        <v>1.7</v>
      </c>
      <c r="M615" s="12" t="n"/>
      <c r="N615" s="8" t="n">
        <v>1.401084262604663</v>
      </c>
      <c r="O615" s="15" t="n">
        <v>1.245834478237796</v>
      </c>
      <c r="P615" s="15" t="n">
        <v>1.352380333499987</v>
      </c>
      <c r="Q615" s="15" t="n">
        <v>0.001554248107675055</v>
      </c>
      <c r="R615" s="15" t="n">
        <v>0.01704410029257298</v>
      </c>
      <c r="S615" s="15" t="n">
        <v>0.001564313724206614</v>
      </c>
      <c r="T615" s="29">
        <f>HIPERLINK($A$1 &amp; "\Dados\Imagem_perfil_615.png", "Imagem_perfil_615")</f>
        <v/>
      </c>
      <c r="U615" s="29">
        <f>HIPERLINK($A$1 &amp; "\Dados\Results_airgap615.txt", "Results_airgap615")</f>
        <v/>
      </c>
      <c r="V615" s="19" t="n"/>
      <c r="W615" s="43" t="n">
        <v>1.706728043478261</v>
      </c>
      <c r="X615" s="15" t="n">
        <v>0.8799573203257871</v>
      </c>
      <c r="Y615" s="15" t="n">
        <v>0.0001351156736855744</v>
      </c>
      <c r="Z615" s="15" t="n">
        <v>0.04015922799937277</v>
      </c>
      <c r="AA615" s="15" t="n">
        <v>7.005720224850644</v>
      </c>
      <c r="AB615" s="15" t="n">
        <v>1.379910975616457</v>
      </c>
      <c r="AC615" s="15" t="n">
        <v>1.656315424967651</v>
      </c>
      <c r="AD615" s="15" t="n">
        <v>0</v>
      </c>
      <c r="AE615" s="15" t="n">
        <v>60.02630924159753</v>
      </c>
      <c r="AF615" s="15" t="n">
        <v>70.91553584419427</v>
      </c>
      <c r="AH615" s="29">
        <f>HIPERLINK($A$1 &amp; "\Dados\Magnet_fields.txt_615.txt.txt", "Magnet_fields.txt_615.txt")</f>
        <v/>
      </c>
      <c r="AI615" t="n">
        <v>8142</v>
      </c>
      <c r="AJ615" t="n">
        <v>29</v>
      </c>
      <c r="AK615" s="29">
        <f>HIPERLINK($A$1 &amp; "\Dados\Magnet_3D_results.txt_615.txt.txt", "Magnet_3D_results.txt_615.txt")</f>
        <v/>
      </c>
      <c r="AL615" s="29">
        <f>HIPERLINK($A$1 &amp; "\Dados\Magnet_fields_2D.txt_615.txt.txt", "Magnet_fields_2D.txt_615.txt")</f>
        <v/>
      </c>
    </row>
    <row customHeight="1" ht="15.75" r="616" s="34">
      <c r="D616" s="30" t="n"/>
      <c r="E616" s="15" t="n">
        <v>150</v>
      </c>
      <c r="F616" s="15" t="n">
        <v>180</v>
      </c>
      <c r="G616" s="15" t="n">
        <v>430</v>
      </c>
      <c r="H616" s="15" t="n">
        <v>45</v>
      </c>
      <c r="I616" s="15" t="n">
        <v>180</v>
      </c>
      <c r="J616" s="13" t="n">
        <v>25</v>
      </c>
      <c r="K616" t="n">
        <v>40</v>
      </c>
      <c r="L616" s="13" t="n">
        <v>1.9</v>
      </c>
      <c r="M616" s="12" t="n"/>
      <c r="N616" s="8" t="n">
        <v>1.58424793537713</v>
      </c>
      <c r="O616" s="15" t="n">
        <v>1.415584298174142</v>
      </c>
      <c r="P616" s="15" t="n">
        <v>1.533047893632348</v>
      </c>
      <c r="Q616" s="15" t="n">
        <v>0.002563504019319091</v>
      </c>
      <c r="R616" s="15" t="n">
        <v>0.03277853675290118</v>
      </c>
      <c r="S616" s="15" t="n">
        <v>0.002582425409848967</v>
      </c>
      <c r="T616" s="29">
        <f>HIPERLINK($A$1 &amp; "\Dados\Imagem_perfil_616.png", "Imagem_perfil_616")</f>
        <v/>
      </c>
      <c r="U616" s="29">
        <f>HIPERLINK($A$1 &amp; "\Dados\Results_airgap616.txt", "Results_airgap616")</f>
        <v/>
      </c>
      <c r="V616" s="19" t="n"/>
      <c r="W616" s="43" t="n">
        <v>1.912707391304348</v>
      </c>
      <c r="X616" s="15" t="n">
        <v>1.00483719147281</v>
      </c>
      <c r="Y616" s="15" t="n">
        <v>0.003329169067662999</v>
      </c>
      <c r="Z616" s="15" t="n">
        <v>0.04660369870873158</v>
      </c>
      <c r="AA616" s="15" t="n">
        <v>2.180275645242449</v>
      </c>
      <c r="AB616" s="15" t="n">
        <v>0</v>
      </c>
      <c r="AC616" s="15" t="n">
        <v>0</v>
      </c>
      <c r="AD616" s="15" t="n">
        <v>13.94083748566701</v>
      </c>
      <c r="AE616" s="15" t="n">
        <v>74.65966527936561</v>
      </c>
      <c r="AF616" s="15" t="n">
        <v>113.5578503170965</v>
      </c>
      <c r="AH616" s="29">
        <f>HIPERLINK($A$1 &amp; "\Dados\Magnet_fields.txt_616.txt.txt", "Magnet_fields.txt_616.txt")</f>
        <v/>
      </c>
      <c r="AI616" t="n">
        <v>8142</v>
      </c>
      <c r="AJ616" t="n">
        <v>29</v>
      </c>
      <c r="AK616" s="29">
        <f>HIPERLINK($A$1 &amp; "\Dados\Magnet_3D_results.txt_616.txt.txt", "Magnet_3D_results.txt_616.txt")</f>
        <v/>
      </c>
      <c r="AL616" s="29">
        <f>HIPERLINK($A$1 &amp; "\Dados\Magnet_fields_2D.txt_616.txt.txt", "Magnet_fields_2D.txt_616.txt")</f>
        <v/>
      </c>
    </row>
    <row customHeight="1" ht="15.75" r="617" s="34">
      <c r="D617" s="30" t="n"/>
      <c r="E617" s="15" t="n">
        <v>150</v>
      </c>
      <c r="F617" s="15" t="n">
        <v>180</v>
      </c>
      <c r="G617" s="15" t="n">
        <v>430</v>
      </c>
      <c r="H617" s="15" t="n">
        <v>45</v>
      </c>
      <c r="I617" s="15" t="n">
        <v>180</v>
      </c>
      <c r="J617" s="13" t="n">
        <v>25</v>
      </c>
      <c r="K617" t="n">
        <v>40</v>
      </c>
      <c r="L617" s="13" t="n">
        <v>2.1</v>
      </c>
      <c r="M617" s="12" t="n"/>
      <c r="N617" s="8" t="n">
        <v>1.628653602855416</v>
      </c>
      <c r="O617" s="15" t="n">
        <v>1.456043033358086</v>
      </c>
      <c r="P617" s="15" t="n">
        <v>1.577246017457962</v>
      </c>
      <c r="Q617" s="15" t="n">
        <v>0.002739945413154121</v>
      </c>
      <c r="R617" s="15" t="n">
        <v>0.03450422630522765</v>
      </c>
      <c r="S617" s="15" t="n">
        <v>0.002759897008680632</v>
      </c>
      <c r="T617" s="29">
        <f>HIPERLINK($A$1 &amp; "\Dados\Imagem_perfil_617.png", "Imagem_perfil_617")</f>
        <v/>
      </c>
      <c r="U617" s="29">
        <f>HIPERLINK($A$1 &amp; "\Dados\Results_airgap617.txt", "Results_airgap617")</f>
        <v/>
      </c>
      <c r="V617" s="19" t="n"/>
      <c r="W617" s="43" t="n">
        <v>1.964539782608696</v>
      </c>
      <c r="X617" s="15" t="n">
        <v>1.031020874117366</v>
      </c>
      <c r="Y617" s="15" t="n">
        <v>0.05143926425306513</v>
      </c>
      <c r="Z617" s="15" t="n">
        <v>0.01162874734883085</v>
      </c>
      <c r="AA617" s="15" t="n">
        <v>1.119124843729395</v>
      </c>
      <c r="AB617" s="15" t="n">
        <v>0</v>
      </c>
      <c r="AC617" s="15" t="n">
        <v>0</v>
      </c>
      <c r="AD617" s="15" t="n">
        <v>22.59414125736318</v>
      </c>
      <c r="AE617" s="15" t="n">
        <v>77.4668822373697</v>
      </c>
      <c r="AF617" s="15" t="n">
        <v>114.1851969501062</v>
      </c>
      <c r="AH617" s="29">
        <f>HIPERLINK($A$1 &amp; "\Dados\Magnet_fields.txt_617.txt.txt", "Magnet_fields.txt_617.txt")</f>
        <v/>
      </c>
      <c r="AI617" t="n">
        <v>8142</v>
      </c>
      <c r="AJ617" t="n">
        <v>29</v>
      </c>
      <c r="AK617" s="29">
        <f>HIPERLINK($A$1 &amp; "\Dados\Magnet_3D_results.txt_617.txt.txt", "Magnet_3D_results.txt_617.txt")</f>
        <v/>
      </c>
      <c r="AL617" s="29">
        <f>HIPERLINK($A$1 &amp; "\Dados\Magnet_fields_2D.txt_617.txt.txt", "Magnet_fields_2D.txt_617.txt")</f>
        <v/>
      </c>
    </row>
    <row customHeight="1" ht="15.75" r="618" s="34">
      <c r="D618" s="30" t="n"/>
      <c r="E618" s="15" t="n">
        <v>150</v>
      </c>
      <c r="F618" s="15" t="n">
        <v>200</v>
      </c>
      <c r="G618" s="15" t="n">
        <v>350</v>
      </c>
      <c r="H618" s="15" t="n">
        <v>45</v>
      </c>
      <c r="I618" s="15" t="n">
        <v>140</v>
      </c>
      <c r="J618" s="13" t="n">
        <v>25</v>
      </c>
      <c r="K618" t="n">
        <v>40</v>
      </c>
      <c r="L618" s="13" t="n">
        <v>1.3</v>
      </c>
      <c r="M618" s="12" t="n"/>
      <c r="N618" s="8" t="n">
        <v>1.01549789235028</v>
      </c>
      <c r="O618" s="15" t="n">
        <v>0.788265527207989</v>
      </c>
      <c r="P618" s="15" t="n">
        <v>0.9523949496607919</v>
      </c>
      <c r="Q618" s="15" t="n">
        <v>0.0009072599967127282</v>
      </c>
      <c r="R618" s="15" t="n">
        <v>0.01978134085478881</v>
      </c>
      <c r="S618" s="15" t="n">
        <v>0.00161430714972492</v>
      </c>
      <c r="T618" s="29">
        <f>HIPERLINK($A$1 &amp; "\Dados\Imagem_perfil_618.png", "Imagem_perfil_618")</f>
        <v/>
      </c>
      <c r="U618" s="29">
        <f>HIPERLINK($A$1 &amp; "\Dados\Results_airgap618.txt", "Results_airgap618")</f>
        <v/>
      </c>
      <c r="V618" s="19" t="n"/>
      <c r="W618" s="43" t="n">
        <v>1.313063478260869</v>
      </c>
      <c r="X618" s="15" t="n">
        <v>0.6411427530757956</v>
      </c>
      <c r="Y618" s="15" t="n">
        <v>0.0003509909500627658</v>
      </c>
      <c r="Z618" s="15" t="n">
        <v>0.0430276563221914</v>
      </c>
      <c r="AA618" s="15" t="n">
        <v>0.05026421373636385</v>
      </c>
      <c r="AB618" s="15" t="n">
        <v>1.903894204884021</v>
      </c>
      <c r="AC618" s="15" t="n">
        <v>0</v>
      </c>
      <c r="AD618" s="15" t="n">
        <v>12.62854719380837</v>
      </c>
      <c r="AE618" s="15" t="n">
        <v>68.76977288666653</v>
      </c>
      <c r="AF618" s="15" t="n">
        <v>110.5525857412181</v>
      </c>
      <c r="AH618" s="29">
        <f>HIPERLINK($A$1 &amp; "\Dados\Magnet_fields.txt_618.txt.txt", "Magnet_fields.txt_618.txt")</f>
        <v/>
      </c>
      <c r="AI618" t="n">
        <v>6675</v>
      </c>
      <c r="AJ618" t="n">
        <v>28</v>
      </c>
      <c r="AK618" s="29">
        <f>HIPERLINK($A$1 &amp; "\Dados\Magnet_3D_results.txt_618.txt.txt", "Magnet_3D_results.txt_618.txt")</f>
        <v/>
      </c>
      <c r="AL618" s="29">
        <f>HIPERLINK($A$1 &amp; "\Dados\Magnet_fields_2D.txt_618.txt.txt", "Magnet_fields_2D.txt_618.txt")</f>
        <v/>
      </c>
    </row>
    <row customHeight="1" ht="15.75" r="619" s="34">
      <c r="D619" s="30" t="n"/>
      <c r="E619" s="15" t="n">
        <v>150</v>
      </c>
      <c r="F619" s="15" t="n">
        <v>200</v>
      </c>
      <c r="G619" s="15" t="n">
        <v>350</v>
      </c>
      <c r="H619" s="15" t="n">
        <v>45</v>
      </c>
      <c r="I619" s="15" t="n">
        <v>140</v>
      </c>
      <c r="J619" s="13" t="n">
        <v>25</v>
      </c>
      <c r="K619" t="n">
        <v>40</v>
      </c>
      <c r="L619" s="13" t="n">
        <v>1.5</v>
      </c>
      <c r="M619" s="12" t="n"/>
      <c r="N619" s="8" t="n">
        <v>1.059037775544609</v>
      </c>
      <c r="O619" s="15" t="n">
        <v>0.8233912240291477</v>
      </c>
      <c r="P619" s="15" t="n">
        <v>0.9940063290327521</v>
      </c>
      <c r="Q619" s="15" t="n">
        <v>0.0009134064224033137</v>
      </c>
      <c r="R619" s="15" t="n">
        <v>0.02093067512134075</v>
      </c>
      <c r="S619" s="15" t="n">
        <v>0.001638709956801349</v>
      </c>
      <c r="T619" s="29">
        <f>HIPERLINK($A$1 &amp; "\Dados\Imagem_perfil_619.png", "Imagem_perfil_619")</f>
        <v/>
      </c>
      <c r="U619" s="29">
        <f>HIPERLINK($A$1 &amp; "\Dados\Results_airgap619.txt", "Results_airgap619")</f>
        <v/>
      </c>
      <c r="V619" s="19" t="n"/>
      <c r="W619" s="43" t="n">
        <v>1.367582608695652</v>
      </c>
      <c r="X619" s="15" t="n">
        <v>0.6704218381629887</v>
      </c>
      <c r="Y619" s="15" t="n">
        <v>0.06408561486300143</v>
      </c>
      <c r="Z619" s="15" t="n">
        <v>0.006405471823147962</v>
      </c>
      <c r="AA619" s="15" t="n">
        <v>0.001326512252618357</v>
      </c>
      <c r="AB619" s="15" t="n">
        <v>0</v>
      </c>
      <c r="AC619" s="15" t="n">
        <v>1.851028442203687</v>
      </c>
      <c r="AD619" s="15" t="n">
        <v>28.60436670555011</v>
      </c>
      <c r="AE619" s="15" t="n">
        <v>74.17897857563679</v>
      </c>
      <c r="AF619" s="15" t="n">
        <v>111.2859801804322</v>
      </c>
      <c r="AH619" s="29">
        <f>HIPERLINK($A$1 &amp; "\Dados\Magnet_fields.txt_619.txt.txt", "Magnet_fields.txt_619.txt")</f>
        <v/>
      </c>
      <c r="AI619" t="n">
        <v>6675</v>
      </c>
      <c r="AJ619" t="n">
        <v>28</v>
      </c>
      <c r="AK619" s="29">
        <f>HIPERLINK($A$1 &amp; "\Dados\Magnet_3D_results.txt_619.txt.txt", "Magnet_3D_results.txt_619.txt")</f>
        <v/>
      </c>
      <c r="AL619" s="29">
        <f>HIPERLINK($A$1 &amp; "\Dados\Magnet_fields_2D.txt_619.txt.txt", "Magnet_fields_2D.txt_619.txt")</f>
        <v/>
      </c>
    </row>
    <row customHeight="1" ht="15.75" r="620" s="34">
      <c r="D620" s="30" t="n"/>
      <c r="E620" s="15" t="n">
        <v>150</v>
      </c>
      <c r="F620" s="15" t="n">
        <v>200</v>
      </c>
      <c r="G620" s="15" t="n">
        <v>350</v>
      </c>
      <c r="H620" s="15" t="n">
        <v>45</v>
      </c>
      <c r="I620" s="15" t="n">
        <v>140</v>
      </c>
      <c r="J620" s="13" t="n">
        <v>25</v>
      </c>
      <c r="K620" t="n">
        <v>40</v>
      </c>
      <c r="L620" s="13" t="n">
        <v>1.7</v>
      </c>
      <c r="M620" s="12" t="n"/>
      <c r="N620" s="8" t="n">
        <v>1.065658023116154</v>
      </c>
      <c r="O620" s="15" t="n">
        <v>0.8282232862943089</v>
      </c>
      <c r="P620" s="15" t="n">
        <v>0.9998382055164988</v>
      </c>
      <c r="Q620" s="15" t="n">
        <v>0.0009156862999767626</v>
      </c>
      <c r="R620" s="15" t="n">
        <v>0.02100991372358919</v>
      </c>
      <c r="S620" s="15" t="n">
        <v>0.001641608906560626</v>
      </c>
      <c r="T620" s="29">
        <f>HIPERLINK($A$1 &amp; "\Dados\Imagem_perfil_620.png", "Imagem_perfil_620")</f>
        <v/>
      </c>
      <c r="U620" s="29">
        <f>HIPERLINK($A$1 &amp; "\Dados\Results_airgap620.txt", "Results_airgap620")</f>
        <v/>
      </c>
      <c r="V620" s="19" t="n"/>
      <c r="W620" s="15" t="n">
        <v>1.374155434782609</v>
      </c>
      <c r="X620" s="15" t="n">
        <v>0.6745775269467085</v>
      </c>
      <c r="Y620" s="15" t="n">
        <v>0.2086948403829688</v>
      </c>
      <c r="Z620" s="15" t="n">
        <v>0.006405471823147962</v>
      </c>
      <c r="AA620" s="15" t="n">
        <v>0.001326512252618357</v>
      </c>
      <c r="AB620" s="15" t="n">
        <v>0</v>
      </c>
      <c r="AC620" s="15" t="n">
        <v>3.296421640806846</v>
      </c>
      <c r="AD620" s="15" t="n">
        <v>29.61730997076914</v>
      </c>
      <c r="AE620" s="15" t="n">
        <v>74.47916389412551</v>
      </c>
      <c r="AF620" s="15" t="n">
        <v>111.4164983385075</v>
      </c>
      <c r="AH620" s="29">
        <f>HIPERLINK($A$1 &amp; "\Dados\Magnet_fields.txt_620.txt.txt", "Magnet_fields.txt_620.txt")</f>
        <v/>
      </c>
      <c r="AI620" t="n">
        <v>6675</v>
      </c>
      <c r="AJ620" t="n">
        <v>29</v>
      </c>
      <c r="AK620" s="29">
        <f>HIPERLINK($A$1 &amp; "\Dados\Magnet_3D_results.txt_620.txt.txt", "Magnet_3D_results.txt_620.txt")</f>
        <v/>
      </c>
      <c r="AL620" s="29">
        <f>HIPERLINK($A$1 &amp; "\Dados\Magnet_fields_2D.txt_620.txt.txt", "Magnet_fields_2D.txt_620.txt")</f>
        <v/>
      </c>
    </row>
    <row customHeight="1" ht="15.75" r="621" s="34">
      <c r="D621" s="30" t="n"/>
      <c r="E621" s="15" t="n">
        <v>150</v>
      </c>
      <c r="F621" s="15" t="n">
        <v>200</v>
      </c>
      <c r="G621" s="15" t="n">
        <v>350</v>
      </c>
      <c r="H621" s="15" t="n">
        <v>45</v>
      </c>
      <c r="I621" s="15" t="n">
        <v>140</v>
      </c>
      <c r="J621" s="13" t="n">
        <v>25</v>
      </c>
      <c r="K621" t="n">
        <v>40</v>
      </c>
      <c r="L621" s="13" t="n">
        <v>1.9</v>
      </c>
      <c r="M621" s="12" t="n"/>
      <c r="N621" s="8" t="n">
        <v>1.067410832334541</v>
      </c>
      <c r="O621" s="15" t="n">
        <v>0.8296323597929591</v>
      </c>
      <c r="P621" s="15" t="n">
        <v>1.001508766425279</v>
      </c>
      <c r="Q621" s="15" t="n">
        <v>0.0009158861627187498</v>
      </c>
      <c r="R621" s="15" t="n">
        <v>0.02104598782584252</v>
      </c>
      <c r="S621" s="15" t="n">
        <v>0.001642162225132333</v>
      </c>
      <c r="T621" s="29">
        <f>HIPERLINK($A$1 &amp; "\Dados\Imagem_perfil_621.png", "Imagem_perfil_621")</f>
        <v/>
      </c>
      <c r="U621" s="29">
        <f>HIPERLINK($A$1 &amp; "\Dados\Results_airgap621.txt", "Results_airgap621")</f>
        <v/>
      </c>
      <c r="V621" s="19" t="n"/>
      <c r="W621" s="15" t="n">
        <v>1.376771304347826</v>
      </c>
      <c r="X621" s="15" t="n">
        <v>0.675766146198026</v>
      </c>
      <c r="Y621" s="15" t="n">
        <v>0.3827359544572137</v>
      </c>
      <c r="Z621" s="15" t="n">
        <v>0.006405471823147962</v>
      </c>
      <c r="AA621" s="15" t="n">
        <v>0.001326512252618357</v>
      </c>
      <c r="AB621" s="15" t="n">
        <v>0</v>
      </c>
      <c r="AC621" s="15" t="n">
        <v>3.877063254054451</v>
      </c>
      <c r="AD621" s="15" t="n">
        <v>30.0487104619464</v>
      </c>
      <c r="AE621" s="15" t="n">
        <v>74.60347622078183</v>
      </c>
      <c r="AF621" s="15" t="n">
        <v>111.48039698408</v>
      </c>
      <c r="AH621" s="29">
        <f>HIPERLINK($A$1 &amp; "\Dados\Magnet_fields.txt_621.txt.txt", "Magnet_fields.txt_621.txt")</f>
        <v/>
      </c>
      <c r="AI621" t="n">
        <v>6675</v>
      </c>
      <c r="AJ621" t="n">
        <v>28</v>
      </c>
      <c r="AK621" s="29">
        <f>HIPERLINK($A$1 &amp; "\Dados\Magnet_3D_results.txt_621.txt.txt", "Magnet_3D_results.txt_621.txt")</f>
        <v/>
      </c>
      <c r="AL621" s="29">
        <f>HIPERLINK($A$1 &amp; "\Dados\Magnet_fields_2D.txt_621.txt.txt", "Magnet_fields_2D.txt_621.txt")</f>
        <v/>
      </c>
    </row>
    <row customHeight="1" ht="15.75" r="622" s="34">
      <c r="D622" s="30" t="n"/>
      <c r="E622" s="15" t="n">
        <v>150</v>
      </c>
      <c r="F622" s="15" t="n">
        <v>200</v>
      </c>
      <c r="G622" s="15" t="n">
        <v>350</v>
      </c>
      <c r="H622" s="15" t="n">
        <v>45</v>
      </c>
      <c r="I622" s="15" t="n">
        <v>140</v>
      </c>
      <c r="J622" s="13" t="n">
        <v>25</v>
      </c>
      <c r="K622" t="n">
        <v>40</v>
      </c>
      <c r="L622" s="13" t="n">
        <v>2.1</v>
      </c>
      <c r="M622" s="12" t="n"/>
      <c r="N622" s="8" t="n">
        <v>1.069701431763293</v>
      </c>
      <c r="O622" s="15" t="n">
        <v>0.8312308337143126</v>
      </c>
      <c r="P622" s="15" t="n">
        <v>1.003453479332003</v>
      </c>
      <c r="Q622" s="15" t="n">
        <v>0.0009168002163192605</v>
      </c>
      <c r="R622" s="15" t="n">
        <v>0.02106599072338635</v>
      </c>
      <c r="S622" s="15" t="n">
        <v>0.001643162333864894</v>
      </c>
      <c r="T622" s="29">
        <f>HIPERLINK($A$1 &amp; "\Dados\Imagem_perfil_622.png", "Imagem_perfil_622")</f>
        <v/>
      </c>
      <c r="U622" s="29">
        <f>HIPERLINK($A$1 &amp; "\Dados\Results_airgap622.txt", "Results_airgap622")</f>
        <v/>
      </c>
      <c r="V622" s="19" t="n"/>
      <c r="W622" s="15" t="n">
        <v>1.378031956521739</v>
      </c>
      <c r="X622" s="15" t="n">
        <v>0.6771607312257102</v>
      </c>
      <c r="Y622" s="15" t="n">
        <v>0.5623830049671823</v>
      </c>
      <c r="Z622" s="15" t="n">
        <v>0.006405471823147962</v>
      </c>
      <c r="AA622" s="15" t="n">
        <v>0.001326512252618357</v>
      </c>
      <c r="AB622" s="15" t="n">
        <v>0</v>
      </c>
      <c r="AC622" s="15" t="n">
        <v>4.17766363076474</v>
      </c>
      <c r="AD622" s="15" t="n">
        <v>30.23602576695632</v>
      </c>
      <c r="AE622" s="15" t="n">
        <v>74.67968454800913</v>
      </c>
      <c r="AF622" s="15" t="n">
        <v>111.4516801912109</v>
      </c>
      <c r="AH622" s="29">
        <f>HIPERLINK($A$1 &amp; "\Dados\Magnet_fields.txt_622.txt.txt", "Magnet_fields.txt_622.txt")</f>
        <v/>
      </c>
      <c r="AI622" t="n">
        <v>6675</v>
      </c>
      <c r="AJ622" t="n">
        <v>28</v>
      </c>
      <c r="AK622" s="29">
        <f>HIPERLINK($A$1 &amp; "\Dados\Magnet_3D_results.txt_622.txt.txt", "Magnet_3D_results.txt_622.txt")</f>
        <v/>
      </c>
      <c r="AL622" s="29">
        <f>HIPERLINK($A$1 &amp; "\Dados\Magnet_fields_2D.txt_622.txt.txt", "Magnet_fields_2D.txt_622.txt")</f>
        <v/>
      </c>
    </row>
    <row customHeight="1" ht="15.75" r="623" s="34">
      <c r="D623" s="30" t="n"/>
      <c r="E623" s="15" t="n">
        <v>150</v>
      </c>
      <c r="F623" s="15" t="n">
        <v>200</v>
      </c>
      <c r="G623" s="15" t="n">
        <v>350</v>
      </c>
      <c r="H623" s="15" t="n">
        <v>25</v>
      </c>
      <c r="I623" s="15" t="n">
        <v>180</v>
      </c>
      <c r="J623" s="13" t="n">
        <v>25</v>
      </c>
      <c r="K623" t="n">
        <v>40</v>
      </c>
      <c r="L623" s="13" t="n">
        <v>1.3</v>
      </c>
      <c r="M623" s="12" t="n"/>
      <c r="N623" s="8" t="n">
        <v>1.068008409424513</v>
      </c>
      <c r="O623" s="15" t="n">
        <v>0.9317277179856638</v>
      </c>
      <c r="P623" s="15" t="n">
        <v>1.027769673956654</v>
      </c>
      <c r="Q623" s="15" t="n">
        <v>0.0009015471724297926</v>
      </c>
      <c r="R623" s="15" t="n">
        <v>0.01528871600934946</v>
      </c>
      <c r="S623" s="15" t="n">
        <v>0.0009613411188508748</v>
      </c>
      <c r="T623" s="29">
        <f>HIPERLINK($A$1 &amp; "\Dados\Imagem_perfil_623.png", "Imagem_perfil_623")</f>
        <v/>
      </c>
      <c r="U623" s="29">
        <f>HIPERLINK($A$1 &amp; "\Dados\Results_airgap623.txt", "Results_airgap623")</f>
        <v/>
      </c>
      <c r="V623" s="19" t="n"/>
      <c r="W623" s="43" t="n">
        <v>1.313085869565217</v>
      </c>
      <c r="X623" s="15" t="n">
        <v>0.6574005654242582</v>
      </c>
      <c r="Y623" s="15" t="n">
        <v>0.0003553786292051299</v>
      </c>
      <c r="Z623" s="15" t="n">
        <v>0.09876769230123708</v>
      </c>
      <c r="AA623" s="15" t="n">
        <v>6.376917926962516</v>
      </c>
      <c r="AB623" s="15" t="n">
        <v>1.859416311760077</v>
      </c>
      <c r="AC623" s="15" t="n">
        <v>0</v>
      </c>
      <c r="AD623" s="15" t="n">
        <v>12.71156479796904</v>
      </c>
      <c r="AE623" s="15" t="n">
        <v>68.79451547827709</v>
      </c>
      <c r="AF623" s="15" t="n">
        <v>110.5526074841124</v>
      </c>
      <c r="AH623" s="29">
        <f>HIPERLINK($A$1 &amp; "\Dados\Magnet_fields.txt_623.txt.txt", "Magnet_fields.txt_623.txt")</f>
        <v/>
      </c>
      <c r="AI623" t="n">
        <v>9499</v>
      </c>
      <c r="AJ623" t="n">
        <v>29</v>
      </c>
      <c r="AK623" s="29">
        <f>HIPERLINK($A$1 &amp; "\Dados\Magnet_3D_results.txt_623.txt.txt", "Magnet_3D_results.txt_623.txt")</f>
        <v/>
      </c>
      <c r="AL623" s="29">
        <f>HIPERLINK($A$1 &amp; "\Dados\Magnet_fields_2D.txt_623.txt.txt", "Magnet_fields_2D.txt_623.txt")</f>
        <v/>
      </c>
    </row>
    <row customHeight="1" ht="15.75" r="624" s="34">
      <c r="D624" s="30" t="n"/>
      <c r="E624" s="15" t="n">
        <v>150</v>
      </c>
      <c r="F624" s="15" t="n">
        <v>200</v>
      </c>
      <c r="G624" s="15" t="n">
        <v>350</v>
      </c>
      <c r="H624" s="15" t="n">
        <v>25</v>
      </c>
      <c r="I624" s="15" t="n">
        <v>180</v>
      </c>
      <c r="J624" s="13" t="n">
        <v>25</v>
      </c>
      <c r="K624" t="n">
        <v>40</v>
      </c>
      <c r="L624" s="13" t="n">
        <v>1.5</v>
      </c>
      <c r="M624" s="12" t="n"/>
      <c r="N624" s="8" t="n">
        <v>1.121372586545216</v>
      </c>
      <c r="O624" s="15" t="n">
        <v>0.981030901510238</v>
      </c>
      <c r="P624" s="15" t="n">
        <v>1.081598784122652</v>
      </c>
      <c r="Q624" s="15" t="n">
        <v>0.0009216334462956954</v>
      </c>
      <c r="R624" s="15" t="n">
        <v>0.01778101654955499</v>
      </c>
      <c r="S624" s="15" t="n">
        <v>0.0009896557964659621</v>
      </c>
      <c r="T624" s="29">
        <f>HIPERLINK($A$1 &amp; "\Dados\Imagem_perfil_624.png", "Imagem_perfil_624")</f>
        <v/>
      </c>
      <c r="U624" s="29">
        <f>HIPERLINK($A$1 &amp; "\Dados\Results_airgap624.txt", "Results_airgap624")</f>
        <v/>
      </c>
      <c r="V624" s="19" t="n"/>
      <c r="W624" s="43" t="n">
        <v>1.367482608695652</v>
      </c>
      <c r="X624" s="15" t="n">
        <v>0.6945267378056781</v>
      </c>
      <c r="Y624" s="15" t="n">
        <v>0.06421031583551244</v>
      </c>
      <c r="Z624" s="15" t="n">
        <v>0.02675732002965298</v>
      </c>
      <c r="AA624" s="15" t="n">
        <v>4.558963132879885</v>
      </c>
      <c r="AB624" s="15" t="n">
        <v>0</v>
      </c>
      <c r="AC624" s="15" t="n">
        <v>1.854321240723751</v>
      </c>
      <c r="AD624" s="15" t="n">
        <v>28.63644043731239</v>
      </c>
      <c r="AE624" s="15" t="n">
        <v>74.24552415511636</v>
      </c>
      <c r="AF624" s="15" t="n">
        <v>111.3135845118546</v>
      </c>
      <c r="AH624" s="29">
        <f>HIPERLINK($A$1 &amp; "\Dados\Magnet_fields.txt_624.txt.txt", "Magnet_fields.txt_624.txt")</f>
        <v/>
      </c>
      <c r="AI624" t="n">
        <v>9499</v>
      </c>
      <c r="AJ624" t="n">
        <v>29</v>
      </c>
      <c r="AK624" s="29">
        <f>HIPERLINK($A$1 &amp; "\Dados\Magnet_3D_results.txt_624.txt.txt", "Magnet_3D_results.txt_624.txt")</f>
        <v/>
      </c>
      <c r="AL624" s="29">
        <f>HIPERLINK($A$1 &amp; "\Dados\Magnet_fields_2D.txt_624.txt.txt", "Magnet_fields_2D.txt_624.txt")</f>
        <v/>
      </c>
    </row>
    <row customHeight="1" ht="15.75" r="625" s="34">
      <c r="D625" s="30" t="n"/>
      <c r="E625" s="15" t="n">
        <v>150</v>
      </c>
      <c r="F625" s="15" t="n">
        <v>200</v>
      </c>
      <c r="G625" s="15" t="n">
        <v>350</v>
      </c>
      <c r="H625" s="15" t="n">
        <v>25</v>
      </c>
      <c r="I625" s="15" t="n">
        <v>180</v>
      </c>
      <c r="J625" s="13" t="n">
        <v>25</v>
      </c>
      <c r="K625" t="n">
        <v>40</v>
      </c>
      <c r="L625" s="13" t="n">
        <v>1.7</v>
      </c>
      <c r="M625" s="12" t="n"/>
      <c r="N625" s="8" t="n">
        <v>1.129449226928966</v>
      </c>
      <c r="O625" s="15" t="n">
        <v>0.9873138990313138</v>
      </c>
      <c r="P625" s="15" t="n">
        <v>1.088817527701498</v>
      </c>
      <c r="Q625" s="15" t="n">
        <v>0.0009248573452794759</v>
      </c>
      <c r="R625" s="15" t="n">
        <v>0.01793826235893455</v>
      </c>
      <c r="S625" s="15" t="n">
        <v>0.0009932673155799213</v>
      </c>
      <c r="T625" s="29">
        <f>HIPERLINK($A$1 &amp; "\Dados\Imagem_perfil_625.png", "Imagem_perfil_625")</f>
        <v/>
      </c>
      <c r="U625" s="29">
        <f>HIPERLINK($A$1 &amp; "\Dados\Results_airgap625.txt", "Results_airgap625")</f>
        <v/>
      </c>
      <c r="V625" s="19" t="n"/>
      <c r="W625" s="15" t="n">
        <v>1.374004130434783</v>
      </c>
      <c r="X625" s="15" t="n">
        <v>0.6993053520317021</v>
      </c>
      <c r="Y625" s="15" t="n">
        <v>0.2088936518171593</v>
      </c>
      <c r="Z625" s="15" t="n">
        <v>0.02154861317456552</v>
      </c>
      <c r="AA625" s="15" t="n">
        <v>4.381140826562672</v>
      </c>
      <c r="AB625" s="15" t="n">
        <v>0</v>
      </c>
      <c r="AC625" s="15" t="n">
        <v>3.304716104132129</v>
      </c>
      <c r="AD625" s="15" t="n">
        <v>29.63189100014541</v>
      </c>
      <c r="AE625" s="15" t="n">
        <v>74.50033183375842</v>
      </c>
      <c r="AF625" s="15" t="n">
        <v>111.4309879593179</v>
      </c>
      <c r="AH625" s="29">
        <f>HIPERLINK($A$1 &amp; "\Dados\Magnet_fields.txt_625.txt.txt", "Magnet_fields.txt_625.txt")</f>
        <v/>
      </c>
      <c r="AI625" t="n">
        <v>9499</v>
      </c>
      <c r="AJ625" t="n">
        <v>29</v>
      </c>
      <c r="AK625" s="29">
        <f>HIPERLINK($A$1 &amp; "\Dados\Magnet_3D_results.txt_625.txt.txt", "Magnet_3D_results.txt_625.txt")</f>
        <v/>
      </c>
      <c r="AL625" s="29">
        <f>HIPERLINK($A$1 &amp; "\Dados\Magnet_fields_2D.txt_625.txt.txt", "Magnet_fields_2D.txt_625.txt")</f>
        <v/>
      </c>
    </row>
    <row customHeight="1" ht="15.75" r="626" s="34">
      <c r="D626" s="30" t="n"/>
      <c r="E626" s="15" t="n">
        <v>150</v>
      </c>
      <c r="F626" s="15" t="n">
        <v>200</v>
      </c>
      <c r="G626" s="15" t="n">
        <v>350</v>
      </c>
      <c r="H626" s="15" t="n">
        <v>25</v>
      </c>
      <c r="I626" s="15" t="n">
        <v>180</v>
      </c>
      <c r="J626" s="13" t="n">
        <v>25</v>
      </c>
      <c r="K626" t="n">
        <v>40</v>
      </c>
      <c r="L626" s="13" t="n">
        <v>1.9</v>
      </c>
      <c r="M626" s="12" t="n"/>
      <c r="N626" s="8" t="n">
        <v>1.13160323465931</v>
      </c>
      <c r="O626" s="15" t="n">
        <v>0.9893739805648665</v>
      </c>
      <c r="P626" s="15" t="n">
        <v>1.091059872670288</v>
      </c>
      <c r="Q626" s="15" t="n">
        <v>0.0009258179418057865</v>
      </c>
      <c r="R626" s="15" t="n">
        <v>0.01803759364267972</v>
      </c>
      <c r="S626" s="15" t="n">
        <v>0.0009945247749571179</v>
      </c>
      <c r="T626" s="29">
        <f>HIPERLINK($A$1 &amp; "\Dados\Imagem_perfil_626.png", "Imagem_perfil_626")</f>
        <v/>
      </c>
      <c r="U626" s="29">
        <f>HIPERLINK($A$1 &amp; "\Dados\Results_airgap626.txt", "Results_airgap626")</f>
        <v/>
      </c>
      <c r="V626" s="19" t="n"/>
      <c r="W626" s="15" t="n">
        <v>1.376620434782609</v>
      </c>
      <c r="X626" s="15" t="n">
        <v>0.7008727287129328</v>
      </c>
      <c r="Y626" s="15" t="n">
        <v>0.3829768366460647</v>
      </c>
      <c r="Z626" s="15" t="n">
        <v>0.02154861317456552</v>
      </c>
      <c r="AA626" s="15" t="n">
        <v>4.287042705610878</v>
      </c>
      <c r="AB626" s="15" t="n">
        <v>0</v>
      </c>
      <c r="AC626" s="15" t="n">
        <v>3.884573861735831</v>
      </c>
      <c r="AD626" s="15" t="n">
        <v>30.06918630946743</v>
      </c>
      <c r="AE626" s="15" t="n">
        <v>74.60696432147816</v>
      </c>
      <c r="AF626" s="15" t="n">
        <v>111.4874532797236</v>
      </c>
      <c r="AH626" s="29">
        <f>HIPERLINK($A$1 &amp; "\Dados\Magnet_fields.txt_626.txt.txt", "Magnet_fields.txt_626.txt")</f>
        <v/>
      </c>
      <c r="AI626" t="n">
        <v>9499</v>
      </c>
      <c r="AJ626" t="n">
        <v>30</v>
      </c>
      <c r="AK626" s="29">
        <f>HIPERLINK($A$1 &amp; "\Dados\Magnet_3D_results.txt_626.txt.txt", "Magnet_3D_results.txt_626.txt")</f>
        <v/>
      </c>
      <c r="AL626" s="29">
        <f>HIPERLINK($A$1 &amp; "\Dados\Magnet_fields_2D.txt_626.txt.txt", "Magnet_fields_2D.txt_626.txt")</f>
        <v/>
      </c>
    </row>
    <row customHeight="1" ht="15.75" r="627" s="34">
      <c r="D627" s="30" t="n"/>
      <c r="E627" s="15" t="n">
        <v>150</v>
      </c>
      <c r="F627" s="15" t="n">
        <v>200</v>
      </c>
      <c r="G627" s="15" t="n">
        <v>350</v>
      </c>
      <c r="H627" s="15" t="n">
        <v>25</v>
      </c>
      <c r="I627" s="15" t="n">
        <v>180</v>
      </c>
      <c r="J627" s="13" t="n">
        <v>25</v>
      </c>
      <c r="K627" t="n">
        <v>40</v>
      </c>
      <c r="L627" s="13" t="n">
        <v>2.1</v>
      </c>
      <c r="M627" s="12" t="n"/>
      <c r="N627" s="8" t="n">
        <v>1.134426997281438</v>
      </c>
      <c r="O627" s="15" t="n">
        <v>0.9913643124589009</v>
      </c>
      <c r="P627" s="15" t="n">
        <v>1.093413421789364</v>
      </c>
      <c r="Q627" s="15" t="n">
        <v>0.0009268685803432935</v>
      </c>
      <c r="R627" s="15" t="n">
        <v>0.01806766729210991</v>
      </c>
      <c r="S627" s="15" t="n">
        <v>0.0009956197699649541</v>
      </c>
      <c r="T627" s="29">
        <f>HIPERLINK($A$1 &amp; "\Dados\Imagem_perfil_627.png", "Imagem_perfil_627")</f>
        <v/>
      </c>
      <c r="U627" s="29">
        <f>HIPERLINK($A$1 &amp; "\Dados\Results_airgap627.txt", "Results_airgap627")</f>
        <v/>
      </c>
      <c r="V627" s="19" t="n"/>
      <c r="W627" s="15" t="n">
        <v>1.377888695652174</v>
      </c>
      <c r="X627" s="15" t="n">
        <v>0.702393954456109</v>
      </c>
      <c r="Y627" s="15" t="n">
        <v>0.5626469875260293</v>
      </c>
      <c r="Z627" s="15" t="n">
        <v>0.02154861317456552</v>
      </c>
      <c r="AA627" s="15" t="n">
        <v>4.27993412661499</v>
      </c>
      <c r="AB627" s="15" t="n">
        <v>0</v>
      </c>
      <c r="AC627" s="15" t="n">
        <v>4.188062838201348</v>
      </c>
      <c r="AD627" s="15" t="n">
        <v>30.25340362078634</v>
      </c>
      <c r="AE627" s="15" t="n">
        <v>74.6940063537003</v>
      </c>
      <c r="AF627" s="15" t="n">
        <v>111.4700610195892</v>
      </c>
      <c r="AH627" s="29">
        <f>HIPERLINK($A$1 &amp; "\Dados\Magnet_fields.txt_627.txt.txt", "Magnet_fields.txt_627.txt")</f>
        <v/>
      </c>
      <c r="AI627" t="n">
        <v>9499</v>
      </c>
      <c r="AJ627" t="n">
        <v>29</v>
      </c>
      <c r="AK627" s="29">
        <f>HIPERLINK($A$1 &amp; "\Dados\Magnet_3D_results.txt_627.txt.txt", "Magnet_3D_results.txt_627.txt")</f>
        <v/>
      </c>
      <c r="AL627" s="29">
        <f>HIPERLINK($A$1 &amp; "\Dados\Magnet_fields_2D.txt_627.txt.txt", "Magnet_fields_2D.txt_627.txt")</f>
        <v/>
      </c>
    </row>
    <row customHeight="1" ht="15.75" r="628" s="34">
      <c r="D628" s="30" t="n"/>
      <c r="E628" s="15" t="n">
        <v>150</v>
      </c>
      <c r="F628" s="15" t="n">
        <v>200</v>
      </c>
      <c r="G628" s="15" t="n">
        <v>350</v>
      </c>
      <c r="H628" s="15" t="n">
        <v>45</v>
      </c>
      <c r="I628" s="15" t="n">
        <v>180</v>
      </c>
      <c r="J628" s="13" t="n">
        <v>25</v>
      </c>
      <c r="K628" t="n">
        <v>40</v>
      </c>
      <c r="L628" s="13" t="n">
        <v>1.3</v>
      </c>
      <c r="M628" s="12" t="n"/>
      <c r="N628" s="8" t="n">
        <v>1.102569648562663</v>
      </c>
      <c r="O628" s="15" t="n">
        <v>0.9641423605261682</v>
      </c>
      <c r="P628" s="15" t="n">
        <v>1.062795319401358</v>
      </c>
      <c r="Q628" s="15" t="n">
        <v>0.0009361894427007784</v>
      </c>
      <c r="R628" s="15" t="n">
        <v>0.02056121768563382</v>
      </c>
      <c r="S628" s="15" t="n">
        <v>0.001023685725235568</v>
      </c>
      <c r="T628" s="29">
        <f>HIPERLINK($A$1 &amp; "\Dados\Imagem_perfil_628.png", "Imagem_perfil_628")</f>
        <v/>
      </c>
      <c r="U628" s="29">
        <f>HIPERLINK($A$1 &amp; "\Dados\Results_airgap628.txt", "Results_airgap628")</f>
        <v/>
      </c>
      <c r="V628" s="19" t="n"/>
      <c r="W628" s="43" t="n">
        <v>1.313073043478261</v>
      </c>
      <c r="X628" s="15" t="n">
        <v>0.6842507452051271</v>
      </c>
      <c r="Y628" s="15" t="n">
        <v>0.0003509884796772001</v>
      </c>
      <c r="Z628" s="15" t="n">
        <v>0.06886106034361564</v>
      </c>
      <c r="AA628" s="15" t="n">
        <v>0.0795458065252207</v>
      </c>
      <c r="AB628" s="15" t="n">
        <v>1.900377177059883</v>
      </c>
      <c r="AC628" s="15" t="n">
        <v>0</v>
      </c>
      <c r="AD628" s="15" t="n">
        <v>12.63028708350528</v>
      </c>
      <c r="AE628" s="15" t="n">
        <v>68.77736426326506</v>
      </c>
      <c r="AF628" s="15" t="n">
        <v>110.5572677651164</v>
      </c>
      <c r="AH628" s="29">
        <f>HIPERLINK($A$1 &amp; "\Dados\Magnet_fields.txt_628.txt.txt", "Magnet_fields.txt_628.txt")</f>
        <v/>
      </c>
      <c r="AI628" t="n">
        <v>6458</v>
      </c>
      <c r="AJ628" t="n">
        <v>28</v>
      </c>
      <c r="AK628" s="29">
        <f>HIPERLINK($A$1 &amp; "\Dados\Magnet_3D_results.txt_628.txt.txt", "Magnet_3D_results.txt_628.txt")</f>
        <v/>
      </c>
      <c r="AL628" s="29">
        <f>HIPERLINK($A$1 &amp; "\Dados\Magnet_fields_2D.txt_628.txt.txt", "Magnet_fields_2D.txt_628.txt")</f>
        <v/>
      </c>
    </row>
    <row customHeight="1" ht="15.75" r="629" s="34">
      <c r="D629" s="30" t="n"/>
      <c r="E629" s="15" t="n">
        <v>150</v>
      </c>
      <c r="F629" s="15" t="n">
        <v>200</v>
      </c>
      <c r="G629" s="15" t="n">
        <v>350</v>
      </c>
      <c r="H629" s="15" t="n">
        <v>45</v>
      </c>
      <c r="I629" s="15" t="n">
        <v>180</v>
      </c>
      <c r="J629" s="13" t="n">
        <v>25</v>
      </c>
      <c r="K629" t="n">
        <v>40</v>
      </c>
      <c r="L629" s="13" t="n">
        <v>1.5</v>
      </c>
      <c r="M629" s="12" t="n"/>
      <c r="N629" s="8" t="n">
        <v>1.14765789519831</v>
      </c>
      <c r="O629" s="15" t="n">
        <v>1.006213994021069</v>
      </c>
      <c r="P629" s="15" t="n">
        <v>1.108935752584739</v>
      </c>
      <c r="Q629" s="15" t="n">
        <v>0.0009432161060592462</v>
      </c>
      <c r="R629" s="15" t="n">
        <v>0.02179441713059678</v>
      </c>
      <c r="S629" s="15" t="n">
        <v>0.001034363255619644</v>
      </c>
      <c r="T629" s="29">
        <f>HIPERLINK($A$1 &amp; "\Dados\Imagem_perfil_629.png", "Imagem_perfil_629")</f>
        <v/>
      </c>
      <c r="U629" s="29">
        <f>HIPERLINK($A$1 &amp; "\Dados\Results_airgap629.txt", "Results_airgap629")</f>
        <v/>
      </c>
      <c r="V629" s="19" t="n"/>
      <c r="W629" s="43" t="n">
        <v>1.367585217391304</v>
      </c>
      <c r="X629" s="15" t="n">
        <v>0.7155179040757622</v>
      </c>
      <c r="Y629" s="15" t="n">
        <v>0.06408601948986913</v>
      </c>
      <c r="Z629" s="15" t="n">
        <v>0.02031878745115932</v>
      </c>
      <c r="AA629" s="15" t="n">
        <v>0.001319189776814036</v>
      </c>
      <c r="AB629" s="15" t="n">
        <v>0</v>
      </c>
      <c r="AC629" s="15" t="n">
        <v>1.825012587950287</v>
      </c>
      <c r="AD629" s="15" t="n">
        <v>28.62311361411132</v>
      </c>
      <c r="AE629" s="15" t="n">
        <v>74.23881107713198</v>
      </c>
      <c r="AF629" s="15" t="n">
        <v>111.2975708114462</v>
      </c>
      <c r="AH629" s="29">
        <f>HIPERLINK($A$1 &amp; "\Dados\Magnet_fields.txt_629.txt.txt", "Magnet_fields.txt_629.txt")</f>
        <v/>
      </c>
      <c r="AI629" t="n">
        <v>6458</v>
      </c>
      <c r="AJ629" t="n">
        <v>28</v>
      </c>
      <c r="AK629" s="29">
        <f>HIPERLINK($A$1 &amp; "\Dados\Magnet_3D_results.txt_629.txt.txt", "Magnet_3D_results.txt_629.txt")</f>
        <v/>
      </c>
      <c r="AL629" s="29">
        <f>HIPERLINK($A$1 &amp; "\Dados\Magnet_fields_2D.txt_629.txt.txt", "Magnet_fields_2D.txt_629.txt")</f>
        <v/>
      </c>
    </row>
    <row customHeight="1" ht="15.75" r="630" s="34">
      <c r="D630" s="30" t="n"/>
      <c r="E630" s="15" t="n">
        <v>150</v>
      </c>
      <c r="F630" s="15" t="n">
        <v>200</v>
      </c>
      <c r="G630" s="15" t="n">
        <v>350</v>
      </c>
      <c r="H630" s="15" t="n">
        <v>45</v>
      </c>
      <c r="I630" s="15" t="n">
        <v>180</v>
      </c>
      <c r="J630" s="13" t="n">
        <v>25</v>
      </c>
      <c r="K630" t="n">
        <v>40</v>
      </c>
      <c r="L630" s="13" t="n">
        <v>1.7</v>
      </c>
      <c r="M630" s="12" t="n"/>
      <c r="N630" s="8" t="n">
        <v>1.155181529773266</v>
      </c>
      <c r="O630" s="15" t="n">
        <v>1.011994263846105</v>
      </c>
      <c r="P630" s="15" t="n">
        <v>1.115570813373358</v>
      </c>
      <c r="Q630" s="15" t="n">
        <v>0.0009457569465687848</v>
      </c>
      <c r="R630" s="15" t="n">
        <v>0.02187892511443221</v>
      </c>
      <c r="S630" s="15" t="n">
        <v>0.001037013355208113</v>
      </c>
      <c r="T630" s="29">
        <f>HIPERLINK($A$1 &amp; "\Dados\Imagem_perfil_630.png", "Imagem_perfil_630")</f>
        <v/>
      </c>
      <c r="U630" s="29">
        <f>HIPERLINK($A$1 &amp; "\Dados\Results_airgap630.txt", "Results_airgap630")</f>
        <v/>
      </c>
      <c r="V630" s="19" t="n"/>
      <c r="W630" s="15" t="n">
        <v>1.374370869565217</v>
      </c>
      <c r="X630" s="15" t="n">
        <v>0.71988390063715</v>
      </c>
      <c r="Y630" s="15" t="n">
        <v>0.2086959401550093</v>
      </c>
      <c r="Z630" s="15" t="n">
        <v>0.02031878745115932</v>
      </c>
      <c r="AA630" s="15" t="n">
        <v>0.001319189776814036</v>
      </c>
      <c r="AB630" s="15" t="n">
        <v>0</v>
      </c>
      <c r="AC630" s="15" t="n">
        <v>3.306124857840553</v>
      </c>
      <c r="AD630" s="15" t="n">
        <v>29.68914907762905</v>
      </c>
      <c r="AE630" s="15" t="n">
        <v>74.52340935319938</v>
      </c>
      <c r="AF630" s="15" t="n">
        <v>111.5433253489479</v>
      </c>
      <c r="AH630" s="29">
        <f>HIPERLINK($A$1 &amp; "\Dados\Magnet_fields.txt_630.txt.txt", "Magnet_fields.txt_630.txt")</f>
        <v/>
      </c>
      <c r="AI630" t="n">
        <v>6458</v>
      </c>
      <c r="AJ630" t="n">
        <v>28</v>
      </c>
      <c r="AK630" s="29">
        <f>HIPERLINK($A$1 &amp; "\Dados\Magnet_3D_results.txt_630.txt.txt", "Magnet_3D_results.txt_630.txt")</f>
        <v/>
      </c>
      <c r="AL630" s="29">
        <f>HIPERLINK($A$1 &amp; "\Dados\Magnet_fields_2D.txt_630.txt.txt", "Magnet_fields_2D.txt_630.txt")</f>
        <v/>
      </c>
    </row>
    <row customHeight="1" ht="15.75" r="631" s="34">
      <c r="D631" s="30" t="n"/>
      <c r="E631" s="15" t="n">
        <v>150</v>
      </c>
      <c r="F631" s="15" t="n">
        <v>200</v>
      </c>
      <c r="G631" s="15" t="n">
        <v>350</v>
      </c>
      <c r="H631" s="15" t="n">
        <v>45</v>
      </c>
      <c r="I631" s="15" t="n">
        <v>180</v>
      </c>
      <c r="J631" s="13" t="n">
        <v>25</v>
      </c>
      <c r="K631" t="n">
        <v>40</v>
      </c>
      <c r="L631" s="13" t="n">
        <v>1.9</v>
      </c>
      <c r="M631" s="12" t="n"/>
      <c r="N631" s="8" t="n">
        <v>1.156902510051071</v>
      </c>
      <c r="O631" s="15" t="n">
        <v>1.013682850662126</v>
      </c>
      <c r="P631" s="15" t="n">
        <v>1.117415510287284</v>
      </c>
      <c r="Q631" s="15" t="n">
        <v>0.0009459698014206286</v>
      </c>
      <c r="R631" s="15" t="n">
        <v>0.02191693648146973</v>
      </c>
      <c r="S631" s="15" t="n">
        <v>0.001037302265686591</v>
      </c>
      <c r="T631" s="29">
        <f>HIPERLINK($A$1 &amp; "\Dados\Imagem_perfil_631.png", "Imagem_perfil_631")</f>
        <v/>
      </c>
      <c r="U631" s="29">
        <f>HIPERLINK($A$1 &amp; "\Dados\Results_airgap631.txt", "Results_airgap631")</f>
        <v/>
      </c>
      <c r="V631" s="19" t="n"/>
      <c r="W631" s="15" t="n">
        <v>1.376747391304348</v>
      </c>
      <c r="X631" s="15" t="n">
        <v>0.7211456447896815</v>
      </c>
      <c r="Y631" s="15" t="n">
        <v>0.3827359323167627</v>
      </c>
      <c r="Z631" s="15" t="n">
        <v>0.01901178735638975</v>
      </c>
      <c r="AA631" s="15" t="n">
        <v>0.001319189776814036</v>
      </c>
      <c r="AB631" s="15" t="n">
        <v>0</v>
      </c>
      <c r="AC631" s="15" t="n">
        <v>3.869184618788806</v>
      </c>
      <c r="AD631" s="15" t="n">
        <v>30.04778910680874</v>
      </c>
      <c r="AE631" s="15" t="n">
        <v>74.60353223967891</v>
      </c>
      <c r="AF631" s="15" t="n">
        <v>111.4785163471403</v>
      </c>
      <c r="AH631" s="29">
        <f>HIPERLINK($A$1 &amp; "\Dados\Magnet_fields.txt_631.txt.txt", "Magnet_fields.txt_631.txt")</f>
        <v/>
      </c>
      <c r="AI631" t="n">
        <v>6458</v>
      </c>
      <c r="AJ631" t="n">
        <v>28</v>
      </c>
      <c r="AK631" s="29">
        <f>HIPERLINK($A$1 &amp; "\Dados\Magnet_3D_results.txt_631.txt.txt", "Magnet_3D_results.txt_631.txt")</f>
        <v/>
      </c>
      <c r="AL631" s="29">
        <f>HIPERLINK($A$1 &amp; "\Dados\Magnet_fields_2D.txt_631.txt.txt", "Magnet_fields_2D.txt_631.txt")</f>
        <v/>
      </c>
    </row>
    <row customHeight="1" ht="15.75" r="632" s="34">
      <c r="D632" s="30" t="n"/>
      <c r="E632" s="15" t="n">
        <v>150</v>
      </c>
      <c r="F632" s="15" t="n">
        <v>200</v>
      </c>
      <c r="G632" s="15" t="n">
        <v>350</v>
      </c>
      <c r="H632" s="15" t="n">
        <v>45</v>
      </c>
      <c r="I632" s="15" t="n">
        <v>180</v>
      </c>
      <c r="J632" s="13" t="n">
        <v>25</v>
      </c>
      <c r="K632" t="n">
        <v>40</v>
      </c>
      <c r="L632" s="13" t="n">
        <v>2.1</v>
      </c>
      <c r="M632" s="12" t="n"/>
      <c r="N632" s="8" t="n">
        <v>1.159650646576378</v>
      </c>
      <c r="O632" s="15" t="n">
        <v>1.015592176377223</v>
      </c>
      <c r="P632" s="15" t="n">
        <v>1.119659932041349</v>
      </c>
      <c r="Q632" s="15" t="n">
        <v>0.0009469905722349903</v>
      </c>
      <c r="R632" s="15" t="n">
        <v>0.02193834347832831</v>
      </c>
      <c r="S632" s="15" t="n">
        <v>0.001038333267095325</v>
      </c>
      <c r="T632" s="29">
        <f>HIPERLINK($A$1 &amp; "\Dados\Imagem_perfil_632.png", "Imagem_perfil_632")</f>
        <v/>
      </c>
      <c r="U632" s="29">
        <f>HIPERLINK($A$1 &amp; "\Dados\Results_airgap632.txt", "Results_airgap632")</f>
        <v/>
      </c>
      <c r="V632" s="19" t="n"/>
      <c r="W632" s="15" t="n">
        <v>1.377983695652174</v>
      </c>
      <c r="X632" s="15" t="n">
        <v>0.7226020989832448</v>
      </c>
      <c r="Y632" s="15" t="n">
        <v>0.5623829817758268</v>
      </c>
      <c r="Z632" s="15" t="n">
        <v>0.01901178735638975</v>
      </c>
      <c r="AA632" s="15" t="n">
        <v>0.001319189776814036</v>
      </c>
      <c r="AB632" s="15" t="n">
        <v>0</v>
      </c>
      <c r="AC632" s="15" t="n">
        <v>4.165596781446867</v>
      </c>
      <c r="AD632" s="15" t="n">
        <v>30.22910703608569</v>
      </c>
      <c r="AE632" s="15" t="n">
        <v>74.67997926401975</v>
      </c>
      <c r="AF632" s="15" t="n">
        <v>111.4354884592853</v>
      </c>
      <c r="AH632" s="29">
        <f>HIPERLINK($A$1 &amp; "\Dados\Magnet_fields.txt_632.txt.txt", "Magnet_fields.txt_632.txt")</f>
        <v/>
      </c>
      <c r="AI632" t="n">
        <v>6458</v>
      </c>
      <c r="AJ632" t="n">
        <v>28</v>
      </c>
      <c r="AK632" s="29">
        <f>HIPERLINK($A$1 &amp; "\Dados\Magnet_3D_results.txt_632.txt.txt", "Magnet_3D_results.txt_632.txt")</f>
        <v/>
      </c>
      <c r="AL632" s="29">
        <f>HIPERLINK($A$1 &amp; "\Dados\Magnet_fields_2D.txt_632.txt.txt", "Magnet_fields_2D.txt_632.txt")</f>
        <v/>
      </c>
    </row>
    <row customHeight="1" ht="15.75" r="633" s="34">
      <c r="D633" s="30" t="n"/>
      <c r="E633" s="15" t="n">
        <v>150</v>
      </c>
      <c r="F633" s="15" t="n">
        <v>200</v>
      </c>
      <c r="G633" s="15" t="n">
        <v>430</v>
      </c>
      <c r="H633" s="15" t="n">
        <v>45</v>
      </c>
      <c r="I633" s="15" t="n">
        <v>140</v>
      </c>
      <c r="J633" s="13" t="n">
        <v>25</v>
      </c>
      <c r="K633" t="n">
        <v>40</v>
      </c>
      <c r="L633" s="13" t="n">
        <v>1.3</v>
      </c>
      <c r="M633" s="12" t="n"/>
      <c r="N633" s="8" t="n">
        <v>0.9485746099134248</v>
      </c>
      <c r="O633" s="15" t="n">
        <v>0.7309022528969287</v>
      </c>
      <c r="P633" s="15" t="n">
        <v>0.8860651283277141</v>
      </c>
      <c r="Q633" s="15" t="n">
        <v>0.0009450604949499294</v>
      </c>
      <c r="R633" s="15" t="n">
        <v>0.01605041758387833</v>
      </c>
      <c r="S633" s="15" t="n">
        <v>0.001600985839872517</v>
      </c>
      <c r="T633" s="29">
        <f>HIPERLINK($A$1 &amp; "\Dados\Imagem_perfil_633.png", "Imagem_perfil_633")</f>
        <v/>
      </c>
      <c r="U633" s="29">
        <f>HIPERLINK($A$1 &amp; "\Dados\Results_airgap633.txt", "Results_airgap633")</f>
        <v/>
      </c>
      <c r="V633" s="19" t="n"/>
      <c r="W633" s="43" t="n">
        <v>1.323401304347826</v>
      </c>
      <c r="X633" s="15" t="n">
        <v>0.6107033820127273</v>
      </c>
      <c r="Y633" s="15" t="n">
        <v>0.0002723791231967986</v>
      </c>
      <c r="Z633" s="15" t="n">
        <v>0.06342543678819379</v>
      </c>
      <c r="AA633" s="15" t="n">
        <v>9.015014615008511</v>
      </c>
      <c r="AB633" s="15" t="n">
        <v>0</v>
      </c>
      <c r="AC633" s="15" t="n">
        <v>0</v>
      </c>
      <c r="AD633" s="15" t="n">
        <v>0</v>
      </c>
      <c r="AE633" s="15" t="n">
        <v>30.13218459687469</v>
      </c>
      <c r="AF633" s="15" t="n">
        <v>79.89602366389187</v>
      </c>
      <c r="AH633" s="29">
        <f>HIPERLINK($A$1 &amp; "\Dados\Magnet_fields.txt_633.txt.txt", "Magnet_fields.txt_633.txt")</f>
        <v/>
      </c>
      <c r="AI633" t="n">
        <v>7120</v>
      </c>
      <c r="AJ633" t="n">
        <v>28</v>
      </c>
      <c r="AK633" s="29">
        <f>HIPERLINK($A$1 &amp; "\Dados\Magnet_3D_results.txt_633.txt.txt", "Magnet_3D_results.txt_633.txt")</f>
        <v/>
      </c>
      <c r="AL633" s="29">
        <f>HIPERLINK($A$1 &amp; "\Dados\Magnet_fields_2D.txt_633.txt.txt", "Magnet_fields_2D.txt_633.txt")</f>
        <v/>
      </c>
    </row>
    <row customHeight="1" ht="15.75" r="634" s="34">
      <c r="D634" s="30" t="n"/>
      <c r="E634" s="15" t="n">
        <v>120</v>
      </c>
      <c r="F634" s="15" t="n">
        <v>170</v>
      </c>
      <c r="G634" s="15" t="n">
        <v>350</v>
      </c>
      <c r="H634" s="15" t="n">
        <v>45</v>
      </c>
      <c r="I634" s="15" t="n">
        <v>140</v>
      </c>
      <c r="J634" s="13" t="n">
        <v>25</v>
      </c>
      <c r="K634" t="n">
        <v>45</v>
      </c>
      <c r="L634" s="13" t="n">
        <v>1.4</v>
      </c>
      <c r="M634" s="12" t="n"/>
      <c r="N634" s="8" t="n">
        <v>1.055216945842715</v>
      </c>
      <c r="O634" s="15" t="n">
        <v>0.8109983267192724</v>
      </c>
      <c r="P634" s="15" t="n">
        <v>0.9830223977772256</v>
      </c>
      <c r="Q634" s="15" t="n">
        <v>0.004240173306602943</v>
      </c>
      <c r="R634" s="15" t="n">
        <v>0.0310135945109175</v>
      </c>
      <c r="S634" s="15" t="n">
        <v>0.005246219203909435</v>
      </c>
      <c r="T634" s="29">
        <f>HIPERLINK($A$1 &amp; "\Dados\Imagem_perfil_634.png", "Imagem_perfil_634")</f>
        <v/>
      </c>
      <c r="U634" s="29">
        <f>HIPERLINK($A$1 &amp; "\Dados\Results_airgap634.txt", "Results_airgap634")</f>
        <v/>
      </c>
      <c r="V634" s="19" t="n"/>
      <c r="W634" s="43" t="n">
        <v>1.412217391304348</v>
      </c>
      <c r="X634" s="15" t="n">
        <v>0.6875262467590727</v>
      </c>
      <c r="Y634" s="15" t="n">
        <v>0.0003277547443670065</v>
      </c>
      <c r="Z634" s="15" t="n">
        <v>0.1130894010143456</v>
      </c>
      <c r="AA634" s="15" t="n">
        <v>2.954370931591652</v>
      </c>
      <c r="AB634" s="15" t="n">
        <v>0.6863708195181311</v>
      </c>
      <c r="AC634" s="15" t="n">
        <v>0</v>
      </c>
      <c r="AD634" s="15" t="n">
        <v>8.75311932920545</v>
      </c>
      <c r="AE634" s="15" t="n">
        <v>73.87141592607954</v>
      </c>
      <c r="AF634" s="15" t="n">
        <v>101.1945324729623</v>
      </c>
      <c r="AH634" s="29">
        <f>HIPERLINK($A$1 &amp; "\Dados\Magnet_fields.txt_634.txt.txt", "Magnet_fields.txt_634.txt")</f>
        <v/>
      </c>
      <c r="AI634" t="n">
        <v>6052</v>
      </c>
      <c r="AJ634" t="n">
        <v>28</v>
      </c>
      <c r="AK634" s="29">
        <f>HIPERLINK($A$1 &amp; "\Dados\Magnet_3D_results.txt_634.txt.txt", "Magnet_3D_results.txt_634.txt")</f>
        <v/>
      </c>
      <c r="AL634" s="29">
        <f>HIPERLINK($A$1 &amp; "\Dados\Magnet_fields_2D.txt_634.txt.txt", "Magnet_fields_2D.txt_634.txt")</f>
        <v/>
      </c>
    </row>
    <row customHeight="1" ht="15.75" r="635" s="34">
      <c r="D635" s="30" t="n"/>
      <c r="E635" s="15" t="n">
        <v>120</v>
      </c>
      <c r="F635" s="15" t="n">
        <v>170</v>
      </c>
      <c r="G635" s="15" t="n">
        <v>350</v>
      </c>
      <c r="H635" s="15" t="n">
        <v>45</v>
      </c>
      <c r="I635" s="15" t="n">
        <v>140</v>
      </c>
      <c r="J635" s="13" t="n">
        <v>25</v>
      </c>
      <c r="K635" t="n">
        <v>45</v>
      </c>
      <c r="L635" s="13" t="n">
        <v>1.6</v>
      </c>
      <c r="M635" s="12" t="n"/>
      <c r="N635" s="8" t="n">
        <v>1.172176173968613</v>
      </c>
      <c r="O635" s="15" t="n">
        <v>0.9074539553072694</v>
      </c>
      <c r="P635" s="15" t="n">
        <v>1.09503229142344</v>
      </c>
      <c r="Q635" s="15" t="n">
        <v>0.004071346137214726</v>
      </c>
      <c r="R635" s="15" t="n">
        <v>0.03717482522516385</v>
      </c>
      <c r="S635" s="15" t="n">
        <v>0.005255652590977285</v>
      </c>
      <c r="T635" s="29">
        <f>HIPERLINK($A$1 &amp; "\Dados\Imagem_perfil_635.png", "Imagem_perfil_635")</f>
        <v/>
      </c>
      <c r="U635" s="29">
        <f>HIPERLINK($A$1 &amp; "\Dados\Results_airgap635.txt", "Results_airgap635")</f>
        <v/>
      </c>
      <c r="V635" s="19" t="n"/>
      <c r="W635" s="43" t="n">
        <v>1.563270652173913</v>
      </c>
      <c r="X635" s="15" t="n">
        <v>0.7695453193870204</v>
      </c>
      <c r="Y635" s="15" t="n">
        <v>0.02524418487489786</v>
      </c>
      <c r="Z635" s="15" t="n">
        <v>0</v>
      </c>
      <c r="AA635" s="15" t="n">
        <v>0</v>
      </c>
      <c r="AB635" s="15" t="n">
        <v>0</v>
      </c>
      <c r="AC635" s="15" t="n">
        <v>7.511212928809821</v>
      </c>
      <c r="AD635" s="15" t="n">
        <v>40.24594125711637</v>
      </c>
      <c r="AE635" s="15" t="n">
        <v>81.40537868668434</v>
      </c>
      <c r="AF635" s="15" t="n">
        <v>116.4870878816769</v>
      </c>
      <c r="AH635" s="29">
        <f>HIPERLINK($A$1 &amp; "\Dados\Magnet_fields.txt_635.txt.txt", "Magnet_fields.txt_635.txt")</f>
        <v/>
      </c>
      <c r="AI635" t="n">
        <v>6052</v>
      </c>
      <c r="AJ635" t="n">
        <v>28</v>
      </c>
      <c r="AK635" s="29">
        <f>HIPERLINK($A$1 &amp; "\Dados\Magnet_3D_results.txt_635.txt.txt", "Magnet_3D_results.txt_635.txt")</f>
        <v/>
      </c>
      <c r="AL635" s="29">
        <f>HIPERLINK($A$1 &amp; "\Dados\Magnet_fields_2D.txt_635.txt.txt", "Magnet_fields_2D.txt_635.txt")</f>
        <v/>
      </c>
    </row>
    <row customHeight="1" ht="15.75" r="636" s="34">
      <c r="D636" s="30" t="n"/>
      <c r="E636" s="15" t="n">
        <v>120</v>
      </c>
      <c r="F636" s="15" t="n">
        <v>170</v>
      </c>
      <c r="G636" s="15" t="n">
        <v>350</v>
      </c>
      <c r="H636" s="15" t="n">
        <v>45</v>
      </c>
      <c r="I636" s="15" t="n">
        <v>140</v>
      </c>
      <c r="J636" s="13" t="n">
        <v>25</v>
      </c>
      <c r="K636" t="n">
        <v>45</v>
      </c>
      <c r="L636" s="13" t="n">
        <v>1.8</v>
      </c>
      <c r="M636" s="12" t="n"/>
      <c r="N636" s="8" t="n">
        <v>1.187011057493697</v>
      </c>
      <c r="O636" s="15" t="n">
        <v>0.9181988240238605</v>
      </c>
      <c r="P636" s="15" t="n">
        <v>1.108020406449236</v>
      </c>
      <c r="Q636" s="15" t="n">
        <v>0.004053136914490048</v>
      </c>
      <c r="R636" s="15" t="n">
        <v>0.03747714073183406</v>
      </c>
      <c r="S636" s="15" t="n">
        <v>0.005243478592240119</v>
      </c>
      <c r="T636" s="29">
        <f>HIPERLINK($A$1 &amp; "\Dados\Imagem_perfil_636.png", "Imagem_perfil_636")</f>
        <v/>
      </c>
      <c r="U636" s="29">
        <f>HIPERLINK($A$1 &amp; "\Dados\Results_airgap636.txt", "Results_airgap636")</f>
        <v/>
      </c>
      <c r="V636" s="19" t="n"/>
      <c r="W636" s="15" t="n">
        <v>1.582857391304348</v>
      </c>
      <c r="X636" s="15" t="n">
        <v>0.7788673208390036</v>
      </c>
      <c r="Y636" s="15" t="n">
        <v>0.1263124077038839</v>
      </c>
      <c r="Z636" s="15" t="n">
        <v>0</v>
      </c>
      <c r="AA636" s="15" t="n">
        <v>0</v>
      </c>
      <c r="AB636" s="15" t="n">
        <v>1.491530598121682</v>
      </c>
      <c r="AC636" s="15" t="n">
        <v>11.47535580725677</v>
      </c>
      <c r="AD636" s="15" t="n">
        <v>42.59855637731405</v>
      </c>
      <c r="AE636" s="15" t="n">
        <v>82.24755653627611</v>
      </c>
      <c r="AF636" s="15" t="n">
        <v>116.7660993931624</v>
      </c>
      <c r="AH636" s="29">
        <f>HIPERLINK($A$1 &amp; "\Dados\Magnet_fields.txt_636.txt.txt", "Magnet_fields.txt_636.txt")</f>
        <v/>
      </c>
      <c r="AI636" t="n">
        <v>6052</v>
      </c>
      <c r="AJ636" t="n">
        <v>27</v>
      </c>
      <c r="AK636" s="29">
        <f>HIPERLINK($A$1 &amp; "\Dados\Magnet_3D_results.txt_636.txt.txt", "Magnet_3D_results.txt_636.txt")</f>
        <v/>
      </c>
      <c r="AL636" s="29">
        <f>HIPERLINK($A$1 &amp; "\Dados\Magnet_fields_2D.txt_636.txt.txt", "Magnet_fields_2D.txt_636.txt")</f>
        <v/>
      </c>
    </row>
    <row customHeight="1" ht="15.75" r="637" s="34">
      <c r="D637" s="30" t="n"/>
      <c r="E637" s="15" t="n">
        <v>120</v>
      </c>
      <c r="F637" s="15" t="n">
        <v>170</v>
      </c>
      <c r="G637" s="15" t="n">
        <v>350</v>
      </c>
      <c r="H637" s="15" t="n">
        <v>45</v>
      </c>
      <c r="I637" s="15" t="n">
        <v>140</v>
      </c>
      <c r="J637" s="13" t="n">
        <v>25</v>
      </c>
      <c r="K637" t="n">
        <v>45</v>
      </c>
      <c r="L637" s="13" t="n">
        <v>2</v>
      </c>
      <c r="M637" s="12" t="n"/>
      <c r="N637" s="8" t="n">
        <v>1.191622076716521</v>
      </c>
      <c r="O637" s="15" t="n">
        <v>0.9216460014439938</v>
      </c>
      <c r="P637" s="15" t="n">
        <v>1.112220038891388</v>
      </c>
      <c r="Q637" s="15" t="n">
        <v>0.004048508916828009</v>
      </c>
      <c r="R637" s="15" t="n">
        <v>0.03755783801386447</v>
      </c>
      <c r="S637" s="15" t="n">
        <v>0.005240001654282152</v>
      </c>
      <c r="T637" s="29">
        <f>HIPERLINK($A$1 &amp; "\Dados\Imagem_perfil_637.png", "Imagem_perfil_637")</f>
        <v/>
      </c>
      <c r="U637" s="29">
        <f>HIPERLINK($A$1 &amp; "\Dados\Results_airgap637.txt", "Results_airgap637")</f>
        <v/>
      </c>
      <c r="V637" s="19" t="n"/>
      <c r="W637" s="15" t="n">
        <v>1.588368913043479</v>
      </c>
      <c r="X637" s="15" t="n">
        <v>0.7818230320655362</v>
      </c>
      <c r="Y637" s="15" t="n">
        <v>0.2679317167840947</v>
      </c>
      <c r="Z637" s="15" t="n">
        <v>0</v>
      </c>
      <c r="AA637" s="15" t="n">
        <v>0</v>
      </c>
      <c r="AB637" s="15" t="n">
        <v>2.117957989891375</v>
      </c>
      <c r="AC637" s="15" t="n">
        <v>12.64779394506658</v>
      </c>
      <c r="AD637" s="15" t="n">
        <v>43.29301181109891</v>
      </c>
      <c r="AE637" s="15" t="n">
        <v>82.48823011393932</v>
      </c>
      <c r="AF637" s="15" t="n">
        <v>116.7681334017195</v>
      </c>
      <c r="AH637" s="29">
        <f>HIPERLINK($A$1 &amp; "\Dados\Magnet_fields.txt_637.txt.txt", "Magnet_fields.txt_637.txt")</f>
        <v/>
      </c>
      <c r="AI637" t="n">
        <v>6052</v>
      </c>
      <c r="AJ637" t="n">
        <v>27</v>
      </c>
      <c r="AK637" s="29">
        <f>HIPERLINK($A$1 &amp; "\Dados\Magnet_3D_results.txt_637.txt.txt", "Magnet_3D_results.txt_637.txt")</f>
        <v/>
      </c>
      <c r="AL637" s="29">
        <f>HIPERLINK($A$1 &amp; "\Dados\Magnet_fields_2D.txt_637.txt.txt", "Magnet_fields_2D.txt_637.txt")</f>
        <v/>
      </c>
    </row>
    <row customHeight="1" ht="15.75" r="638" s="34">
      <c r="D638" s="30" t="n"/>
      <c r="E638" s="15" t="n">
        <v>120</v>
      </c>
      <c r="F638" s="15" t="n">
        <v>170</v>
      </c>
      <c r="G638" s="15" t="n">
        <v>350</v>
      </c>
      <c r="H638" s="15" t="n">
        <v>45</v>
      </c>
      <c r="I638" s="15" t="n">
        <v>140</v>
      </c>
      <c r="J638" s="13" t="n">
        <v>25</v>
      </c>
      <c r="K638" t="n">
        <v>45</v>
      </c>
      <c r="L638" s="13" t="n">
        <v>2.2</v>
      </c>
      <c r="M638" s="12" t="n"/>
      <c r="N638" s="8" t="n">
        <v>1.19397747559062</v>
      </c>
      <c r="O638" s="15" t="n">
        <v>0.923177049158454</v>
      </c>
      <c r="P638" s="15" t="n">
        <v>1.114115929489444</v>
      </c>
      <c r="Q638" s="15" t="n">
        <v>0.004049212207851438</v>
      </c>
      <c r="R638" s="15" t="n">
        <v>0.03758631046600849</v>
      </c>
      <c r="S638" s="15" t="n">
        <v>0.005240906851477821</v>
      </c>
      <c r="T638" s="29">
        <f>HIPERLINK($A$1 &amp; "\Dados\Imagem_perfil_638.png", "Imagem_perfil_638")</f>
        <v/>
      </c>
      <c r="U638" s="29">
        <f>HIPERLINK($A$1 &amp; "\Dados\Results_airgap638.txt", "Results_airgap638")</f>
        <v/>
      </c>
      <c r="V638" s="19" t="n"/>
      <c r="W638" s="15" t="n">
        <v>1.591006956521739</v>
      </c>
      <c r="X638" s="15" t="n">
        <v>0.7831921695544242</v>
      </c>
      <c r="Y638" s="15" t="n">
        <v>0.4243225767912916</v>
      </c>
      <c r="Z638" s="15" t="n">
        <v>0</v>
      </c>
      <c r="AA638" s="15" t="n">
        <v>0</v>
      </c>
      <c r="AB638" s="15" t="n">
        <v>2.411746455222262</v>
      </c>
      <c r="AC638" s="15" t="n">
        <v>13.23287679890972</v>
      </c>
      <c r="AD638" s="15" t="n">
        <v>43.64242496749261</v>
      </c>
      <c r="AE638" s="15" t="n">
        <v>82.60335797533226</v>
      </c>
      <c r="AF638" s="15" t="n">
        <v>116.8157812366696</v>
      </c>
      <c r="AH638" s="29">
        <f>HIPERLINK($A$1 &amp; "\Dados\Magnet_fields.txt_638.txt.txt", "Magnet_fields.txt_638.txt")</f>
        <v/>
      </c>
      <c r="AI638" t="n">
        <v>6052</v>
      </c>
      <c r="AJ638" t="n">
        <v>27</v>
      </c>
      <c r="AK638" s="29">
        <f>HIPERLINK($A$1 &amp; "\Dados\Magnet_3D_results.txt_638.txt.txt", "Magnet_3D_results.txt_638.txt")</f>
        <v/>
      </c>
      <c r="AL638" s="29">
        <f>HIPERLINK($A$1 &amp; "\Dados\Magnet_fields_2D.txt_638.txt.txt", "Magnet_fields_2D.txt_638.txt")</f>
        <v/>
      </c>
    </row>
    <row customHeight="1" ht="15.75" r="639" s="34">
      <c r="D639" s="30" t="n"/>
      <c r="E639" s="15" t="n">
        <v>120</v>
      </c>
      <c r="F639" s="15" t="n">
        <v>170</v>
      </c>
      <c r="G639" s="15" t="n">
        <v>350</v>
      </c>
      <c r="H639" s="15" t="n">
        <v>25</v>
      </c>
      <c r="I639" s="15" t="n">
        <v>180</v>
      </c>
      <c r="J639" s="13" t="n">
        <v>25</v>
      </c>
      <c r="K639" t="n">
        <v>45</v>
      </c>
      <c r="L639" s="13" t="n">
        <v>1.4</v>
      </c>
      <c r="M639" s="12" t="n"/>
      <c r="N639" s="8" t="n">
        <v>1.114154129931724</v>
      </c>
      <c r="O639" s="15" t="n">
        <v>0.9766840847620274</v>
      </c>
      <c r="P639" s="15" t="n">
        <v>1.071503652234355</v>
      </c>
      <c r="Q639" s="15" t="n">
        <v>0.0042817147252772</v>
      </c>
      <c r="R639" s="15" t="n">
        <v>0.02367759083180188</v>
      </c>
      <c r="S639" s="15" t="n">
        <v>0.004222270247680672</v>
      </c>
      <c r="T639" s="29">
        <f>HIPERLINK($A$1 &amp; "\Dados\Imagem_perfil_639.png", "Imagem_perfil_639")</f>
        <v/>
      </c>
      <c r="U639" s="29">
        <f>HIPERLINK($A$1 &amp; "\Dados\Results_airgap639.txt", "Results_airgap639")</f>
        <v/>
      </c>
      <c r="V639" s="19" t="n"/>
      <c r="W639" s="43" t="n">
        <v>1.412010434782609</v>
      </c>
      <c r="X639" s="15" t="n">
        <v>0.6886109994386638</v>
      </c>
      <c r="Y639" s="15" t="n">
        <v>0.0003282504312038716</v>
      </c>
      <c r="Z639" s="15" t="n">
        <v>0.1507210829427702</v>
      </c>
      <c r="AA639" s="15" t="n">
        <v>7.372628309201159</v>
      </c>
      <c r="AB639" s="15" t="n">
        <v>0.6597579364909849</v>
      </c>
      <c r="AC639" s="15" t="n">
        <v>0</v>
      </c>
      <c r="AD639" s="15" t="n">
        <v>8.789357110908242</v>
      </c>
      <c r="AE639" s="15" t="n">
        <v>73.92717804040551</v>
      </c>
      <c r="AF639" s="15" t="n">
        <v>101.0732765542462</v>
      </c>
      <c r="AH639" s="29">
        <f>HIPERLINK($A$1 &amp; "\Dados\Magnet_fields.txt_639.txt.txt", "Magnet_fields.txt_639.txt")</f>
        <v/>
      </c>
      <c r="AI639" t="n">
        <v>8684</v>
      </c>
      <c r="AJ639" t="n">
        <v>29</v>
      </c>
      <c r="AK639" s="29">
        <f>HIPERLINK($A$1 &amp; "\Dados\Magnet_3D_results.txt_639.txt.txt", "Magnet_3D_results.txt_639.txt")</f>
        <v/>
      </c>
      <c r="AL639" s="29">
        <f>HIPERLINK($A$1 &amp; "\Dados\Magnet_fields_2D.txt_639.txt.txt", "Magnet_fields_2D.txt_639.txt")</f>
        <v/>
      </c>
    </row>
    <row customHeight="1" ht="15.75" r="640" s="34">
      <c r="D640" s="30" t="n"/>
      <c r="E640" s="15" t="n">
        <v>120</v>
      </c>
      <c r="F640" s="15" t="n">
        <v>170</v>
      </c>
      <c r="G640" s="15" t="n">
        <v>350</v>
      </c>
      <c r="H640" s="15" t="n">
        <v>25</v>
      </c>
      <c r="I640" s="15" t="n">
        <v>180</v>
      </c>
      <c r="J640" s="13" t="n">
        <v>25</v>
      </c>
      <c r="K640" t="n">
        <v>45</v>
      </c>
      <c r="L640" s="13" t="n">
        <v>1.6</v>
      </c>
      <c r="M640" s="12" t="n"/>
      <c r="N640" s="8" t="n">
        <v>1.262471695682078</v>
      </c>
      <c r="O640" s="15" t="n">
        <v>1.107784845212368</v>
      </c>
      <c r="P640" s="15" t="n">
        <v>1.217166911588841</v>
      </c>
      <c r="Q640" s="15" t="n">
        <v>0.004232748670655878</v>
      </c>
      <c r="R640" s="15" t="n">
        <v>0.03418937373242058</v>
      </c>
      <c r="S640" s="15" t="n">
        <v>0.004251441096395246</v>
      </c>
      <c r="T640" s="29">
        <f>HIPERLINK($A$1 &amp; "\Dados\Imagem_perfil_640.png", "Imagem_perfil_640")</f>
        <v/>
      </c>
      <c r="U640" s="29">
        <f>HIPERLINK($A$1 &amp; "\Dados\Results_airgap640.txt", "Results_airgap640")</f>
        <v/>
      </c>
      <c r="V640" s="19" t="n"/>
      <c r="W640" s="43" t="n">
        <v>1.563075</v>
      </c>
      <c r="X640" s="15" t="n">
        <v>0.7871833347246132</v>
      </c>
      <c r="Y640" s="15" t="n">
        <v>0.02530444799290787</v>
      </c>
      <c r="Z640" s="15" t="n">
        <v>0.003396967849116286</v>
      </c>
      <c r="AA640" s="15" t="n">
        <v>3.409574279596694</v>
      </c>
      <c r="AB640" s="15" t="n">
        <v>0</v>
      </c>
      <c r="AC640" s="15" t="n">
        <v>7.483604536590632</v>
      </c>
      <c r="AD640" s="15" t="n">
        <v>40.27497724475997</v>
      </c>
      <c r="AE640" s="15" t="n">
        <v>81.44942080340691</v>
      </c>
      <c r="AF640" s="15" t="n">
        <v>116.5097964645619</v>
      </c>
      <c r="AH640" s="29">
        <f>HIPERLINK($A$1 &amp; "\Dados\Magnet_fields.txt_640.txt.txt", "Magnet_fields.txt_640.txt")</f>
        <v/>
      </c>
      <c r="AI640" t="n">
        <v>8684</v>
      </c>
      <c r="AJ640" t="n">
        <v>29</v>
      </c>
      <c r="AK640" s="29">
        <f>HIPERLINK($A$1 &amp; "\Dados\Magnet_3D_results.txt_640.txt.txt", "Magnet_3D_results.txt_640.txt")</f>
        <v/>
      </c>
      <c r="AL640" s="29">
        <f>HIPERLINK($A$1 &amp; "\Dados\Magnet_fields_2D.txt_640.txt.txt", "Magnet_fields_2D.txt_640.txt")</f>
        <v/>
      </c>
    </row>
    <row customHeight="1" ht="15.75" r="641" s="34">
      <c r="D641" s="30" t="n"/>
      <c r="E641" s="15" t="n">
        <v>120</v>
      </c>
      <c r="F641" s="15" t="n">
        <v>170</v>
      </c>
      <c r="G641" s="15" t="n">
        <v>350</v>
      </c>
      <c r="H641" s="15" t="n">
        <v>25</v>
      </c>
      <c r="I641" s="15" t="n">
        <v>180</v>
      </c>
      <c r="J641" s="13" t="n">
        <v>25</v>
      </c>
      <c r="K641" t="n">
        <v>45</v>
      </c>
      <c r="L641" s="13" t="n">
        <v>1.8</v>
      </c>
      <c r="M641" s="12" t="n"/>
      <c r="N641" s="8" t="n">
        <v>1.280527815376282</v>
      </c>
      <c r="O641" s="15" t="n">
        <v>1.122852344179978</v>
      </c>
      <c r="P641" s="15" t="n">
        <v>1.233939347047145</v>
      </c>
      <c r="Q641" s="15" t="n">
        <v>0.004230309547606279</v>
      </c>
      <c r="R641" s="15" t="n">
        <v>0.0349860482362274</v>
      </c>
      <c r="S641" s="15" t="n">
        <v>0.004255197559114942</v>
      </c>
      <c r="T641" s="29">
        <f>HIPERLINK($A$1 &amp; "\Dados\Imagem_perfil_641.png", "Imagem_perfil_641")</f>
        <v/>
      </c>
      <c r="U641" s="29">
        <f>HIPERLINK($A$1 &amp; "\Dados\Results_airgap641.txt", "Results_airgap641")</f>
        <v/>
      </c>
      <c r="V641" s="19" t="n"/>
      <c r="W641" s="15" t="n">
        <v>1.582744347826087</v>
      </c>
      <c r="X641" s="15" t="n">
        <v>0.7985043529663196</v>
      </c>
      <c r="Y641" s="15" t="n">
        <v>0.1264354649735995</v>
      </c>
      <c r="Z641" s="15" t="n">
        <v>0.002263385697019639</v>
      </c>
      <c r="AA641" s="15" t="n">
        <v>2.900298061290134</v>
      </c>
      <c r="AB641" s="15" t="n">
        <v>1.495442072218697</v>
      </c>
      <c r="AC641" s="15" t="n">
        <v>11.48527863756713</v>
      </c>
      <c r="AD641" s="15" t="n">
        <v>42.61203635277568</v>
      </c>
      <c r="AE641" s="15" t="n">
        <v>82.2679902792139</v>
      </c>
      <c r="AF641" s="15" t="n">
        <v>116.7693777275403</v>
      </c>
      <c r="AH641" s="29">
        <f>HIPERLINK($A$1 &amp; "\Dados\Magnet_fields.txt_641.txt.txt", "Magnet_fields.txt_641.txt")</f>
        <v/>
      </c>
      <c r="AI641" t="n">
        <v>8684</v>
      </c>
      <c r="AJ641" t="n">
        <v>31</v>
      </c>
      <c r="AK641" s="29">
        <f>HIPERLINK($A$1 &amp; "\Dados\Magnet_3D_results.txt_641.txt.txt", "Magnet_3D_results.txt_641.txt")</f>
        <v/>
      </c>
      <c r="AL641" s="29">
        <f>HIPERLINK($A$1 &amp; "\Dados\Magnet_fields_2D.txt_641.txt.txt", "Magnet_fields_2D.txt_641.txt")</f>
        <v/>
      </c>
    </row>
    <row customHeight="1" ht="15.75" r="642" s="34">
      <c r="D642" s="30" t="n"/>
      <c r="E642" s="15" t="n">
        <v>120</v>
      </c>
      <c r="F642" s="15" t="n">
        <v>170</v>
      </c>
      <c r="G642" s="15" t="n">
        <v>350</v>
      </c>
      <c r="H642" s="15" t="n">
        <v>25</v>
      </c>
      <c r="I642" s="15" t="n">
        <v>180</v>
      </c>
      <c r="J642" s="13" t="n">
        <v>25</v>
      </c>
      <c r="K642" t="n">
        <v>45</v>
      </c>
      <c r="L642" s="13" t="n">
        <v>2</v>
      </c>
      <c r="M642" s="12" t="n"/>
      <c r="N642" s="8" t="n">
        <v>1.28632964826822</v>
      </c>
      <c r="O642" s="15" t="n">
        <v>1.127804636074212</v>
      </c>
      <c r="P642" s="15" t="n">
        <v>1.239302722819475</v>
      </c>
      <c r="Q642" s="15" t="n">
        <v>0.004231108528709716</v>
      </c>
      <c r="R642" s="15" t="n">
        <v>0.03522623655997609</v>
      </c>
      <c r="S642" s="15" t="n">
        <v>0.004257752429287279</v>
      </c>
      <c r="T642" s="29">
        <f>HIPERLINK($A$1 &amp; "\Dados\Imagem_perfil_642.png", "Imagem_perfil_642")</f>
        <v/>
      </c>
      <c r="U642" s="29">
        <f>HIPERLINK($A$1 &amp; "\Dados\Results_airgap642.txt", "Results_airgap642")</f>
        <v/>
      </c>
      <c r="V642" s="19" t="n"/>
      <c r="W642" s="15" t="n">
        <v>1.588493260869565</v>
      </c>
      <c r="X642" s="15" t="n">
        <v>0.8021639062499014</v>
      </c>
      <c r="Y642" s="15" t="n">
        <v>0.2680938682738998</v>
      </c>
      <c r="Z642" s="15" t="n">
        <v>0.002263385697019639</v>
      </c>
      <c r="AA642" s="15" t="n">
        <v>2.7859474006572</v>
      </c>
      <c r="AB642" s="15" t="n">
        <v>2.13985438798896</v>
      </c>
      <c r="AC642" s="15" t="n">
        <v>12.67477903233681</v>
      </c>
      <c r="AD642" s="15" t="n">
        <v>43.3908309514125</v>
      </c>
      <c r="AE642" s="15" t="n">
        <v>82.51319796229937</v>
      </c>
      <c r="AF642" s="15" t="n">
        <v>116.8973150038977</v>
      </c>
      <c r="AH642" s="29">
        <f>HIPERLINK($A$1 &amp; "\Dados\Magnet_fields.txt_642.txt.txt", "Magnet_fields.txt_642.txt")</f>
        <v/>
      </c>
      <c r="AI642" t="n">
        <v>8684</v>
      </c>
      <c r="AJ642" t="n">
        <v>31</v>
      </c>
      <c r="AK642" s="29">
        <f>HIPERLINK($A$1 &amp; "\Dados\Magnet_3D_results.txt_642.txt.txt", "Magnet_3D_results.txt_642.txt")</f>
        <v/>
      </c>
      <c r="AL642" s="29">
        <f>HIPERLINK($A$1 &amp; "\Dados\Magnet_fields_2D.txt_642.txt.txt", "Magnet_fields_2D.txt_642.txt")</f>
        <v/>
      </c>
    </row>
    <row customHeight="1" ht="15.75" r="643" s="34">
      <c r="D643" s="30" t="n"/>
      <c r="E643" s="15" t="n">
        <v>120</v>
      </c>
      <c r="F643" s="15" t="n">
        <v>170</v>
      </c>
      <c r="G643" s="15" t="n">
        <v>350</v>
      </c>
      <c r="H643" s="15" t="n">
        <v>25</v>
      </c>
      <c r="I643" s="15" t="n">
        <v>180</v>
      </c>
      <c r="J643" s="13" t="n">
        <v>25</v>
      </c>
      <c r="K643" t="n">
        <v>45</v>
      </c>
      <c r="L643" s="13" t="n">
        <v>2.2</v>
      </c>
      <c r="M643" s="12" t="n"/>
      <c r="N643" s="8" t="n">
        <v>1.288916901501056</v>
      </c>
      <c r="O643" s="15" t="n">
        <v>1.129844289215831</v>
      </c>
      <c r="P643" s="15" t="n">
        <v>1.241620076023621</v>
      </c>
      <c r="Q643" s="15" t="n">
        <v>0.004233273424353686</v>
      </c>
      <c r="R643" s="15" t="n">
        <v>0.03529095001265612</v>
      </c>
      <c r="S643" s="15" t="n">
        <v>0.004260343339650297</v>
      </c>
      <c r="T643" s="29">
        <f>HIPERLINK($A$1 &amp; "\Dados\Imagem_perfil_643.png", "Imagem_perfil_643")</f>
        <v/>
      </c>
      <c r="U643" s="29">
        <f>HIPERLINK($A$1 &amp; "\Dados\Results_airgap643.txt", "Results_airgap643")</f>
        <v/>
      </c>
      <c r="V643" s="19" t="n"/>
      <c r="W643" s="15" t="n">
        <v>1.590874565217391</v>
      </c>
      <c r="X643" s="15" t="n">
        <v>0.803709896040526</v>
      </c>
      <c r="Y643" s="15" t="n">
        <v>0.4245064234214488</v>
      </c>
      <c r="Z643" s="15" t="n">
        <v>0.002263385697019639</v>
      </c>
      <c r="AA643" s="15" t="n">
        <v>2.778067628815952</v>
      </c>
      <c r="AB643" s="15" t="n">
        <v>2.41606161849834</v>
      </c>
      <c r="AC643" s="15" t="n">
        <v>13.23055575350717</v>
      </c>
      <c r="AD643" s="15" t="n">
        <v>43.66191236489027</v>
      </c>
      <c r="AE643" s="15" t="n">
        <v>82.62328017853501</v>
      </c>
      <c r="AF643" s="15" t="n">
        <v>116.8304534304184</v>
      </c>
      <c r="AH643" s="29">
        <f>HIPERLINK($A$1 &amp; "\Dados\Magnet_fields.txt_643.txt.txt", "Magnet_fields.txt_643.txt")</f>
        <v/>
      </c>
      <c r="AI643" t="n">
        <v>8684</v>
      </c>
      <c r="AJ643" t="n">
        <v>29</v>
      </c>
      <c r="AK643" s="29">
        <f>HIPERLINK($A$1 &amp; "\Dados\Magnet_3D_results.txt_643.txt.txt", "Magnet_3D_results.txt_643.txt")</f>
        <v/>
      </c>
      <c r="AL643" s="29">
        <f>HIPERLINK($A$1 &amp; "\Dados\Magnet_fields_2D.txt_643.txt.txt", "Magnet_fields_2D.txt_643.txt")</f>
        <v/>
      </c>
    </row>
    <row customHeight="1" ht="15.75" r="644" s="34">
      <c r="D644" s="30" t="n"/>
      <c r="E644" s="15" t="n">
        <v>120</v>
      </c>
      <c r="F644" s="15" t="n">
        <v>170</v>
      </c>
      <c r="G644" s="15" t="n">
        <v>350</v>
      </c>
      <c r="H644" s="15" t="n">
        <v>45</v>
      </c>
      <c r="I644" s="15" t="n">
        <v>180</v>
      </c>
      <c r="J644" s="13" t="n">
        <v>25</v>
      </c>
      <c r="K644" t="n">
        <v>45</v>
      </c>
      <c r="L644" s="13" t="n">
        <v>1.4</v>
      </c>
      <c r="M644" s="12" t="n"/>
      <c r="N644" s="8" t="n">
        <v>1.149938406628625</v>
      </c>
      <c r="O644" s="15" t="n">
        <v>1.00921428864837</v>
      </c>
      <c r="P644" s="15" t="n">
        <v>1.105078918243815</v>
      </c>
      <c r="Q644" s="15" t="n">
        <v>0.004579761705681553</v>
      </c>
      <c r="R644" s="15" t="n">
        <v>0.03206503977231898</v>
      </c>
      <c r="S644" s="15" t="n">
        <v>0.00452784971823094</v>
      </c>
      <c r="T644" s="29">
        <f>HIPERLINK($A$1 &amp; "\Dados\Imagem_perfil_644.png", "Imagem_perfil_644")</f>
        <v/>
      </c>
      <c r="U644" s="29">
        <f>HIPERLINK($A$1 &amp; "\Dados\Results_airgap644.txt", "Results_airgap644")</f>
        <v/>
      </c>
      <c r="V644" s="19" t="n"/>
      <c r="W644" s="43" t="n">
        <v>1.411867173913043</v>
      </c>
      <c r="X644" s="15" t="n">
        <v>0.7069195519724571</v>
      </c>
      <c r="Y644" s="15" t="n">
        <v>0.0003249542088906795</v>
      </c>
      <c r="Z644" s="15" t="n">
        <v>0.1212668446063234</v>
      </c>
      <c r="AA644" s="15" t="n">
        <v>3.133740188472645</v>
      </c>
      <c r="AB644" s="15" t="n">
        <v>0.708569797668551</v>
      </c>
      <c r="AC644" s="15" t="n">
        <v>0</v>
      </c>
      <c r="AD644" s="15" t="n">
        <v>8.695284716311502</v>
      </c>
      <c r="AE644" s="15" t="n">
        <v>73.18471708357906</v>
      </c>
      <c r="AF644" s="15" t="n">
        <v>101.8878787007483</v>
      </c>
      <c r="AH644" s="29">
        <f>HIPERLINK($A$1 &amp; "\Dados\Magnet_fields.txt_644.txt.txt", "Magnet_fields.txt_644.txt")</f>
        <v/>
      </c>
      <c r="AI644" t="n">
        <v>6166</v>
      </c>
      <c r="AJ644" t="n">
        <v>28</v>
      </c>
      <c r="AK644" s="29">
        <f>HIPERLINK($A$1 &amp; "\Dados\Magnet_3D_results.txt_644.txt.txt", "Magnet_3D_results.txt_644.txt")</f>
        <v/>
      </c>
      <c r="AL644" s="29">
        <f>HIPERLINK($A$1 &amp; "\Dados\Magnet_fields_2D.txt_644.txt.txt", "Magnet_fields_2D.txt_644.txt")</f>
        <v/>
      </c>
    </row>
    <row customHeight="1" ht="15.75" r="645" s="34">
      <c r="D645" s="30" t="n"/>
      <c r="E645" s="15" t="n">
        <v>120</v>
      </c>
      <c r="F645" s="15" t="n">
        <v>170</v>
      </c>
      <c r="G645" s="15" t="n">
        <v>350</v>
      </c>
      <c r="H645" s="15" t="n">
        <v>45</v>
      </c>
      <c r="I645" s="15" t="n">
        <v>180</v>
      </c>
      <c r="J645" s="13" t="n">
        <v>25</v>
      </c>
      <c r="K645" t="n">
        <v>45</v>
      </c>
      <c r="L645" s="13" t="n">
        <v>1.6</v>
      </c>
      <c r="M645" s="12" t="n"/>
      <c r="N645" s="8" t="n">
        <v>1.282696990557783</v>
      </c>
      <c r="O645" s="15" t="n">
        <v>1.127146799280041</v>
      </c>
      <c r="P645" s="15" t="n">
        <v>1.234565996907343</v>
      </c>
      <c r="Q645" s="15" t="n">
        <v>0.004425614144156614</v>
      </c>
      <c r="R645" s="15" t="n">
        <v>0.03872791797884232</v>
      </c>
      <c r="S645" s="15" t="n">
        <v>0.00444695367328894</v>
      </c>
      <c r="T645" s="29">
        <f>HIPERLINK($A$1 &amp; "\Dados\Imagem_perfil_645.png", "Imagem_perfil_645")</f>
        <v/>
      </c>
      <c r="U645" s="29">
        <f>HIPERLINK($A$1 &amp; "\Dados\Results_airgap645.txt", "Results_airgap645")</f>
        <v/>
      </c>
      <c r="V645" s="19" t="n"/>
      <c r="W645" s="43" t="n">
        <v>1.563393913043478</v>
      </c>
      <c r="X645" s="15" t="n">
        <v>0.7931167897662977</v>
      </c>
      <c r="Y645" s="15" t="n">
        <v>0.0252441555704915</v>
      </c>
      <c r="Z645" s="15" t="n">
        <v>0.009352053108174689</v>
      </c>
      <c r="AA645" s="15" t="n">
        <v>0.01683518769539093</v>
      </c>
      <c r="AB645" s="15" t="n">
        <v>0</v>
      </c>
      <c r="AC645" s="15" t="n">
        <v>7.542863796632033</v>
      </c>
      <c r="AD645" s="15" t="n">
        <v>40.25347042334538</v>
      </c>
      <c r="AE645" s="15" t="n">
        <v>81.40989056344186</v>
      </c>
      <c r="AF645" s="15" t="n">
        <v>116.4862223517254</v>
      </c>
      <c r="AH645" s="29">
        <f>HIPERLINK($A$1 &amp; "\Dados\Magnet_fields.txt_645.txt.txt", "Magnet_fields.txt_645.txt")</f>
        <v/>
      </c>
      <c r="AI645" t="n">
        <v>6166</v>
      </c>
      <c r="AJ645" t="n">
        <v>28</v>
      </c>
      <c r="AK645" s="29">
        <f>HIPERLINK($A$1 &amp; "\Dados\Magnet_3D_results.txt_645.txt.txt", "Magnet_3D_results.txt_645.txt")</f>
        <v/>
      </c>
      <c r="AL645" s="29">
        <f>HIPERLINK($A$1 &amp; "\Dados\Magnet_fields_2D.txt_645.txt.txt", "Magnet_fields_2D.txt_645.txt")</f>
        <v/>
      </c>
    </row>
    <row customHeight="1" ht="15.75" r="646" s="34">
      <c r="D646" s="30" t="n"/>
      <c r="E646" s="15" t="n">
        <v>120</v>
      </c>
      <c r="F646" s="15" t="n">
        <v>170</v>
      </c>
      <c r="G646" s="15" t="n">
        <v>350</v>
      </c>
      <c r="H646" s="15" t="n">
        <v>45</v>
      </c>
      <c r="I646" s="15" t="n">
        <v>180</v>
      </c>
      <c r="J646" s="13" t="n">
        <v>25</v>
      </c>
      <c r="K646" t="n">
        <v>45</v>
      </c>
      <c r="L646" s="13" t="n">
        <v>1.8</v>
      </c>
      <c r="M646" s="12" t="n"/>
      <c r="N646" s="8" t="n">
        <v>1.298667796862072</v>
      </c>
      <c r="O646" s="15" t="n">
        <v>1.140175212224792</v>
      </c>
      <c r="P646" s="15" t="n">
        <v>1.249341273820642</v>
      </c>
      <c r="Q646" s="15" t="n">
        <v>0.004408386163260627</v>
      </c>
      <c r="R646" s="15" t="n">
        <v>0.03902816185967949</v>
      </c>
      <c r="S646" s="15" t="n">
        <v>0.004433949220375216</v>
      </c>
      <c r="T646" s="29">
        <f>HIPERLINK($A$1 &amp; "\Dados\Imagem_perfil_646.png", "Imagem_perfil_646")</f>
        <v/>
      </c>
      <c r="U646" s="29">
        <f>HIPERLINK($A$1 &amp; "\Dados\Results_airgap646.txt", "Results_airgap646")</f>
        <v/>
      </c>
      <c r="V646" s="19" t="n"/>
      <c r="W646" s="15" t="n">
        <v>1.582847173913043</v>
      </c>
      <c r="X646" s="15" t="n">
        <v>0.8028010333356929</v>
      </c>
      <c r="Y646" s="15" t="n">
        <v>0.126312344385833</v>
      </c>
      <c r="Z646" s="15" t="n">
        <v>0.005781269194144353</v>
      </c>
      <c r="AA646" s="15" t="n">
        <v>0.01683518769539093</v>
      </c>
      <c r="AB646" s="15" t="n">
        <v>1.492338664551219</v>
      </c>
      <c r="AC646" s="15" t="n">
        <v>11.47835585733941</v>
      </c>
      <c r="AD646" s="15" t="n">
        <v>42.59000879008499</v>
      </c>
      <c r="AE646" s="15" t="n">
        <v>82.24311267774837</v>
      </c>
      <c r="AF646" s="15" t="n">
        <v>116.7525748340432</v>
      </c>
      <c r="AH646" s="29">
        <f>HIPERLINK($A$1 &amp; "\Dados\Magnet_fields.txt_646.txt.txt", "Magnet_fields.txt_646.txt")</f>
        <v/>
      </c>
      <c r="AI646" t="n">
        <v>6166</v>
      </c>
      <c r="AJ646" t="n">
        <v>28</v>
      </c>
      <c r="AK646" s="29">
        <f>HIPERLINK($A$1 &amp; "\Dados\Magnet_3D_results.txt_646.txt.txt", "Magnet_3D_results.txt_646.txt")</f>
        <v/>
      </c>
      <c r="AL646" s="29">
        <f>HIPERLINK($A$1 &amp; "\Dados\Magnet_fields_2D.txt_646.txt.txt", "Magnet_fields_2D.txt_646.txt")</f>
        <v/>
      </c>
    </row>
    <row customHeight="1" ht="15.75" r="647" s="34">
      <c r="D647" s="30" t="n"/>
      <c r="E647" s="15" t="n">
        <v>120</v>
      </c>
      <c r="F647" s="15" t="n">
        <v>170</v>
      </c>
      <c r="G647" s="15" t="n">
        <v>350</v>
      </c>
      <c r="H647" s="15" t="n">
        <v>45</v>
      </c>
      <c r="I647" s="15" t="n">
        <v>180</v>
      </c>
      <c r="J647" s="13" t="n">
        <v>25</v>
      </c>
      <c r="K647" t="n">
        <v>45</v>
      </c>
      <c r="L647" s="13" t="n">
        <v>2</v>
      </c>
      <c r="M647" s="12" t="n"/>
      <c r="N647" s="8" t="n">
        <v>1.303757302941521</v>
      </c>
      <c r="O647" s="15" t="n">
        <v>1.144518894136969</v>
      </c>
      <c r="P647" s="15" t="n">
        <v>1.254060016352004</v>
      </c>
      <c r="Q647" s="15" t="n">
        <v>0.004403999003181659</v>
      </c>
      <c r="R647" s="15" t="n">
        <v>0.03910527596694305</v>
      </c>
      <c r="S647" s="15" t="n">
        <v>0.004430587025045833</v>
      </c>
      <c r="T647" s="29">
        <f>HIPERLINK($A$1 &amp; "\Dados\Imagem_perfil_647.png", "Imagem_perfil_647")</f>
        <v/>
      </c>
      <c r="U647" s="29">
        <f>HIPERLINK($A$1 &amp; "\Dados\Results_airgap647.txt", "Results_airgap647")</f>
        <v/>
      </c>
      <c r="V647" s="19" t="n"/>
      <c r="W647" s="15" t="n">
        <v>1.588378043478261</v>
      </c>
      <c r="X647" s="15" t="n">
        <v>0.8059553435809222</v>
      </c>
      <c r="Y647" s="15" t="n">
        <v>0.2679317218129771</v>
      </c>
      <c r="Z647" s="15" t="n">
        <v>0.005781269194144353</v>
      </c>
      <c r="AA647" s="15" t="n">
        <v>0.01683518769539093</v>
      </c>
      <c r="AB647" s="15" t="n">
        <v>2.121105324510834</v>
      </c>
      <c r="AC647" s="15" t="n">
        <v>12.65025825509808</v>
      </c>
      <c r="AD647" s="15" t="n">
        <v>43.29241179439621</v>
      </c>
      <c r="AE647" s="15" t="n">
        <v>82.48785364289891</v>
      </c>
      <c r="AF647" s="15" t="n">
        <v>116.7694254362015</v>
      </c>
      <c r="AH647" s="29">
        <f>HIPERLINK($A$1 &amp; "\Dados\Magnet_fields.txt_647.txt.txt", "Magnet_fields.txt_647.txt")</f>
        <v/>
      </c>
      <c r="AI647" t="n">
        <v>6166</v>
      </c>
      <c r="AJ647" t="n">
        <v>27</v>
      </c>
      <c r="AK647" s="29">
        <f>HIPERLINK($A$1 &amp; "\Dados\Magnet_3D_results.txt_647.txt.txt", "Magnet_3D_results.txt_647.txt")</f>
        <v/>
      </c>
      <c r="AL647" s="29">
        <f>HIPERLINK($A$1 &amp; "\Dados\Magnet_fields_2D.txt_647.txt.txt", "Magnet_fields_2D.txt_647.txt")</f>
        <v/>
      </c>
    </row>
    <row customHeight="1" ht="15.75" r="648" s="34">
      <c r="D648" s="30" t="n"/>
      <c r="E648" s="15" t="n">
        <v>120</v>
      </c>
      <c r="F648" s="15" t="n">
        <v>170</v>
      </c>
      <c r="G648" s="15" t="n">
        <v>350</v>
      </c>
      <c r="H648" s="15" t="n">
        <v>45</v>
      </c>
      <c r="I648" s="15" t="n">
        <v>180</v>
      </c>
      <c r="J648" s="13" t="n">
        <v>25</v>
      </c>
      <c r="K648" t="n">
        <v>45</v>
      </c>
      <c r="L648" s="13" t="n">
        <v>2.2</v>
      </c>
      <c r="M648" s="12" t="n"/>
      <c r="N648" s="8" t="n">
        <v>1.306181552613568</v>
      </c>
      <c r="O648" s="15" t="n">
        <v>1.146336637868047</v>
      </c>
      <c r="P648" s="15" t="n">
        <v>1.256228254737798</v>
      </c>
      <c r="Q648" s="15" t="n">
        <v>0.004405211429329587</v>
      </c>
      <c r="R648" s="15" t="n">
        <v>0.03913453311865799</v>
      </c>
      <c r="S648" s="15" t="n">
        <v>0.004432075185073423</v>
      </c>
      <c r="T648" s="29">
        <f>HIPERLINK($A$1 &amp; "\Dados\Imagem_perfil_648.png", "Imagem_perfil_648")</f>
        <v/>
      </c>
      <c r="U648" s="29">
        <f>HIPERLINK($A$1 &amp; "\Dados\Results_airgap648.txt", "Results_airgap648")</f>
        <v/>
      </c>
      <c r="V648" s="19" t="n"/>
      <c r="W648" s="15" t="n">
        <v>1.591014130434782</v>
      </c>
      <c r="X648" s="15" t="n">
        <v>0.8073616713406936</v>
      </c>
      <c r="Y648" s="15" t="n">
        <v>0.4243226153469273</v>
      </c>
      <c r="Z648" s="15" t="n">
        <v>0.005781269194144353</v>
      </c>
      <c r="AA648" s="15" t="n">
        <v>0.01683518769539093</v>
      </c>
      <c r="AB648" s="15" t="n">
        <v>2.420291701982978</v>
      </c>
      <c r="AC648" s="15" t="n">
        <v>13.22741379123067</v>
      </c>
      <c r="AD648" s="15" t="n">
        <v>43.65071083814387</v>
      </c>
      <c r="AE648" s="15" t="n">
        <v>82.59441646614889</v>
      </c>
      <c r="AF648" s="15" t="n">
        <v>116.8211654993349</v>
      </c>
      <c r="AH648" s="29">
        <f>HIPERLINK($A$1 &amp; "\Dados\Magnet_fields.txt_648.txt.txt", "Magnet_fields.txt_648.txt")</f>
        <v/>
      </c>
      <c r="AI648" t="n">
        <v>6166</v>
      </c>
      <c r="AJ648" t="n">
        <v>27</v>
      </c>
      <c r="AK648" s="29">
        <f>HIPERLINK($A$1 &amp; "\Dados\Magnet_3D_results.txt_648.txt.txt", "Magnet_3D_results.txt_648.txt")</f>
        <v/>
      </c>
      <c r="AL648" s="29">
        <f>HIPERLINK($A$1 &amp; "\Dados\Magnet_fields_2D.txt_648.txt.txt", "Magnet_fields_2D.txt_648.txt")</f>
        <v/>
      </c>
    </row>
    <row customHeight="1" ht="15.75" r="649" s="34">
      <c r="D649" s="30" t="n"/>
      <c r="E649" s="15" t="n">
        <v>120</v>
      </c>
      <c r="F649" s="15" t="n">
        <v>170</v>
      </c>
      <c r="G649" s="15" t="n">
        <v>430</v>
      </c>
      <c r="H649" s="15" t="n">
        <v>45</v>
      </c>
      <c r="I649" s="15" t="n">
        <v>140</v>
      </c>
      <c r="J649" s="13" t="n">
        <v>25</v>
      </c>
      <c r="K649" t="n">
        <v>45</v>
      </c>
      <c r="L649" s="13" t="n">
        <v>1.4</v>
      </c>
      <c r="M649" s="12" t="n"/>
      <c r="N649" s="8" t="n">
        <v>0.9979236772356646</v>
      </c>
      <c r="O649" s="15" t="n">
        <v>0.7656763265833421</v>
      </c>
      <c r="P649" s="15" t="n">
        <v>0.9285569671572436</v>
      </c>
      <c r="Q649" s="15" t="n">
        <v>0.004698542285061282</v>
      </c>
      <c r="R649" s="15" t="n">
        <v>0.02368154475292645</v>
      </c>
      <c r="S649" s="15" t="n">
        <v>0.005475260352557393</v>
      </c>
      <c r="T649" s="29">
        <f>HIPERLINK($A$1 &amp; "\Dados\Imagem_perfil_649.png", "Imagem_perfil_649")</f>
        <v/>
      </c>
      <c r="U649" s="29">
        <f>HIPERLINK($A$1 &amp; "\Dados\Results_airgap649.txt", "Results_airgap649")</f>
        <v/>
      </c>
      <c r="V649" s="19" t="n"/>
      <c r="W649" s="43" t="n">
        <v>1.426740217391304</v>
      </c>
      <c r="X649" s="15" t="n">
        <v>0.6478221720162076</v>
      </c>
      <c r="Y649" s="15" t="n">
        <v>0.0006354342284948852</v>
      </c>
      <c r="Z649" s="15" t="n">
        <v>0</v>
      </c>
      <c r="AA649" s="15" t="n">
        <v>8.277345400908029</v>
      </c>
      <c r="AB649" s="15" t="n">
        <v>0</v>
      </c>
      <c r="AC649" s="15" t="n">
        <v>0</v>
      </c>
      <c r="AD649" s="15" t="n">
        <v>0</v>
      </c>
      <c r="AE649" s="15" t="n">
        <v>57.07554897923003</v>
      </c>
      <c r="AF649" s="15" t="n">
        <v>65.16955502299432</v>
      </c>
      <c r="AH649" s="29">
        <f>HIPERLINK($A$1 &amp; "\Dados\Magnet_fields.txt_649.txt.txt", "Magnet_fields.txt_649.txt")</f>
        <v/>
      </c>
      <c r="AI649" t="n">
        <v>6977</v>
      </c>
      <c r="AJ649" t="n">
        <v>28</v>
      </c>
      <c r="AK649" s="29">
        <f>HIPERLINK($A$1 &amp; "\Dados\Magnet_3D_results.txt_649.txt.txt", "Magnet_3D_results.txt_649.txt")</f>
        <v/>
      </c>
      <c r="AL649" s="29">
        <f>HIPERLINK($A$1 &amp; "\Dados\Magnet_fields_2D.txt_649.txt.txt", "Magnet_fields_2D.txt_649.txt")</f>
        <v/>
      </c>
    </row>
    <row customHeight="1" ht="15.75" r="650" s="34">
      <c r="D650" s="30" t="n"/>
      <c r="E650" s="15" t="n">
        <v>120</v>
      </c>
      <c r="F650" s="15" t="n">
        <v>170</v>
      </c>
      <c r="G650" s="15" t="n">
        <v>430</v>
      </c>
      <c r="H650" s="15" t="n">
        <v>45</v>
      </c>
      <c r="I650" s="15" t="n">
        <v>140</v>
      </c>
      <c r="J650" s="13" t="n">
        <v>25</v>
      </c>
      <c r="K650" t="n">
        <v>45</v>
      </c>
      <c r="L650" s="13" t="n">
        <v>1.6</v>
      </c>
      <c r="M650" s="12" t="n"/>
      <c r="N650" s="8" t="n">
        <v>1.156057639943058</v>
      </c>
      <c r="O650" s="15" t="n">
        <v>0.8991864483360379</v>
      </c>
      <c r="P650" s="15" t="n">
        <v>1.080559119488601</v>
      </c>
      <c r="Q650" s="15" t="n">
        <v>0.005033306362019917</v>
      </c>
      <c r="R650" s="15" t="n">
        <v>0.04766115214181416</v>
      </c>
      <c r="S650" s="15" t="n">
        <v>0.006565125803203948</v>
      </c>
      <c r="T650" s="29">
        <f>HIPERLINK($A$1 &amp; "\Dados\Imagem_perfil_650.png", "Imagem_perfil_650")</f>
        <v/>
      </c>
      <c r="U650" s="29">
        <f>HIPERLINK($A$1 &amp; "\Dados\Results_airgap650.txt", "Results_airgap650")</f>
        <v/>
      </c>
      <c r="V650" s="19" t="n"/>
      <c r="W650" s="43" t="n">
        <v>1.63483847826087</v>
      </c>
      <c r="X650" s="15" t="n">
        <v>0.765095054062394</v>
      </c>
      <c r="Y650" s="15" t="n">
        <v>0.0008495939987265386</v>
      </c>
      <c r="Z650" s="15" t="n">
        <v>0.07632441619648185</v>
      </c>
      <c r="AA650" s="15" t="n">
        <v>3.737433272225993</v>
      </c>
      <c r="AB650" s="15" t="n">
        <v>0</v>
      </c>
      <c r="AC650" s="15" t="n">
        <v>0</v>
      </c>
      <c r="AD650" s="15" t="n">
        <v>11.30345548715656</v>
      </c>
      <c r="AE650" s="15" t="n">
        <v>72.88207172439536</v>
      </c>
      <c r="AF650" s="15" t="n">
        <v>111.8853202152531</v>
      </c>
      <c r="AH650" s="29">
        <f>HIPERLINK($A$1 &amp; "\Dados\Magnet_fields.txt_650.txt.txt", "Magnet_fields.txt_650.txt")</f>
        <v/>
      </c>
      <c r="AI650" t="n">
        <v>6977</v>
      </c>
      <c r="AJ650" t="n">
        <v>28</v>
      </c>
      <c r="AK650" s="29">
        <f>HIPERLINK($A$1 &amp; "\Dados\Magnet_3D_results.txt_650.txt.txt", "Magnet_3D_results.txt_650.txt")</f>
        <v/>
      </c>
      <c r="AL650" s="29">
        <f>HIPERLINK($A$1 &amp; "\Dados\Magnet_fields_2D.txt_650.txt.txt", "Magnet_fields_2D.txt_650.txt")</f>
        <v/>
      </c>
    </row>
    <row customHeight="1" ht="15.75" r="651" s="34">
      <c r="D651" s="30" t="n"/>
      <c r="E651" s="15" t="n">
        <v>120</v>
      </c>
      <c r="F651" s="15" t="n">
        <v>170</v>
      </c>
      <c r="G651" s="15" t="n">
        <v>430</v>
      </c>
      <c r="H651" s="15" t="n">
        <v>45</v>
      </c>
      <c r="I651" s="15" t="n">
        <v>140</v>
      </c>
      <c r="J651" s="13" t="n">
        <v>25</v>
      </c>
      <c r="K651" t="n">
        <v>45</v>
      </c>
      <c r="L651" s="13" t="n">
        <v>1.8</v>
      </c>
      <c r="M651" s="12" t="n"/>
      <c r="N651" s="8" t="n">
        <v>1.279879831828479</v>
      </c>
      <c r="O651" s="15" t="n">
        <v>1.001018387267866</v>
      </c>
      <c r="P651" s="15" t="n">
        <v>1.198922988558318</v>
      </c>
      <c r="Q651" s="15" t="n">
        <v>0.005148522003210454</v>
      </c>
      <c r="R651" s="15" t="n">
        <v>0.05602864950315985</v>
      </c>
      <c r="S651" s="15" t="n">
        <v>0.006871933750477122</v>
      </c>
      <c r="T651" s="29">
        <f>HIPERLINK($A$1 &amp; "\Dados\Imagem_perfil_651.png", "Imagem_perfil_651")</f>
        <v/>
      </c>
      <c r="U651" s="29">
        <f>HIPERLINK($A$1 &amp; "\Dados\Results_airgap651.txt", "Results_airgap651")</f>
        <v/>
      </c>
      <c r="V651" s="19" t="n"/>
      <c r="W651" s="43" t="n">
        <v>1.811106956521739</v>
      </c>
      <c r="X651" s="15" t="n">
        <v>0.8522003138311325</v>
      </c>
      <c r="Y651" s="15" t="n">
        <v>0.01949158182599849</v>
      </c>
      <c r="Z651" s="15" t="n">
        <v>0.001853892785707396</v>
      </c>
      <c r="AA651" s="15" t="n">
        <v>0.003439430376708208</v>
      </c>
      <c r="AB651" s="15" t="n">
        <v>0</v>
      </c>
      <c r="AC651" s="15" t="n">
        <v>7.376728591887976</v>
      </c>
      <c r="AD651" s="15" t="n">
        <v>42.07589676533553</v>
      </c>
      <c r="AE651" s="15" t="n">
        <v>84.16635759456474</v>
      </c>
      <c r="AF651" s="15" t="n">
        <v>118.0643801682219</v>
      </c>
      <c r="AH651" s="29">
        <f>HIPERLINK($A$1 &amp; "\Dados\Magnet_fields.txt_651.txt.txt", "Magnet_fields.txt_651.txt")</f>
        <v/>
      </c>
      <c r="AI651" t="n">
        <v>6977</v>
      </c>
      <c r="AJ651" t="n">
        <v>28</v>
      </c>
      <c r="AK651" s="29">
        <f>HIPERLINK($A$1 &amp; "\Dados\Magnet_3D_results.txt_651.txt.txt", "Magnet_3D_results.txt_651.txt")</f>
        <v/>
      </c>
      <c r="AL651" s="29">
        <f>HIPERLINK($A$1 &amp; "\Dados\Magnet_fields_2D.txt_651.txt.txt", "Magnet_fields_2D.txt_651.txt")</f>
        <v/>
      </c>
    </row>
    <row customHeight="1" ht="15.75" r="652" s="34">
      <c r="D652" s="30" t="n"/>
      <c r="E652" s="15" t="n">
        <v>120</v>
      </c>
      <c r="F652" s="15" t="n">
        <v>170</v>
      </c>
      <c r="G652" s="15" t="n">
        <v>430</v>
      </c>
      <c r="H652" s="15" t="n">
        <v>45</v>
      </c>
      <c r="I652" s="15" t="n">
        <v>140</v>
      </c>
      <c r="J652" s="13" t="n">
        <v>25</v>
      </c>
      <c r="K652" t="n">
        <v>45</v>
      </c>
      <c r="L652" s="13" t="n">
        <v>2</v>
      </c>
      <c r="M652" s="12" t="n"/>
      <c r="N652" s="8" t="n">
        <v>1.304162755030528</v>
      </c>
      <c r="O652" s="15" t="n">
        <v>1.018748122381017</v>
      </c>
      <c r="P652" s="15" t="n">
        <v>1.220386649646097</v>
      </c>
      <c r="Q652" s="15" t="n">
        <v>0.005173667989714048</v>
      </c>
      <c r="R652" s="15" t="n">
        <v>0.05685041891398113</v>
      </c>
      <c r="S652" s="15" t="n">
        <v>0.006908867664391746</v>
      </c>
      <c r="T652" s="29">
        <f>HIPERLINK($A$1 &amp; "\Dados\Imagem_perfil_652.png", "Imagem_perfil_652")</f>
        <v/>
      </c>
      <c r="U652" s="29">
        <f>HIPERLINK($A$1 &amp; "\Dados\Results_airgap652.txt", "Results_airgap652")</f>
        <v/>
      </c>
      <c r="V652" s="19" t="n"/>
      <c r="W652" s="15" t="n">
        <v>1.848537826086956</v>
      </c>
      <c r="X652" s="15" t="n">
        <v>0.8676942160502509</v>
      </c>
      <c r="Y652" s="15" t="n">
        <v>0.09503318539340264</v>
      </c>
      <c r="Z652" s="15" t="n">
        <v>0.0008890523579257167</v>
      </c>
      <c r="AA652" s="15" t="n">
        <v>0.003439430376708208</v>
      </c>
      <c r="AB652" s="15" t="n">
        <v>2.353967888093004</v>
      </c>
      <c r="AC652" s="15" t="n">
        <v>13.92636415090093</v>
      </c>
      <c r="AD652" s="15" t="n">
        <v>45.87884974656956</v>
      </c>
      <c r="AE652" s="15" t="n">
        <v>85.55690838348917</v>
      </c>
      <c r="AF652" s="15" t="n">
        <v>118.4747978656021</v>
      </c>
      <c r="AH652" s="29">
        <f>HIPERLINK($A$1 &amp; "\Dados\Magnet_fields.txt_652.txt.txt", "Magnet_fields.txt_652.txt")</f>
        <v/>
      </c>
      <c r="AI652" t="n">
        <v>6977</v>
      </c>
      <c r="AJ652" t="n">
        <v>28</v>
      </c>
      <c r="AK652" s="29">
        <f>HIPERLINK($A$1 &amp; "\Dados\Magnet_3D_results.txt_652.txt.txt", "Magnet_3D_results.txt_652.txt")</f>
        <v/>
      </c>
      <c r="AL652" s="29">
        <f>HIPERLINK($A$1 &amp; "\Dados\Magnet_fields_2D.txt_652.txt.txt", "Magnet_fields_2D.txt_652.txt")</f>
        <v/>
      </c>
    </row>
    <row customHeight="1" ht="15.75" r="653" s="34">
      <c r="D653" s="30" t="n"/>
      <c r="E653" s="15" t="n">
        <v>120</v>
      </c>
      <c r="F653" s="15" t="n">
        <v>170</v>
      </c>
      <c r="G653" s="15" t="n">
        <v>430</v>
      </c>
      <c r="H653" s="15" t="n">
        <v>45</v>
      </c>
      <c r="I653" s="15" t="n">
        <v>140</v>
      </c>
      <c r="J653" s="13" t="n">
        <v>25</v>
      </c>
      <c r="K653" t="n">
        <v>45</v>
      </c>
      <c r="L653" s="13" t="n">
        <v>2.2</v>
      </c>
      <c r="M653" s="12" t="n"/>
      <c r="N653" s="8" t="n">
        <v>1.312661095796964</v>
      </c>
      <c r="O653" s="15" t="n">
        <v>1.025142993389204</v>
      </c>
      <c r="P653" s="15" t="n">
        <v>1.228069853474563</v>
      </c>
      <c r="Q653" s="15" t="n">
        <v>0.00517458238364169</v>
      </c>
      <c r="R653" s="15" t="n">
        <v>0.0571421348452304</v>
      </c>
      <c r="S653" s="15" t="n">
        <v>0.006913812655899289</v>
      </c>
      <c r="T653" s="29">
        <f>HIPERLINK($A$1 &amp; "\Dados\Imagem_perfil_653.png", "Imagem_perfil_653")</f>
        <v/>
      </c>
      <c r="U653" s="29">
        <f>HIPERLINK($A$1 &amp; "\Dados\Results_airgap653.txt", "Results_airgap653")</f>
        <v/>
      </c>
      <c r="V653" s="19" t="n"/>
      <c r="W653" s="15" t="n">
        <v>1.858287826086956</v>
      </c>
      <c r="X653" s="15" t="n">
        <v>0.8732569942963322</v>
      </c>
      <c r="Y653" s="15" t="n">
        <v>0.2088737323241531</v>
      </c>
      <c r="Z653" s="15" t="n">
        <v>0</v>
      </c>
      <c r="AA653" s="15" t="n">
        <v>0.003439430376708208</v>
      </c>
      <c r="AB653" s="15" t="n">
        <v>3.364096524476883</v>
      </c>
      <c r="AC653" s="15" t="n">
        <v>15.79090904834487</v>
      </c>
      <c r="AD653" s="15" t="n">
        <v>47.00742957474974</v>
      </c>
      <c r="AE653" s="15" t="n">
        <v>85.94561996005338</v>
      </c>
      <c r="AF653" s="15" t="n">
        <v>118.5653790723345</v>
      </c>
      <c r="AH653" s="29">
        <f>HIPERLINK($A$1 &amp; "\Dados\Magnet_fields.txt_653.txt.txt", "Magnet_fields.txt_653.txt")</f>
        <v/>
      </c>
      <c r="AI653" t="n">
        <v>6977</v>
      </c>
      <c r="AJ653" t="n">
        <v>28</v>
      </c>
      <c r="AK653" s="29">
        <f>HIPERLINK($A$1 &amp; "\Dados\Magnet_3D_results.txt_653.txt.txt", "Magnet_3D_results.txt_653.txt")</f>
        <v/>
      </c>
      <c r="AL653" s="29">
        <f>HIPERLINK($A$1 &amp; "\Dados\Magnet_fields_2D.txt_653.txt.txt", "Magnet_fields_2D.txt_653.txt")</f>
        <v/>
      </c>
    </row>
    <row customHeight="1" ht="15.75" r="654" s="34">
      <c r="D654" s="30" t="n"/>
      <c r="E654" s="15" t="n">
        <v>120</v>
      </c>
      <c r="F654" s="15" t="n">
        <v>170</v>
      </c>
      <c r="G654" s="15" t="n">
        <v>430</v>
      </c>
      <c r="H654" s="15" t="n">
        <v>25</v>
      </c>
      <c r="I654" s="15" t="n">
        <v>180</v>
      </c>
      <c r="J654" s="13" t="n">
        <v>25</v>
      </c>
      <c r="K654" t="n">
        <v>45</v>
      </c>
      <c r="L654" s="13" t="n">
        <v>1.4</v>
      </c>
      <c r="M654" s="12" t="n"/>
      <c r="N654" s="8" t="n">
        <v>1.054562815689209</v>
      </c>
      <c r="O654" s="15" t="n">
        <v>0.9234415243011108</v>
      </c>
      <c r="P654" s="15" t="n">
        <v>1.012895017519708</v>
      </c>
      <c r="Q654" s="15" t="n">
        <v>0.005060836971321005</v>
      </c>
      <c r="R654" s="15" t="n">
        <v>0.01633812225389448</v>
      </c>
      <c r="S654" s="15" t="n">
        <v>0.005077014869852678</v>
      </c>
      <c r="T654" s="29">
        <f>HIPERLINK($A$1 &amp; "\Dados\Imagem_perfil_654.png", "Imagem_perfil_654")</f>
        <v/>
      </c>
      <c r="U654" s="29">
        <f>HIPERLINK($A$1 &amp; "\Dados\Results_airgap654.txt", "Results_airgap654")</f>
        <v/>
      </c>
      <c r="V654" s="19" t="n"/>
      <c r="W654" s="43" t="n">
        <v>1.422457173913043</v>
      </c>
      <c r="X654" s="15" t="n">
        <v>0.6532479095971578</v>
      </c>
      <c r="Y654" s="15" t="n">
        <v>0.0005271017690382737</v>
      </c>
      <c r="Z654" s="15" t="n">
        <v>0.01085971709915509</v>
      </c>
      <c r="AA654" s="15" t="n">
        <v>8.772864567524184</v>
      </c>
      <c r="AB654" s="15" t="n">
        <v>0</v>
      </c>
      <c r="AC654" s="15" t="n">
        <v>0</v>
      </c>
      <c r="AD654" s="15" t="n">
        <v>0</v>
      </c>
      <c r="AE654" s="15" t="n">
        <v>46.71733221467316</v>
      </c>
      <c r="AF654" s="15" t="n">
        <v>74.35678519690073</v>
      </c>
      <c r="AH654" s="29">
        <f>HIPERLINK($A$1 &amp; "\Dados\Magnet_fields.txt_654.txt.txt", "Magnet_fields.txt_654.txt")</f>
        <v/>
      </c>
      <c r="AI654" t="n">
        <v>11118</v>
      </c>
      <c r="AJ654" t="n">
        <v>30</v>
      </c>
      <c r="AK654" s="29">
        <f>HIPERLINK($A$1 &amp; "\Dados\Magnet_3D_results.txt_654.txt.txt", "Magnet_3D_results.txt_654.txt")</f>
        <v/>
      </c>
      <c r="AL654" s="29">
        <f>HIPERLINK($A$1 &amp; "\Dados\Magnet_fields_2D.txt_654.txt.txt", "Magnet_fields_2D.txt_654.txt")</f>
        <v/>
      </c>
    </row>
    <row customHeight="1" ht="15.75" r="655" s="34">
      <c r="D655" s="30" t="n"/>
      <c r="E655" s="15" t="n">
        <v>120</v>
      </c>
      <c r="F655" s="15" t="n">
        <v>170</v>
      </c>
      <c r="G655" s="15" t="n">
        <v>430</v>
      </c>
      <c r="H655" s="15" t="n">
        <v>25</v>
      </c>
      <c r="I655" s="15" t="n">
        <v>180</v>
      </c>
      <c r="J655" s="13" t="n">
        <v>25</v>
      </c>
      <c r="K655" t="n">
        <v>45</v>
      </c>
      <c r="L655" s="13" t="n">
        <v>1.6</v>
      </c>
      <c r="M655" s="12" t="n"/>
      <c r="N655" s="8" t="n">
        <v>1.244572331245005</v>
      </c>
      <c r="O655" s="15" t="n">
        <v>1.097813569212334</v>
      </c>
      <c r="P655" s="15" t="n">
        <v>1.199213839756218</v>
      </c>
      <c r="Q655" s="15" t="n">
        <v>0.005194646881051419</v>
      </c>
      <c r="R655" s="15" t="n">
        <v>0.04306103940244863</v>
      </c>
      <c r="S655" s="15" t="n">
        <v>0.00538256375110456</v>
      </c>
      <c r="T655" s="29">
        <f>HIPERLINK($A$1 &amp; "\Dados\Imagem_perfil_655.png", "Imagem_perfil_655")</f>
        <v/>
      </c>
      <c r="U655" s="29">
        <f>HIPERLINK($A$1 &amp; "\Dados\Results_airgap655.txt", "Results_airgap655")</f>
        <v/>
      </c>
      <c r="V655" s="19" t="n"/>
      <c r="W655" s="43" t="n">
        <v>1.634118913043478</v>
      </c>
      <c r="X655" s="15" t="n">
        <v>0.7893300368308271</v>
      </c>
      <c r="Y655" s="15" t="n">
        <v>0.0008532985412511969</v>
      </c>
      <c r="Z655" s="15" t="n">
        <v>0.183536020468685</v>
      </c>
      <c r="AA655" s="15" t="n">
        <v>6.471728210912399</v>
      </c>
      <c r="AB655" s="15" t="n">
        <v>0</v>
      </c>
      <c r="AC655" s="15" t="n">
        <v>0</v>
      </c>
      <c r="AD655" s="15" t="n">
        <v>11.19545682523891</v>
      </c>
      <c r="AE655" s="15" t="n">
        <v>73.12988505374197</v>
      </c>
      <c r="AF655" s="15" t="n">
        <v>111.4143031469929</v>
      </c>
      <c r="AH655" s="29">
        <f>HIPERLINK($A$1 &amp; "\Dados\Magnet_fields.txt_655.txt.txt", "Magnet_fields.txt_655.txt")</f>
        <v/>
      </c>
      <c r="AI655" t="n">
        <v>11118</v>
      </c>
      <c r="AJ655" t="n">
        <v>29</v>
      </c>
      <c r="AK655" s="29">
        <f>HIPERLINK($A$1 &amp; "\Dados\Magnet_3D_results.txt_655.txt.txt", "Magnet_3D_results.txt_655.txt")</f>
        <v/>
      </c>
      <c r="AL655" s="29">
        <f>HIPERLINK($A$1 &amp; "\Dados\Magnet_fields_2D.txt_655.txt.txt", "Magnet_fields_2D.txt_655.txt")</f>
        <v/>
      </c>
    </row>
    <row customHeight="1" ht="15.75" r="656" s="34">
      <c r="D656" s="30" t="n"/>
      <c r="E656" s="15" t="n">
        <v>120</v>
      </c>
      <c r="F656" s="15" t="n">
        <v>170</v>
      </c>
      <c r="G656" s="15" t="n">
        <v>430</v>
      </c>
      <c r="H656" s="15" t="n">
        <v>25</v>
      </c>
      <c r="I656" s="15" t="n">
        <v>180</v>
      </c>
      <c r="J656" s="13" t="n">
        <v>25</v>
      </c>
      <c r="K656" t="n">
        <v>45</v>
      </c>
      <c r="L656" s="13" t="n">
        <v>1.8</v>
      </c>
      <c r="M656" s="12" t="n"/>
      <c r="N656" s="8" t="n">
        <v>1.393245178190051</v>
      </c>
      <c r="O656" s="15" t="n">
        <v>1.229184134565875</v>
      </c>
      <c r="P656" s="15" t="n">
        <v>1.345234658723411</v>
      </c>
      <c r="Q656" s="15" t="n">
        <v>0.005415912481570682</v>
      </c>
      <c r="R656" s="15" t="n">
        <v>0.05483835059376969</v>
      </c>
      <c r="S656" s="15" t="n">
        <v>0.005660782978913187</v>
      </c>
      <c r="T656" s="29">
        <f>HIPERLINK($A$1 &amp; "\Dados\Imagem_perfil_656.png", "Imagem_perfil_656")</f>
        <v/>
      </c>
      <c r="U656" s="29">
        <f>HIPERLINK($A$1 &amp; "\Dados\Results_airgap656.txt", "Results_airgap656")</f>
        <v/>
      </c>
      <c r="V656" s="19" t="n"/>
      <c r="W656" s="43" t="n">
        <v>1.811247608695652</v>
      </c>
      <c r="X656" s="15" t="n">
        <v>0.8890946612550866</v>
      </c>
      <c r="Y656" s="15" t="n">
        <v>0.01952755766899304</v>
      </c>
      <c r="Z656" s="15" t="n">
        <v>0.01940012509759292</v>
      </c>
      <c r="AA656" s="15" t="n">
        <v>3.738169199821954</v>
      </c>
      <c r="AB656" s="15" t="n">
        <v>0</v>
      </c>
      <c r="AC656" s="15" t="n">
        <v>7.433562675238134</v>
      </c>
      <c r="AD656" s="15" t="n">
        <v>42.10326832823672</v>
      </c>
      <c r="AE656" s="15" t="n">
        <v>84.18253524627796</v>
      </c>
      <c r="AF656" s="15" t="n">
        <v>118.0823236813266</v>
      </c>
      <c r="AH656" s="29">
        <f>HIPERLINK($A$1 &amp; "\Dados\Magnet_fields.txt_656.txt.txt", "Magnet_fields.txt_656.txt")</f>
        <v/>
      </c>
      <c r="AI656" t="n">
        <v>11118</v>
      </c>
      <c r="AJ656" t="n">
        <v>30</v>
      </c>
      <c r="AK656" s="29">
        <f>HIPERLINK($A$1 &amp; "\Dados\Magnet_3D_results.txt_656.txt.txt", "Magnet_3D_results.txt_656.txt")</f>
        <v/>
      </c>
      <c r="AL656" s="29">
        <f>HIPERLINK($A$1 &amp; "\Dados\Magnet_fields_2D.txt_656.txt.txt", "Magnet_fields_2D.txt_656.txt")</f>
        <v/>
      </c>
    </row>
    <row customHeight="1" ht="15.75" r="657" s="34">
      <c r="D657" s="30" t="n"/>
      <c r="E657" s="15" t="n">
        <v>120</v>
      </c>
      <c r="F657" s="15" t="n">
        <v>170</v>
      </c>
      <c r="G657" s="15" t="n">
        <v>430</v>
      </c>
      <c r="H657" s="15" t="n">
        <v>25</v>
      </c>
      <c r="I657" s="15" t="n">
        <v>180</v>
      </c>
      <c r="J657" s="13" t="n">
        <v>25</v>
      </c>
      <c r="K657" t="n">
        <v>45</v>
      </c>
      <c r="L657" s="13" t="n">
        <v>2</v>
      </c>
      <c r="M657" s="12" t="n"/>
      <c r="N657" s="8" t="n">
        <v>1.42187553800682</v>
      </c>
      <c r="O657" s="15" t="n">
        <v>1.253297353198527</v>
      </c>
      <c r="P657" s="15" t="n">
        <v>1.371902498693596</v>
      </c>
      <c r="Q657" s="15" t="n">
        <v>0.005472353504008076</v>
      </c>
      <c r="R657" s="15" t="n">
        <v>0.05638476836742717</v>
      </c>
      <c r="S657" s="15" t="n">
        <v>0.005722852493314492</v>
      </c>
      <c r="T657" s="29">
        <f>HIPERLINK($A$1 &amp; "\Dados\Imagem_perfil_657.png", "Imagem_perfil_657")</f>
        <v/>
      </c>
      <c r="U657" s="29">
        <f>HIPERLINK($A$1 &amp; "\Dados\Results_airgap657.txt", "Results_airgap657")</f>
        <v/>
      </c>
      <c r="V657" s="19" t="n"/>
      <c r="W657" s="15" t="n">
        <v>1.848445652173913</v>
      </c>
      <c r="X657" s="15" t="n">
        <v>0.9072713138246794</v>
      </c>
      <c r="Y657" s="15" t="n">
        <v>0.09510989577561195</v>
      </c>
      <c r="Z657" s="15" t="n">
        <v>0.00946087671289649</v>
      </c>
      <c r="AA657" s="15" t="n">
        <v>2.474852512498637</v>
      </c>
      <c r="AB657" s="15" t="n">
        <v>2.355965492087893</v>
      </c>
      <c r="AC657" s="15" t="n">
        <v>13.93133158184072</v>
      </c>
      <c r="AD657" s="15" t="n">
        <v>45.89273023862901</v>
      </c>
      <c r="AE657" s="15" t="n">
        <v>85.57212824817803</v>
      </c>
      <c r="AF657" s="15" t="n">
        <v>118.4882809135277</v>
      </c>
      <c r="AH657" s="29">
        <f>HIPERLINK($A$1 &amp; "\Dados\Magnet_fields.txt_657.txt.txt", "Magnet_fields.txt_657.txt")</f>
        <v/>
      </c>
      <c r="AI657" t="n">
        <v>11118</v>
      </c>
      <c r="AJ657" t="n">
        <v>31</v>
      </c>
      <c r="AK657" s="29">
        <f>HIPERLINK($A$1 &amp; "\Dados\Magnet_3D_results.txt_657.txt.txt", "Magnet_3D_results.txt_657.txt")</f>
        <v/>
      </c>
      <c r="AL657" s="29">
        <f>HIPERLINK($A$1 &amp; "\Dados\Magnet_fields_2D.txt_657.txt.txt", "Magnet_fields_2D.txt_657.txt")</f>
        <v/>
      </c>
    </row>
    <row customHeight="1" ht="15.75" r="658" s="34">
      <c r="D658" s="30" t="n"/>
      <c r="E658" s="15" t="n">
        <v>120</v>
      </c>
      <c r="F658" s="15" t="n">
        <v>170</v>
      </c>
      <c r="G658" s="15" t="n">
        <v>430</v>
      </c>
      <c r="H658" s="15" t="n">
        <v>25</v>
      </c>
      <c r="I658" s="15" t="n">
        <v>180</v>
      </c>
      <c r="J658" s="13" t="n">
        <v>25</v>
      </c>
      <c r="K658" t="n">
        <v>45</v>
      </c>
      <c r="L658" s="13" t="n">
        <v>2.2</v>
      </c>
      <c r="M658" s="12" t="n"/>
      <c r="N658" s="8" t="n">
        <v>1.432438926620478</v>
      </c>
      <c r="O658" s="15" t="n">
        <v>1.262261945529741</v>
      </c>
      <c r="P658" s="15" t="n">
        <v>1.381792176937982</v>
      </c>
      <c r="Q658" s="15" t="n">
        <v>0.005488806036100215</v>
      </c>
      <c r="R658" s="15" t="n">
        <v>0.05703066294433407</v>
      </c>
      <c r="S658" s="15" t="n">
        <v>0.005741905525859108</v>
      </c>
      <c r="T658" s="29">
        <f>HIPERLINK($A$1 &amp; "\Dados\Imagem_perfil_658.png", "Imagem_perfil_658")</f>
        <v/>
      </c>
      <c r="U658" s="29">
        <f>HIPERLINK($A$1 &amp; "\Dados\Results_airgap658.txt", "Results_airgap658")</f>
        <v/>
      </c>
      <c r="V658" s="19" t="n"/>
      <c r="W658" s="15" t="n">
        <v>1.858222826086956</v>
      </c>
      <c r="X658" s="15" t="n">
        <v>0.9140914172892423</v>
      </c>
      <c r="Y658" s="15" t="n">
        <v>0.2089769041251454</v>
      </c>
      <c r="Z658" s="15" t="n">
        <v>0.006787889978052263</v>
      </c>
      <c r="AA658" s="15" t="n">
        <v>2.063005853791319</v>
      </c>
      <c r="AB658" s="15" t="n">
        <v>3.363700206823995</v>
      </c>
      <c r="AC658" s="15" t="n">
        <v>15.80334769616465</v>
      </c>
      <c r="AD658" s="15" t="n">
        <v>47.02457158195325</v>
      </c>
      <c r="AE658" s="15" t="n">
        <v>85.96072868808142</v>
      </c>
      <c r="AF658" s="15" t="n">
        <v>118.5774808765286</v>
      </c>
      <c r="AH658" s="29">
        <f>HIPERLINK($A$1 &amp; "\Dados\Magnet_fields.txt_658.txt.txt", "Magnet_fields.txt_658.txt")</f>
        <v/>
      </c>
      <c r="AI658" t="n">
        <v>11118</v>
      </c>
      <c r="AJ658" t="n">
        <v>31</v>
      </c>
      <c r="AK658" s="29">
        <f>HIPERLINK($A$1 &amp; "\Dados\Magnet_3D_results.txt_658.txt.txt", "Magnet_3D_results.txt_658.txt")</f>
        <v/>
      </c>
      <c r="AL658" s="29">
        <f>HIPERLINK($A$1 &amp; "\Dados\Magnet_fields_2D.txt_658.txt.txt", "Magnet_fields_2D.txt_658.txt")</f>
        <v/>
      </c>
    </row>
    <row customHeight="1" ht="15.75" r="659" s="34">
      <c r="D659" s="30" t="n"/>
      <c r="E659" s="15" t="n">
        <v>120</v>
      </c>
      <c r="F659" s="15" t="n">
        <v>170</v>
      </c>
      <c r="G659" s="15" t="n">
        <v>430</v>
      </c>
      <c r="H659" s="15" t="n">
        <v>45</v>
      </c>
      <c r="I659" s="15" t="n">
        <v>180</v>
      </c>
      <c r="J659" s="13" t="n">
        <v>25</v>
      </c>
      <c r="K659" t="n">
        <v>45</v>
      </c>
      <c r="L659" s="13" t="n">
        <v>1.4</v>
      </c>
      <c r="M659" s="12" t="n"/>
      <c r="N659" s="8" t="n">
        <v>1.084467026748095</v>
      </c>
      <c r="O659" s="15" t="n">
        <v>0.9502774870944564</v>
      </c>
      <c r="P659" s="15" t="n">
        <v>1.04136764210216</v>
      </c>
      <c r="Q659" s="15" t="n">
        <v>0.005111625455719979</v>
      </c>
      <c r="R659" s="15" t="n">
        <v>0.02320713088747223</v>
      </c>
      <c r="S659" s="15" t="n">
        <v>0.005153441219933158</v>
      </c>
      <c r="T659" s="29">
        <f>HIPERLINK($A$1 &amp; "\Dados\Imagem_perfil_659.png", "Imagem_perfil_659")</f>
        <v/>
      </c>
      <c r="U659" s="29">
        <f>HIPERLINK($A$1 &amp; "\Dados\Results_airgap659.txt", "Results_airgap659")</f>
        <v/>
      </c>
      <c r="V659" s="19" t="n"/>
      <c r="W659" s="43" t="n">
        <v>1.426563043478261</v>
      </c>
      <c r="X659" s="15" t="n">
        <v>0.6688977400656051</v>
      </c>
      <c r="Y659" s="15" t="n">
        <v>0.0006287469110374873</v>
      </c>
      <c r="Z659" s="15" t="n">
        <v>0.004502588648398157</v>
      </c>
      <c r="AA659" s="15" t="n">
        <v>9.246366845441377</v>
      </c>
      <c r="AB659" s="15" t="n">
        <v>0</v>
      </c>
      <c r="AC659" s="15" t="n">
        <v>0</v>
      </c>
      <c r="AD659" s="15" t="n">
        <v>0</v>
      </c>
      <c r="AE659" s="15" t="n">
        <v>56.57639551836724</v>
      </c>
      <c r="AF659" s="15" t="n">
        <v>65.53953886481543</v>
      </c>
      <c r="AH659" s="29">
        <f>HIPERLINK($A$1 &amp; "\Dados\Magnet_fields.txt_659.txt.txt", "Magnet_fields.txt_659.txt")</f>
        <v/>
      </c>
      <c r="AI659" t="n">
        <v>7200</v>
      </c>
      <c r="AJ659" t="n">
        <v>29</v>
      </c>
      <c r="AK659" s="29">
        <f>HIPERLINK($A$1 &amp; "\Dados\Magnet_3D_results.txt_659.txt.txt", "Magnet_3D_results.txt_659.txt")</f>
        <v/>
      </c>
      <c r="AL659" s="29">
        <f>HIPERLINK($A$1 &amp; "\Dados\Magnet_fields_2D.txt_659.txt.txt", "Magnet_fields_2D.txt_659.txt")</f>
        <v/>
      </c>
    </row>
    <row customHeight="1" ht="15.75" r="660" s="34">
      <c r="D660" s="30" t="n"/>
      <c r="E660" s="15" t="n">
        <v>120</v>
      </c>
      <c r="F660" s="15" t="n">
        <v>170</v>
      </c>
      <c r="G660" s="15" t="n">
        <v>430</v>
      </c>
      <c r="H660" s="15" t="n">
        <v>45</v>
      </c>
      <c r="I660" s="15" t="n">
        <v>180</v>
      </c>
      <c r="J660" s="13" t="n">
        <v>25</v>
      </c>
      <c r="K660" t="n">
        <v>45</v>
      </c>
      <c r="L660" s="13" t="n">
        <v>1.6</v>
      </c>
      <c r="M660" s="12" t="n"/>
      <c r="N660" s="8" t="n">
        <v>1.268339161705278</v>
      </c>
      <c r="O660" s="15" t="n">
        <v>1.120022653969304</v>
      </c>
      <c r="P660" s="15" t="n">
        <v>1.221310824870696</v>
      </c>
      <c r="Q660" s="15" t="n">
        <v>0.00547997592200765</v>
      </c>
      <c r="R660" s="15" t="n">
        <v>0.05046828332333705</v>
      </c>
      <c r="S660" s="15" t="n">
        <v>0.005700475148053498</v>
      </c>
      <c r="T660" s="29">
        <f>HIPERLINK($A$1 &amp; "\Dados\Imagem_perfil_660.png", "Imagem_perfil_660")</f>
        <v/>
      </c>
      <c r="U660" s="29">
        <f>HIPERLINK($A$1 &amp; "\Dados\Results_airgap660.txt", "Results_airgap660")</f>
        <v/>
      </c>
      <c r="V660" s="19" t="n"/>
      <c r="W660" s="43" t="n">
        <v>1.634309130434782</v>
      </c>
      <c r="X660" s="15" t="n">
        <v>0.7989185801231354</v>
      </c>
      <c r="Y660" s="15" t="n">
        <v>0.0008459803679703112</v>
      </c>
      <c r="Z660" s="15" t="n">
        <v>0.3043849681554077</v>
      </c>
      <c r="AA660" s="15" t="n">
        <v>4.006550091181686</v>
      </c>
      <c r="AB660" s="15" t="n">
        <v>0</v>
      </c>
      <c r="AC660" s="15" t="n">
        <v>0</v>
      </c>
      <c r="AD660" s="15" t="n">
        <v>11.16333849125604</v>
      </c>
      <c r="AE660" s="15" t="n">
        <v>72.80899535915458</v>
      </c>
      <c r="AF660" s="15" t="n">
        <v>112.5137317933697</v>
      </c>
      <c r="AH660" s="29">
        <f>HIPERLINK($A$1 &amp; "\Dados\Magnet_fields.txt_660.txt.txt", "Magnet_fields.txt_660.txt")</f>
        <v/>
      </c>
      <c r="AI660" t="n">
        <v>7200</v>
      </c>
      <c r="AJ660" t="n">
        <v>31</v>
      </c>
      <c r="AK660" s="29">
        <f>HIPERLINK($A$1 &amp; "\Dados\Magnet_3D_results.txt_660.txt.txt", "Magnet_3D_results.txt_660.txt")</f>
        <v/>
      </c>
      <c r="AL660" s="29">
        <f>HIPERLINK($A$1 &amp; "\Dados\Magnet_fields_2D.txt_660.txt.txt", "Magnet_fields_2D.txt_660.txt")</f>
        <v/>
      </c>
    </row>
    <row customHeight="1" ht="15.75" r="661" s="34">
      <c r="D661" s="30" t="n"/>
      <c r="E661" s="15" t="n">
        <v>120</v>
      </c>
      <c r="F661" s="15" t="n">
        <v>170</v>
      </c>
      <c r="G661" s="15" t="n">
        <v>430</v>
      </c>
      <c r="H661" s="15" t="n">
        <v>45</v>
      </c>
      <c r="I661" s="15" t="n">
        <v>180</v>
      </c>
      <c r="J661" s="13" t="n">
        <v>25</v>
      </c>
      <c r="K661" t="n">
        <v>45</v>
      </c>
      <c r="L661" s="13" t="n">
        <v>1.8</v>
      </c>
      <c r="M661" s="12" t="n"/>
      <c r="N661" s="8" t="n">
        <v>1.409736646335562</v>
      </c>
      <c r="O661" s="15" t="n">
        <v>1.245695475059183</v>
      </c>
      <c r="P661" s="15" t="n">
        <v>1.359206929867471</v>
      </c>
      <c r="Q661" s="15" t="n">
        <v>0.005655661743259766</v>
      </c>
      <c r="R661" s="15" t="n">
        <v>0.05976373004269826</v>
      </c>
      <c r="S661" s="15" t="n">
        <v>0.005921017990941231</v>
      </c>
      <c r="T661" s="29">
        <f>HIPERLINK($A$1 &amp; "\Dados\Imagem_perfil_661.png", "Imagem_perfil_661")</f>
        <v/>
      </c>
      <c r="U661" s="29">
        <f>HIPERLINK($A$1 &amp; "\Dados\Results_airgap661.txt", "Results_airgap661")</f>
        <v/>
      </c>
      <c r="V661" s="19" t="n"/>
      <c r="W661" s="43" t="n">
        <v>1.811268478260869</v>
      </c>
      <c r="X661" s="15" t="n">
        <v>0.8920303414654207</v>
      </c>
      <c r="Y661" s="15" t="n">
        <v>0.01949158549773291</v>
      </c>
      <c r="Z661" s="15" t="n">
        <v>0.01794460682380233</v>
      </c>
      <c r="AA661" s="15" t="n">
        <v>0.01152264105129145</v>
      </c>
      <c r="AB661" s="15" t="n">
        <v>0</v>
      </c>
      <c r="AC661" s="15" t="n">
        <v>7.415898991823183</v>
      </c>
      <c r="AD661" s="15" t="n">
        <v>42.08018549894589</v>
      </c>
      <c r="AE661" s="15" t="n">
        <v>84.15891558716709</v>
      </c>
      <c r="AF661" s="15" t="n">
        <v>118.0620151726727</v>
      </c>
      <c r="AH661" s="29">
        <f>HIPERLINK($A$1 &amp; "\Dados\Magnet_fields.txt_661.txt.txt", "Magnet_fields.txt_661.txt")</f>
        <v/>
      </c>
      <c r="AI661" t="n">
        <v>7200</v>
      </c>
      <c r="AJ661" t="n">
        <v>29</v>
      </c>
      <c r="AK661" s="29">
        <f>HIPERLINK($A$1 &amp; "\Dados\Magnet_3D_results.txt_661.txt.txt", "Magnet_3D_results.txt_661.txt")</f>
        <v/>
      </c>
      <c r="AL661" s="29">
        <f>HIPERLINK($A$1 &amp; "\Dados\Magnet_fields_2D.txt_661.txt.txt", "Magnet_fields_2D.txt_661.txt")</f>
        <v/>
      </c>
    </row>
    <row customHeight="1" ht="15.75" r="662" s="34">
      <c r="D662" s="30" t="n"/>
      <c r="E662" s="15" t="n">
        <v>120</v>
      </c>
      <c r="F662" s="15" t="n">
        <v>170</v>
      </c>
      <c r="G662" s="15" t="n">
        <v>430</v>
      </c>
      <c r="H662" s="15" t="n">
        <v>45</v>
      </c>
      <c r="I662" s="15" t="n">
        <v>180</v>
      </c>
      <c r="J662" s="13" t="n">
        <v>25</v>
      </c>
      <c r="K662" t="n">
        <v>45</v>
      </c>
      <c r="L662" s="13" t="n">
        <v>2</v>
      </c>
      <c r="M662" s="12" t="n"/>
      <c r="N662" s="8" t="n">
        <v>1.436319367437568</v>
      </c>
      <c r="O662" s="15" t="n">
        <v>1.267625329323481</v>
      </c>
      <c r="P662" s="15" t="n">
        <v>1.383875388662251</v>
      </c>
      <c r="Q662" s="15" t="n">
        <v>0.005688416617354155</v>
      </c>
      <c r="R662" s="15" t="n">
        <v>0.06067342782106831</v>
      </c>
      <c r="S662" s="15" t="n">
        <v>0.005956556675916115</v>
      </c>
      <c r="T662" s="29">
        <f>HIPERLINK($A$1 &amp; "\Dados\Imagem_perfil_662.png", "Imagem_perfil_662")</f>
        <v/>
      </c>
      <c r="U662" s="29">
        <f>HIPERLINK($A$1 &amp; "\Dados\Results_airgap662.txt", "Results_airgap662")</f>
        <v/>
      </c>
      <c r="V662" s="19" t="n"/>
      <c r="W662" s="15" t="n">
        <v>1.848508043478261</v>
      </c>
      <c r="X662" s="15" t="n">
        <v>0.9084051538610823</v>
      </c>
      <c r="Y662" s="15" t="n">
        <v>0.09503318294303086</v>
      </c>
      <c r="Z662" s="15" t="n">
        <v>0.01661831560561858</v>
      </c>
      <c r="AA662" s="15" t="n">
        <v>0.01152264105129145</v>
      </c>
      <c r="AB662" s="15" t="n">
        <v>2.35521980551663</v>
      </c>
      <c r="AC662" s="15" t="n">
        <v>13.92056025725065</v>
      </c>
      <c r="AD662" s="15" t="n">
        <v>45.87479549146141</v>
      </c>
      <c r="AE662" s="15" t="n">
        <v>85.54761696648188</v>
      </c>
      <c r="AF662" s="15" t="n">
        <v>118.4874678081031</v>
      </c>
      <c r="AH662" s="29">
        <f>HIPERLINK($A$1 &amp; "\Dados\Magnet_fields.txt_662.txt.txt", "Magnet_fields.txt_662.txt")</f>
        <v/>
      </c>
      <c r="AI662" t="n">
        <v>7200</v>
      </c>
      <c r="AJ662" t="n">
        <v>31</v>
      </c>
      <c r="AK662" s="29">
        <f>HIPERLINK($A$1 &amp; "\Dados\Magnet_3D_results.txt_662.txt.txt", "Magnet_3D_results.txt_662.txt")</f>
        <v/>
      </c>
      <c r="AL662" s="29">
        <f>HIPERLINK($A$1 &amp; "\Dados\Magnet_fields_2D.txt_662.txt.txt", "Magnet_fields_2D.txt_662.txt")</f>
        <v/>
      </c>
    </row>
    <row customHeight="1" ht="15.75" r="663" s="34">
      <c r="D663" s="30" t="n"/>
      <c r="E663" s="15" t="n">
        <v>120</v>
      </c>
      <c r="F663" s="15" t="n">
        <v>170</v>
      </c>
      <c r="G663" s="15" t="n">
        <v>430</v>
      </c>
      <c r="H663" s="15" t="n">
        <v>45</v>
      </c>
      <c r="I663" s="15" t="n">
        <v>180</v>
      </c>
      <c r="J663" s="13" t="n">
        <v>25</v>
      </c>
      <c r="K663" t="n">
        <v>45</v>
      </c>
      <c r="L663" s="13" t="n">
        <v>2.2</v>
      </c>
      <c r="M663" s="12" t="n"/>
      <c r="N663" s="8" t="n">
        <v>1.445790414920636</v>
      </c>
      <c r="O663" s="15" t="n">
        <v>1.275553259644533</v>
      </c>
      <c r="P663" s="15" t="n">
        <v>1.39271707416309</v>
      </c>
      <c r="Q663" s="15" t="n">
        <v>0.005690937075856829</v>
      </c>
      <c r="R663" s="15" t="n">
        <v>0.06098941700597998</v>
      </c>
      <c r="S663" s="15" t="n">
        <v>0.005960319607281533</v>
      </c>
      <c r="T663" s="29">
        <f>HIPERLINK($A$1 &amp; "\Dados\Imagem_perfil_663.png", "Imagem_perfil_663")</f>
        <v/>
      </c>
      <c r="U663" s="29">
        <f>HIPERLINK($A$1 &amp; "\Dados\Results_airgap663.txt", "Results_airgap663")</f>
        <v/>
      </c>
      <c r="V663" s="19" t="n"/>
      <c r="W663" s="15" t="n">
        <v>1.858290434782609</v>
      </c>
      <c r="X663" s="15" t="n">
        <v>0.9143507091295006</v>
      </c>
      <c r="Y663" s="15" t="n">
        <v>0.2088737344190543</v>
      </c>
      <c r="Z663" s="15" t="n">
        <v>0.01500636166351833</v>
      </c>
      <c r="AA663" s="15" t="n">
        <v>0.01152264105129145</v>
      </c>
      <c r="AB663" s="15" t="n">
        <v>3.360248365370794</v>
      </c>
      <c r="AC663" s="15" t="n">
        <v>15.79415779487805</v>
      </c>
      <c r="AD663" s="15" t="n">
        <v>47.00697874996158</v>
      </c>
      <c r="AE663" s="15" t="n">
        <v>85.94416654927214</v>
      </c>
      <c r="AF663" s="15" t="n">
        <v>118.564864420318</v>
      </c>
      <c r="AH663" s="29">
        <f>HIPERLINK($A$1 &amp; "\Dados\Magnet_fields.txt_663.txt.txt", "Magnet_fields.txt_663.txt")</f>
        <v/>
      </c>
      <c r="AI663" t="n">
        <v>7200</v>
      </c>
      <c r="AJ663" t="n">
        <v>30</v>
      </c>
      <c r="AK663" s="29">
        <f>HIPERLINK($A$1 &amp; "\Dados\Magnet_3D_results.txt_663.txt.txt", "Magnet_3D_results.txt_663.txt")</f>
        <v/>
      </c>
      <c r="AL663" s="29">
        <f>HIPERLINK($A$1 &amp; "\Dados\Magnet_fields_2D.txt_663.txt.txt", "Magnet_fields_2D.txt_663.txt")</f>
        <v/>
      </c>
    </row>
    <row customHeight="1" ht="15.75" r="664" s="34">
      <c r="D664" s="30" t="n"/>
      <c r="E664" s="15" t="n">
        <v>150</v>
      </c>
      <c r="F664" s="15" t="n">
        <v>170</v>
      </c>
      <c r="G664" s="15" t="n">
        <v>350</v>
      </c>
      <c r="H664" s="15" t="n">
        <v>45</v>
      </c>
      <c r="I664" s="15" t="n">
        <v>140</v>
      </c>
      <c r="J664" s="13" t="n">
        <v>25</v>
      </c>
      <c r="K664" t="n">
        <v>45</v>
      </c>
      <c r="L664" s="13" t="n">
        <v>1.4</v>
      </c>
      <c r="M664" s="12" t="n"/>
      <c r="N664" s="8" t="n">
        <v>1.082307588956228</v>
      </c>
      <c r="O664" s="15" t="n">
        <v>0.8261835658652251</v>
      </c>
      <c r="P664" s="15" t="n">
        <v>1.013554719559503</v>
      </c>
      <c r="Q664" s="15" t="n">
        <v>0.0008966140799784231</v>
      </c>
      <c r="R664" s="15" t="n">
        <v>0.02187930231440427</v>
      </c>
      <c r="S664" s="15" t="n">
        <v>0.0009090866985122609</v>
      </c>
      <c r="T664" s="29">
        <f>HIPERLINK($A$1 &amp; "\Dados\Imagem_perfil_664.png", "Imagem_perfil_664")</f>
        <v/>
      </c>
      <c r="U664" s="29">
        <f>HIPERLINK($A$1 &amp; "\Dados\Results_airgap664.txt", "Results_airgap664")</f>
        <v/>
      </c>
      <c r="V664" s="19" t="n"/>
      <c r="W664" s="43" t="n">
        <v>1.401071739130435</v>
      </c>
      <c r="X664" s="15" t="n">
        <v>0.6334082148452446</v>
      </c>
      <c r="Y664" s="15" t="n">
        <v>8.649503766612955e-05</v>
      </c>
      <c r="Z664" s="15" t="n">
        <v>0</v>
      </c>
      <c r="AA664" s="15" t="n">
        <v>9.582478929034146</v>
      </c>
      <c r="AB664" s="15" t="n">
        <v>0.1456653159430061</v>
      </c>
      <c r="AC664" s="15" t="n">
        <v>1.882281023988402</v>
      </c>
      <c r="AD664" s="15" t="n">
        <v>6.920498107178466</v>
      </c>
      <c r="AE664" s="15" t="n">
        <v>25.30989560364372</v>
      </c>
      <c r="AF664" s="15" t="n">
        <v>17.0215362417336</v>
      </c>
      <c r="AH664" s="29">
        <f>HIPERLINK($A$1 &amp; "\Dados\Magnet_fields.txt_664.txt.txt", "Magnet_fields.txt_664.txt")</f>
        <v/>
      </c>
      <c r="AI664" t="n">
        <v>7611</v>
      </c>
      <c r="AJ664" t="n">
        <v>29</v>
      </c>
      <c r="AK664" s="29">
        <f>HIPERLINK($A$1 &amp; "\Dados\Magnet_3D_results.txt_664.txt.txt", "Magnet_3D_results.txt_664.txt")</f>
        <v/>
      </c>
      <c r="AL664" s="29">
        <f>HIPERLINK($A$1 &amp; "\Dados\Magnet_fields_2D.txt_664.txt.txt", "Magnet_fields_2D.txt_664.txt")</f>
        <v/>
      </c>
    </row>
    <row customHeight="1" ht="15.75" r="665" s="34">
      <c r="D665" s="30" t="n"/>
      <c r="E665" s="15" t="n">
        <v>150</v>
      </c>
      <c r="F665" s="15" t="n">
        <v>170</v>
      </c>
      <c r="G665" s="15" t="n">
        <v>350</v>
      </c>
      <c r="H665" s="15" t="n">
        <v>45</v>
      </c>
      <c r="I665" s="15" t="n">
        <v>140</v>
      </c>
      <c r="J665" s="13" t="n">
        <v>25</v>
      </c>
      <c r="K665" t="n">
        <v>45</v>
      </c>
      <c r="L665" s="13" t="n">
        <v>1.6</v>
      </c>
      <c r="M665" s="12" t="n"/>
      <c r="N665" s="8" t="n">
        <v>1.259092576379214</v>
      </c>
      <c r="O665" s="15" t="n">
        <v>0.9721993272321292</v>
      </c>
      <c r="P665" s="15" t="n">
        <v>1.180127687763872</v>
      </c>
      <c r="Q665" s="15" t="n">
        <v>0.001447236140376336</v>
      </c>
      <c r="R665" s="15" t="n">
        <v>0.01429783897200088</v>
      </c>
      <c r="S665" s="15" t="n">
        <v>0.001445908622024663</v>
      </c>
      <c r="T665" s="29">
        <f>HIPERLINK($A$1 &amp; "\Dados\Imagem_perfil_665.png", "Imagem_perfil_665")</f>
        <v/>
      </c>
      <c r="U665" s="29">
        <f>HIPERLINK($A$1 &amp; "\Dados\Results_airgap665.txt", "Results_airgap665")</f>
        <v/>
      </c>
      <c r="V665" s="19" t="n"/>
      <c r="W665" s="43" t="n">
        <v>1.601133043478261</v>
      </c>
      <c r="X665" s="15" t="n">
        <v>0.7601253852088586</v>
      </c>
      <c r="Y665" s="15" t="n">
        <v>8.723423838968952e-05</v>
      </c>
      <c r="Z665" s="15" t="n">
        <v>0</v>
      </c>
      <c r="AA665" s="15" t="n">
        <v>8.215986839937649</v>
      </c>
      <c r="AB665" s="15" t="n">
        <v>2.36786305212965</v>
      </c>
      <c r="AC665" s="15" t="n">
        <v>6.315820101039738</v>
      </c>
      <c r="AD665" s="15" t="n">
        <v>13.91045083014754</v>
      </c>
      <c r="AE665" s="15" t="n">
        <v>41.63247500485997</v>
      </c>
      <c r="AF665" s="15" t="n">
        <v>30.08249851540417</v>
      </c>
      <c r="AH665" s="29">
        <f>HIPERLINK($A$1 &amp; "\Dados\Magnet_fields.txt_665.txt.txt", "Magnet_fields.txt_665.txt")</f>
        <v/>
      </c>
      <c r="AI665" t="n">
        <v>7611</v>
      </c>
      <c r="AJ665" t="n">
        <v>30</v>
      </c>
      <c r="AK665" s="29">
        <f>HIPERLINK($A$1 &amp; "\Dados\Magnet_3D_results.txt_665.txt.txt", "Magnet_3D_results.txt_665.txt")</f>
        <v/>
      </c>
      <c r="AL665" s="29">
        <f>HIPERLINK($A$1 &amp; "\Dados\Magnet_fields_2D.txt_665.txt.txt", "Magnet_fields_2D.txt_665.txt")</f>
        <v/>
      </c>
    </row>
    <row customHeight="1" ht="15.75" r="666" s="34">
      <c r="D666" s="30" t="n"/>
      <c r="E666" s="15" t="n">
        <v>150</v>
      </c>
      <c r="F666" s="15" t="n">
        <v>170</v>
      </c>
      <c r="G666" s="15" t="n">
        <v>350</v>
      </c>
      <c r="H666" s="15" t="n">
        <v>45</v>
      </c>
      <c r="I666" s="15" t="n">
        <v>140</v>
      </c>
      <c r="J666" s="13" t="n">
        <v>25</v>
      </c>
      <c r="K666" t="n">
        <v>45</v>
      </c>
      <c r="L666" s="13" t="n">
        <v>1.8</v>
      </c>
      <c r="M666" s="12" t="n"/>
      <c r="N666" s="8" t="n">
        <v>1.445486077775796</v>
      </c>
      <c r="O666" s="15" t="n">
        <v>1.129713065388846</v>
      </c>
      <c r="P666" s="15" t="n">
        <v>1.356818503968507</v>
      </c>
      <c r="Q666" s="15" t="n">
        <v>0.003050112060090377</v>
      </c>
      <c r="R666" s="15" t="n">
        <v>0.003442992631216504</v>
      </c>
      <c r="S666" s="15" t="n">
        <v>0.003048648769131637</v>
      </c>
      <c r="T666" s="29">
        <f>HIPERLINK($A$1 &amp; "\Dados\Imagem_perfil_666.png", "Imagem_perfil_666")</f>
        <v/>
      </c>
      <c r="U666" s="29">
        <f>HIPERLINK($A$1 &amp; "\Dados\Results_airgap666.txt", "Results_airgap666")</f>
        <v/>
      </c>
      <c r="V666" s="19" t="n"/>
      <c r="W666" s="43" t="n">
        <v>1.799909347826087</v>
      </c>
      <c r="X666" s="15" t="n">
        <v>0.9001679180700112</v>
      </c>
      <c r="Y666" s="15" t="n">
        <v>8.324813132872482e-05</v>
      </c>
      <c r="Z666" s="15" t="n">
        <v>0</v>
      </c>
      <c r="AA666" s="15" t="n">
        <v>6.921824030474028</v>
      </c>
      <c r="AB666" s="15" t="n">
        <v>3.206452903129558</v>
      </c>
      <c r="AC666" s="15" t="n">
        <v>11.42609457291267</v>
      </c>
      <c r="AD666" s="15" t="n">
        <v>19.09216823796145</v>
      </c>
      <c r="AE666" s="15" t="n">
        <v>60.86364909544839</v>
      </c>
      <c r="AF666" s="15" t="n">
        <v>49.21260913564424</v>
      </c>
      <c r="AH666" s="29">
        <f>HIPERLINK($A$1 &amp; "\Dados\Magnet_fields.txt_666.txt.txt", "Magnet_fields.txt_666.txt")</f>
        <v/>
      </c>
      <c r="AI666" t="n">
        <v>7611</v>
      </c>
      <c r="AJ666" t="n">
        <v>29</v>
      </c>
      <c r="AK666" s="29">
        <f>HIPERLINK($A$1 &amp; "\Dados\Magnet_3D_results.txt_666.txt.txt", "Magnet_3D_results.txt_666.txt")</f>
        <v/>
      </c>
      <c r="AL666" s="29">
        <f>HIPERLINK($A$1 &amp; "\Dados\Magnet_fields_2D.txt_666.txt.txt", "Magnet_fields_2D.txt_666.txt")</f>
        <v/>
      </c>
    </row>
    <row customHeight="1" ht="15.75" r="667" s="34">
      <c r="D667" s="30" t="n"/>
      <c r="E667" s="15" t="n">
        <v>150</v>
      </c>
      <c r="F667" s="15" t="n">
        <v>170</v>
      </c>
      <c r="G667" s="15" t="n">
        <v>350</v>
      </c>
      <c r="H667" s="15" t="n">
        <v>45</v>
      </c>
      <c r="I667" s="15" t="n">
        <v>140</v>
      </c>
      <c r="J667" s="13" t="n">
        <v>25</v>
      </c>
      <c r="K667" t="n">
        <v>45</v>
      </c>
      <c r="L667" s="13" t="n">
        <v>2</v>
      </c>
      <c r="M667" s="12" t="n"/>
      <c r="N667" s="8" t="n">
        <v>1.639997146767084</v>
      </c>
      <c r="O667" s="15" t="n">
        <v>1.298256917056823</v>
      </c>
      <c r="P667" s="15" t="n">
        <v>1.543413319836994</v>
      </c>
      <c r="Q667" s="15" t="n">
        <v>0.005996354306919793</v>
      </c>
      <c r="R667" s="15" t="n">
        <v>0.01539268569844856</v>
      </c>
      <c r="S667" s="15" t="n">
        <v>0.006007333992400137</v>
      </c>
      <c r="T667" s="29">
        <f>HIPERLINK($A$1 &amp; "\Dados\Imagem_perfil_667.png", "Imagem_perfil_667")</f>
        <v/>
      </c>
      <c r="U667" s="29">
        <f>HIPERLINK($A$1 &amp; "\Dados\Results_airgap667.txt", "Results_airgap667")</f>
        <v/>
      </c>
      <c r="V667" s="19" t="n"/>
      <c r="W667" s="43" t="n">
        <v>2.000950869565217</v>
      </c>
      <c r="X667" s="15" t="n">
        <v>1.048211580539118</v>
      </c>
      <c r="Y667" s="15" t="n">
        <v>8.053837030210111e-05</v>
      </c>
      <c r="Z667" s="15" t="n">
        <v>0</v>
      </c>
      <c r="AA667" s="15" t="n">
        <v>4.142877231740261</v>
      </c>
      <c r="AB667" s="15" t="n">
        <v>4.572749886858249</v>
      </c>
      <c r="AC667" s="15" t="n">
        <v>15.2245998677894</v>
      </c>
      <c r="AD667" s="15" t="n">
        <v>24.92558639876863</v>
      </c>
      <c r="AE667" s="15" t="n">
        <v>81.21419815204258</v>
      </c>
      <c r="AF667" s="15" t="n">
        <v>84.4073063345358</v>
      </c>
      <c r="AH667" s="29">
        <f>HIPERLINK($A$1 &amp; "\Dados\Magnet_fields.txt_667.txt.txt", "Magnet_fields.txt_667.txt")</f>
        <v/>
      </c>
      <c r="AI667" t="n">
        <v>7611</v>
      </c>
      <c r="AJ667" t="n">
        <v>30</v>
      </c>
      <c r="AK667" s="29">
        <f>HIPERLINK($A$1 &amp; "\Dados\Magnet_3D_results.txt_667.txt.txt", "Magnet_3D_results.txt_667.txt")</f>
        <v/>
      </c>
      <c r="AL667" s="29">
        <f>HIPERLINK($A$1 &amp; "\Dados\Magnet_fields_2D.txt_667.txt.txt", "Magnet_fields_2D.txt_667.txt")</f>
        <v/>
      </c>
    </row>
    <row customHeight="1" ht="15.75" r="668" s="34">
      <c r="D668" s="30" t="n"/>
      <c r="E668" s="15" t="n">
        <v>150</v>
      </c>
      <c r="F668" s="15" t="n">
        <v>170</v>
      </c>
      <c r="G668" s="15" t="n">
        <v>350</v>
      </c>
      <c r="H668" s="15" t="n">
        <v>45</v>
      </c>
      <c r="I668" s="15" t="n">
        <v>140</v>
      </c>
      <c r="J668" s="13" t="n">
        <v>25</v>
      </c>
      <c r="K668" t="n">
        <v>45</v>
      </c>
      <c r="L668" s="13" t="n">
        <v>2.2</v>
      </c>
      <c r="M668" s="12" t="n"/>
      <c r="N668" s="8" t="n">
        <v>1.718678906600463</v>
      </c>
      <c r="O668" s="15" t="n">
        <v>1.3733272629634</v>
      </c>
      <c r="P668" s="15" t="n">
        <v>1.626346499571958</v>
      </c>
      <c r="Q668" s="15" t="n">
        <v>0.006869689687371181</v>
      </c>
      <c r="R668" s="15" t="n">
        <v>0.02439071784124331</v>
      </c>
      <c r="S668" s="15" t="n">
        <v>0.006889082423916157</v>
      </c>
      <c r="T668" s="29">
        <f>HIPERLINK($A$1 &amp; "\Dados\Imagem_perfil_668.png", "Imagem_perfil_668")</f>
        <v/>
      </c>
      <c r="U668" s="29">
        <f>HIPERLINK($A$1 &amp; "\Dados\Results_airgap668.txt", "Results_airgap668")</f>
        <v/>
      </c>
      <c r="V668" s="19" t="n"/>
      <c r="W668" s="43" t="n">
        <v>2.078335</v>
      </c>
      <c r="X668" s="15" t="n">
        <v>1.112294781859997</v>
      </c>
      <c r="Y668" s="15" t="n">
        <v>0.01069008159041774</v>
      </c>
      <c r="Z668" s="15" t="n">
        <v>0</v>
      </c>
      <c r="AA668" s="15" t="n">
        <v>0</v>
      </c>
      <c r="AB668" s="15" t="n">
        <v>2.647308044296717</v>
      </c>
      <c r="AC668" s="15" t="n">
        <v>5.133759597048431</v>
      </c>
      <c r="AD668" s="15" t="n">
        <v>39.82948212391091</v>
      </c>
      <c r="AE668" s="15" t="n">
        <v>89.00100870294673</v>
      </c>
      <c r="AF668" s="15" t="n">
        <v>119.8240669520948</v>
      </c>
      <c r="AH668" s="29">
        <f>HIPERLINK($A$1 &amp; "\Dados\Magnet_fields.txt_668.txt.txt", "Magnet_fields.txt_668.txt")</f>
        <v/>
      </c>
      <c r="AI668" t="n">
        <v>7611</v>
      </c>
      <c r="AJ668" t="n">
        <v>29</v>
      </c>
      <c r="AK668" s="29">
        <f>HIPERLINK($A$1 &amp; "\Dados\Magnet_3D_results.txt_668.txt.txt", "Magnet_3D_results.txt_668.txt")</f>
        <v/>
      </c>
      <c r="AL668" s="29">
        <f>HIPERLINK($A$1 &amp; "\Dados\Magnet_fields_2D.txt_668.txt.txt", "Magnet_fields_2D.txt_668.txt")</f>
        <v/>
      </c>
    </row>
    <row customHeight="1" ht="15.75" r="669" s="34">
      <c r="D669" s="30" t="n"/>
      <c r="E669" s="15" t="n">
        <v>150</v>
      </c>
      <c r="F669" s="15" t="n">
        <v>170</v>
      </c>
      <c r="G669" s="15" t="n">
        <v>350</v>
      </c>
      <c r="H669" s="15" t="n">
        <v>25</v>
      </c>
      <c r="I669" s="15" t="n">
        <v>180</v>
      </c>
      <c r="J669" s="13" t="n">
        <v>25</v>
      </c>
      <c r="K669" t="n">
        <v>45</v>
      </c>
      <c r="L669" s="13" t="n">
        <v>1.4</v>
      </c>
      <c r="M669" s="12" t="n"/>
      <c r="N669" s="8" t="n">
        <v>1.048667255099097</v>
      </c>
      <c r="O669" s="15" t="n">
        <v>0.9326589235855419</v>
      </c>
      <c r="P669" s="15" t="n">
        <v>1.015270566845317</v>
      </c>
      <c r="Q669" s="15" t="n">
        <v>0.0008009741851683212</v>
      </c>
      <c r="R669" s="15" t="n">
        <v>0.03615298546060895</v>
      </c>
      <c r="S669" s="15" t="n">
        <v>0.0007965338910987453</v>
      </c>
      <c r="T669" s="29">
        <f>HIPERLINK($A$1 &amp; "\Dados\Imagem_perfil_669.png", "Imagem_perfil_669")</f>
        <v/>
      </c>
      <c r="U669" s="29">
        <f>HIPERLINK($A$1 &amp; "\Dados\Results_airgap669.txt", "Results_airgap669")</f>
        <v/>
      </c>
      <c r="V669" s="19" t="n"/>
      <c r="W669" s="43" t="n">
        <v>1.400369130434783</v>
      </c>
      <c r="X669" s="15" t="n">
        <v>0.580315595669149</v>
      </c>
      <c r="Y669" s="15" t="n">
        <v>9.056728682947414e-05</v>
      </c>
      <c r="Z669" s="15" t="n">
        <v>0</v>
      </c>
      <c r="AA669" s="15" t="n">
        <v>9.304129839058689</v>
      </c>
      <c r="AB669" s="15" t="n">
        <v>0.697398807790812</v>
      </c>
      <c r="AC669" s="15" t="n">
        <v>1.293921175318883</v>
      </c>
      <c r="AD669" s="15" t="n">
        <v>7.551111671935692</v>
      </c>
      <c r="AE669" s="15" t="n">
        <v>24.93556100565848</v>
      </c>
      <c r="AF669" s="15" t="n">
        <v>16.89650798997809</v>
      </c>
      <c r="AH669" s="29">
        <f>HIPERLINK($A$1 &amp; "\Dados\Magnet_fields.txt_669.txt.txt", "Magnet_fields.txt_669.txt")</f>
        <v/>
      </c>
      <c r="AI669" t="n">
        <v>9907</v>
      </c>
      <c r="AJ669" t="n">
        <v>30</v>
      </c>
      <c r="AK669" s="29">
        <f>HIPERLINK($A$1 &amp; "\Dados\Magnet_3D_results.txt_669.txt.txt", "Magnet_3D_results.txt_669.txt")</f>
        <v/>
      </c>
      <c r="AL669" s="29">
        <f>HIPERLINK($A$1 &amp; "\Dados\Magnet_fields_2D.txt_669.txt.txt", "Magnet_fields_2D.txt_669.txt")</f>
        <v/>
      </c>
    </row>
    <row customHeight="1" ht="15.75" r="670" s="34">
      <c r="D670" s="30" t="n"/>
      <c r="E670" s="15" t="n">
        <v>150</v>
      </c>
      <c r="F670" s="15" t="n">
        <v>170</v>
      </c>
      <c r="G670" s="15" t="n">
        <v>350</v>
      </c>
      <c r="H670" s="15" t="n">
        <v>25</v>
      </c>
      <c r="I670" s="15" t="n">
        <v>180</v>
      </c>
      <c r="J670" s="13" t="n">
        <v>25</v>
      </c>
      <c r="K670" t="n">
        <v>45</v>
      </c>
      <c r="L670" s="13" t="n">
        <v>1.6</v>
      </c>
      <c r="M670" s="12" t="n"/>
      <c r="N670" s="8" t="n">
        <v>1.248928461624364</v>
      </c>
      <c r="O670" s="15" t="n">
        <v>1.111959155717765</v>
      </c>
      <c r="P670" s="15" t="n">
        <v>1.207925935953552</v>
      </c>
      <c r="Q670" s="15" t="n">
        <v>0.001286257354975621</v>
      </c>
      <c r="R670" s="15" t="n">
        <v>0.0268987557155916</v>
      </c>
      <c r="S670" s="15" t="n">
        <v>0.001280492844779316</v>
      </c>
      <c r="T670" s="29">
        <f>HIPERLINK($A$1 &amp; "\Dados\Imagem_perfil_670.png", "Imagem_perfil_670")</f>
        <v/>
      </c>
      <c r="U670" s="29">
        <f>HIPERLINK($A$1 &amp; "\Dados\Results_airgap670.txt", "Results_airgap670")</f>
        <v/>
      </c>
      <c r="V670" s="19" t="n"/>
      <c r="W670" s="43" t="n">
        <v>1.601262608695652</v>
      </c>
      <c r="X670" s="15" t="n">
        <v>0.7171091518993725</v>
      </c>
      <c r="Y670" s="15" t="n">
        <v>8.696543583785274e-05</v>
      </c>
      <c r="Z670" s="15" t="n">
        <v>0</v>
      </c>
      <c r="AA670" s="15" t="n">
        <v>8.380489713092139</v>
      </c>
      <c r="AB670" s="15" t="n">
        <v>2.32484252917305</v>
      </c>
      <c r="AC670" s="15" t="n">
        <v>6.389307933686734</v>
      </c>
      <c r="AD670" s="15" t="n">
        <v>13.92481454875051</v>
      </c>
      <c r="AE670" s="15" t="n">
        <v>41.74272346253865</v>
      </c>
      <c r="AF670" s="15" t="n">
        <v>30.08715583779159</v>
      </c>
      <c r="AH670" s="29">
        <f>HIPERLINK($A$1 &amp; "\Dados\Magnet_fields.txt_670.txt.txt", "Magnet_fields.txt_670.txt")</f>
        <v/>
      </c>
      <c r="AI670" t="n">
        <v>9907</v>
      </c>
      <c r="AJ670" t="n">
        <v>30</v>
      </c>
      <c r="AK670" s="29">
        <f>HIPERLINK($A$1 &amp; "\Dados\Magnet_3D_results.txt_670.txt.txt", "Magnet_3D_results.txt_670.txt")</f>
        <v/>
      </c>
      <c r="AL670" s="29">
        <f>HIPERLINK($A$1 &amp; "\Dados\Magnet_fields_2D.txt_670.txt.txt", "Magnet_fields_2D.txt_670.txt")</f>
        <v/>
      </c>
    </row>
    <row customHeight="1" ht="15.75" r="671" s="34">
      <c r="D671" s="30" t="n"/>
      <c r="E671" s="15" t="n">
        <v>150</v>
      </c>
      <c r="F671" s="15" t="n">
        <v>170</v>
      </c>
      <c r="G671" s="15" t="n">
        <v>350</v>
      </c>
      <c r="H671" s="15" t="n">
        <v>25</v>
      </c>
      <c r="I671" s="15" t="n">
        <v>180</v>
      </c>
      <c r="J671" s="13" t="n">
        <v>25</v>
      </c>
      <c r="K671" t="n">
        <v>45</v>
      </c>
      <c r="L671" s="13" t="n">
        <v>1.8</v>
      </c>
      <c r="M671" s="12" t="n"/>
      <c r="N671" s="8" t="n">
        <v>1.459926079086511</v>
      </c>
      <c r="O671" s="15" t="n">
        <v>1.302596713708444</v>
      </c>
      <c r="P671" s="15" t="n">
        <v>1.411693060678844</v>
      </c>
      <c r="Q671" s="15" t="n">
        <v>0.002677821593847776</v>
      </c>
      <c r="R671" s="15" t="n">
        <v>0.01384290341801493</v>
      </c>
      <c r="S671" s="15" t="n">
        <v>0.002668406775585869</v>
      </c>
      <c r="T671" s="29">
        <f>HIPERLINK($A$1 &amp; "\Dados\Imagem_perfil_671.png", "Imagem_perfil_671")</f>
        <v/>
      </c>
      <c r="U671" s="29">
        <f>HIPERLINK($A$1 &amp; "\Dados\Results_airgap671.txt", "Results_airgap671")</f>
        <v/>
      </c>
      <c r="V671" s="19" t="n"/>
      <c r="W671" s="43" t="n">
        <v>1.80054195652174</v>
      </c>
      <c r="X671" s="15" t="n">
        <v>0.8704515649000313</v>
      </c>
      <c r="Y671" s="15" t="n">
        <v>8.389962738574694e-05</v>
      </c>
      <c r="Z671" s="15" t="n">
        <v>0</v>
      </c>
      <c r="AA671" s="15" t="n">
        <v>6.857988509129889</v>
      </c>
      <c r="AB671" s="15" t="n">
        <v>3.514841501238091</v>
      </c>
      <c r="AC671" s="15" t="n">
        <v>11.1338103146788</v>
      </c>
      <c r="AD671" s="15" t="n">
        <v>19.42534626209375</v>
      </c>
      <c r="AE671" s="15" t="n">
        <v>60.92275523332548</v>
      </c>
      <c r="AF671" s="15" t="n">
        <v>49.13433636142715</v>
      </c>
      <c r="AH671" s="29">
        <f>HIPERLINK($A$1 &amp; "\Dados\Magnet_fields.txt_671.txt.txt", "Magnet_fields.txt_671.txt")</f>
        <v/>
      </c>
      <c r="AI671" t="n">
        <v>9907</v>
      </c>
      <c r="AJ671" t="n">
        <v>30</v>
      </c>
      <c r="AK671" s="29">
        <f>HIPERLINK($A$1 &amp; "\Dados\Magnet_3D_results.txt_671.txt.txt", "Magnet_3D_results.txt_671.txt")</f>
        <v/>
      </c>
      <c r="AL671" s="29">
        <f>HIPERLINK($A$1 &amp; "\Dados\Magnet_fields_2D.txt_671.txt.txt", "Magnet_fields_2D.txt_671.txt")</f>
        <v/>
      </c>
    </row>
    <row customHeight="1" ht="15.75" r="672" s="34">
      <c r="D672" s="30" t="n"/>
      <c r="E672" s="15" t="n">
        <v>150</v>
      </c>
      <c r="F672" s="15" t="n">
        <v>170</v>
      </c>
      <c r="G672" s="15" t="n">
        <v>350</v>
      </c>
      <c r="H672" s="15" t="n">
        <v>25</v>
      </c>
      <c r="I672" s="15" t="n">
        <v>180</v>
      </c>
      <c r="J672" s="13" t="n">
        <v>25</v>
      </c>
      <c r="K672" t="n">
        <v>45</v>
      </c>
      <c r="L672" s="13" t="n">
        <v>2</v>
      </c>
      <c r="M672" s="12" t="n"/>
      <c r="N672" s="8" t="n">
        <v>1.680224224739741</v>
      </c>
      <c r="O672" s="15" t="n">
        <v>1.506240159728173</v>
      </c>
      <c r="P672" s="15" t="n">
        <v>1.626766638757229</v>
      </c>
      <c r="Q672" s="15" t="n">
        <v>0.005461429733655724</v>
      </c>
      <c r="R672" s="15" t="n">
        <v>0.007175645351181838</v>
      </c>
      <c r="S672" s="15" t="n">
        <v>0.005448522393402531</v>
      </c>
      <c r="T672" s="29">
        <f>HIPERLINK($A$1 &amp; "\Dados\Imagem_perfil_672.png", "Imagem_perfil_672")</f>
        <v/>
      </c>
      <c r="U672" s="29">
        <f>HIPERLINK($A$1 &amp; "\Dados\Results_airgap672.txt", "Results_airgap672")</f>
        <v/>
      </c>
      <c r="V672" s="19" t="n"/>
      <c r="W672" s="43" t="n">
        <v>2.000269347826087</v>
      </c>
      <c r="X672" s="15" t="n">
        <v>1.034798145336471</v>
      </c>
      <c r="Y672" s="15" t="n">
        <v>8.380868500859487e-05</v>
      </c>
      <c r="Z672" s="15" t="n">
        <v>0.0203742506502133</v>
      </c>
      <c r="AA672" s="15" t="n">
        <v>6.208659207552742</v>
      </c>
      <c r="AB672" s="15" t="n">
        <v>4.912347266509508</v>
      </c>
      <c r="AC672" s="15" t="n">
        <v>14.61874455056366</v>
      </c>
      <c r="AD672" s="15" t="n">
        <v>25.46552029555792</v>
      </c>
      <c r="AE672" s="15" t="n">
        <v>81.00916809319219</v>
      </c>
      <c r="AF672" s="15" t="n">
        <v>83.81288953179047</v>
      </c>
      <c r="AH672" s="29">
        <f>HIPERLINK($A$1 &amp; "\Dados\Magnet_fields.txt_672.txt.txt", "Magnet_fields.txt_672.txt")</f>
        <v/>
      </c>
      <c r="AI672" t="n">
        <v>9907</v>
      </c>
      <c r="AJ672" t="n">
        <v>30</v>
      </c>
      <c r="AK672" s="29">
        <f>HIPERLINK($A$1 &amp; "\Dados\Magnet_3D_results.txt_672.txt.txt", "Magnet_3D_results.txt_672.txt")</f>
        <v/>
      </c>
      <c r="AL672" s="29">
        <f>HIPERLINK($A$1 &amp; "\Dados\Magnet_fields_2D.txt_672.txt.txt", "Magnet_fields_2D.txt_672.txt")</f>
        <v/>
      </c>
    </row>
    <row customHeight="1" ht="15.75" r="673" s="34">
      <c r="D673" s="30" t="n"/>
      <c r="E673" s="15" t="n">
        <v>150</v>
      </c>
      <c r="F673" s="15" t="n">
        <v>170</v>
      </c>
      <c r="G673" s="15" t="n">
        <v>350</v>
      </c>
      <c r="H673" s="15" t="n">
        <v>25</v>
      </c>
      <c r="I673" s="15" t="n">
        <v>180</v>
      </c>
      <c r="J673" s="13" t="n">
        <v>25</v>
      </c>
      <c r="K673" t="n">
        <v>45</v>
      </c>
      <c r="L673" s="13" t="n">
        <v>2.2</v>
      </c>
      <c r="M673" s="12" t="n"/>
      <c r="N673" s="8" t="n">
        <v>1.779112904165129</v>
      </c>
      <c r="O673" s="15" t="n">
        <v>1.602289164115141</v>
      </c>
      <c r="P673" s="15" t="n">
        <v>1.729939609282112</v>
      </c>
      <c r="Q673" s="15" t="n">
        <v>0.006661140341864082</v>
      </c>
      <c r="R673" s="15" t="n">
        <v>0.01976382709555515</v>
      </c>
      <c r="S673" s="15" t="n">
        <v>0.006649069591419639</v>
      </c>
      <c r="T673" s="29">
        <f>HIPERLINK($A$1 &amp; "\Dados\Imagem_perfil_673.png", "Imagem_perfil_673")</f>
        <v/>
      </c>
      <c r="U673" s="29">
        <f>HIPERLINK($A$1 &amp; "\Dados\Results_airgap673.txt", "Results_airgap673")</f>
        <v/>
      </c>
      <c r="V673" s="19" t="n"/>
      <c r="W673" s="43" t="n">
        <v>2.077611739130435</v>
      </c>
      <c r="X673" s="15" t="n">
        <v>1.112686970158088</v>
      </c>
      <c r="Y673" s="15" t="n">
        <v>0.01073869362093439</v>
      </c>
      <c r="Z673" s="15" t="n">
        <v>0</v>
      </c>
      <c r="AA673" s="15" t="n">
        <v>5.544444653567336</v>
      </c>
      <c r="AB673" s="15" t="n">
        <v>2.615666383817815</v>
      </c>
      <c r="AC673" s="15" t="n">
        <v>5.059322019846623</v>
      </c>
      <c r="AD673" s="15" t="n">
        <v>39.83617495515485</v>
      </c>
      <c r="AE673" s="15" t="n">
        <v>89.01615987523304</v>
      </c>
      <c r="AF673" s="15" t="n">
        <v>119.508668681868</v>
      </c>
      <c r="AH673" s="29">
        <f>HIPERLINK($A$1 &amp; "\Dados\Magnet_fields.txt_673.txt.txt", "Magnet_fields.txt_673.txt")</f>
        <v/>
      </c>
      <c r="AI673" t="n">
        <v>9907</v>
      </c>
      <c r="AJ673" t="n">
        <v>29</v>
      </c>
      <c r="AK673" s="29">
        <f>HIPERLINK($A$1 &amp; "\Dados\Magnet_3D_results.txt_673.txt.txt", "Magnet_3D_results.txt_673.txt")</f>
        <v/>
      </c>
      <c r="AL673" s="29">
        <f>HIPERLINK($A$1 &amp; "\Dados\Magnet_fields_2D.txt_673.txt.txt", "Magnet_fields_2D.txt_673.txt")</f>
        <v/>
      </c>
    </row>
    <row customHeight="1" ht="15.75" r="674" s="34">
      <c r="D674" s="30" t="n"/>
      <c r="E674" s="15" t="n">
        <v>150</v>
      </c>
      <c r="F674" s="15" t="n">
        <v>170</v>
      </c>
      <c r="G674" s="15" t="n">
        <v>350</v>
      </c>
      <c r="H674" s="15" t="n">
        <v>45</v>
      </c>
      <c r="I674" s="15" t="n">
        <v>180</v>
      </c>
      <c r="J674" s="13" t="n">
        <v>25</v>
      </c>
      <c r="K674" t="n">
        <v>45</v>
      </c>
      <c r="L674" s="13" t="n">
        <v>1.4</v>
      </c>
      <c r="M674" s="12" t="n"/>
      <c r="N674" s="8" t="n">
        <v>1.109622166035444</v>
      </c>
      <c r="O674" s="15" t="n">
        <v>0.9947759544044519</v>
      </c>
      <c r="P674" s="15" t="n">
        <v>1.076213591727451</v>
      </c>
      <c r="Q674" s="15" t="n">
        <v>0.0009181246312234998</v>
      </c>
      <c r="R674" s="15" t="n">
        <v>0.02579372340444749</v>
      </c>
      <c r="S674" s="15" t="n">
        <v>0.0009138384344074611</v>
      </c>
      <c r="T674" s="29">
        <f>HIPERLINK($A$1 &amp; "\Dados\Imagem_perfil_674.png", "Imagem_perfil_674")</f>
        <v/>
      </c>
      <c r="U674" s="29">
        <f>HIPERLINK($A$1 &amp; "\Dados\Results_airgap674.txt", "Results_airgap674")</f>
        <v/>
      </c>
      <c r="V674" s="19" t="n"/>
      <c r="W674" s="43" t="n">
        <v>1.401076739130435</v>
      </c>
      <c r="X674" s="15" t="n">
        <v>0.6373053677225565</v>
      </c>
      <c r="Y674" s="15" t="n">
        <v>8.666667401019591e-05</v>
      </c>
      <c r="Z674" s="15" t="n">
        <v>0</v>
      </c>
      <c r="AA674" s="15" t="n">
        <v>10.38530602619205</v>
      </c>
      <c r="AB674" s="15" t="n">
        <v>0.1699065715696964</v>
      </c>
      <c r="AC674" s="15" t="n">
        <v>1.844624133440444</v>
      </c>
      <c r="AD674" s="15" t="n">
        <v>6.991098732125545</v>
      </c>
      <c r="AE674" s="15" t="n">
        <v>25.21543734070223</v>
      </c>
      <c r="AF674" s="15" t="n">
        <v>17.05289473610776</v>
      </c>
      <c r="AH674" s="29">
        <f>HIPERLINK($A$1 &amp; "\Dados\Magnet_fields.txt_674.txt.txt", "Magnet_fields.txt_674.txt")</f>
        <v/>
      </c>
      <c r="AI674" t="n">
        <v>7672</v>
      </c>
      <c r="AJ674" t="n">
        <v>29</v>
      </c>
      <c r="AK674" s="29">
        <f>HIPERLINK($A$1 &amp; "\Dados\Magnet_3D_results.txt_674.txt.txt", "Magnet_3D_results.txt_674.txt")</f>
        <v/>
      </c>
      <c r="AL674" s="29">
        <f>HIPERLINK($A$1 &amp; "\Dados\Magnet_fields_2D.txt_674.txt.txt", "Magnet_fields_2D.txt_674.txt")</f>
        <v/>
      </c>
    </row>
    <row customHeight="1" ht="15.75" r="675" s="34">
      <c r="D675" s="30" t="n"/>
      <c r="E675" s="15" t="n">
        <v>150</v>
      </c>
      <c r="F675" s="15" t="n">
        <v>170</v>
      </c>
      <c r="G675" s="15" t="n">
        <v>350</v>
      </c>
      <c r="H675" s="15" t="n">
        <v>45</v>
      </c>
      <c r="I675" s="15" t="n">
        <v>180</v>
      </c>
      <c r="J675" s="13" t="n">
        <v>25</v>
      </c>
      <c r="K675" t="n">
        <v>45</v>
      </c>
      <c r="L675" s="13" t="n">
        <v>1.6</v>
      </c>
      <c r="M675" s="12" t="n"/>
      <c r="N675" s="8" t="n">
        <v>1.303793399599461</v>
      </c>
      <c r="O675" s="15" t="n">
        <v>1.16818628491453</v>
      </c>
      <c r="P675" s="15" t="n">
        <v>1.263104249069826</v>
      </c>
      <c r="Q675" s="15" t="n">
        <v>0.001522238727207018</v>
      </c>
      <c r="R675" s="15" t="n">
        <v>0.01737105572261578</v>
      </c>
      <c r="S675" s="15" t="n">
        <v>0.001516275875797931</v>
      </c>
      <c r="T675" s="29">
        <f>HIPERLINK($A$1 &amp; "\Dados\Imagem_perfil_675.png", "Imagem_perfil_675")</f>
        <v/>
      </c>
      <c r="U675" s="29">
        <f>HIPERLINK($A$1 &amp; "\Dados\Results_airgap675.txt", "Results_airgap675")</f>
        <v/>
      </c>
      <c r="V675" s="19" t="n"/>
      <c r="W675" s="43" t="n">
        <v>1.601165652173913</v>
      </c>
      <c r="X675" s="15" t="n">
        <v>0.7715703467723685</v>
      </c>
      <c r="Y675" s="15" t="n">
        <v>8.713053606600467e-05</v>
      </c>
      <c r="Z675" s="15" t="n">
        <v>0</v>
      </c>
      <c r="AA675" s="15" t="n">
        <v>9.260085409375518</v>
      </c>
      <c r="AB675" s="15" t="n">
        <v>2.348748433401202</v>
      </c>
      <c r="AC675" s="15" t="n">
        <v>6.335544020727536</v>
      </c>
      <c r="AD675" s="15" t="n">
        <v>13.90909817104133</v>
      </c>
      <c r="AE675" s="15" t="n">
        <v>41.53838176662782</v>
      </c>
      <c r="AF675" s="15" t="n">
        <v>30.18419898802499</v>
      </c>
      <c r="AH675" s="29">
        <f>HIPERLINK($A$1 &amp; "\Dados\Magnet_fields.txt_675.txt.txt", "Magnet_fields.txt_675.txt")</f>
        <v/>
      </c>
      <c r="AI675" t="n">
        <v>7672</v>
      </c>
      <c r="AJ675" t="n">
        <v>29</v>
      </c>
      <c r="AK675" s="29">
        <f>HIPERLINK($A$1 &amp; "\Dados\Magnet_3D_results.txt_675.txt.txt", "Magnet_3D_results.txt_675.txt")</f>
        <v/>
      </c>
      <c r="AL675" s="29">
        <f>HIPERLINK($A$1 &amp; "\Dados\Magnet_fields_2D.txt_675.txt.txt", "Magnet_fields_2D.txt_675.txt")</f>
        <v/>
      </c>
    </row>
    <row customHeight="1" ht="15.75" r="676" s="34">
      <c r="D676" s="30" t="n"/>
      <c r="E676" s="15" t="n">
        <v>150</v>
      </c>
      <c r="F676" s="15" t="n">
        <v>170</v>
      </c>
      <c r="G676" s="15" t="n">
        <v>350</v>
      </c>
      <c r="H676" s="15" t="n">
        <v>45</v>
      </c>
      <c r="I676" s="15" t="n">
        <v>180</v>
      </c>
      <c r="J676" s="13" t="n">
        <v>25</v>
      </c>
      <c r="K676" t="n">
        <v>45</v>
      </c>
      <c r="L676" s="13" t="n">
        <v>1.8</v>
      </c>
      <c r="M676" s="12" t="n"/>
      <c r="N676" s="8" t="n">
        <v>1.509852189738985</v>
      </c>
      <c r="O676" s="15" t="n">
        <v>1.35408043138049</v>
      </c>
      <c r="P676" s="15" t="n">
        <v>1.461982183239648</v>
      </c>
      <c r="Q676" s="15" t="n">
        <v>0.003259992529627615</v>
      </c>
      <c r="R676" s="15" t="n">
        <v>0.005037546795204342</v>
      </c>
      <c r="S676" s="15" t="n">
        <v>0.003250263877588224</v>
      </c>
      <c r="T676" s="29">
        <f>HIPERLINK($A$1 &amp; "\Dados\Imagem_perfil_676.png", "Imagem_perfil_676")</f>
        <v/>
      </c>
      <c r="U676" s="29">
        <f>HIPERLINK($A$1 &amp; "\Dados\Results_airgap676.txt", "Results_airgap676")</f>
        <v/>
      </c>
      <c r="V676" s="19" t="n"/>
      <c r="W676" s="43" t="n">
        <v>1.800560434782609</v>
      </c>
      <c r="X676" s="15" t="n">
        <v>0.921018272830509</v>
      </c>
      <c r="Y676" s="15" t="n">
        <v>8.336097895808731e-05</v>
      </c>
      <c r="Z676" s="15" t="n">
        <v>0</v>
      </c>
      <c r="AA676" s="15" t="n">
        <v>7.732990379600944</v>
      </c>
      <c r="AB676" s="15" t="n">
        <v>3.452965655750867</v>
      </c>
      <c r="AC676" s="15" t="n">
        <v>11.247918310834</v>
      </c>
      <c r="AD676" s="15" t="n">
        <v>19.44466985979057</v>
      </c>
      <c r="AE676" s="15" t="n">
        <v>60.52631216851346</v>
      </c>
      <c r="AF676" s="15" t="n">
        <v>49.16928011929438</v>
      </c>
      <c r="AH676" s="29">
        <f>HIPERLINK($A$1 &amp; "\Dados\Magnet_fields.txt_676.txt.txt", "Magnet_fields.txt_676.txt")</f>
        <v/>
      </c>
      <c r="AI676" t="n">
        <v>7672</v>
      </c>
      <c r="AJ676" t="n">
        <v>29</v>
      </c>
      <c r="AK676" s="29">
        <f>HIPERLINK($A$1 &amp; "\Dados\Magnet_3D_results.txt_676.txt.txt", "Magnet_3D_results.txt_676.txt")</f>
        <v/>
      </c>
      <c r="AL676" s="29">
        <f>HIPERLINK($A$1 &amp; "\Dados\Magnet_fields_2D.txt_676.txt.txt", "Magnet_fields_2D.txt_676.txt")</f>
        <v/>
      </c>
    </row>
    <row customHeight="1" ht="15.75" r="677" s="34">
      <c r="D677" s="30" t="n"/>
      <c r="E677" s="15" t="n">
        <v>150</v>
      </c>
      <c r="F677" s="15" t="n">
        <v>170</v>
      </c>
      <c r="G677" s="15" t="n">
        <v>350</v>
      </c>
      <c r="H677" s="15" t="n">
        <v>45</v>
      </c>
      <c r="I677" s="15" t="n">
        <v>180</v>
      </c>
      <c r="J677" s="13" t="n">
        <v>25</v>
      </c>
      <c r="K677" t="n">
        <v>45</v>
      </c>
      <c r="L677" s="13" t="n">
        <v>2</v>
      </c>
      <c r="M677" s="12" t="n"/>
      <c r="N677" s="8" t="n">
        <v>1.724005802066914</v>
      </c>
      <c r="O677" s="15" t="n">
        <v>1.551738494506979</v>
      </c>
      <c r="P677" s="15" t="n">
        <v>1.670933174719243</v>
      </c>
      <c r="Q677" s="15" t="n">
        <v>0.006416720645087178</v>
      </c>
      <c r="R677" s="15" t="n">
        <v>0.01531735492891939</v>
      </c>
      <c r="S677" s="15" t="n">
        <v>0.006404792889773005</v>
      </c>
      <c r="T677" s="29">
        <f>HIPERLINK($A$1 &amp; "\Dados\Imagem_perfil_677.png", "Imagem_perfil_677")</f>
        <v/>
      </c>
      <c r="U677" s="29">
        <f>HIPERLINK($A$1 &amp; "\Dados\Results_airgap677.txt", "Results_airgap677")</f>
        <v/>
      </c>
      <c r="V677" s="19" t="n"/>
      <c r="W677" s="43" t="n">
        <v>1.998760434782608</v>
      </c>
      <c r="X677" s="15" t="n">
        <v>1.075938260168428</v>
      </c>
      <c r="Y677" s="15" t="n">
        <v>8.550587198689234e-05</v>
      </c>
      <c r="Z677" s="15" t="n">
        <v>0</v>
      </c>
      <c r="AA677" s="15" t="n">
        <v>4.318548315369021</v>
      </c>
      <c r="AB677" s="15" t="n">
        <v>5.135673503100106</v>
      </c>
      <c r="AC677" s="15" t="n">
        <v>14.56402348301313</v>
      </c>
      <c r="AD677" s="15" t="n">
        <v>25.06455425518606</v>
      </c>
      <c r="AE677" s="15" t="n">
        <v>81.30362259860708</v>
      </c>
      <c r="AF677" s="15" t="n">
        <v>83.74083815410518</v>
      </c>
      <c r="AH677" s="29">
        <f>HIPERLINK($A$1 &amp; "\Dados\Magnet_fields.txt_677.txt.txt", "Magnet_fields.txt_677.txt")</f>
        <v/>
      </c>
      <c r="AI677" t="n">
        <v>7672</v>
      </c>
      <c r="AJ677" t="n">
        <v>29</v>
      </c>
      <c r="AK677" s="29">
        <f>HIPERLINK($A$1 &amp; "\Dados\Magnet_3D_results.txt_677.txt.txt", "Magnet_3D_results.txt_677.txt")</f>
        <v/>
      </c>
      <c r="AL677" s="29">
        <f>HIPERLINK($A$1 &amp; "\Dados\Magnet_fields_2D.txt_677.txt.txt", "Magnet_fields_2D.txt_677.txt")</f>
        <v/>
      </c>
    </row>
    <row customHeight="1" ht="15.75" r="678" s="34">
      <c r="D678" s="30" t="n"/>
      <c r="E678" s="15" t="n">
        <v>150</v>
      </c>
      <c r="F678" s="15" t="n">
        <v>170</v>
      </c>
      <c r="G678" s="15" t="n">
        <v>350</v>
      </c>
      <c r="H678" s="15" t="n">
        <v>45</v>
      </c>
      <c r="I678" s="15" t="n">
        <v>180</v>
      </c>
      <c r="J678" s="13" t="n">
        <v>25</v>
      </c>
      <c r="K678" t="n">
        <v>45</v>
      </c>
      <c r="L678" s="13" t="n">
        <v>2.2</v>
      </c>
      <c r="M678" s="12" t="n"/>
      <c r="N678" s="8" t="n">
        <v>1.808392143377612</v>
      </c>
      <c r="O678" s="15" t="n">
        <v>1.633387129464004</v>
      </c>
      <c r="P678" s="15" t="n">
        <v>1.759628445358308</v>
      </c>
      <c r="Q678" s="15" t="n">
        <v>0.007408235771019429</v>
      </c>
      <c r="R678" s="15" t="n">
        <v>0.02539830355856214</v>
      </c>
      <c r="S678" s="15" t="n">
        <v>0.00739739208917024</v>
      </c>
      <c r="T678" s="29">
        <f>HIPERLINK($A$1 &amp; "\Dados\Imagem_perfil_678.png", "Imagem_perfil_678")</f>
        <v/>
      </c>
      <c r="U678" s="29">
        <f>HIPERLINK($A$1 &amp; "\Dados\Results_airgap678.txt", "Results_airgap678")</f>
        <v/>
      </c>
      <c r="V678" s="19" t="n"/>
      <c r="W678" s="43" t="n">
        <v>2.078544782608696</v>
      </c>
      <c r="X678" s="15" t="n">
        <v>1.14081946497481</v>
      </c>
      <c r="Y678" s="15" t="n">
        <v>0.01069073017069758</v>
      </c>
      <c r="Z678" s="15" t="n">
        <v>0</v>
      </c>
      <c r="AA678" s="15" t="n">
        <v>0</v>
      </c>
      <c r="AB678" s="15" t="n">
        <v>2.657257178792605</v>
      </c>
      <c r="AC678" s="15" t="n">
        <v>5.168667642516882</v>
      </c>
      <c r="AD678" s="15" t="n">
        <v>39.83458894412664</v>
      </c>
      <c r="AE678" s="15" t="n">
        <v>88.99884024765177</v>
      </c>
      <c r="AF678" s="15" t="n">
        <v>119.8777064882452</v>
      </c>
      <c r="AH678" s="29">
        <f>HIPERLINK($A$1 &amp; "\Dados\Magnet_fields.txt_678.txt.txt", "Magnet_fields.txt_678.txt")</f>
        <v/>
      </c>
      <c r="AI678" t="n">
        <v>7672</v>
      </c>
      <c r="AJ678" t="n">
        <v>29</v>
      </c>
      <c r="AK678" s="29">
        <f>HIPERLINK($A$1 &amp; "\Dados\Magnet_3D_results.txt_678.txt.txt", "Magnet_3D_results.txt_678.txt")</f>
        <v/>
      </c>
      <c r="AL678" s="29">
        <f>HIPERLINK($A$1 &amp; "\Dados\Magnet_fields_2D.txt_678.txt.txt", "Magnet_fields_2D.txt_678.txt")</f>
        <v/>
      </c>
    </row>
    <row customHeight="1" ht="15.75" r="679" s="34">
      <c r="D679" s="30" t="n"/>
      <c r="E679" s="15" t="n">
        <v>150</v>
      </c>
      <c r="F679" s="15" t="n">
        <v>170</v>
      </c>
      <c r="G679" s="15" t="n">
        <v>430</v>
      </c>
      <c r="H679" s="15" t="n">
        <v>45</v>
      </c>
      <c r="I679" s="15" t="n">
        <v>140</v>
      </c>
      <c r="J679" s="13" t="n">
        <v>25</v>
      </c>
      <c r="K679" t="n">
        <v>45</v>
      </c>
      <c r="L679" s="13" t="n">
        <v>1.4</v>
      </c>
      <c r="M679" s="12" t="n"/>
      <c r="N679" s="8" t="n">
        <v>1.062546454801572</v>
      </c>
      <c r="O679" s="15" t="n">
        <v>0.8132622652573205</v>
      </c>
      <c r="P679" s="15" t="n">
        <v>0.9950301570766213</v>
      </c>
      <c r="Q679" s="15" t="n">
        <v>0.0007035939360208174</v>
      </c>
      <c r="R679" s="15" t="n">
        <v>0.02399843255736711</v>
      </c>
      <c r="S679" s="15" t="n">
        <v>0.0007179681943601221</v>
      </c>
      <c r="T679" s="29">
        <f>HIPERLINK($A$1 &amp; "\Dados\Imagem_perfil_679.png", "Imagem_perfil_679")</f>
        <v/>
      </c>
      <c r="U679" s="29">
        <f>HIPERLINK($A$1 &amp; "\Dados\Results_airgap679.txt", "Results_airgap679")</f>
        <v/>
      </c>
      <c r="V679" s="19" t="n"/>
      <c r="W679" s="43" t="n">
        <v>1.399724565217391</v>
      </c>
      <c r="X679" s="15" t="n">
        <v>0.6258029099968185</v>
      </c>
      <c r="Y679" s="15" t="n">
        <v>0.0001027172874440755</v>
      </c>
      <c r="Z679" s="15" t="n">
        <v>0</v>
      </c>
      <c r="AA679" s="15" t="n">
        <v>10.45201678413472</v>
      </c>
      <c r="AB679" s="15" t="n">
        <v>0</v>
      </c>
      <c r="AC679" s="15" t="n">
        <v>0</v>
      </c>
      <c r="AD679" s="15" t="n">
        <v>1.959254192933436</v>
      </c>
      <c r="AE679" s="15" t="n">
        <v>21.94255796304324</v>
      </c>
      <c r="AF679" s="15" t="n">
        <v>15.33331995769472</v>
      </c>
      <c r="AH679" s="29">
        <f>HIPERLINK($A$1 &amp; "\Dados\Magnet_fields.txt_679.txt.txt", "Magnet_fields.txt_679.txt")</f>
        <v/>
      </c>
      <c r="AI679" t="n">
        <v>7867</v>
      </c>
      <c r="AJ679" t="n">
        <v>29</v>
      </c>
      <c r="AK679" s="29">
        <f>HIPERLINK($A$1 &amp; "\Dados\Magnet_3D_results.txt_679.txt.txt", "Magnet_3D_results.txt_679.txt")</f>
        <v/>
      </c>
      <c r="AL679" s="29">
        <f>HIPERLINK($A$1 &amp; "\Dados\Magnet_fields_2D.txt_679.txt.txt", "Magnet_fields_2D.txt_679.txt")</f>
        <v/>
      </c>
    </row>
    <row customHeight="1" ht="15.75" r="680" s="34">
      <c r="D680" s="30" t="n"/>
      <c r="E680" s="15" t="n">
        <v>150</v>
      </c>
      <c r="F680" s="15" t="n">
        <v>170</v>
      </c>
      <c r="G680" s="15" t="n">
        <v>430</v>
      </c>
      <c r="H680" s="15" t="n">
        <v>45</v>
      </c>
      <c r="I680" s="15" t="n">
        <v>140</v>
      </c>
      <c r="J680" s="13" t="n">
        <v>25</v>
      </c>
      <c r="K680" t="n">
        <v>45</v>
      </c>
      <c r="L680" s="13" t="n">
        <v>1.6</v>
      </c>
      <c r="M680" s="12" t="n"/>
      <c r="N680" s="8" t="n">
        <v>1.225183373952893</v>
      </c>
      <c r="O680" s="15" t="n">
        <v>0.9508992064748385</v>
      </c>
      <c r="P680" s="15" t="n">
        <v>1.150210603993302</v>
      </c>
      <c r="Q680" s="15" t="n">
        <v>0.001138155905130253</v>
      </c>
      <c r="R680" s="15" t="n">
        <v>0.01617877362192889</v>
      </c>
      <c r="S680" s="15" t="n">
        <v>0.001137799145425693</v>
      </c>
      <c r="T680" s="29">
        <f>HIPERLINK($A$1 &amp; "\Dados\Imagem_perfil_680.png", "Imagem_perfil_680")</f>
        <v/>
      </c>
      <c r="U680" s="29">
        <f>HIPERLINK($A$1 &amp; "\Dados\Results_airgap680.txt", "Results_airgap680")</f>
        <v/>
      </c>
      <c r="V680" s="19" t="n"/>
      <c r="W680" s="43" t="n">
        <v>1.601279565217391</v>
      </c>
      <c r="X680" s="15" t="n">
        <v>0.7459126415170233</v>
      </c>
      <c r="Y680" s="15" t="n">
        <v>8.537884133366784e-05</v>
      </c>
      <c r="Z680" s="15" t="n">
        <v>0</v>
      </c>
      <c r="AA680" s="15" t="n">
        <v>8.027090871778716</v>
      </c>
      <c r="AB680" s="15" t="n">
        <v>0.4116439863346146</v>
      </c>
      <c r="AC680" s="15" t="n">
        <v>3.114327790494121</v>
      </c>
      <c r="AD680" s="15" t="n">
        <v>9.075147522461606</v>
      </c>
      <c r="AE680" s="15" t="n">
        <v>33.29492635290784</v>
      </c>
      <c r="AF680" s="15" t="n">
        <v>24.8645347252748</v>
      </c>
      <c r="AH680" s="29">
        <f>HIPERLINK($A$1 &amp; "\Dados\Magnet_fields.txt_680.txt.txt", "Magnet_fields.txt_680.txt")</f>
        <v/>
      </c>
      <c r="AI680" t="n">
        <v>7867</v>
      </c>
      <c r="AJ680" t="n">
        <v>28</v>
      </c>
      <c r="AK680" s="29">
        <f>HIPERLINK($A$1 &amp; "\Dados\Magnet_3D_results.txt_680.txt.txt", "Magnet_3D_results.txt_680.txt")</f>
        <v/>
      </c>
      <c r="AL680" s="29">
        <f>HIPERLINK($A$1 &amp; "\Dados\Magnet_fields_2D.txt_680.txt.txt", "Magnet_fields_2D.txt_680.txt")</f>
        <v/>
      </c>
    </row>
    <row customHeight="1" ht="15.75" r="681" s="34">
      <c r="D681" s="30" t="n"/>
      <c r="E681" s="15" t="n">
        <v>150</v>
      </c>
      <c r="F681" s="15" t="n">
        <v>170</v>
      </c>
      <c r="G681" s="15" t="n">
        <v>430</v>
      </c>
      <c r="H681" s="15" t="n">
        <v>45</v>
      </c>
      <c r="I681" s="15" t="n">
        <v>140</v>
      </c>
      <c r="J681" s="13" t="n">
        <v>25</v>
      </c>
      <c r="K681" t="n">
        <v>45</v>
      </c>
      <c r="L681" s="13" t="n">
        <v>1.8</v>
      </c>
      <c r="M681" s="12" t="n"/>
      <c r="N681" s="8" t="n">
        <v>1.375279897956904</v>
      </c>
      <c r="O681" s="15" t="n">
        <v>1.08071292554494</v>
      </c>
      <c r="P681" s="15" t="n">
        <v>1.293294747028656</v>
      </c>
      <c r="Q681" s="15" t="n">
        <v>0.0023865605007989</v>
      </c>
      <c r="R681" s="15" t="n">
        <v>0.006025466299161162</v>
      </c>
      <c r="S681" s="15" t="n">
        <v>0.002386557435207777</v>
      </c>
      <c r="T681" s="29">
        <f>HIPERLINK($A$1 &amp; "\Dados\Imagem_perfil_681.png", "Imagem_perfil_681")</f>
        <v/>
      </c>
      <c r="U681" s="29">
        <f>HIPERLINK($A$1 &amp; "\Dados\Results_airgap681.txt", "Results_airgap681")</f>
        <v/>
      </c>
      <c r="V681" s="19" t="n"/>
      <c r="W681" s="43" t="n">
        <v>1.80000347826087</v>
      </c>
      <c r="X681" s="15" t="n">
        <v>0.8623903820230485</v>
      </c>
      <c r="Y681" s="15" t="n">
        <v>8.437216022928549e-05</v>
      </c>
      <c r="Z681" s="15" t="n">
        <v>0</v>
      </c>
      <c r="AA681" s="15" t="n">
        <v>6.939208796740978</v>
      </c>
      <c r="AB681" s="15" t="n">
        <v>1.375063101241071</v>
      </c>
      <c r="AC681" s="15" t="n">
        <v>6.718307985229804</v>
      </c>
      <c r="AD681" s="15" t="n">
        <v>12.83161831647961</v>
      </c>
      <c r="AE681" s="15" t="n">
        <v>47.35626369414015</v>
      </c>
      <c r="AF681" s="15" t="n">
        <v>37.59283808161049</v>
      </c>
      <c r="AH681" s="29">
        <f>HIPERLINK($A$1 &amp; "\Dados\Magnet_fields.txt_681.txt.txt", "Magnet_fields.txt_681.txt")</f>
        <v/>
      </c>
      <c r="AI681" t="n">
        <v>7867</v>
      </c>
      <c r="AJ681" t="n">
        <v>29</v>
      </c>
      <c r="AK681" s="29">
        <f>HIPERLINK($A$1 &amp; "\Dados\Magnet_3D_results.txt_681.txt.txt", "Magnet_3D_results.txt_681.txt")</f>
        <v/>
      </c>
      <c r="AL681" s="29">
        <f>HIPERLINK($A$1 &amp; "\Dados\Magnet_fields_2D.txt_681.txt.txt", "Magnet_fields_2D.txt_681.txt")</f>
        <v/>
      </c>
    </row>
    <row customHeight="1" ht="15.75" r="682" s="34">
      <c r="D682" s="30" t="n"/>
      <c r="E682" s="15" t="n">
        <v>150</v>
      </c>
      <c r="F682" s="15" t="n">
        <v>170</v>
      </c>
      <c r="G682" s="15" t="n">
        <v>430</v>
      </c>
      <c r="H682" s="15" t="n">
        <v>45</v>
      </c>
      <c r="I682" s="15" t="n">
        <v>140</v>
      </c>
      <c r="J682" s="13" t="n">
        <v>25</v>
      </c>
      <c r="K682" t="n">
        <v>45</v>
      </c>
      <c r="L682" s="13" t="n">
        <v>2</v>
      </c>
      <c r="M682" s="12" t="n"/>
      <c r="N682" s="8" t="n">
        <v>1.537590793130819</v>
      </c>
      <c r="O682" s="15" t="n">
        <v>1.221816744770096</v>
      </c>
      <c r="P682" s="15" t="n">
        <v>1.448894781936282</v>
      </c>
      <c r="Q682" s="15" t="n">
        <v>0.004565309820831474</v>
      </c>
      <c r="R682" s="15" t="n">
        <v>0.008498919933868483</v>
      </c>
      <c r="S682" s="15" t="n">
        <v>0.004573703178313849</v>
      </c>
      <c r="T682" s="29">
        <f>HIPERLINK($A$1 &amp; "\Dados\Imagem_perfil_682.png", "Imagem_perfil_682")</f>
        <v/>
      </c>
      <c r="U682" s="29">
        <f>HIPERLINK($A$1 &amp; "\Dados\Results_airgap682.txt", "Results_airgap682")</f>
        <v/>
      </c>
      <c r="V682" s="19" t="n"/>
      <c r="W682" s="43" t="n">
        <v>2.000609130434783</v>
      </c>
      <c r="X682" s="15" t="n">
        <v>0.9877480601135814</v>
      </c>
      <c r="Y682" s="15" t="n">
        <v>8.188720245261256e-05</v>
      </c>
      <c r="Z682" s="15" t="n">
        <v>0</v>
      </c>
      <c r="AA682" s="15" t="n">
        <v>5.960565158097942</v>
      </c>
      <c r="AB682" s="15" t="n">
        <v>2.375283150595152</v>
      </c>
      <c r="AC682" s="15" t="n">
        <v>9.692011196464472</v>
      </c>
      <c r="AD682" s="15" t="n">
        <v>16.85139125041126</v>
      </c>
      <c r="AE682" s="15" t="n">
        <v>62.50834410771272</v>
      </c>
      <c r="AF682" s="15" t="n">
        <v>54.00795496813951</v>
      </c>
      <c r="AH682" s="29">
        <f>HIPERLINK($A$1 &amp; "\Dados\Magnet_fields.txt_682.txt.txt", "Magnet_fields.txt_682.txt")</f>
        <v/>
      </c>
      <c r="AI682" t="n">
        <v>7867</v>
      </c>
      <c r="AJ682" t="n">
        <v>29</v>
      </c>
      <c r="AK682" s="29">
        <f>HIPERLINK($A$1 &amp; "\Dados\Magnet_3D_results.txt_682.txt.txt", "Magnet_3D_results.txt_682.txt")</f>
        <v/>
      </c>
      <c r="AL682" s="29">
        <f>HIPERLINK($A$1 &amp; "\Dados\Magnet_fields_2D.txt_682.txt.txt", "Magnet_fields_2D.txt_682.txt")</f>
        <v/>
      </c>
    </row>
    <row customHeight="1" ht="15.75" r="683" s="34">
      <c r="D683" s="30" t="n"/>
      <c r="E683" s="15" t="n">
        <v>150</v>
      </c>
      <c r="F683" s="15" t="n">
        <v>170</v>
      </c>
      <c r="G683" s="15" t="n">
        <v>430</v>
      </c>
      <c r="H683" s="15" t="n">
        <v>45</v>
      </c>
      <c r="I683" s="15" t="n">
        <v>140</v>
      </c>
      <c r="J683" s="13" t="n">
        <v>25</v>
      </c>
      <c r="K683" t="n">
        <v>45</v>
      </c>
      <c r="L683" s="13" t="n">
        <v>2.2</v>
      </c>
      <c r="M683" s="12" t="n"/>
      <c r="N683" s="8" t="n">
        <v>1.699572194487006</v>
      </c>
      <c r="O683" s="15" t="n">
        <v>1.361661120145399</v>
      </c>
      <c r="P683" s="15" t="n">
        <v>1.605257841151393</v>
      </c>
      <c r="Q683" s="15" t="n">
        <v>0.007874640721805291</v>
      </c>
      <c r="R683" s="15" t="n">
        <v>0.02507539198014326</v>
      </c>
      <c r="S683" s="15" t="n">
        <v>0.00789888716819488</v>
      </c>
      <c r="T683" s="29">
        <f>HIPERLINK($A$1 &amp; "\Dados\Imagem_perfil_683.png", "Imagem_perfil_683")</f>
        <v/>
      </c>
      <c r="U683" s="29">
        <f>HIPERLINK($A$1 &amp; "\Dados\Results_airgap683.txt", "Results_airgap683")</f>
        <v/>
      </c>
      <c r="V683" s="19" t="n"/>
      <c r="W683" s="43" t="n">
        <v>2.200732608695652</v>
      </c>
      <c r="X683" s="15" t="n">
        <v>1.106164800477526</v>
      </c>
      <c r="Y683" s="15" t="n">
        <v>8.311864025282916e-05</v>
      </c>
      <c r="Z683" s="15" t="n">
        <v>0.005310995051067899</v>
      </c>
      <c r="AA683" s="15" t="n">
        <v>4.451672151249943</v>
      </c>
      <c r="AB683" s="15" t="n">
        <v>3.569222448672326</v>
      </c>
      <c r="AC683" s="15" t="n">
        <v>11.41297926036265</v>
      </c>
      <c r="AD683" s="15" t="n">
        <v>21.28482515524734</v>
      </c>
      <c r="AE683" s="15" t="n">
        <v>79.29366808471251</v>
      </c>
      <c r="AF683" s="15" t="n">
        <v>78.76780781303495</v>
      </c>
      <c r="AH683" s="29">
        <f>HIPERLINK($A$1 &amp; "\Dados\Magnet_fields.txt_683.txt.txt", "Magnet_fields.txt_683.txt")</f>
        <v/>
      </c>
      <c r="AI683" t="n">
        <v>7867</v>
      </c>
      <c r="AJ683" t="n">
        <v>28</v>
      </c>
      <c r="AK683" s="29">
        <f>HIPERLINK($A$1 &amp; "\Dados\Magnet_3D_results.txt_683.txt.txt", "Magnet_3D_results.txt_683.txt")</f>
        <v/>
      </c>
      <c r="AL683" s="29">
        <f>HIPERLINK($A$1 &amp; "\Dados\Magnet_fields_2D.txt_683.txt.txt", "Magnet_fields_2D.txt_683.txt")</f>
        <v/>
      </c>
    </row>
    <row customHeight="1" ht="15.75" r="684" s="34">
      <c r="D684" s="30" t="n"/>
      <c r="E684" s="15" t="n">
        <v>150</v>
      </c>
      <c r="F684" s="15" t="n">
        <v>170</v>
      </c>
      <c r="G684" s="15" t="n">
        <v>430</v>
      </c>
      <c r="H684" s="15" t="n">
        <v>25</v>
      </c>
      <c r="I684" s="15" t="n">
        <v>180</v>
      </c>
      <c r="J684" s="13" t="n">
        <v>25</v>
      </c>
      <c r="K684" t="n">
        <v>45</v>
      </c>
      <c r="L684" s="13" t="n">
        <v>1.4</v>
      </c>
      <c r="M684" s="12" t="n"/>
      <c r="N684" s="8" t="n">
        <v>1.059144917058443</v>
      </c>
      <c r="O684" s="15" t="n">
        <v>0.94281113161865</v>
      </c>
      <c r="P684" s="15" t="n">
        <v>1.024812905485245</v>
      </c>
      <c r="Q684" s="15" t="n">
        <v>0.0006702293741342309</v>
      </c>
      <c r="R684" s="15" t="n">
        <v>0.03750963208558624</v>
      </c>
      <c r="S684" s="15" t="n">
        <v>0.0006667127406333634</v>
      </c>
      <c r="T684" s="29">
        <f>HIPERLINK($A$1 &amp; "\Dados\Imagem_perfil_684.png", "Imagem_perfil_684")</f>
        <v/>
      </c>
      <c r="U684" s="29">
        <f>HIPERLINK($A$1 &amp; "\Dados\Results_airgap684.txt", "Results_airgap684")</f>
        <v/>
      </c>
      <c r="V684" s="19" t="n"/>
      <c r="W684" s="43" t="n">
        <v>1.39971152173913</v>
      </c>
      <c r="X684" s="15" t="n">
        <v>0.592102439968952</v>
      </c>
      <c r="Y684" s="15" t="n">
        <v>0.0001019681925106965</v>
      </c>
      <c r="Z684" s="15" t="n">
        <v>0.03970031533082395</v>
      </c>
      <c r="AA684" s="15" t="n">
        <v>8.358793877812523</v>
      </c>
      <c r="AB684" s="15" t="n">
        <v>0</v>
      </c>
      <c r="AC684" s="15" t="n">
        <v>0</v>
      </c>
      <c r="AD684" s="15" t="n">
        <v>2.042797846394494</v>
      </c>
      <c r="AE684" s="15" t="n">
        <v>21.88650711098446</v>
      </c>
      <c r="AF684" s="15" t="n">
        <v>15.41791360436061</v>
      </c>
      <c r="AH684" s="29">
        <f>HIPERLINK($A$1 &amp; "\Dados\Magnet_fields.txt_684.txt.txt", "Magnet_fields.txt_684.txt")</f>
        <v/>
      </c>
      <c r="AI684" t="n">
        <v>11717</v>
      </c>
      <c r="AJ684" t="n">
        <v>31</v>
      </c>
      <c r="AK684" s="29">
        <f>HIPERLINK($A$1 &amp; "\Dados\Magnet_3D_results.txt_684.txt.txt", "Magnet_3D_results.txt_684.txt")</f>
        <v/>
      </c>
      <c r="AL684" s="29">
        <f>HIPERLINK($A$1 &amp; "\Dados\Magnet_fields_2D.txt_684.txt.txt", "Magnet_fields_2D.txt_684.txt")</f>
        <v/>
      </c>
    </row>
    <row customHeight="1" ht="15.75" r="685" s="34">
      <c r="D685" s="30" t="n"/>
      <c r="E685" s="15" t="n">
        <v>150</v>
      </c>
      <c r="F685" s="15" t="n">
        <v>170</v>
      </c>
      <c r="G685" s="15" t="n">
        <v>430</v>
      </c>
      <c r="H685" s="15" t="n">
        <v>25</v>
      </c>
      <c r="I685" s="15" t="n">
        <v>180</v>
      </c>
      <c r="J685" s="13" t="n">
        <v>25</v>
      </c>
      <c r="K685" t="n">
        <v>45</v>
      </c>
      <c r="L685" s="13" t="n">
        <v>1.6</v>
      </c>
      <c r="M685" s="12" t="n"/>
      <c r="N685" s="8" t="n">
        <v>1.233140684110549</v>
      </c>
      <c r="O685" s="15" t="n">
        <v>1.100183168138642</v>
      </c>
      <c r="P685" s="15" t="n">
        <v>1.193558829641996</v>
      </c>
      <c r="Q685" s="15" t="n">
        <v>0.001048728351795663</v>
      </c>
      <c r="R685" s="15" t="n">
        <v>0.02865088608138418</v>
      </c>
      <c r="S685" s="15" t="n">
        <v>0.001044489612099296</v>
      </c>
      <c r="T685" s="29">
        <f>HIPERLINK($A$1 &amp; "\Dados\Imagem_perfil_685.png", "Imagem_perfil_685")</f>
        <v/>
      </c>
      <c r="U685" s="29">
        <f>HIPERLINK($A$1 &amp; "\Dados\Results_airgap685.txt", "Results_airgap685")</f>
        <v/>
      </c>
      <c r="V685" s="19" t="n"/>
      <c r="W685" s="43" t="n">
        <v>1.601003043478261</v>
      </c>
      <c r="X685" s="15" t="n">
        <v>0.7147764493758906</v>
      </c>
      <c r="Y685" s="15" t="n">
        <v>8.553211659655161e-05</v>
      </c>
      <c r="Z685" s="15" t="n">
        <v>0.002292103180827081</v>
      </c>
      <c r="AA685" s="15" t="n">
        <v>7.963050765105647</v>
      </c>
      <c r="AB685" s="15" t="n">
        <v>0.4204267400539685</v>
      </c>
      <c r="AC685" s="15" t="n">
        <v>3.068690030826244</v>
      </c>
      <c r="AD685" s="15" t="n">
        <v>9.180515297771297</v>
      </c>
      <c r="AE685" s="15" t="n">
        <v>33.27799054870295</v>
      </c>
      <c r="AF685" s="15" t="n">
        <v>24.85634638522006</v>
      </c>
      <c r="AH685" s="29">
        <f>HIPERLINK($A$1 &amp; "\Dados\Magnet_fields.txt_685.txt.txt", "Magnet_fields.txt_685.txt")</f>
        <v/>
      </c>
      <c r="AI685" t="n">
        <v>11717</v>
      </c>
      <c r="AJ685" t="n">
        <v>29</v>
      </c>
      <c r="AK685" s="29">
        <f>HIPERLINK($A$1 &amp; "\Dados\Magnet_3D_results.txt_685.txt.txt", "Magnet_3D_results.txt_685.txt")</f>
        <v/>
      </c>
      <c r="AL685" s="29">
        <f>HIPERLINK($A$1 &amp; "\Dados\Magnet_fields_2D.txt_685.txt.txt", "Magnet_fields_2D.txt_685.txt")</f>
        <v/>
      </c>
    </row>
    <row customHeight="1" ht="15.75" r="686" s="34">
      <c r="D686" s="30" t="n"/>
      <c r="E686" s="15" t="n">
        <v>150</v>
      </c>
      <c r="F686" s="15" t="n">
        <v>170</v>
      </c>
      <c r="G686" s="15" t="n">
        <v>430</v>
      </c>
      <c r="H686" s="15" t="n">
        <v>25</v>
      </c>
      <c r="I686" s="15" t="n">
        <v>180</v>
      </c>
      <c r="J686" s="13" t="n">
        <v>25</v>
      </c>
      <c r="K686" t="n">
        <v>45</v>
      </c>
      <c r="L686" s="13" t="n">
        <v>1.8</v>
      </c>
      <c r="M686" s="12" t="n"/>
      <c r="N686" s="8" t="n">
        <v>1.408842056302134</v>
      </c>
      <c r="O686" s="15" t="n">
        <v>1.260578274333779</v>
      </c>
      <c r="P686" s="15" t="n">
        <v>1.363731229083104</v>
      </c>
      <c r="Q686" s="15" t="n">
        <v>0.002177443346310685</v>
      </c>
      <c r="R686" s="15" t="n">
        <v>0.01670600157431514</v>
      </c>
      <c r="S686" s="15" t="n">
        <v>0.002170692430365813</v>
      </c>
      <c r="T686" s="29">
        <f>HIPERLINK($A$1 &amp; "\Dados\Imagem_perfil_686.png", "Imagem_perfil_686")</f>
        <v/>
      </c>
      <c r="U686" s="29">
        <f>HIPERLINK($A$1 &amp; "\Dados\Results_airgap686.txt", "Results_airgap686")</f>
        <v/>
      </c>
      <c r="V686" s="19" t="n"/>
      <c r="W686" s="43" t="n">
        <v>1.79979347826087</v>
      </c>
      <c r="X686" s="15" t="n">
        <v>0.8455844465839969</v>
      </c>
      <c r="Y686" s="15" t="n">
        <v>8.490688652765621e-05</v>
      </c>
      <c r="Z686" s="15" t="n">
        <v>0</v>
      </c>
      <c r="AA686" s="15" t="n">
        <v>7.220401239471237</v>
      </c>
      <c r="AB686" s="15" t="n">
        <v>1.807959963151014</v>
      </c>
      <c r="AC686" s="15" t="n">
        <v>6.356364049122099</v>
      </c>
      <c r="AD686" s="15" t="n">
        <v>13.17898112162014</v>
      </c>
      <c r="AE686" s="15" t="n">
        <v>47.19580112286103</v>
      </c>
      <c r="AF686" s="15" t="n">
        <v>37.52256669268905</v>
      </c>
      <c r="AH686" s="29">
        <f>HIPERLINK($A$1 &amp; "\Dados\Magnet_fields.txt_686.txt.txt", "Magnet_fields.txt_686.txt")</f>
        <v/>
      </c>
      <c r="AI686" t="n">
        <v>11717</v>
      </c>
      <c r="AJ686" t="n">
        <v>30</v>
      </c>
      <c r="AK686" s="29">
        <f>HIPERLINK($A$1 &amp; "\Dados\Magnet_3D_results.txt_686.txt.txt", "Magnet_3D_results.txt_686.txt")</f>
        <v/>
      </c>
      <c r="AL686" s="29">
        <f>HIPERLINK($A$1 &amp; "\Dados\Magnet_fields_2D.txt_686.txt.txt", "Magnet_fields_2D.txt_686.txt")</f>
        <v/>
      </c>
    </row>
    <row customHeight="1" ht="15.75" r="687" s="34">
      <c r="D687" s="30" t="n"/>
      <c r="E687" s="15" t="n">
        <v>150</v>
      </c>
      <c r="F687" s="15" t="n">
        <v>170</v>
      </c>
      <c r="G687" s="15" t="n">
        <v>430</v>
      </c>
      <c r="H687" s="15" t="n">
        <v>25</v>
      </c>
      <c r="I687" s="15" t="n">
        <v>180</v>
      </c>
      <c r="J687" s="13" t="n">
        <v>25</v>
      </c>
      <c r="K687" t="n">
        <v>45</v>
      </c>
      <c r="L687" s="13" t="n">
        <v>2</v>
      </c>
      <c r="M687" s="12" t="n"/>
      <c r="N687" s="8" t="n">
        <v>1.580441744462343</v>
      </c>
      <c r="O687" s="15" t="n">
        <v>1.418740547877824</v>
      </c>
      <c r="P687" s="15" t="n">
        <v>1.530388758793763</v>
      </c>
      <c r="Q687" s="15" t="n">
        <v>0.004177172403344314</v>
      </c>
      <c r="R687" s="15" t="n">
        <v>0.003501028997411047</v>
      </c>
      <c r="S687" s="15" t="n">
        <v>0.004167601690402867</v>
      </c>
      <c r="T687" s="29">
        <f>HIPERLINK($A$1 &amp; "\Dados\Imagem_perfil_687.png", "Imagem_perfil_687")</f>
        <v/>
      </c>
      <c r="U687" s="29">
        <f>HIPERLINK($A$1 &amp; "\Dados\Results_airgap687.txt", "Results_airgap687")</f>
        <v/>
      </c>
      <c r="V687" s="19" t="n"/>
      <c r="W687" s="43" t="n">
        <v>2.000626086956522</v>
      </c>
      <c r="X687" s="15" t="n">
        <v>0.9740212546849637</v>
      </c>
      <c r="Y687" s="15" t="n">
        <v>8.183726417686166e-05</v>
      </c>
      <c r="Z687" s="15" t="n">
        <v>0.007712893196017537</v>
      </c>
      <c r="AA687" s="15" t="n">
        <v>6.20742518828163</v>
      </c>
      <c r="AB687" s="15" t="n">
        <v>2.380795905700027</v>
      </c>
      <c r="AC687" s="15" t="n">
        <v>9.696395229274906</v>
      </c>
      <c r="AD687" s="15" t="n">
        <v>16.84700455386234</v>
      </c>
      <c r="AE687" s="15" t="n">
        <v>62.78560648981668</v>
      </c>
      <c r="AF687" s="15" t="n">
        <v>53.90606618894049</v>
      </c>
      <c r="AH687" s="29">
        <f>HIPERLINK($A$1 &amp; "\Dados\Magnet_fields.txt_687.txt.txt", "Magnet_fields.txt_687.txt")</f>
        <v/>
      </c>
      <c r="AI687" t="n">
        <v>11717</v>
      </c>
      <c r="AJ687" t="n">
        <v>30</v>
      </c>
      <c r="AK687" s="29">
        <f>HIPERLINK($A$1 &amp; "\Dados\Magnet_3D_results.txt_687.txt.txt", "Magnet_3D_results.txt_687.txt")</f>
        <v/>
      </c>
      <c r="AL687" s="29">
        <f>HIPERLINK($A$1 &amp; "\Dados\Magnet_fields_2D.txt_687.txt.txt", "Magnet_fields_2D.txt_687.txt")</f>
        <v/>
      </c>
    </row>
    <row customHeight="1" ht="15.75" r="688" s="34">
      <c r="D688" s="30" t="n"/>
      <c r="E688" s="15" t="n">
        <v>150</v>
      </c>
      <c r="F688" s="15" t="n">
        <v>170</v>
      </c>
      <c r="G688" s="15" t="n">
        <v>430</v>
      </c>
      <c r="H688" s="15" t="n">
        <v>25</v>
      </c>
      <c r="I688" s="15" t="n">
        <v>180</v>
      </c>
      <c r="J688" s="13" t="n">
        <v>25</v>
      </c>
      <c r="K688" t="n">
        <v>45</v>
      </c>
      <c r="L688" s="13" t="n">
        <v>2.2</v>
      </c>
      <c r="M688" s="12" t="n"/>
      <c r="N688" s="8" t="n">
        <v>1.766920413630136</v>
      </c>
      <c r="O688" s="15" t="n">
        <v>1.593084460096806</v>
      </c>
      <c r="P688" s="15" t="n">
        <v>1.713326156563138</v>
      </c>
      <c r="Q688" s="15" t="n">
        <v>0.007614996611824577</v>
      </c>
      <c r="R688" s="15" t="n">
        <v>0.01829190261518891</v>
      </c>
      <c r="S688" s="15" t="n">
        <v>0.007604937789305887</v>
      </c>
      <c r="T688" s="29">
        <f>HIPERLINK($A$1 &amp; "\Dados\Imagem_perfil_688.png", "Imagem_perfil_688")</f>
        <v/>
      </c>
      <c r="U688" s="29">
        <f>HIPERLINK($A$1 &amp; "\Dados\Results_airgap688.txt", "Results_airgap688")</f>
        <v/>
      </c>
      <c r="V688" s="19" t="n"/>
      <c r="W688" s="43" t="n">
        <v>2.202735434782609</v>
      </c>
      <c r="X688" s="15" t="n">
        <v>1.105013276696046</v>
      </c>
      <c r="Y688" s="15" t="n">
        <v>8.253299070764746e-05</v>
      </c>
      <c r="Z688" s="15" t="n">
        <v>0.02261496461795265</v>
      </c>
      <c r="AA688" s="15" t="n">
        <v>5.539273221386239</v>
      </c>
      <c r="AB688" s="15" t="n">
        <v>3.263295695085715</v>
      </c>
      <c r="AC688" s="15" t="n">
        <v>11.64930489452357</v>
      </c>
      <c r="AD688" s="15" t="n">
        <v>21.50061923012075</v>
      </c>
      <c r="AE688" s="15" t="n">
        <v>79.19807082164742</v>
      </c>
      <c r="AF688" s="15" t="n">
        <v>78.90514120609855</v>
      </c>
      <c r="AH688" s="29">
        <f>HIPERLINK($A$1 &amp; "\Dados\Magnet_fields.txt_688.txt.txt", "Magnet_fields.txt_688.txt")</f>
        <v/>
      </c>
      <c r="AI688" t="n">
        <v>11717</v>
      </c>
      <c r="AJ688" t="n">
        <v>30</v>
      </c>
      <c r="AK688" s="29">
        <f>HIPERLINK($A$1 &amp; "\Dados\Magnet_3D_results.txt_688.txt.txt", "Magnet_3D_results.txt_688.txt")</f>
        <v/>
      </c>
      <c r="AL688" s="29">
        <f>HIPERLINK($A$1 &amp; "\Dados\Magnet_fields_2D.txt_688.txt.txt", "Magnet_fields_2D.txt_688.txt")</f>
        <v/>
      </c>
    </row>
    <row customHeight="1" ht="15.75" r="689" s="34">
      <c r="D689" s="30" t="n"/>
      <c r="E689" s="15" t="n">
        <v>150</v>
      </c>
      <c r="F689" s="15" t="n">
        <v>170</v>
      </c>
      <c r="G689" s="15" t="n">
        <v>430</v>
      </c>
      <c r="H689" s="15" t="n">
        <v>45</v>
      </c>
      <c r="I689" s="15" t="n">
        <v>180</v>
      </c>
      <c r="J689" s="13" t="n">
        <v>25</v>
      </c>
      <c r="K689" t="n">
        <v>45</v>
      </c>
      <c r="L689" s="13" t="n">
        <v>1.4</v>
      </c>
      <c r="M689" s="12" t="n"/>
      <c r="N689" s="8" t="n">
        <v>1.092439224139909</v>
      </c>
      <c r="O689" s="15" t="n">
        <v>0.9789610669905323</v>
      </c>
      <c r="P689" s="15" t="n">
        <v>1.058831996085842</v>
      </c>
      <c r="Q689" s="15" t="n">
        <v>0.0007267244202408778</v>
      </c>
      <c r="R689" s="15" t="n">
        <v>0.02894067879584899</v>
      </c>
      <c r="S689" s="15" t="n">
        <v>0.0007235003923624682</v>
      </c>
      <c r="T689" s="29">
        <f>HIPERLINK($A$1 &amp; "\Dados\Imagem_perfil_689.png", "Imagem_perfil_689")</f>
        <v/>
      </c>
      <c r="U689" s="29">
        <f>HIPERLINK($A$1 &amp; "\Dados\Results_airgap689.txt", "Results_airgap689")</f>
        <v/>
      </c>
      <c r="V689" s="19" t="n"/>
      <c r="W689" s="43" t="n">
        <v>1.399723695652173</v>
      </c>
      <c r="X689" s="15" t="n">
        <v>0.6273326980766302</v>
      </c>
      <c r="Y689" s="15" t="n">
        <v>0.0001027217250319851</v>
      </c>
      <c r="Z689" s="15" t="n">
        <v>0</v>
      </c>
      <c r="AA689" s="15" t="n">
        <v>11.33316794096541</v>
      </c>
      <c r="AB689" s="15" t="n">
        <v>0</v>
      </c>
      <c r="AC689" s="15" t="n">
        <v>0</v>
      </c>
      <c r="AD689" s="15" t="n">
        <v>1.959545019807895</v>
      </c>
      <c r="AE689" s="15" t="n">
        <v>21.92852440868551</v>
      </c>
      <c r="AF689" s="15" t="n">
        <v>15.35077232594301</v>
      </c>
      <c r="AH689" s="29">
        <f>HIPERLINK($A$1 &amp; "\Dados\Magnet_fields.txt_689.txt.txt", "Magnet_fields.txt_689.txt")</f>
        <v/>
      </c>
      <c r="AI689" t="n">
        <v>8400</v>
      </c>
      <c r="AJ689" t="n">
        <v>28</v>
      </c>
      <c r="AK689" s="29">
        <f>HIPERLINK($A$1 &amp; "\Dados\Magnet_3D_results.txt_689.txt.txt", "Magnet_3D_results.txt_689.txt")</f>
        <v/>
      </c>
      <c r="AL689" s="29">
        <f>HIPERLINK($A$1 &amp; "\Dados\Magnet_fields_2D.txt_689.txt.txt", "Magnet_fields_2D.txt_689.txt")</f>
        <v/>
      </c>
    </row>
    <row customHeight="1" ht="15.75" r="690" s="34">
      <c r="D690" s="30" t="n"/>
      <c r="E690" s="15" t="n">
        <v>150</v>
      </c>
      <c r="F690" s="15" t="n">
        <v>170</v>
      </c>
      <c r="G690" s="15" t="n">
        <v>430</v>
      </c>
      <c r="H690" s="15" t="n">
        <v>45</v>
      </c>
      <c r="I690" s="15" t="n">
        <v>180</v>
      </c>
      <c r="J690" s="13" t="n">
        <v>25</v>
      </c>
      <c r="K690" t="n">
        <v>45</v>
      </c>
      <c r="L690" s="13" t="n">
        <v>1.6</v>
      </c>
      <c r="M690" s="12" t="n"/>
      <c r="N690" s="8" t="n">
        <v>1.27193174618734</v>
      </c>
      <c r="O690" s="15" t="n">
        <v>1.141037115927874</v>
      </c>
      <c r="P690" s="15" t="n">
        <v>1.233091458574744</v>
      </c>
      <c r="Q690" s="15" t="n">
        <v>0.001202369344526446</v>
      </c>
      <c r="R690" s="15" t="n">
        <v>0.02023688048770055</v>
      </c>
      <c r="S690" s="15" t="n">
        <v>0.001198123866668931</v>
      </c>
      <c r="T690" s="29">
        <f>HIPERLINK($A$1 &amp; "\Dados\Imagem_perfil_690.png", "Imagem_perfil_690")</f>
        <v/>
      </c>
      <c r="U690" s="29">
        <f>HIPERLINK($A$1 &amp; "\Dados\Results_airgap690.txt", "Results_airgap690")</f>
        <v/>
      </c>
      <c r="V690" s="19" t="n"/>
      <c r="W690" s="43" t="n">
        <v>1.601300217391304</v>
      </c>
      <c r="X690" s="15" t="n">
        <v>0.7550466484202364</v>
      </c>
      <c r="Y690" s="15" t="n">
        <v>8.537956052401178e-05</v>
      </c>
      <c r="Z690" s="15" t="n">
        <v>0</v>
      </c>
      <c r="AA690" s="15" t="n">
        <v>8.831563691596973</v>
      </c>
      <c r="AB690" s="15" t="n">
        <v>0.4144207444251713</v>
      </c>
      <c r="AC690" s="15" t="n">
        <v>3.121260143757093</v>
      </c>
      <c r="AD690" s="15" t="n">
        <v>9.063722507635154</v>
      </c>
      <c r="AE690" s="15" t="n">
        <v>33.27791952809283</v>
      </c>
      <c r="AF690" s="15" t="n">
        <v>24.89727423237236</v>
      </c>
      <c r="AH690" s="29">
        <f>HIPERLINK($A$1 &amp; "\Dados\Magnet_fields.txt_690.txt.txt", "Magnet_fields.txt_690.txt")</f>
        <v/>
      </c>
      <c r="AI690" t="n">
        <v>8400</v>
      </c>
      <c r="AJ690" t="n">
        <v>29</v>
      </c>
      <c r="AK690" s="29">
        <f>HIPERLINK($A$1 &amp; "\Dados\Magnet_3D_results.txt_690.txt.txt", "Magnet_3D_results.txt_690.txt")</f>
        <v/>
      </c>
      <c r="AL690" s="29">
        <f>HIPERLINK($A$1 &amp; "\Dados\Magnet_fields_2D.txt_690.txt.txt", "Magnet_fields_2D.txt_690.txt")</f>
        <v/>
      </c>
    </row>
    <row customHeight="1" ht="15.75" r="691" s="34">
      <c r="D691" s="30" t="n"/>
      <c r="E691" s="15" t="n">
        <v>150</v>
      </c>
      <c r="F691" s="15" t="n">
        <v>170</v>
      </c>
      <c r="G691" s="15" t="n">
        <v>430</v>
      </c>
      <c r="H691" s="15" t="n">
        <v>45</v>
      </c>
      <c r="I691" s="15" t="n">
        <v>180</v>
      </c>
      <c r="J691" s="13" t="n">
        <v>25</v>
      </c>
      <c r="K691" t="n">
        <v>45</v>
      </c>
      <c r="L691" s="13" t="n">
        <v>1.8</v>
      </c>
      <c r="M691" s="12" t="n"/>
      <c r="N691" s="8" t="n">
        <v>1.438959055952362</v>
      </c>
      <c r="O691" s="15" t="n">
        <v>1.293479016783418</v>
      </c>
      <c r="P691" s="15" t="n">
        <v>1.394631722766713</v>
      </c>
      <c r="Q691" s="15" t="n">
        <v>0.002585076726637892</v>
      </c>
      <c r="R691" s="15" t="n">
        <v>0.008799835276583715</v>
      </c>
      <c r="S691" s="15" t="n">
        <v>0.002578322614554686</v>
      </c>
      <c r="T691" s="29">
        <f>HIPERLINK($A$1 &amp; "\Dados\Imagem_perfil_691.png", "Imagem_perfil_691")</f>
        <v/>
      </c>
      <c r="U691" s="29">
        <f>HIPERLINK($A$1 &amp; "\Dados\Results_airgap691.txt", "Results_airgap691")</f>
        <v/>
      </c>
      <c r="V691" s="19" t="n"/>
      <c r="W691" s="43" t="n">
        <v>1.800120434782609</v>
      </c>
      <c r="X691" s="15" t="n">
        <v>0.8799871031009073</v>
      </c>
      <c r="Y691" s="15" t="n">
        <v>8.429722097475273e-05</v>
      </c>
      <c r="Z691" s="15" t="n">
        <v>0</v>
      </c>
      <c r="AA691" s="15" t="n">
        <v>7.478687188546912</v>
      </c>
      <c r="AB691" s="15" t="n">
        <v>1.38923564675339</v>
      </c>
      <c r="AC691" s="15" t="n">
        <v>6.695757396552705</v>
      </c>
      <c r="AD691" s="15" t="n">
        <v>12.8827728802952</v>
      </c>
      <c r="AE691" s="15" t="n">
        <v>47.2603448517129</v>
      </c>
      <c r="AF691" s="15" t="n">
        <v>37.64992302191541</v>
      </c>
      <c r="AH691" s="29">
        <f>HIPERLINK($A$1 &amp; "\Dados\Magnet_fields.txt_691.txt.txt", "Magnet_fields.txt_691.txt")</f>
        <v/>
      </c>
      <c r="AI691" t="n">
        <v>8400</v>
      </c>
      <c r="AJ691" t="n">
        <v>29</v>
      </c>
      <c r="AK691" s="29">
        <f>HIPERLINK($A$1 &amp; "\Dados\Magnet_3D_results.txt_691.txt.txt", "Magnet_3D_results.txt_691.txt")</f>
        <v/>
      </c>
      <c r="AL691" s="29">
        <f>HIPERLINK($A$1 &amp; "\Dados\Magnet_fields_2D.txt_691.txt.txt", "Magnet_fields_2D.txt_691.txt")</f>
        <v/>
      </c>
    </row>
    <row customHeight="1" ht="15.75" r="692" s="34">
      <c r="D692" s="30" t="n"/>
      <c r="E692" s="15" t="n">
        <v>150</v>
      </c>
      <c r="F692" s="15" t="n">
        <v>170</v>
      </c>
      <c r="G692" s="15" t="n">
        <v>430</v>
      </c>
      <c r="H692" s="15" t="n">
        <v>45</v>
      </c>
      <c r="I692" s="15" t="n">
        <v>180</v>
      </c>
      <c r="J692" s="13" t="n">
        <v>25</v>
      </c>
      <c r="K692" t="n">
        <v>45</v>
      </c>
      <c r="L692" s="13" t="n">
        <v>2</v>
      </c>
      <c r="M692" s="12" t="n"/>
      <c r="N692" s="8" t="n">
        <v>1.616887484609429</v>
      </c>
      <c r="O692" s="15" t="n">
        <v>1.457114408608284</v>
      </c>
      <c r="P692" s="15" t="n">
        <v>1.5681903205885</v>
      </c>
      <c r="Q692" s="15" t="n">
        <v>0.00478863689747084</v>
      </c>
      <c r="R692" s="15" t="n">
        <v>0.006285763200483</v>
      </c>
      <c r="S692" s="15" t="n">
        <v>0.004779661823179011</v>
      </c>
      <c r="T692" s="29">
        <f>HIPERLINK($A$1 &amp; "\Dados\Imagem_perfil_692.png", "Imagem_perfil_692")</f>
        <v/>
      </c>
      <c r="U692" s="29">
        <f>HIPERLINK($A$1 &amp; "\Dados\Results_airgap692.txt", "Results_airgap692")</f>
        <v/>
      </c>
      <c r="V692" s="19" t="n"/>
      <c r="W692" s="43" t="n">
        <v>2.000897608695652</v>
      </c>
      <c r="X692" s="15" t="n">
        <v>1.009702680207949</v>
      </c>
      <c r="Y692" s="15" t="n">
        <v>9.138755463334537e-05</v>
      </c>
      <c r="Z692" s="15" t="n">
        <v>0</v>
      </c>
      <c r="AA692" s="15" t="n">
        <v>6.278107504979569</v>
      </c>
      <c r="AB692" s="15" t="n">
        <v>4.073071327506182</v>
      </c>
      <c r="AC692" s="15" t="n">
        <v>8.086249238054837</v>
      </c>
      <c r="AD692" s="15" t="n">
        <v>18.67231587764935</v>
      </c>
      <c r="AE692" s="15" t="n">
        <v>61.75711928176903</v>
      </c>
      <c r="AF692" s="15" t="n">
        <v>52.95501535529562</v>
      </c>
      <c r="AH692" s="29">
        <f>HIPERLINK($A$1 &amp; "\Dados\Magnet_fields.txt_692.txt.txt", "Magnet_fields.txt_692.txt")</f>
        <v/>
      </c>
      <c r="AI692" t="n">
        <v>8400</v>
      </c>
      <c r="AJ692" t="n">
        <v>30</v>
      </c>
      <c r="AK692" s="29">
        <f>HIPERLINK($A$1 &amp; "\Dados\Magnet_3D_results.txt_692.txt.txt", "Magnet_3D_results.txt_692.txt")</f>
        <v/>
      </c>
      <c r="AL692" s="29">
        <f>HIPERLINK($A$1 &amp; "\Dados\Magnet_fields_2D.txt_692.txt.txt", "Magnet_fields_2D.txt_692.txt")</f>
        <v/>
      </c>
    </row>
    <row customHeight="1" ht="15.75" r="693" s="34">
      <c r="D693" s="30" t="n"/>
      <c r="E693" s="15" t="n">
        <v>150</v>
      </c>
      <c r="F693" s="15" t="n">
        <v>170</v>
      </c>
      <c r="G693" s="15" t="n">
        <v>430</v>
      </c>
      <c r="H693" s="15" t="n">
        <v>45</v>
      </c>
      <c r="I693" s="15" t="n">
        <v>180</v>
      </c>
      <c r="J693" s="13" t="n">
        <v>25</v>
      </c>
      <c r="K693" t="n">
        <v>45</v>
      </c>
      <c r="L693" s="13" t="n">
        <v>2.2</v>
      </c>
      <c r="M693" s="12" t="n"/>
      <c r="N693" s="8" t="n">
        <v>1.796001652901037</v>
      </c>
      <c r="O693" s="15" t="n">
        <v>1.624643013324528</v>
      </c>
      <c r="P693" s="15" t="n">
        <v>1.743481035333647</v>
      </c>
      <c r="Q693" s="15" t="n">
        <v>0.008586131080514427</v>
      </c>
      <c r="R693" s="15" t="n">
        <v>0.02581266621399249</v>
      </c>
      <c r="S693" s="15" t="n">
        <v>0.008577710143114531</v>
      </c>
      <c r="T693" s="29">
        <f>HIPERLINK($A$1 &amp; "\Dados\Imagem_perfil_693.png", "Imagem_perfil_693")</f>
        <v/>
      </c>
      <c r="U693" s="29">
        <f>HIPERLINK($A$1 &amp; "\Dados\Results_airgap693.txt", "Results_airgap693")</f>
        <v/>
      </c>
      <c r="V693" s="19" t="n"/>
      <c r="W693" s="43" t="n">
        <v>2.200713913043478</v>
      </c>
      <c r="X693" s="15" t="n">
        <v>1.13292272025325</v>
      </c>
      <c r="Y693" s="15" t="n">
        <v>8.362801103807176e-05</v>
      </c>
      <c r="Z693" s="15" t="n">
        <v>0.02905371341258388</v>
      </c>
      <c r="AA693" s="15" t="n">
        <v>5.255664219413709</v>
      </c>
      <c r="AB693" s="15" t="n">
        <v>3.645063505702243</v>
      </c>
      <c r="AC693" s="15" t="n">
        <v>11.31681880949989</v>
      </c>
      <c r="AD693" s="15" t="n">
        <v>21.41220237219069</v>
      </c>
      <c r="AE693" s="15" t="n">
        <v>79.08990064490152</v>
      </c>
      <c r="AF693" s="15" t="n">
        <v>78.72440131729533</v>
      </c>
      <c r="AH693" s="29">
        <f>HIPERLINK($A$1 &amp; "\Dados\Magnet_fields.txt_693.txt.txt", "Magnet_fields.txt_693.txt")</f>
        <v/>
      </c>
      <c r="AI693" t="n">
        <v>8400</v>
      </c>
      <c r="AJ693" t="n">
        <v>30</v>
      </c>
      <c r="AK693" s="29">
        <f>HIPERLINK($A$1 &amp; "\Dados\Magnet_3D_results.txt_693.txt.txt", "Magnet_3D_results.txt_693.txt")</f>
        <v/>
      </c>
      <c r="AL693" s="29">
        <f>HIPERLINK($A$1 &amp; "\Dados\Magnet_fields_2D.txt_693.txt.txt", "Magnet_fields_2D.txt_693.txt")</f>
        <v/>
      </c>
    </row>
    <row customHeight="1" ht="15.75" r="694" s="34">
      <c r="D694" s="30" t="n"/>
      <c r="E694" s="15" t="n">
        <v>150</v>
      </c>
      <c r="F694" s="15" t="n">
        <v>180</v>
      </c>
      <c r="G694" s="15" t="n">
        <v>350</v>
      </c>
      <c r="H694" s="15" t="n">
        <v>45</v>
      </c>
      <c r="I694" s="15" t="n">
        <v>140</v>
      </c>
      <c r="J694" s="13" t="n">
        <v>25</v>
      </c>
      <c r="K694" t="n">
        <v>45</v>
      </c>
      <c r="L694" s="13" t="n">
        <v>1.4</v>
      </c>
      <c r="M694" s="12" t="n"/>
      <c r="N694" s="8" t="n">
        <v>1.054866321097668</v>
      </c>
      <c r="O694" s="15" t="n">
        <v>0.7774301729126486</v>
      </c>
      <c r="P694" s="15" t="n">
        <v>0.9756557904252623</v>
      </c>
      <c r="Q694" s="15" t="n">
        <v>0.0007766782223696504</v>
      </c>
      <c r="R694" s="15" t="n">
        <v>0.01161381048279468</v>
      </c>
      <c r="S694" s="15" t="n">
        <v>0.0007824651354405946</v>
      </c>
      <c r="T694" s="29">
        <f>HIPERLINK($A$1 &amp; "\Dados\Imagem_perfil_694.png", "Imagem_perfil_694")</f>
        <v/>
      </c>
      <c r="U694" s="29">
        <f>HIPERLINK($A$1 &amp; "\Dados\Results_airgap694.txt", "Results_airgap694")</f>
        <v/>
      </c>
      <c r="V694" s="19" t="n"/>
      <c r="W694" s="43" t="n">
        <v>1.395410217391304</v>
      </c>
      <c r="X694" s="15" t="n">
        <v>0.6272303207836702</v>
      </c>
      <c r="Y694" s="15" t="n">
        <v>3.059707851939729e-05</v>
      </c>
      <c r="Z694" s="15" t="n">
        <v>0</v>
      </c>
      <c r="AA694" s="15" t="n">
        <v>8.305649051806183</v>
      </c>
      <c r="AB694" s="15" t="n">
        <v>4.085981396891485</v>
      </c>
      <c r="AC694" s="15" t="n">
        <v>1.208607400447055</v>
      </c>
      <c r="AD694" s="15" t="n">
        <v>10.10377503341051</v>
      </c>
      <c r="AE694" s="15" t="n">
        <v>40.17241478573939</v>
      </c>
      <c r="AF694" s="15" t="n">
        <v>30.58185611738359</v>
      </c>
      <c r="AH694" s="29">
        <f>HIPERLINK($A$1 &amp; "\Dados\Magnet_fields.txt_694.txt.txt", "Magnet_fields.txt_694.txt")</f>
        <v/>
      </c>
      <c r="AI694" t="n">
        <v>6566</v>
      </c>
      <c r="AJ694" t="n">
        <v>29</v>
      </c>
      <c r="AK694" s="29">
        <f>HIPERLINK($A$1 &amp; "\Dados\Magnet_3D_results.txt_694.txt.txt", "Magnet_3D_results.txt_694.txt")</f>
        <v/>
      </c>
      <c r="AL694" s="29">
        <f>HIPERLINK($A$1 &amp; "\Dados\Magnet_fields_2D.txt_694.txt.txt", "Magnet_fields_2D.txt_694.txt")</f>
        <v/>
      </c>
    </row>
    <row customHeight="1" ht="15.75" r="695" s="34">
      <c r="D695" s="30" t="n"/>
      <c r="E695" s="15" t="n">
        <v>150</v>
      </c>
      <c r="F695" s="15" t="n">
        <v>180</v>
      </c>
      <c r="G695" s="15" t="n">
        <v>350</v>
      </c>
      <c r="H695" s="15" t="n">
        <v>45</v>
      </c>
      <c r="I695" s="15" t="n">
        <v>140</v>
      </c>
      <c r="J695" s="13" t="n">
        <v>25</v>
      </c>
      <c r="K695" t="n">
        <v>45</v>
      </c>
      <c r="L695" s="13" t="n">
        <v>1.6</v>
      </c>
      <c r="M695" s="12" t="n"/>
      <c r="N695" s="8" t="n">
        <v>1.232702998984124</v>
      </c>
      <c r="O695" s="15" t="n">
        <v>0.9213076259614382</v>
      </c>
      <c r="P695" s="15" t="n">
        <v>1.144467794637461</v>
      </c>
      <c r="Q695" s="15" t="n">
        <v>0.001327367138397851</v>
      </c>
      <c r="R695" s="15" t="n">
        <v>0.002293093345591718</v>
      </c>
      <c r="S695" s="15" t="n">
        <v>0.001391108405998401</v>
      </c>
      <c r="T695" s="29">
        <f>HIPERLINK($A$1 &amp; "\Dados\Imagem_perfil_695.png", "Imagem_perfil_695")</f>
        <v/>
      </c>
      <c r="U695" s="29">
        <f>HIPERLINK($A$1 &amp; "\Dados\Results_airgap695.txt", "Results_airgap695")</f>
        <v/>
      </c>
      <c r="V695" s="19" t="n"/>
      <c r="W695" s="43" t="n">
        <v>1.596863695652174</v>
      </c>
      <c r="X695" s="15" t="n">
        <v>0.750304005529605</v>
      </c>
      <c r="Y695" s="15" t="n">
        <v>9.00295847899988e-05</v>
      </c>
      <c r="Z695" s="15" t="n">
        <v>0</v>
      </c>
      <c r="AA695" s="15" t="n">
        <v>7.032337519051827</v>
      </c>
      <c r="AB695" s="15" t="n">
        <v>9.922026733235661</v>
      </c>
      <c r="AC695" s="15" t="n">
        <v>1.502189067336742</v>
      </c>
      <c r="AD695" s="15" t="n">
        <v>25.60159220021671</v>
      </c>
      <c r="AE695" s="15" t="n">
        <v>58.30131228099285</v>
      </c>
      <c r="AF695" s="15" t="n">
        <v>49.36732906467036</v>
      </c>
      <c r="AH695" s="29">
        <f>HIPERLINK($A$1 &amp; "\Dados\Magnet_fields.txt_695.txt.txt", "Magnet_fields.txt_695.txt")</f>
        <v/>
      </c>
      <c r="AI695" t="n">
        <v>6566</v>
      </c>
      <c r="AJ695" t="n">
        <v>28</v>
      </c>
      <c r="AK695" s="29">
        <f>HIPERLINK($A$1 &amp; "\Dados\Magnet_3D_results.txt_695.txt.txt", "Magnet_3D_results.txt_695.txt")</f>
        <v/>
      </c>
      <c r="AL695" s="29">
        <f>HIPERLINK($A$1 &amp; "\Dados\Magnet_fields_2D.txt_695.txt.txt", "Magnet_fields_2D.txt_695.txt")</f>
        <v/>
      </c>
    </row>
    <row customHeight="1" ht="15.75" r="696" s="34">
      <c r="D696" s="30" t="n"/>
      <c r="E696" s="15" t="n">
        <v>150</v>
      </c>
      <c r="F696" s="15" t="n">
        <v>180</v>
      </c>
      <c r="G696" s="15" t="n">
        <v>350</v>
      </c>
      <c r="H696" s="15" t="n">
        <v>45</v>
      </c>
      <c r="I696" s="15" t="n">
        <v>140</v>
      </c>
      <c r="J696" s="13" t="n">
        <v>25</v>
      </c>
      <c r="K696" t="n">
        <v>45</v>
      </c>
      <c r="L696" s="13" t="n">
        <v>1.8</v>
      </c>
      <c r="M696" s="12" t="n"/>
      <c r="N696" s="8" t="n">
        <v>1.439759317304872</v>
      </c>
      <c r="O696" s="15" t="n">
        <v>1.09623111181182</v>
      </c>
      <c r="P696" s="15" t="n">
        <v>1.343436349111866</v>
      </c>
      <c r="Q696" s="15" t="n">
        <v>0.002948857296073941</v>
      </c>
      <c r="R696" s="15" t="n">
        <v>0.02043769422179274</v>
      </c>
      <c r="S696" s="15" t="n">
        <v>0.003146467841320043</v>
      </c>
      <c r="T696" s="29">
        <f>HIPERLINK($A$1 &amp; "\Dados\Imagem_perfil_696.png", "Imagem_perfil_696")</f>
        <v/>
      </c>
      <c r="U696" s="29">
        <f>HIPERLINK($A$1 &amp; "\Dados\Results_airgap696.txt", "Results_airgap696")</f>
        <v/>
      </c>
      <c r="V696" s="19" t="n"/>
      <c r="W696" s="43" t="n">
        <v>1.798065869565217</v>
      </c>
      <c r="X696" s="15" t="n">
        <v>0.900595049495698</v>
      </c>
      <c r="Y696" s="15" t="n">
        <v>0.0001541171038169853</v>
      </c>
      <c r="Z696" s="15" t="n">
        <v>0</v>
      </c>
      <c r="AA696" s="15" t="n">
        <v>2.899486070511083</v>
      </c>
      <c r="AB696" s="15" t="n">
        <v>9.503772240402288</v>
      </c>
      <c r="AC696" s="15" t="n">
        <v>3.843478271681411</v>
      </c>
      <c r="AD696" s="15" t="n">
        <v>37.03168969992065</v>
      </c>
      <c r="AE696" s="15" t="n">
        <v>81.39676963085098</v>
      </c>
      <c r="AF696" s="15" t="n">
        <v>94.76104392773799</v>
      </c>
      <c r="AH696" s="29">
        <f>HIPERLINK($A$1 &amp; "\Dados\Magnet_fields.txt_696.txt.txt", "Magnet_fields.txt_696.txt")</f>
        <v/>
      </c>
      <c r="AI696" t="n">
        <v>6566</v>
      </c>
      <c r="AJ696" t="n">
        <v>28</v>
      </c>
      <c r="AK696" s="29">
        <f>HIPERLINK($A$1 &amp; "\Dados\Magnet_3D_results.txt_696.txt.txt", "Magnet_3D_results.txt_696.txt")</f>
        <v/>
      </c>
      <c r="AL696" s="29">
        <f>HIPERLINK($A$1 &amp; "\Dados\Magnet_fields_2D.txt_696.txt.txt", "Magnet_fields_2D.txt_696.txt")</f>
        <v/>
      </c>
    </row>
    <row customHeight="1" ht="15.75" r="697" s="34">
      <c r="D697" s="30" t="n"/>
      <c r="E697" s="15" t="n">
        <v>150</v>
      </c>
      <c r="F697" s="15" t="n">
        <v>180</v>
      </c>
      <c r="G697" s="15" t="n">
        <v>350</v>
      </c>
      <c r="H697" s="15" t="n">
        <v>45</v>
      </c>
      <c r="I697" s="15" t="n">
        <v>140</v>
      </c>
      <c r="J697" s="13" t="n">
        <v>25</v>
      </c>
      <c r="K697" t="n">
        <v>45</v>
      </c>
      <c r="L697" s="13" t="n">
        <v>2</v>
      </c>
      <c r="M697" s="12" t="n"/>
      <c r="N697" s="8" t="n">
        <v>1.472524639347723</v>
      </c>
      <c r="O697" s="15" t="n">
        <v>1.127491059456428</v>
      </c>
      <c r="P697" s="15" t="n">
        <v>1.377885504288927</v>
      </c>
      <c r="Q697" s="15" t="n">
        <v>0.003099749004276536</v>
      </c>
      <c r="R697" s="15" t="n">
        <v>0.02482096494144978</v>
      </c>
      <c r="S697" s="15" t="n">
        <v>0.003325110933676123</v>
      </c>
      <c r="T697" s="29">
        <f>HIPERLINK($A$1 &amp; "\Dados\Imagem_perfil_697.png", "Imagem_perfil_697")</f>
        <v/>
      </c>
      <c r="U697" s="29">
        <f>HIPERLINK($A$1 &amp; "\Dados\Results_airgap697.txt", "Results_airgap697")</f>
        <v/>
      </c>
      <c r="V697" s="19" t="n"/>
      <c r="W697" s="15" t="n">
        <v>1.828123913043478</v>
      </c>
      <c r="X697" s="15" t="n">
        <v>0.9258717925244629</v>
      </c>
      <c r="Y697" s="15" t="n">
        <v>0.02953136056087275</v>
      </c>
      <c r="Z697" s="15" t="n">
        <v>0</v>
      </c>
      <c r="AA697" s="15" t="n">
        <v>0</v>
      </c>
      <c r="AB697" s="15" t="n">
        <v>0</v>
      </c>
      <c r="AC697" s="15" t="n">
        <v>3.814094668691064</v>
      </c>
      <c r="AD697" s="15" t="n">
        <v>43.60788601491429</v>
      </c>
      <c r="AE697" s="15" t="n">
        <v>87.00641070622511</v>
      </c>
      <c r="AF697" s="15" t="n">
        <v>117.8852451394002</v>
      </c>
      <c r="AH697" s="29">
        <f>HIPERLINK($A$1 &amp; "\Dados\Magnet_fields.txt_697.txt.txt", "Magnet_fields.txt_697.txt")</f>
        <v/>
      </c>
      <c r="AI697" t="n">
        <v>6566</v>
      </c>
      <c r="AJ697" t="n">
        <v>27</v>
      </c>
      <c r="AK697" s="29">
        <f>HIPERLINK($A$1 &amp; "\Dados\Magnet_3D_results.txt_697.txt.txt", "Magnet_3D_results.txt_697.txt")</f>
        <v/>
      </c>
      <c r="AL697" s="29">
        <f>HIPERLINK($A$1 &amp; "\Dados\Magnet_fields_2D.txt_697.txt.txt", "Magnet_fields_2D.txt_697.txt")</f>
        <v/>
      </c>
    </row>
    <row customHeight="1" ht="15.75" r="698" s="34">
      <c r="D698" s="30" t="n"/>
      <c r="E698" s="15" t="n">
        <v>150</v>
      </c>
      <c r="F698" s="15" t="n">
        <v>180</v>
      </c>
      <c r="G698" s="15" t="n">
        <v>350</v>
      </c>
      <c r="H698" s="15" t="n">
        <v>45</v>
      </c>
      <c r="I698" s="15" t="n">
        <v>140</v>
      </c>
      <c r="J698" s="13" t="n">
        <v>25</v>
      </c>
      <c r="K698" t="n">
        <v>45</v>
      </c>
      <c r="L698" s="13" t="n">
        <v>2.2</v>
      </c>
      <c r="M698" s="12" t="n"/>
      <c r="N698" s="8" t="n">
        <v>1.471891480377474</v>
      </c>
      <c r="O698" s="15" t="n">
        <v>1.126979609174238</v>
      </c>
      <c r="P698" s="15" t="n">
        <v>1.377299561129355</v>
      </c>
      <c r="Q698" s="15" t="n">
        <v>0.003112156575751406</v>
      </c>
      <c r="R698" s="15" t="n">
        <v>0.02477029641291228</v>
      </c>
      <c r="S698" s="15" t="n">
        <v>0.00333729961534183</v>
      </c>
      <c r="T698" s="29">
        <f>HIPERLINK($A$1 &amp; "\Dados\Imagem_perfil_698.png", "Imagem_perfil_698")</f>
        <v/>
      </c>
      <c r="U698" s="29">
        <f>HIPERLINK($A$1 &amp; "\Dados\Results_airgap698.txt", "Results_airgap698")</f>
        <v/>
      </c>
      <c r="V698" s="19" t="n"/>
      <c r="W698" s="15" t="n">
        <v>1.826411956521739</v>
      </c>
      <c r="X698" s="15" t="n">
        <v>0.9254350561236371</v>
      </c>
      <c r="Y698" s="15" t="n">
        <v>0.113845442762304</v>
      </c>
      <c r="Z698" s="15" t="n">
        <v>0</v>
      </c>
      <c r="AA698" s="15" t="n">
        <v>0</v>
      </c>
      <c r="AB698" s="15" t="n">
        <v>0</v>
      </c>
      <c r="AC698" s="15" t="n">
        <v>3.391787614754616</v>
      </c>
      <c r="AD698" s="15" t="n">
        <v>43.67058553428571</v>
      </c>
      <c r="AE698" s="15" t="n">
        <v>86.99304952791174</v>
      </c>
      <c r="AF698" s="15" t="n">
        <v>117.9880546136675</v>
      </c>
      <c r="AH698" s="29">
        <f>HIPERLINK($A$1 &amp; "\Dados\Magnet_fields.txt_698.txt.txt", "Magnet_fields.txt_698.txt")</f>
        <v/>
      </c>
      <c r="AI698" t="n">
        <v>6566</v>
      </c>
      <c r="AJ698" t="n">
        <v>28</v>
      </c>
      <c r="AK698" s="29">
        <f>HIPERLINK($A$1 &amp; "\Dados\Magnet_3D_results.txt_698.txt.txt", "Magnet_3D_results.txt_698.txt")</f>
        <v/>
      </c>
      <c r="AL698" s="29">
        <f>HIPERLINK($A$1 &amp; "\Dados\Magnet_fields_2D.txt_698.txt.txt", "Magnet_fields_2D.txt_698.txt")</f>
        <v/>
      </c>
    </row>
    <row customHeight="1" ht="15.75" r="699" s="34">
      <c r="D699" s="30" t="n"/>
      <c r="E699" s="15" t="n">
        <v>150</v>
      </c>
      <c r="F699" s="15" t="n">
        <v>180</v>
      </c>
      <c r="G699" s="15" t="n">
        <v>350</v>
      </c>
      <c r="H699" s="15" t="n">
        <v>25</v>
      </c>
      <c r="I699" s="15" t="n">
        <v>180</v>
      </c>
      <c r="J699" s="13" t="n">
        <v>25</v>
      </c>
      <c r="K699" t="n">
        <v>45</v>
      </c>
      <c r="L699" s="13" t="n">
        <v>1.4</v>
      </c>
      <c r="M699" s="12" t="n"/>
      <c r="N699" s="8" t="n">
        <v>1.050774887488523</v>
      </c>
      <c r="O699" s="15" t="n">
        <v>0.9165975559337523</v>
      </c>
      <c r="P699" s="15" t="n">
        <v>1.00899104772313</v>
      </c>
      <c r="Q699" s="15" t="n">
        <v>0.0007184697830718492</v>
      </c>
      <c r="R699" s="15" t="n">
        <v>0.02386165790398027</v>
      </c>
      <c r="S699" s="15" t="n">
        <v>0.0007200464020372293</v>
      </c>
      <c r="T699" s="29">
        <f>HIPERLINK($A$1 &amp; "\Dados\Imagem_perfil_699.png", "Imagem_perfil_699")</f>
        <v/>
      </c>
      <c r="U699" s="29">
        <f>HIPERLINK($A$1 &amp; "\Dados\Results_airgap699.txt", "Results_airgap699")</f>
        <v/>
      </c>
      <c r="V699" s="19" t="n"/>
      <c r="W699" s="43" t="n">
        <v>1.395432173913043</v>
      </c>
      <c r="X699" s="15" t="n">
        <v>0.5922131493358012</v>
      </c>
      <c r="Y699" s="15" t="n">
        <v>3.164994489283289e-05</v>
      </c>
      <c r="Z699" s="15" t="n">
        <v>0</v>
      </c>
      <c r="AA699" s="15" t="n">
        <v>8.450845052314522</v>
      </c>
      <c r="AB699" s="15" t="n">
        <v>4.229314695142532</v>
      </c>
      <c r="AC699" s="15" t="n">
        <v>1.102712733370205</v>
      </c>
      <c r="AD699" s="15" t="n">
        <v>10.35415455856948</v>
      </c>
      <c r="AE699" s="15" t="n">
        <v>40.13669311742766</v>
      </c>
      <c r="AF699" s="15" t="n">
        <v>30.50953487188151</v>
      </c>
      <c r="AH699" s="29">
        <f>HIPERLINK($A$1 &amp; "\Dados\Magnet_fields.txt_699.txt.txt", "Magnet_fields.txt_699.txt")</f>
        <v/>
      </c>
      <c r="AI699" t="n">
        <v>8667</v>
      </c>
      <c r="AJ699" t="n">
        <v>29</v>
      </c>
      <c r="AK699" s="29">
        <f>HIPERLINK($A$1 &amp; "\Dados\Magnet_3D_results.txt_699.txt.txt", "Magnet_3D_results.txt_699.txt")</f>
        <v/>
      </c>
      <c r="AL699" s="29">
        <f>HIPERLINK($A$1 &amp; "\Dados\Magnet_fields_2D.txt_699.txt.txt", "Magnet_fields_2D.txt_699.txt")</f>
        <v/>
      </c>
    </row>
    <row customHeight="1" ht="15.75" r="700" s="34">
      <c r="D700" s="30" t="n"/>
      <c r="E700" s="15" t="n">
        <v>150</v>
      </c>
      <c r="F700" s="15" t="n">
        <v>180</v>
      </c>
      <c r="G700" s="15" t="n">
        <v>350</v>
      </c>
      <c r="H700" s="15" t="n">
        <v>25</v>
      </c>
      <c r="I700" s="15" t="n">
        <v>180</v>
      </c>
      <c r="J700" s="13" t="n">
        <v>25</v>
      </c>
      <c r="K700" t="n">
        <v>45</v>
      </c>
      <c r="L700" s="13" t="n">
        <v>1.6</v>
      </c>
      <c r="M700" s="12" t="n"/>
      <c r="N700" s="8" t="n">
        <v>1.253064639452591</v>
      </c>
      <c r="O700" s="15" t="n">
        <v>1.104732392982892</v>
      </c>
      <c r="P700" s="15" t="n">
        <v>1.208232666152161</v>
      </c>
      <c r="Q700" s="15" t="n">
        <v>0.001151238318579273</v>
      </c>
      <c r="R700" s="15" t="n">
        <v>0.01099813374280243</v>
      </c>
      <c r="S700" s="15" t="n">
        <v>0.001163588876652356</v>
      </c>
      <c r="T700" s="29">
        <f>HIPERLINK($A$1 &amp; "\Dados\Imagem_perfil_700.png", "Imagem_perfil_700")</f>
        <v/>
      </c>
      <c r="U700" s="29">
        <f>HIPERLINK($A$1 &amp; "\Dados\Results_airgap700.txt", "Results_airgap700")</f>
        <v/>
      </c>
      <c r="V700" s="19" t="n"/>
      <c r="W700" s="43" t="n">
        <v>1.596449565217391</v>
      </c>
      <c r="X700" s="15" t="n">
        <v>0.7294805647027625</v>
      </c>
      <c r="Y700" s="15" t="n">
        <v>8.760932263851117e-05</v>
      </c>
      <c r="Z700" s="15" t="n">
        <v>0</v>
      </c>
      <c r="AA700" s="15" t="n">
        <v>5.298509628927054</v>
      </c>
      <c r="AB700" s="15" t="n">
        <v>9.925115033747332</v>
      </c>
      <c r="AC700" s="15" t="n">
        <v>1.670759780317604</v>
      </c>
      <c r="AD700" s="15" t="n">
        <v>25.36841586397449</v>
      </c>
      <c r="AE700" s="15" t="n">
        <v>58.32026893270002</v>
      </c>
      <c r="AF700" s="15" t="n">
        <v>49.48326537828514</v>
      </c>
      <c r="AH700" s="29">
        <f>HIPERLINK($A$1 &amp; "\Dados\Magnet_fields.txt_700.txt.txt", "Magnet_fields.txt_700.txt")</f>
        <v/>
      </c>
      <c r="AI700" t="n">
        <v>8667</v>
      </c>
      <c r="AJ700" t="n">
        <v>29</v>
      </c>
      <c r="AK700" s="29">
        <f>HIPERLINK($A$1 &amp; "\Dados\Magnet_3D_results.txt_700.txt.txt", "Magnet_3D_results.txt_700.txt")</f>
        <v/>
      </c>
      <c r="AL700" s="29">
        <f>HIPERLINK($A$1 &amp; "\Dados\Magnet_fields_2D.txt_700.txt.txt", "Magnet_fields_2D.txt_700.txt")</f>
        <v/>
      </c>
    </row>
    <row customHeight="1" ht="15.75" r="701" s="34">
      <c r="D701" s="30" t="n"/>
      <c r="E701" s="15" t="n">
        <v>150</v>
      </c>
      <c r="F701" s="15" t="n">
        <v>180</v>
      </c>
      <c r="G701" s="15" t="n">
        <v>350</v>
      </c>
      <c r="H701" s="15" t="n">
        <v>25</v>
      </c>
      <c r="I701" s="15" t="n">
        <v>180</v>
      </c>
      <c r="J701" s="13" t="n">
        <v>25</v>
      </c>
      <c r="K701" t="n">
        <v>45</v>
      </c>
      <c r="L701" s="13" t="n">
        <v>1.8</v>
      </c>
      <c r="M701" s="12" t="n"/>
      <c r="N701" s="8" t="n">
        <v>1.492374894465838</v>
      </c>
      <c r="O701" s="15" t="n">
        <v>1.328831646949789</v>
      </c>
      <c r="P701" s="15" t="n">
        <v>1.443194431959007</v>
      </c>
      <c r="Q701" s="15" t="n">
        <v>0.002736708093862666</v>
      </c>
      <c r="R701" s="15" t="n">
        <v>0.01372165462585835</v>
      </c>
      <c r="S701" s="15" t="n">
        <v>0.00277232401295807</v>
      </c>
      <c r="T701" s="29">
        <f>HIPERLINK($A$1 &amp; "\Dados\Imagem_perfil_701.png", "Imagem_perfil_701")</f>
        <v/>
      </c>
      <c r="U701" s="29">
        <f>HIPERLINK($A$1 &amp; "\Dados\Results_airgap701.txt", "Results_airgap701")</f>
        <v/>
      </c>
      <c r="V701" s="19" t="n"/>
      <c r="W701" s="43" t="n">
        <v>1.797684347826087</v>
      </c>
      <c r="X701" s="15" t="n">
        <v>0.9012600633911774</v>
      </c>
      <c r="Y701" s="15" t="n">
        <v>0.0001550019951714922</v>
      </c>
      <c r="Z701" s="15" t="n">
        <v>0</v>
      </c>
      <c r="AA701" s="15" t="n">
        <v>5.541448715734844</v>
      </c>
      <c r="AB701" s="15" t="n">
        <v>9.396753889591379</v>
      </c>
      <c r="AC701" s="15" t="n">
        <v>3.799116863700743</v>
      </c>
      <c r="AD701" s="15" t="n">
        <v>37.00090583428191</v>
      </c>
      <c r="AE701" s="15" t="n">
        <v>81.51577387798727</v>
      </c>
      <c r="AF701" s="15" t="n">
        <v>94.90075394565177</v>
      </c>
      <c r="AH701" s="29">
        <f>HIPERLINK($A$1 &amp; "\Dados\Magnet_fields.txt_701.txt.txt", "Magnet_fields.txt_701.txt")</f>
        <v/>
      </c>
      <c r="AI701" t="n">
        <v>8667</v>
      </c>
      <c r="AJ701" t="n">
        <v>30</v>
      </c>
      <c r="AK701" s="29">
        <f>HIPERLINK($A$1 &amp; "\Dados\Magnet_3D_results.txt_701.txt.txt", "Magnet_3D_results.txt_701.txt")</f>
        <v/>
      </c>
      <c r="AL701" s="29">
        <f>HIPERLINK($A$1 &amp; "\Dados\Magnet_fields_2D.txt_701.txt.txt", "Magnet_fields_2D.txt_701.txt")</f>
        <v/>
      </c>
    </row>
    <row customHeight="1" ht="15.75" r="702" s="34">
      <c r="D702" s="30" t="n"/>
      <c r="E702" s="15" t="n">
        <v>150</v>
      </c>
      <c r="F702" s="15" t="n">
        <v>180</v>
      </c>
      <c r="G702" s="15" t="n">
        <v>350</v>
      </c>
      <c r="H702" s="15" t="n">
        <v>25</v>
      </c>
      <c r="I702" s="15" t="n">
        <v>180</v>
      </c>
      <c r="J702" s="13" t="n">
        <v>25</v>
      </c>
      <c r="K702" t="n">
        <v>45</v>
      </c>
      <c r="L702" s="13" t="n">
        <v>2</v>
      </c>
      <c r="M702" s="12" t="n"/>
      <c r="N702" s="8" t="n">
        <v>1.539675825413224</v>
      </c>
      <c r="O702" s="15" t="n">
        <v>1.377919210637992</v>
      </c>
      <c r="P702" s="15" t="n">
        <v>1.491767989222862</v>
      </c>
      <c r="Q702" s="15" t="n">
        <v>0.003009333058519931</v>
      </c>
      <c r="R702" s="15" t="n">
        <v>0.02075937807621594</v>
      </c>
      <c r="S702" s="15" t="n">
        <v>0.003049497534588708</v>
      </c>
      <c r="T702" s="29">
        <f>HIPERLINK($A$1 &amp; "\Dados\Imagem_perfil_702.png", "Imagem_perfil_702")</f>
        <v/>
      </c>
      <c r="U702" s="29">
        <f>HIPERLINK($A$1 &amp; "\Dados\Results_airgap702.txt", "Results_airgap702")</f>
        <v/>
      </c>
      <c r="V702" s="19" t="n"/>
      <c r="W702" s="15" t="n">
        <v>1.827138478260869</v>
      </c>
      <c r="X702" s="15" t="n">
        <v>0.9377046987921233</v>
      </c>
      <c r="Y702" s="15" t="n">
        <v>0.02962098679441376</v>
      </c>
      <c r="Z702" s="15" t="n">
        <v>0.005444515655376997</v>
      </c>
      <c r="AA702" s="15" t="n">
        <v>5.113740554021148</v>
      </c>
      <c r="AB702" s="15" t="n">
        <v>0</v>
      </c>
      <c r="AC702" s="15" t="n">
        <v>3.606923116190202</v>
      </c>
      <c r="AD702" s="15" t="n">
        <v>43.68393189245975</v>
      </c>
      <c r="AE702" s="15" t="n">
        <v>87.12681130849143</v>
      </c>
      <c r="AF702" s="15" t="n">
        <v>117.6217173345146</v>
      </c>
      <c r="AH702" s="29">
        <f>HIPERLINK($A$1 &amp; "\Dados\Magnet_fields.txt_702.txt.txt", "Magnet_fields.txt_702.txt")</f>
        <v/>
      </c>
      <c r="AI702" t="n">
        <v>8667</v>
      </c>
      <c r="AJ702" t="n">
        <v>29</v>
      </c>
      <c r="AK702" s="29">
        <f>HIPERLINK($A$1 &amp; "\Dados\Magnet_3D_results.txt_702.txt.txt", "Magnet_3D_results.txt_702.txt")</f>
        <v/>
      </c>
      <c r="AL702" s="29">
        <f>HIPERLINK($A$1 &amp; "\Dados\Magnet_fields_2D.txt_702.txt.txt", "Magnet_fields_2D.txt_702.txt")</f>
        <v/>
      </c>
    </row>
    <row customHeight="1" ht="15.75" r="703" s="34">
      <c r="D703" s="30" t="n"/>
      <c r="E703" s="15" t="n">
        <v>150</v>
      </c>
      <c r="F703" s="15" t="n">
        <v>180</v>
      </c>
      <c r="G703" s="15" t="n">
        <v>350</v>
      </c>
      <c r="H703" s="15" t="n">
        <v>25</v>
      </c>
      <c r="I703" s="15" t="n">
        <v>180</v>
      </c>
      <c r="J703" s="13" t="n">
        <v>25</v>
      </c>
      <c r="K703" t="n">
        <v>45</v>
      </c>
      <c r="L703" s="13" t="n">
        <v>2.2</v>
      </c>
      <c r="M703" s="12" t="n"/>
      <c r="N703" s="8" t="n">
        <v>1.540198290972396</v>
      </c>
      <c r="O703" s="15" t="n">
        <v>1.378447462740392</v>
      </c>
      <c r="P703" s="15" t="n">
        <v>1.492289772149157</v>
      </c>
      <c r="Q703" s="15" t="n">
        <v>0.003007397948578591</v>
      </c>
      <c r="R703" s="15" t="n">
        <v>0.02088224979179337</v>
      </c>
      <c r="S703" s="15" t="n">
        <v>0.003047555414339593</v>
      </c>
      <c r="T703" s="29">
        <f>HIPERLINK($A$1 &amp; "\Dados\Imagem_perfil_703.png", "Imagem_perfil_703")</f>
        <v/>
      </c>
      <c r="U703" s="29">
        <f>HIPERLINK($A$1 &amp; "\Dados\Results_airgap703.txt", "Results_airgap703")</f>
        <v/>
      </c>
      <c r="V703" s="19" t="n"/>
      <c r="W703" s="15" t="n">
        <v>1.826031304347826</v>
      </c>
      <c r="X703" s="15" t="n">
        <v>0.9381452103519957</v>
      </c>
      <c r="Y703" s="15" t="n">
        <v>0.1140027381405035</v>
      </c>
      <c r="Z703" s="15" t="n">
        <v>0.005444515655376997</v>
      </c>
      <c r="AA703" s="15" t="n">
        <v>5.055159060874395</v>
      </c>
      <c r="AB703" s="15" t="n">
        <v>0</v>
      </c>
      <c r="AC703" s="15" t="n">
        <v>3.358377006745659</v>
      </c>
      <c r="AD703" s="15" t="n">
        <v>43.69024856330028</v>
      </c>
      <c r="AE703" s="15" t="n">
        <v>87.00322129743446</v>
      </c>
      <c r="AF703" s="15" t="n">
        <v>118.0267641246601</v>
      </c>
      <c r="AH703" s="29">
        <f>HIPERLINK($A$1 &amp; "\Dados\Magnet_fields.txt_703.txt.txt", "Magnet_fields.txt_703.txt")</f>
        <v/>
      </c>
      <c r="AI703" t="n">
        <v>8667</v>
      </c>
      <c r="AJ703" t="n">
        <v>29</v>
      </c>
      <c r="AK703" s="29">
        <f>HIPERLINK($A$1 &amp; "\Dados\Magnet_3D_results.txt_703.txt.txt", "Magnet_3D_results.txt_703.txt")</f>
        <v/>
      </c>
      <c r="AL703" s="29">
        <f>HIPERLINK($A$1 &amp; "\Dados\Magnet_fields_2D.txt_703.txt.txt", "Magnet_fields_2D.txt_703.txt")</f>
        <v/>
      </c>
    </row>
    <row customHeight="1" ht="15.75" r="704" s="34">
      <c r="D704" s="30" t="n"/>
      <c r="E704" s="15" t="n">
        <v>150</v>
      </c>
      <c r="F704" s="15" t="n">
        <v>180</v>
      </c>
      <c r="G704" s="15" t="n">
        <v>350</v>
      </c>
      <c r="H704" s="15" t="n">
        <v>45</v>
      </c>
      <c r="I704" s="15" t="n">
        <v>180</v>
      </c>
      <c r="J704" s="13" t="n">
        <v>25</v>
      </c>
      <c r="K704" t="n">
        <v>45</v>
      </c>
      <c r="L704" s="13" t="n">
        <v>1.4</v>
      </c>
      <c r="M704" s="12" t="n"/>
      <c r="N704" s="8" t="n">
        <v>1.105373014593314</v>
      </c>
      <c r="O704" s="15" t="n">
        <v>0.9709526236606242</v>
      </c>
      <c r="P704" s="15" t="n">
        <v>1.063034072684878</v>
      </c>
      <c r="Q704" s="15" t="n">
        <v>0.000802058629228623</v>
      </c>
      <c r="R704" s="15" t="n">
        <v>0.01465182003136622</v>
      </c>
      <c r="S704" s="15" t="n">
        <v>0.0008085705128253897</v>
      </c>
      <c r="T704" s="29">
        <f>HIPERLINK($A$1 &amp; "\Dados\Imagem_perfil_704.png", "Imagem_perfil_704")</f>
        <v/>
      </c>
      <c r="U704" s="29">
        <f>HIPERLINK($A$1 &amp; "\Dados\Results_airgap704.txt", "Results_airgap704")</f>
        <v/>
      </c>
      <c r="V704" s="19" t="n"/>
      <c r="W704" s="43" t="n">
        <v>1.395400652173913</v>
      </c>
      <c r="X704" s="15" t="n">
        <v>0.6319990046271168</v>
      </c>
      <c r="Y704" s="15" t="n">
        <v>3.020743061987489e-05</v>
      </c>
      <c r="Z704" s="15" t="n">
        <v>0</v>
      </c>
      <c r="AA704" s="15" t="n">
        <v>9.35826801540142</v>
      </c>
      <c r="AB704" s="15" t="n">
        <v>4.012694941309344</v>
      </c>
      <c r="AC704" s="15" t="n">
        <v>1.271556914046282</v>
      </c>
      <c r="AD704" s="15" t="n">
        <v>10.02905934335714</v>
      </c>
      <c r="AE704" s="15" t="n">
        <v>40.11922169241999</v>
      </c>
      <c r="AF704" s="15" t="n">
        <v>30.70207989339941</v>
      </c>
      <c r="AH704" s="29">
        <f>HIPERLINK($A$1 &amp; "\Dados\Magnet_fields.txt_704.txt.txt", "Magnet_fields.txt_704.txt")</f>
        <v/>
      </c>
      <c r="AI704" t="n">
        <v>6396</v>
      </c>
      <c r="AJ704" t="n">
        <v>28</v>
      </c>
      <c r="AK704" s="29">
        <f>HIPERLINK($A$1 &amp; "\Dados\Magnet_3D_results.txt_704.txt.txt", "Magnet_3D_results.txt_704.txt")</f>
        <v/>
      </c>
      <c r="AL704" s="29">
        <f>HIPERLINK($A$1 &amp; "\Dados\Magnet_fields_2D.txt_704.txt.txt", "Magnet_fields_2D.txt_704.txt")</f>
        <v/>
      </c>
    </row>
    <row customHeight="1" ht="15.75" r="705" s="34">
      <c r="D705" s="30" t="n"/>
      <c r="E705" s="15" t="n">
        <v>150</v>
      </c>
      <c r="F705" s="15" t="n">
        <v>180</v>
      </c>
      <c r="G705" s="15" t="n">
        <v>350</v>
      </c>
      <c r="H705" s="15" t="n">
        <v>45</v>
      </c>
      <c r="I705" s="15" t="n">
        <v>180</v>
      </c>
      <c r="J705" s="13" t="n">
        <v>25</v>
      </c>
      <c r="K705" t="n">
        <v>45</v>
      </c>
      <c r="L705" s="13" t="n">
        <v>1.6</v>
      </c>
      <c r="M705" s="12" t="n"/>
      <c r="N705" s="8" t="n">
        <v>1.301858878254762</v>
      </c>
      <c r="O705" s="15" t="n">
        <v>1.15327735315089</v>
      </c>
      <c r="P705" s="15" t="n">
        <v>1.25613700754464</v>
      </c>
      <c r="Q705" s="15" t="n">
        <v>0.001411195218921901</v>
      </c>
      <c r="R705" s="15" t="n">
        <v>0.003186283766479383</v>
      </c>
      <c r="S705" s="15" t="n">
        <v>0.001431370798952202</v>
      </c>
      <c r="T705" s="29">
        <f>HIPERLINK($A$1 &amp; "\Dados\Imagem_perfil_705.png", "Imagem_perfil_705")</f>
        <v/>
      </c>
      <c r="U705" s="29">
        <f>HIPERLINK($A$1 &amp; "\Dados\Results_airgap705.txt", "Results_airgap705")</f>
        <v/>
      </c>
      <c r="V705" s="19" t="n"/>
      <c r="W705" s="43" t="n">
        <v>1.596417608695653</v>
      </c>
      <c r="X705" s="15" t="n">
        <v>0.7650327541640136</v>
      </c>
      <c r="Y705" s="15" t="n">
        <v>8.721400174685659e-05</v>
      </c>
      <c r="Z705" s="15" t="n">
        <v>0</v>
      </c>
      <c r="AA705" s="15" t="n">
        <v>7.685612225908141</v>
      </c>
      <c r="AB705" s="15" t="n">
        <v>9.893223498739488</v>
      </c>
      <c r="AC705" s="15" t="n">
        <v>1.660741055284626</v>
      </c>
      <c r="AD705" s="15" t="n">
        <v>25.30914360277784</v>
      </c>
      <c r="AE705" s="15" t="n">
        <v>58.30551084118854</v>
      </c>
      <c r="AF705" s="15" t="n">
        <v>49.39968522447131</v>
      </c>
      <c r="AH705" s="29">
        <f>HIPERLINK($A$1 &amp; "\Dados\Magnet_fields.txt_705.txt.txt", "Magnet_fields.txt_705.txt")</f>
        <v/>
      </c>
      <c r="AI705" t="n">
        <v>6396</v>
      </c>
      <c r="AJ705" t="n">
        <v>28</v>
      </c>
      <c r="AK705" s="29">
        <f>HIPERLINK($A$1 &amp; "\Dados\Magnet_3D_results.txt_705.txt.txt", "Magnet_3D_results.txt_705.txt")</f>
        <v/>
      </c>
      <c r="AL705" s="29">
        <f>HIPERLINK($A$1 &amp; "\Dados\Magnet_fields_2D.txt_705.txt.txt", "Magnet_fields_2D.txt_705.txt")</f>
        <v/>
      </c>
    </row>
    <row customHeight="1" ht="15.75" r="706" s="34">
      <c r="D706" s="30" t="n"/>
      <c r="E706" s="15" t="n">
        <v>150</v>
      </c>
      <c r="F706" s="15" t="n">
        <v>200</v>
      </c>
      <c r="G706" s="15" t="n">
        <v>350</v>
      </c>
      <c r="H706" s="15" t="n">
        <v>25</v>
      </c>
      <c r="I706" s="15" t="n">
        <v>140</v>
      </c>
      <c r="J706" s="13" t="n">
        <v>25</v>
      </c>
      <c r="K706" t="n">
        <v>45</v>
      </c>
      <c r="L706" s="13" t="n">
        <v>1.4</v>
      </c>
      <c r="M706" s="12" t="n"/>
      <c r="N706" s="8" t="n">
        <v>1.046920834202041</v>
      </c>
      <c r="O706" s="15" t="n">
        <v>0.7891261954181589</v>
      </c>
      <c r="P706" s="15" t="n">
        <v>0.9780426280171776</v>
      </c>
      <c r="Q706" s="15" t="n">
        <v>0.001500728858003204</v>
      </c>
      <c r="R706" s="15" t="n">
        <v>0.01918259945958329</v>
      </c>
      <c r="S706" s="15" t="n">
        <v>0.002233935572585465</v>
      </c>
      <c r="T706" s="29">
        <f>HIPERLINK($A$1 &amp; "\Dados\Imagem_perfil_706.png", "Imagem_perfil_706")</f>
        <v/>
      </c>
      <c r="U706" s="29">
        <f>HIPERLINK($A$1 &amp; "\Dados\Results_airgap706.txt", "Results_airgap706")</f>
        <v/>
      </c>
      <c r="V706" s="19" t="n"/>
      <c r="W706" s="43" t="n">
        <v>1.408807826086957</v>
      </c>
      <c r="X706" s="15" t="n">
        <v>0.6773634937490918</v>
      </c>
      <c r="Y706" s="15" t="n">
        <v>0.0003808169849705886</v>
      </c>
      <c r="Z706" s="15" t="n">
        <v>0.001493713725079508</v>
      </c>
      <c r="AA706" s="15" t="n">
        <v>6.050559155325289</v>
      </c>
      <c r="AB706" s="15" t="n">
        <v>4.209381940698905</v>
      </c>
      <c r="AC706" s="15" t="n">
        <v>1.733147110540707</v>
      </c>
      <c r="AD706" s="15" t="n">
        <v>33.56652107261739</v>
      </c>
      <c r="AE706" s="15" t="n">
        <v>80.95711817878971</v>
      </c>
      <c r="AF706" s="15" t="n">
        <v>113.7129008677022</v>
      </c>
      <c r="AH706" s="29">
        <f>HIPERLINK($A$1 &amp; "\Dados\Magnet_fields.txt_706.txt.txt", "Magnet_fields.txt_706.txt")</f>
        <v/>
      </c>
      <c r="AI706" t="n">
        <v>8299</v>
      </c>
      <c r="AJ706" t="n">
        <v>30</v>
      </c>
      <c r="AK706" s="29">
        <f>HIPERLINK($A$1 &amp; "\Dados\Magnet_3D_results.txt_706.txt.txt", "Magnet_3D_results.txt_706.txt")</f>
        <v/>
      </c>
      <c r="AL706" s="29">
        <f>HIPERLINK($A$1 &amp; "\Dados\Magnet_fields_2D.txt_706.txt.txt", "Magnet_fields_2D.txt_706.txt")</f>
        <v/>
      </c>
    </row>
    <row customHeight="1" ht="15.75" r="707" s="34">
      <c r="D707" s="30" t="n"/>
      <c r="E707" s="15" t="n">
        <v>150</v>
      </c>
      <c r="F707" s="15" t="n">
        <v>200</v>
      </c>
      <c r="G707" s="15" t="n">
        <v>350</v>
      </c>
      <c r="H707" s="15" t="n">
        <v>25</v>
      </c>
      <c r="I707" s="15" t="n">
        <v>140</v>
      </c>
      <c r="J707" s="13" t="n">
        <v>25</v>
      </c>
      <c r="K707" t="n">
        <v>45</v>
      </c>
      <c r="L707" s="13" t="n">
        <v>1.6</v>
      </c>
      <c r="M707" s="12" t="n"/>
      <c r="N707" s="8" t="n">
        <v>1.063478173106219</v>
      </c>
      <c r="O707" s="15" t="n">
        <v>0.8027470643095377</v>
      </c>
      <c r="P707" s="15" t="n">
        <v>0.9945780716208321</v>
      </c>
      <c r="Q707" s="15" t="n">
        <v>0.001493529484585605</v>
      </c>
      <c r="R707" s="15" t="n">
        <v>0.02009599553533377</v>
      </c>
      <c r="S707" s="15" t="n">
        <v>0.002247315524439355</v>
      </c>
      <c r="T707" s="29">
        <f>HIPERLINK($A$1 &amp; "\Dados\Imagem_perfil_707.png", "Imagem_perfil_707")</f>
        <v/>
      </c>
      <c r="U707" s="29">
        <f>HIPERLINK($A$1 &amp; "\Dados\Results_airgap707.txt", "Results_airgap707")</f>
        <v/>
      </c>
      <c r="V707" s="19" t="n"/>
      <c r="W707" s="15" t="n">
        <v>1.426521304347826</v>
      </c>
      <c r="X707" s="15" t="n">
        <v>0.689280576742709</v>
      </c>
      <c r="Y707" s="15" t="n">
        <v>0.06544225458241551</v>
      </c>
      <c r="Z707" s="15" t="n">
        <v>0</v>
      </c>
      <c r="AA707" s="15" t="n">
        <v>4.935078352510882</v>
      </c>
      <c r="AB707" s="15" t="n">
        <v>0</v>
      </c>
      <c r="AC707" s="15" t="n">
        <v>4.829580816305367</v>
      </c>
      <c r="AD707" s="15" t="n">
        <v>38.88198055441472</v>
      </c>
      <c r="AE707" s="15" t="n">
        <v>81.84387640470334</v>
      </c>
      <c r="AF707" s="15" t="n">
        <v>115.5342096323837</v>
      </c>
      <c r="AH707" s="29">
        <f>HIPERLINK($A$1 &amp; "\Dados\Magnet_fields.txt_707.txt.txt", "Magnet_fields.txt_707.txt")</f>
        <v/>
      </c>
      <c r="AI707" t="n">
        <v>8299</v>
      </c>
      <c r="AJ707" t="n">
        <v>29</v>
      </c>
      <c r="AK707" s="29">
        <f>HIPERLINK($A$1 &amp; "\Dados\Magnet_3D_results.txt_707.txt.txt", "Magnet_3D_results.txt_707.txt")</f>
        <v/>
      </c>
      <c r="AL707" s="29">
        <f>HIPERLINK($A$1 &amp; "\Dados\Magnet_fields_2D.txt_707.txt.txt", "Magnet_fields_2D.txt_707.txt")</f>
        <v/>
      </c>
    </row>
    <row customHeight="1" ht="15.75" r="708" s="34">
      <c r="D708" s="30" t="n"/>
      <c r="E708" s="15" t="n">
        <v>150</v>
      </c>
      <c r="F708" s="15" t="n">
        <v>200</v>
      </c>
      <c r="G708" s="15" t="n">
        <v>350</v>
      </c>
      <c r="H708" s="15" t="n">
        <v>25</v>
      </c>
      <c r="I708" s="15" t="n">
        <v>140</v>
      </c>
      <c r="J708" s="13" t="n">
        <v>25</v>
      </c>
      <c r="K708" t="n">
        <v>45</v>
      </c>
      <c r="L708" s="13" t="n">
        <v>1.8</v>
      </c>
      <c r="M708" s="12" t="n"/>
      <c r="N708" s="8" t="n">
        <v>1.068017692729735</v>
      </c>
      <c r="O708" s="15" t="n">
        <v>0.8063779326180439</v>
      </c>
      <c r="P708" s="15" t="n">
        <v>0.9988279399838046</v>
      </c>
      <c r="Q708" s="15" t="n">
        <v>0.001494965817295424</v>
      </c>
      <c r="R708" s="15" t="n">
        <v>0.02021856864030723</v>
      </c>
      <c r="S708" s="15" t="n">
        <v>0.002250533831519257</v>
      </c>
      <c r="T708" s="29">
        <f>HIPERLINK($A$1 &amp; "\Dados\Imagem_perfil_708.png", "Imagem_perfil_708")</f>
        <v/>
      </c>
      <c r="U708" s="29">
        <f>HIPERLINK($A$1 &amp; "\Dados\Results_airgap708.txt", "Results_airgap708")</f>
        <v/>
      </c>
      <c r="V708" s="19" t="n"/>
      <c r="W708" s="15" t="n">
        <v>1.428423913043478</v>
      </c>
      <c r="X708" s="15" t="n">
        <v>0.6924346923183198</v>
      </c>
      <c r="Y708" s="15" t="n">
        <v>0.2017511527772824</v>
      </c>
      <c r="Z708" s="15" t="n">
        <v>0</v>
      </c>
      <c r="AA708" s="15" t="n">
        <v>4.760569797314356</v>
      </c>
      <c r="AB708" s="15" t="n">
        <v>0</v>
      </c>
      <c r="AC708" s="15" t="n">
        <v>5.251701029171898</v>
      </c>
      <c r="AD708" s="15" t="n">
        <v>39.18468799277331</v>
      </c>
      <c r="AE708" s="15" t="n">
        <v>81.84118012191117</v>
      </c>
      <c r="AF708" s="15" t="n">
        <v>115.4782543041337</v>
      </c>
      <c r="AH708" s="29">
        <f>HIPERLINK($A$1 &amp; "\Dados\Magnet_fields.txt_708.txt.txt", "Magnet_fields.txt_708.txt")</f>
        <v/>
      </c>
      <c r="AI708" t="n">
        <v>8299</v>
      </c>
      <c r="AJ708" t="n">
        <v>29</v>
      </c>
      <c r="AK708" s="29">
        <f>HIPERLINK($A$1 &amp; "\Dados\Magnet_3D_results.txt_708.txt.txt", "Magnet_3D_results.txt_708.txt")</f>
        <v/>
      </c>
      <c r="AL708" s="29">
        <f>HIPERLINK($A$1 &amp; "\Dados\Magnet_fields_2D.txt_708.txt.txt", "Magnet_fields_2D.txt_708.txt")</f>
        <v/>
      </c>
    </row>
    <row customHeight="1" ht="15.75" r="709" s="34">
      <c r="D709" s="30" t="n"/>
      <c r="E709" s="15" t="n">
        <v>150</v>
      </c>
      <c r="F709" s="15" t="n">
        <v>200</v>
      </c>
      <c r="G709" s="15" t="n">
        <v>350</v>
      </c>
      <c r="H709" s="15" t="n">
        <v>25</v>
      </c>
      <c r="I709" s="15" t="n">
        <v>140</v>
      </c>
      <c r="J709" s="13" t="n">
        <v>25</v>
      </c>
      <c r="K709" t="n">
        <v>45</v>
      </c>
      <c r="L709" s="13" t="n">
        <v>2</v>
      </c>
      <c r="M709" s="12" t="n"/>
      <c r="N709" s="8" t="n">
        <v>1.068017692729735</v>
      </c>
      <c r="O709" s="15" t="n">
        <v>0.8063779326180439</v>
      </c>
      <c r="P709" s="15" t="n">
        <v>0.9988279399838046</v>
      </c>
      <c r="Q709" s="15" t="n">
        <v>0.001494965817295424</v>
      </c>
      <c r="R709" s="15" t="n">
        <v>0.02021856864030723</v>
      </c>
      <c r="S709" s="15" t="n">
        <v>0.002250533831519257</v>
      </c>
      <c r="T709" s="29">
        <f>HIPERLINK($A$1 &amp; "\Dados\Imagem_perfil_709.png", "Imagem_perfil_709")</f>
        <v/>
      </c>
      <c r="U709" s="29">
        <f>HIPERLINK($A$1 &amp; "\Dados\Results_airgap709.txt", "Results_airgap709")</f>
        <v/>
      </c>
      <c r="V709" s="19" t="n"/>
      <c r="W709" s="15" t="n">
        <v>1.429353695652174</v>
      </c>
      <c r="X709" s="15" t="n">
        <v>0.6924346923183198</v>
      </c>
      <c r="Y709" s="15" t="n">
        <v>0.3649417286415633</v>
      </c>
      <c r="Z709" s="15" t="n">
        <v>0</v>
      </c>
      <c r="AA709" s="15" t="n">
        <v>4.760569797314356</v>
      </c>
      <c r="AB709" s="15" t="n">
        <v>0</v>
      </c>
      <c r="AC709" s="15" t="n">
        <v>5.423335137387353</v>
      </c>
      <c r="AD709" s="15" t="n">
        <v>39.39076995112274</v>
      </c>
      <c r="AE709" s="15" t="n">
        <v>81.8709245131995</v>
      </c>
      <c r="AF709" s="15" t="n">
        <v>115.4788693403868</v>
      </c>
      <c r="AH709" s="29">
        <f>HIPERLINK($A$1 &amp; "\Dados\Magnet_fields.txt_709.txt.txt", "Magnet_fields.txt_709.txt")</f>
        <v/>
      </c>
      <c r="AI709" t="n">
        <v>8299</v>
      </c>
      <c r="AJ709" t="n">
        <v>30</v>
      </c>
      <c r="AK709" s="29">
        <f>HIPERLINK($A$1 &amp; "\Dados\Magnet_3D_results.txt_709.txt.txt", "Magnet_3D_results.txt_709.txt")</f>
        <v/>
      </c>
      <c r="AL709" s="29">
        <f>HIPERLINK($A$1 &amp; "\Dados\Magnet_fields_2D.txt_709.txt.txt", "Magnet_fields_2D.txt_709.txt")</f>
        <v/>
      </c>
    </row>
    <row customHeight="1" ht="15.75" r="710" s="34">
      <c r="D710" s="30" t="n"/>
      <c r="E710" s="15" t="n">
        <v>150</v>
      </c>
      <c r="F710" s="15" t="n">
        <v>200</v>
      </c>
      <c r="G710" s="15" t="n">
        <v>350</v>
      </c>
      <c r="H710" s="15" t="n">
        <v>25</v>
      </c>
      <c r="I710" s="15" t="n">
        <v>140</v>
      </c>
      <c r="J710" s="13" t="n">
        <v>25</v>
      </c>
      <c r="K710" t="n">
        <v>45</v>
      </c>
      <c r="L710" s="13" t="n">
        <v>2.2</v>
      </c>
      <c r="M710" s="12" t="n"/>
      <c r="N710" s="8" t="n">
        <v>1.068017692729735</v>
      </c>
      <c r="O710" s="15" t="n">
        <v>0.8063779326180436</v>
      </c>
      <c r="P710" s="15" t="n">
        <v>0.9988279399838044</v>
      </c>
      <c r="Q710" s="15" t="n">
        <v>0.001494965817295424</v>
      </c>
      <c r="R710" s="15" t="n">
        <v>0.02021856864030723</v>
      </c>
      <c r="S710" s="15" t="n">
        <v>0.002250533831519257</v>
      </c>
      <c r="T710" s="29">
        <f>HIPERLINK($A$1 &amp; "\Dados\Imagem_perfil_710.png", "Imagem_perfil_710")</f>
        <v/>
      </c>
      <c r="U710" s="29">
        <f>HIPERLINK($A$1 &amp; "\Dados\Results_airgap710.txt", "Results_airgap710")</f>
        <v/>
      </c>
      <c r="V710" s="19" t="n"/>
      <c r="W710" s="15" t="n">
        <v>1.429625652173913</v>
      </c>
      <c r="X710" s="15" t="n">
        <v>0.6924346923183198</v>
      </c>
      <c r="Y710" s="15" t="n">
        <v>0.5342649770017884</v>
      </c>
      <c r="Z710" s="15" t="n">
        <v>0</v>
      </c>
      <c r="AA710" s="15" t="n">
        <v>4.760569797314356</v>
      </c>
      <c r="AB710" s="15" t="n">
        <v>0</v>
      </c>
      <c r="AC710" s="15" t="n">
        <v>5.496913030595945</v>
      </c>
      <c r="AD710" s="15" t="n">
        <v>39.41230613214066</v>
      </c>
      <c r="AE710" s="15" t="n">
        <v>81.8825838770762</v>
      </c>
      <c r="AF710" s="15" t="n">
        <v>115.4558911248538</v>
      </c>
      <c r="AH710" s="29">
        <f>HIPERLINK($A$1 &amp; "\Dados\Magnet_fields.txt_710.txt.txt", "Magnet_fields.txt_710.txt")</f>
        <v/>
      </c>
      <c r="AI710" t="n">
        <v>8299</v>
      </c>
      <c r="AJ710" t="n">
        <v>30</v>
      </c>
      <c r="AK710" s="29">
        <f>HIPERLINK($A$1 &amp; "\Dados\Magnet_3D_results.txt_710.txt.txt", "Magnet_3D_results.txt_710.txt")</f>
        <v/>
      </c>
      <c r="AL710" s="29">
        <f>HIPERLINK($A$1 &amp; "\Dados\Magnet_fields_2D.txt_710.txt.txt", "Magnet_fields_2D.txt_710.txt")</f>
        <v/>
      </c>
    </row>
    <row customHeight="1" ht="15.75" r="711" s="34">
      <c r="D711" s="30" t="n"/>
      <c r="E711" s="15" t="n">
        <v>150</v>
      </c>
      <c r="F711" s="15" t="n">
        <v>200</v>
      </c>
      <c r="G711" s="15" t="n">
        <v>350</v>
      </c>
      <c r="H711" s="15" t="n">
        <v>45</v>
      </c>
      <c r="I711" s="15" t="n">
        <v>140</v>
      </c>
      <c r="J711" s="13" t="n">
        <v>25</v>
      </c>
      <c r="K711" t="n">
        <v>45</v>
      </c>
      <c r="L711" s="13" t="n">
        <v>1.4</v>
      </c>
      <c r="M711" s="12" t="n"/>
      <c r="N711" s="8" t="n">
        <v>1.077285382194047</v>
      </c>
      <c r="O711" s="15" t="n">
        <v>0.8166331873451839</v>
      </c>
      <c r="P711" s="15" t="n">
        <v>1.007703966500939</v>
      </c>
      <c r="Q711" s="15" t="n">
        <v>0.001620870482224966</v>
      </c>
      <c r="R711" s="15" t="n">
        <v>0.02418558884295073</v>
      </c>
      <c r="S711" s="15" t="n">
        <v>0.002495215795555471</v>
      </c>
      <c r="T711" s="29">
        <f>HIPERLINK($A$1 &amp; "\Dados\Imagem_perfil_711.png", "Imagem_perfil_711")</f>
        <v/>
      </c>
      <c r="U711" s="29">
        <f>HIPERLINK($A$1 &amp; "\Dados\Results_airgap711.txt", "Results_airgap711")</f>
        <v/>
      </c>
      <c r="V711" s="19" t="n"/>
      <c r="W711" s="43" t="n">
        <v>1.408809130434783</v>
      </c>
      <c r="X711" s="15" t="n">
        <v>0.7026052693676772</v>
      </c>
      <c r="Y711" s="15" t="n">
        <v>0.0003732510134403209</v>
      </c>
      <c r="Z711" s="15" t="n">
        <v>0</v>
      </c>
      <c r="AA711" s="15" t="n">
        <v>0</v>
      </c>
      <c r="AB711" s="15" t="n">
        <v>4.276051326640366</v>
      </c>
      <c r="AC711" s="15" t="n">
        <v>1.694524630974092</v>
      </c>
      <c r="AD711" s="15" t="n">
        <v>33.4817335390755</v>
      </c>
      <c r="AE711" s="15" t="n">
        <v>80.9395896989133</v>
      </c>
      <c r="AF711" s="15" t="n">
        <v>113.7119011139206</v>
      </c>
      <c r="AH711" s="29">
        <f>HIPERLINK($A$1 &amp; "\Dados\Magnet_fields.txt_711.txt.txt", "Magnet_fields.txt_711.txt")</f>
        <v/>
      </c>
      <c r="AI711" t="n">
        <v>5737</v>
      </c>
      <c r="AJ711" t="n">
        <v>29</v>
      </c>
      <c r="AK711" s="29">
        <f>HIPERLINK($A$1 &amp; "\Dados\Magnet_3D_results.txt_711.txt.txt", "Magnet_3D_results.txt_711.txt")</f>
        <v/>
      </c>
      <c r="AL711" s="29">
        <f>HIPERLINK($A$1 &amp; "\Dados\Magnet_fields_2D.txt_711.txt.txt", "Magnet_fields_2D.txt_711.txt")</f>
        <v/>
      </c>
    </row>
    <row customHeight="1" ht="15.75" r="712" s="34">
      <c r="D712" s="30" t="n"/>
      <c r="E712" s="15" t="n">
        <v>150</v>
      </c>
      <c r="F712" s="15" t="n">
        <v>200</v>
      </c>
      <c r="G712" s="15" t="n">
        <v>350</v>
      </c>
      <c r="H712" s="15" t="n">
        <v>45</v>
      </c>
      <c r="I712" s="15" t="n">
        <v>140</v>
      </c>
      <c r="J712" s="13" t="n">
        <v>25</v>
      </c>
      <c r="K712" t="n">
        <v>45</v>
      </c>
      <c r="L712" s="13" t="n">
        <v>1.6</v>
      </c>
      <c r="M712" s="12" t="n"/>
      <c r="N712" s="8" t="n">
        <v>1.091050463141912</v>
      </c>
      <c r="O712" s="15" t="n">
        <v>0.8277049323864379</v>
      </c>
      <c r="P712" s="15" t="n">
        <v>1.021479837130192</v>
      </c>
      <c r="Q712" s="15" t="n">
        <v>0.00160557799844147</v>
      </c>
      <c r="R712" s="15" t="n">
        <v>0.02460503720497635</v>
      </c>
      <c r="S712" s="15" t="n">
        <v>0.002487205038644741</v>
      </c>
      <c r="T712" s="29">
        <f>HIPERLINK($A$1 &amp; "\Dados\Imagem_perfil_712.png", "Imagem_perfil_712")</f>
        <v/>
      </c>
      <c r="U712" s="29">
        <f>HIPERLINK($A$1 &amp; "\Dados\Results_airgap712.txt", "Results_airgap712")</f>
        <v/>
      </c>
      <c r="V712" s="19" t="n"/>
      <c r="W712" s="15" t="n">
        <v>1.426395</v>
      </c>
      <c r="X712" s="15" t="n">
        <v>0.7123434670301515</v>
      </c>
      <c r="Y712" s="15" t="n">
        <v>0.06528920792855485</v>
      </c>
      <c r="Z712" s="15" t="n">
        <v>0</v>
      </c>
      <c r="AA712" s="15" t="n">
        <v>0</v>
      </c>
      <c r="AB712" s="15" t="n">
        <v>0</v>
      </c>
      <c r="AC712" s="15" t="n">
        <v>4.709965636488319</v>
      </c>
      <c r="AD712" s="15" t="n">
        <v>38.88338384133998</v>
      </c>
      <c r="AE712" s="15" t="n">
        <v>81.769685089086</v>
      </c>
      <c r="AF712" s="15" t="n">
        <v>115.4621313987948</v>
      </c>
      <c r="AH712" s="29">
        <f>HIPERLINK($A$1 &amp; "\Dados\Magnet_fields.txt_712.txt.txt", "Magnet_fields.txt_712.txt")</f>
        <v/>
      </c>
      <c r="AI712" t="n">
        <v>5737</v>
      </c>
      <c r="AJ712" t="n">
        <v>27</v>
      </c>
      <c r="AK712" s="29">
        <f>HIPERLINK($A$1 &amp; "\Dados\Magnet_3D_results.txt_712.txt.txt", "Magnet_3D_results.txt_712.txt")</f>
        <v/>
      </c>
      <c r="AL712" s="29">
        <f>HIPERLINK($A$1 &amp; "\Dados\Magnet_fields_2D.txt_712.txt.txt", "Magnet_fields_2D.txt_712.txt")</f>
        <v/>
      </c>
    </row>
    <row customHeight="1" ht="15.75" r="713" s="34">
      <c r="D713" s="30" t="n"/>
      <c r="E713" s="15" t="n">
        <v>150</v>
      </c>
      <c r="F713" s="15" t="n">
        <v>200</v>
      </c>
      <c r="G713" s="15" t="n">
        <v>350</v>
      </c>
      <c r="H713" s="15" t="n">
        <v>45</v>
      </c>
      <c r="I713" s="15" t="n">
        <v>140</v>
      </c>
      <c r="J713" s="13" t="n">
        <v>25</v>
      </c>
      <c r="K713" t="n">
        <v>45</v>
      </c>
      <c r="L713" s="13" t="n">
        <v>1.8</v>
      </c>
      <c r="M713" s="12" t="n"/>
      <c r="N713" s="8" t="n">
        <v>1.095116943815096</v>
      </c>
      <c r="O713" s="15" t="n">
        <v>0.8309131475278955</v>
      </c>
      <c r="P713" s="15" t="n">
        <v>1.025269158305411</v>
      </c>
      <c r="Q713" s="15" t="n">
        <v>0.001606469088082504</v>
      </c>
      <c r="R713" s="15" t="n">
        <v>0.02466242264712141</v>
      </c>
      <c r="S713" s="15" t="n">
        <v>0.002488065981100302</v>
      </c>
      <c r="T713" s="29">
        <f>HIPERLINK($A$1 &amp; "\Dados\Imagem_perfil_713.png", "Imagem_perfil_713")</f>
        <v/>
      </c>
      <c r="U713" s="29">
        <f>HIPERLINK($A$1 &amp; "\Dados\Results_airgap713.txt", "Results_airgap713")</f>
        <v/>
      </c>
      <c r="V713" s="19" t="n"/>
      <c r="W713" s="15" t="n">
        <v>1.428596304347826</v>
      </c>
      <c r="X713" s="15" t="n">
        <v>0.7151407908035727</v>
      </c>
      <c r="Y713" s="15" t="n">
        <v>0.2015128089454822</v>
      </c>
      <c r="Z713" s="15" t="n">
        <v>0</v>
      </c>
      <c r="AA713" s="15" t="n">
        <v>0</v>
      </c>
      <c r="AB713" s="15" t="n">
        <v>0</v>
      </c>
      <c r="AC713" s="15" t="n">
        <v>5.224513194314778</v>
      </c>
      <c r="AD713" s="15" t="n">
        <v>39.17932304855088</v>
      </c>
      <c r="AE713" s="15" t="n">
        <v>81.82128342764561</v>
      </c>
      <c r="AF713" s="15" t="n">
        <v>115.4516326849653</v>
      </c>
      <c r="AH713" s="29">
        <f>HIPERLINK($A$1 &amp; "\Dados\Magnet_fields.txt_713.txt.txt", "Magnet_fields.txt_713.txt")</f>
        <v/>
      </c>
      <c r="AI713" t="n">
        <v>5737</v>
      </c>
      <c r="AJ713" t="n">
        <v>28</v>
      </c>
      <c r="AK713" s="29">
        <f>HIPERLINK($A$1 &amp; "\Dados\Magnet_3D_results.txt_713.txt.txt", "Magnet_3D_results.txt_713.txt")</f>
        <v/>
      </c>
      <c r="AL713" s="29">
        <f>HIPERLINK($A$1 &amp; "\Dados\Magnet_fields_2D.txt_713.txt.txt", "Magnet_fields_2D.txt_713.txt")</f>
        <v/>
      </c>
    </row>
    <row customHeight="1" ht="15.75" r="714" s="34">
      <c r="D714" s="30" t="n"/>
      <c r="E714" s="15" t="n">
        <v>150</v>
      </c>
      <c r="F714" s="15" t="n">
        <v>200</v>
      </c>
      <c r="G714" s="15" t="n">
        <v>350</v>
      </c>
      <c r="H714" s="15" t="n">
        <v>45</v>
      </c>
      <c r="I714" s="15" t="n">
        <v>140</v>
      </c>
      <c r="J714" s="13" t="n">
        <v>25</v>
      </c>
      <c r="K714" t="n">
        <v>45</v>
      </c>
      <c r="L714" s="13" t="n">
        <v>2</v>
      </c>
      <c r="M714" s="12" t="n"/>
      <c r="N714" s="8" t="n">
        <v>1.095116943815096</v>
      </c>
      <c r="O714" s="15" t="n">
        <v>0.8309131475278952</v>
      </c>
      <c r="P714" s="15" t="n">
        <v>1.025269158305411</v>
      </c>
      <c r="Q714" s="15" t="n">
        <v>0.001606469088082504</v>
      </c>
      <c r="R714" s="15" t="n">
        <v>0.02466242264712141</v>
      </c>
      <c r="S714" s="15" t="n">
        <v>0.002488065981100302</v>
      </c>
      <c r="T714" s="29">
        <f>HIPERLINK($A$1 &amp; "\Dados\Imagem_perfil_714.png", "Imagem_perfil_714")</f>
        <v/>
      </c>
      <c r="U714" s="29">
        <f>HIPERLINK($A$1 &amp; "\Dados\Results_airgap714.txt", "Results_airgap714")</f>
        <v/>
      </c>
      <c r="V714" s="19" t="n"/>
      <c r="W714" s="15" t="n">
        <v>1.429489130434783</v>
      </c>
      <c r="X714" s="15" t="n">
        <v>0.7151407908035727</v>
      </c>
      <c r="Y714" s="15" t="n">
        <v>0.3646529966066223</v>
      </c>
      <c r="Z714" s="15" t="n">
        <v>0</v>
      </c>
      <c r="AA714" s="15" t="n">
        <v>0</v>
      </c>
      <c r="AB714" s="15" t="n">
        <v>0</v>
      </c>
      <c r="AC714" s="15" t="n">
        <v>5.426848361016944</v>
      </c>
      <c r="AD714" s="15" t="n">
        <v>39.31627488126689</v>
      </c>
      <c r="AE714" s="15" t="n">
        <v>81.83743662692318</v>
      </c>
      <c r="AF714" s="15" t="n">
        <v>115.4491961181551</v>
      </c>
      <c r="AH714" s="29">
        <f>HIPERLINK($A$1 &amp; "\Dados\Magnet_fields.txt_714.txt.txt", "Magnet_fields.txt_714.txt")</f>
        <v/>
      </c>
      <c r="AI714" t="n">
        <v>5737</v>
      </c>
      <c r="AJ714" t="n">
        <v>28</v>
      </c>
      <c r="AK714" s="29">
        <f>HIPERLINK($A$1 &amp; "\Dados\Magnet_3D_results.txt_714.txt.txt", "Magnet_3D_results.txt_714.txt")</f>
        <v/>
      </c>
      <c r="AL714" s="29">
        <f>HIPERLINK($A$1 &amp; "\Dados\Magnet_fields_2D.txt_714.txt.txt", "Magnet_fields_2D.txt_714.txt")</f>
        <v/>
      </c>
    </row>
    <row customHeight="1" ht="15.75" r="715" s="34">
      <c r="D715" s="30" t="n"/>
      <c r="E715" s="15" t="n">
        <v>150</v>
      </c>
      <c r="F715" s="15" t="n">
        <v>200</v>
      </c>
      <c r="G715" s="15" t="n">
        <v>350</v>
      </c>
      <c r="H715" s="15" t="n">
        <v>45</v>
      </c>
      <c r="I715" s="15" t="n">
        <v>140</v>
      </c>
      <c r="J715" s="13" t="n">
        <v>25</v>
      </c>
      <c r="K715" t="n">
        <v>45</v>
      </c>
      <c r="L715" s="13" t="n">
        <v>2.2</v>
      </c>
      <c r="M715" s="12" t="n"/>
      <c r="N715" s="8" t="n">
        <v>1.095116943815096</v>
      </c>
      <c r="O715" s="15" t="n">
        <v>0.8309131475278952</v>
      </c>
      <c r="P715" s="15" t="n">
        <v>1.025269158305411</v>
      </c>
      <c r="Q715" s="15" t="n">
        <v>0.001606469088082504</v>
      </c>
      <c r="R715" s="15" t="n">
        <v>0.02466242264712142</v>
      </c>
      <c r="S715" s="15" t="n">
        <v>0.002488065981100302</v>
      </c>
      <c r="T715" s="29">
        <f>HIPERLINK($A$1 &amp; "\Dados\Imagem_perfil_715.png", "Imagem_perfil_715")</f>
        <v/>
      </c>
      <c r="U715" s="29">
        <f>HIPERLINK($A$1 &amp; "\Dados\Results_airgap715.txt", "Results_airgap715")</f>
        <v/>
      </c>
      <c r="V715" s="19" t="n"/>
      <c r="W715" s="15" t="n">
        <v>1.430048913043478</v>
      </c>
      <c r="X715" s="15" t="n">
        <v>0.7151407908035727</v>
      </c>
      <c r="Y715" s="15" t="n">
        <v>0.5339477858660733</v>
      </c>
      <c r="Z715" s="15" t="n">
        <v>0</v>
      </c>
      <c r="AA715" s="15" t="n">
        <v>0</v>
      </c>
      <c r="AB715" s="15" t="n">
        <v>0</v>
      </c>
      <c r="AC715" s="15" t="n">
        <v>5.54853112169446</v>
      </c>
      <c r="AD715" s="15" t="n">
        <v>39.41090305703086</v>
      </c>
      <c r="AE715" s="15" t="n">
        <v>81.85450829818953</v>
      </c>
      <c r="AF715" s="15" t="n">
        <v>115.4552836464901</v>
      </c>
      <c r="AH715" s="29">
        <f>HIPERLINK($A$1 &amp; "\Dados\Magnet_fields.txt_715.txt.txt", "Magnet_fields.txt_715.txt")</f>
        <v/>
      </c>
      <c r="AI715" t="n">
        <v>5737</v>
      </c>
      <c r="AJ715" t="n">
        <v>28</v>
      </c>
      <c r="AK715" s="29">
        <f>HIPERLINK($A$1 &amp; "\Dados\Magnet_3D_results.txt_715.txt.txt", "Magnet_3D_results.txt_715.txt")</f>
        <v/>
      </c>
      <c r="AL715" s="29">
        <f>HIPERLINK($A$1 &amp; "\Dados\Magnet_fields_2D.txt_715.txt.txt", "Magnet_fields_2D.txt_715.txt")</f>
        <v/>
      </c>
    </row>
    <row customHeight="1" ht="15.75" r="716" s="34">
      <c r="D716" s="30" t="n"/>
      <c r="E716" s="15" t="n">
        <v>150</v>
      </c>
      <c r="F716" s="15" t="n">
        <v>200</v>
      </c>
      <c r="G716" s="15" t="n">
        <v>350</v>
      </c>
      <c r="H716" s="15" t="n">
        <v>25</v>
      </c>
      <c r="I716" s="15" t="n">
        <v>180</v>
      </c>
      <c r="J716" s="13" t="n">
        <v>25</v>
      </c>
      <c r="K716" t="n">
        <v>45</v>
      </c>
      <c r="L716" s="13" t="n">
        <v>1.4</v>
      </c>
      <c r="M716" s="12" t="n"/>
      <c r="N716" s="8" t="n">
        <v>1.138387707738441</v>
      </c>
      <c r="O716" s="15" t="n">
        <v>0.9775787417449283</v>
      </c>
      <c r="P716" s="15" t="n">
        <v>1.098154171036575</v>
      </c>
      <c r="Q716" s="15" t="n">
        <v>0.001556216847815693</v>
      </c>
      <c r="R716" s="15" t="n">
        <v>0.01959468650552144</v>
      </c>
      <c r="S716" s="15" t="n">
        <v>0.001669741051903679</v>
      </c>
      <c r="T716" s="29">
        <f>HIPERLINK($A$1 &amp; "\Dados\Imagem_perfil_716.png", "Imagem_perfil_716")</f>
        <v/>
      </c>
      <c r="U716" s="29">
        <f>HIPERLINK($A$1 &amp; "\Dados\Results_airgap716.txt", "Results_airgap716")</f>
        <v/>
      </c>
      <c r="V716" s="19" t="n"/>
      <c r="W716" s="43" t="n">
        <v>1.408643913043478</v>
      </c>
      <c r="X716" s="15" t="n">
        <v>0.7155719425027081</v>
      </c>
      <c r="Y716" s="15" t="n">
        <v>0.000380265071281514</v>
      </c>
      <c r="Z716" s="15" t="n">
        <v>0</v>
      </c>
      <c r="AA716" s="15" t="n">
        <v>6.430791142181145</v>
      </c>
      <c r="AB716" s="15" t="n">
        <v>4.197916586229447</v>
      </c>
      <c r="AC716" s="15" t="n">
        <v>1.681533595168934</v>
      </c>
      <c r="AD716" s="15" t="n">
        <v>33.56422163223432</v>
      </c>
      <c r="AE716" s="15" t="n">
        <v>81.00645923072197</v>
      </c>
      <c r="AF716" s="15" t="n">
        <v>113.8556079637606</v>
      </c>
      <c r="AH716" s="29">
        <f>HIPERLINK($A$1 &amp; "\Dados\Magnet_fields.txt_716.txt.txt", "Magnet_fields.txt_716.txt")</f>
        <v/>
      </c>
      <c r="AI716" t="n">
        <v>8448</v>
      </c>
      <c r="AJ716" t="n">
        <v>29</v>
      </c>
      <c r="AK716" s="29">
        <f>HIPERLINK($A$1 &amp; "\Dados\Magnet_3D_results.txt_716.txt.txt", "Magnet_3D_results.txt_716.txt")</f>
        <v/>
      </c>
      <c r="AL716" s="29">
        <f>HIPERLINK($A$1 &amp; "\Dados\Magnet_fields_2D.txt_716.txt.txt", "Magnet_fields_2D.txt_716.txt")</f>
        <v/>
      </c>
    </row>
    <row customHeight="1" ht="15.75" r="717" s="34">
      <c r="D717" s="30" t="n"/>
      <c r="E717" s="15" t="n">
        <v>150</v>
      </c>
      <c r="F717" s="15" t="n">
        <v>200</v>
      </c>
      <c r="G717" s="15" t="n">
        <v>350</v>
      </c>
      <c r="H717" s="15" t="n">
        <v>25</v>
      </c>
      <c r="I717" s="15" t="n">
        <v>180</v>
      </c>
      <c r="J717" s="13" t="n">
        <v>25</v>
      </c>
      <c r="K717" t="n">
        <v>45</v>
      </c>
      <c r="L717" s="13" t="n">
        <v>1.6</v>
      </c>
      <c r="M717" s="12" t="n"/>
      <c r="N717" s="8" t="n">
        <v>1.156538523081039</v>
      </c>
      <c r="O717" s="15" t="n">
        <v>0.9955321813786461</v>
      </c>
      <c r="P717" s="15" t="n">
        <v>1.116259703486261</v>
      </c>
      <c r="Q717" s="15" t="n">
        <v>0.001559363202910782</v>
      </c>
      <c r="R717" s="15" t="n">
        <v>0.02049256173957778</v>
      </c>
      <c r="S717" s="15" t="n">
        <v>0.001675814815918338</v>
      </c>
      <c r="T717" s="29">
        <f>HIPERLINK($A$1 &amp; "\Dados\Imagem_perfil_717.png", "Imagem_perfil_717")</f>
        <v/>
      </c>
      <c r="U717" s="29">
        <f>HIPERLINK($A$1 &amp; "\Dados\Results_airgap717.txt", "Results_airgap717")</f>
        <v/>
      </c>
      <c r="V717" s="19" t="n"/>
      <c r="W717" s="15" t="n">
        <v>1.426164130434783</v>
      </c>
      <c r="X717" s="15" t="n">
        <v>0.7273680729791459</v>
      </c>
      <c r="Y717" s="15" t="n">
        <v>0.06544203763676038</v>
      </c>
      <c r="Z717" s="15" t="n">
        <v>0</v>
      </c>
      <c r="AA717" s="15" t="n">
        <v>5.269810720591284</v>
      </c>
      <c r="AB717" s="15" t="n">
        <v>0</v>
      </c>
      <c r="AC717" s="15" t="n">
        <v>4.722654973384784</v>
      </c>
      <c r="AD717" s="15" t="n">
        <v>38.87108848878937</v>
      </c>
      <c r="AE717" s="15" t="n">
        <v>81.85861331288818</v>
      </c>
      <c r="AF717" s="15" t="n">
        <v>115.5243615270089</v>
      </c>
      <c r="AH717" s="29">
        <f>HIPERLINK($A$1 &amp; "\Dados\Magnet_fields.txt_717.txt.txt", "Magnet_fields.txt_717.txt")</f>
        <v/>
      </c>
      <c r="AI717" t="n">
        <v>8448</v>
      </c>
      <c r="AJ717" t="n">
        <v>29</v>
      </c>
      <c r="AK717" s="29">
        <f>HIPERLINK($A$1 &amp; "\Dados\Magnet_3D_results.txt_717.txt.txt", "Magnet_3D_results.txt_717.txt")</f>
        <v/>
      </c>
      <c r="AL717" s="29">
        <f>HIPERLINK($A$1 &amp; "\Dados\Magnet_fields_2D.txt_717.txt.txt", "Magnet_fields_2D.txt_717.txt")</f>
        <v/>
      </c>
    </row>
    <row customHeight="1" ht="15.75" r="718" s="34">
      <c r="D718" s="30" t="n"/>
      <c r="E718" s="15" t="n">
        <v>150</v>
      </c>
      <c r="F718" s="15" t="n">
        <v>200</v>
      </c>
      <c r="G718" s="15" t="n">
        <v>350</v>
      </c>
      <c r="H718" s="15" t="n">
        <v>25</v>
      </c>
      <c r="I718" s="15" t="n">
        <v>180</v>
      </c>
      <c r="J718" s="13" t="n">
        <v>25</v>
      </c>
      <c r="K718" t="n">
        <v>45</v>
      </c>
      <c r="L718" s="13" t="n">
        <v>1.8</v>
      </c>
      <c r="M718" s="12" t="n"/>
      <c r="N718" s="8" t="n">
        <v>1.161642675511031</v>
      </c>
      <c r="O718" s="15" t="n">
        <v>0.9999211904606709</v>
      </c>
      <c r="P718" s="15" t="n">
        <v>1.12111363135748</v>
      </c>
      <c r="Q718" s="15" t="n">
        <v>0.001562578862560151</v>
      </c>
      <c r="R718" s="15" t="n">
        <v>0.02063678990882727</v>
      </c>
      <c r="S718" s="15" t="n">
        <v>0.001679200324315748</v>
      </c>
      <c r="T718" s="29">
        <f>HIPERLINK($A$1 &amp; "\Dados\Imagem_perfil_718.png", "Imagem_perfil_718")</f>
        <v/>
      </c>
      <c r="U718" s="29">
        <f>HIPERLINK($A$1 &amp; "\Dados\Results_airgap718.txt", "Results_airgap718")</f>
        <v/>
      </c>
      <c r="V718" s="19" t="n"/>
      <c r="W718" s="15" t="n">
        <v>1.428375217391304</v>
      </c>
      <c r="X718" s="15" t="n">
        <v>0.7306659448231503</v>
      </c>
      <c r="Y718" s="15" t="n">
        <v>0.201751146913729</v>
      </c>
      <c r="Z718" s="15" t="n">
        <v>0</v>
      </c>
      <c r="AA718" s="15" t="n">
        <v>4.885697300671676</v>
      </c>
      <c r="AB718" s="15" t="n">
        <v>0</v>
      </c>
      <c r="AC718" s="15" t="n">
        <v>5.238602419612536</v>
      </c>
      <c r="AD718" s="15" t="n">
        <v>39.17880122121899</v>
      </c>
      <c r="AE718" s="15" t="n">
        <v>81.8531068794868</v>
      </c>
      <c r="AF718" s="15" t="n">
        <v>115.4841238776166</v>
      </c>
      <c r="AH718" s="29">
        <f>HIPERLINK($A$1 &amp; "\Dados\Magnet_fields.txt_718.txt.txt", "Magnet_fields.txt_718.txt")</f>
        <v/>
      </c>
      <c r="AI718" t="n">
        <v>8448</v>
      </c>
      <c r="AJ718" t="n">
        <v>29</v>
      </c>
      <c r="AK718" s="29">
        <f>HIPERLINK($A$1 &amp; "\Dados\Magnet_3D_results.txt_718.txt.txt", "Magnet_3D_results.txt_718.txt")</f>
        <v/>
      </c>
      <c r="AL718" s="29">
        <f>HIPERLINK($A$1 &amp; "\Dados\Magnet_fields_2D.txt_718.txt.txt", "Magnet_fields_2D.txt_718.txt")</f>
        <v/>
      </c>
    </row>
    <row customHeight="1" ht="15.75" r="719" s="34">
      <c r="D719" s="30" t="n"/>
      <c r="E719" s="15" t="n">
        <v>150</v>
      </c>
      <c r="F719" s="15" t="n">
        <v>200</v>
      </c>
      <c r="G719" s="15" t="n">
        <v>350</v>
      </c>
      <c r="H719" s="15" t="n">
        <v>25</v>
      </c>
      <c r="I719" s="15" t="n">
        <v>180</v>
      </c>
      <c r="J719" s="13" t="n">
        <v>25</v>
      </c>
      <c r="K719" t="n">
        <v>45</v>
      </c>
      <c r="L719" s="13" t="n">
        <v>2</v>
      </c>
      <c r="M719" s="12" t="n"/>
      <c r="N719" s="8" t="n">
        <v>1.161642675511031</v>
      </c>
      <c r="O719" s="15" t="n">
        <v>0.9999211904606709</v>
      </c>
      <c r="P719" s="15" t="n">
        <v>1.12111363135748</v>
      </c>
      <c r="Q719" s="15" t="n">
        <v>0.001562578862560151</v>
      </c>
      <c r="R719" s="15" t="n">
        <v>0.02063678990882728</v>
      </c>
      <c r="S719" s="15" t="n">
        <v>0.001679200324315748</v>
      </c>
      <c r="T719" s="29">
        <f>HIPERLINK($A$1 &amp; "\Dados\Imagem_perfil_719.png", "Imagem_perfil_719")</f>
        <v/>
      </c>
      <c r="U719" s="29">
        <f>HIPERLINK($A$1 &amp; "\Dados\Results_airgap719.txt", "Results_airgap719")</f>
        <v/>
      </c>
      <c r="V719" s="19" t="n"/>
      <c r="W719" s="15" t="n">
        <v>1.42947652173913</v>
      </c>
      <c r="X719" s="15" t="n">
        <v>0.7306659448231503</v>
      </c>
      <c r="Y719" s="15" t="n">
        <v>0.3649418271968415</v>
      </c>
      <c r="Z719" s="15" t="n">
        <v>0</v>
      </c>
      <c r="AA719" s="15" t="n">
        <v>4.885697300671676</v>
      </c>
      <c r="AB719" s="15" t="n">
        <v>0</v>
      </c>
      <c r="AC719" s="15" t="n">
        <v>5.497613044323148</v>
      </c>
      <c r="AD719" s="15" t="n">
        <v>39.32300693656458</v>
      </c>
      <c r="AE719" s="15" t="n">
        <v>81.92780554527015</v>
      </c>
      <c r="AF719" s="15" t="n">
        <v>115.5357182898583</v>
      </c>
      <c r="AH719" s="29">
        <f>HIPERLINK($A$1 &amp; "\Dados\Magnet_fields.txt_719.txt.txt", "Magnet_fields.txt_719.txt")</f>
        <v/>
      </c>
      <c r="AI719" t="n">
        <v>8448</v>
      </c>
      <c r="AJ719" t="n">
        <v>29</v>
      </c>
      <c r="AK719" s="29">
        <f>HIPERLINK($A$1 &amp; "\Dados\Magnet_3D_results.txt_719.txt.txt", "Magnet_3D_results.txt_719.txt")</f>
        <v/>
      </c>
      <c r="AL719" s="29">
        <f>HIPERLINK($A$1 &amp; "\Dados\Magnet_fields_2D.txt_719.txt.txt", "Magnet_fields_2D.txt_719.txt")</f>
        <v/>
      </c>
    </row>
    <row customHeight="1" ht="15.75" r="720" s="34">
      <c r="D720" s="30" t="n"/>
      <c r="E720" s="15" t="n">
        <v>150</v>
      </c>
      <c r="F720" s="15" t="n">
        <v>200</v>
      </c>
      <c r="G720" s="15" t="n">
        <v>350</v>
      </c>
      <c r="H720" s="15" t="n">
        <v>25</v>
      </c>
      <c r="I720" s="15" t="n">
        <v>180</v>
      </c>
      <c r="J720" s="13" t="n">
        <v>25</v>
      </c>
      <c r="K720" t="n">
        <v>45</v>
      </c>
      <c r="L720" s="13" t="n">
        <v>2.2</v>
      </c>
      <c r="M720" s="12" t="n"/>
      <c r="N720" s="8" t="n">
        <v>1.161642675511031</v>
      </c>
      <c r="O720" s="15" t="n">
        <v>0.9999211904606711</v>
      </c>
      <c r="P720" s="15" t="n">
        <v>1.12111363135748</v>
      </c>
      <c r="Q720" s="15" t="n">
        <v>0.001562578862560151</v>
      </c>
      <c r="R720" s="15" t="n">
        <v>0.02063678990882728</v>
      </c>
      <c r="S720" s="15" t="n">
        <v>0.001679200324315748</v>
      </c>
      <c r="T720" s="29">
        <f>HIPERLINK($A$1 &amp; "\Dados\Imagem_perfil_720.png", "Imagem_perfil_720")</f>
        <v/>
      </c>
      <c r="U720" s="29">
        <f>HIPERLINK($A$1 &amp; "\Dados\Results_airgap720.txt", "Results_airgap720")</f>
        <v/>
      </c>
      <c r="V720" s="19" t="n"/>
      <c r="W720" s="15" t="n">
        <v>1.429625</v>
      </c>
      <c r="X720" s="15" t="n">
        <v>0.7306659448231503</v>
      </c>
      <c r="Y720" s="15" t="n">
        <v>0.5342651132921951</v>
      </c>
      <c r="Z720" s="15" t="n">
        <v>0</v>
      </c>
      <c r="AA720" s="15" t="n">
        <v>4.885697300671676</v>
      </c>
      <c r="AB720" s="15" t="n">
        <v>0</v>
      </c>
      <c r="AC720" s="15" t="n">
        <v>5.485305102150244</v>
      </c>
      <c r="AD720" s="15" t="n">
        <v>39.43012313140017</v>
      </c>
      <c r="AE720" s="15" t="n">
        <v>81.88641818767529</v>
      </c>
      <c r="AF720" s="15" t="n">
        <v>115.4677097206086</v>
      </c>
      <c r="AH720" s="29">
        <f>HIPERLINK($A$1 &amp; "\Dados\Magnet_fields.txt_720.txt.txt", "Magnet_fields.txt_720.txt")</f>
        <v/>
      </c>
      <c r="AI720" t="n">
        <v>8448</v>
      </c>
      <c r="AJ720" t="n">
        <v>29</v>
      </c>
      <c r="AK720" s="29">
        <f>HIPERLINK($A$1 &amp; "\Dados\Magnet_3D_results.txt_720.txt.txt", "Magnet_3D_results.txt_720.txt")</f>
        <v/>
      </c>
      <c r="AL720" s="29">
        <f>HIPERLINK($A$1 &amp; "\Dados\Magnet_fields_2D.txt_720.txt.txt", "Magnet_fields_2D.txt_720.txt")</f>
        <v/>
      </c>
    </row>
    <row customHeight="1" ht="15.75" r="721" s="34">
      <c r="D721" s="30" t="n"/>
      <c r="E721" s="15" t="n">
        <v>150</v>
      </c>
      <c r="F721" s="15" t="n">
        <v>200</v>
      </c>
      <c r="G721" s="15" t="n">
        <v>350</v>
      </c>
      <c r="H721" s="15" t="n">
        <v>45</v>
      </c>
      <c r="I721" s="15" t="n">
        <v>180</v>
      </c>
      <c r="J721" s="13" t="n">
        <v>25</v>
      </c>
      <c r="K721" t="n">
        <v>45</v>
      </c>
      <c r="L721" s="13" t="n">
        <v>1.4</v>
      </c>
      <c r="M721" s="12" t="n"/>
      <c r="N721" s="8" t="n">
        <v>1.171403179394877</v>
      </c>
      <c r="O721" s="15" t="n">
        <v>1.009552904837959</v>
      </c>
      <c r="P721" s="15" t="n">
        <v>1.130725813075818</v>
      </c>
      <c r="Q721" s="15" t="n">
        <v>0.001703364692192156</v>
      </c>
      <c r="R721" s="15" t="n">
        <v>0.0250120471450712</v>
      </c>
      <c r="S721" s="15" t="n">
        <v>0.001849844209081549</v>
      </c>
      <c r="T721" s="29">
        <f>HIPERLINK($A$1 &amp; "\Dados\Imagem_perfil_721.png", "Imagem_perfil_721")</f>
        <v/>
      </c>
      <c r="U721" s="29">
        <f>HIPERLINK($A$1 &amp; "\Dados\Results_airgap721.txt", "Results_airgap721")</f>
        <v/>
      </c>
      <c r="V721" s="19" t="n"/>
      <c r="W721" s="43" t="n">
        <v>1.408908043478261</v>
      </c>
      <c r="X721" s="15" t="n">
        <v>0.7416362841899746</v>
      </c>
      <c r="Y721" s="15" t="n">
        <v>0.0003736146906380638</v>
      </c>
      <c r="Z721" s="15" t="n">
        <v>0</v>
      </c>
      <c r="AA721" s="15" t="n">
        <v>0</v>
      </c>
      <c r="AB721" s="15" t="n">
        <v>4.27506454285993</v>
      </c>
      <c r="AC721" s="15" t="n">
        <v>1.735150277911144</v>
      </c>
      <c r="AD721" s="15" t="n">
        <v>33.47430340596596</v>
      </c>
      <c r="AE721" s="15" t="n">
        <v>80.8958150134431</v>
      </c>
      <c r="AF721" s="15" t="n">
        <v>113.6060924052319</v>
      </c>
      <c r="AH721" s="29">
        <f>HIPERLINK($A$1 &amp; "\Dados\Magnet_fields.txt_721.txt.txt", "Magnet_fields.txt_721.txt")</f>
        <v/>
      </c>
      <c r="AI721" t="n">
        <v>5691</v>
      </c>
      <c r="AJ721" t="n">
        <v>27</v>
      </c>
      <c r="AK721" s="29">
        <f>HIPERLINK($A$1 &amp; "\Dados\Magnet_3D_results.txt_721.txt.txt", "Magnet_3D_results.txt_721.txt")</f>
        <v/>
      </c>
      <c r="AL721" s="29">
        <f>HIPERLINK($A$1 &amp; "\Dados\Magnet_fields_2D.txt_721.txt.txt", "Magnet_fields_2D.txt_721.txt")</f>
        <v/>
      </c>
    </row>
    <row customHeight="1" ht="15.75" r="722" s="34">
      <c r="D722" s="30" t="n"/>
      <c r="E722" s="15" t="n">
        <v>150</v>
      </c>
      <c r="F722" s="15" t="n">
        <v>200</v>
      </c>
      <c r="G722" s="15" t="n">
        <v>350</v>
      </c>
      <c r="H722" s="15" t="n">
        <v>45</v>
      </c>
      <c r="I722" s="15" t="n">
        <v>180</v>
      </c>
      <c r="J722" s="13" t="n">
        <v>25</v>
      </c>
      <c r="K722" t="n">
        <v>45</v>
      </c>
      <c r="L722" s="13" t="n">
        <v>1.6</v>
      </c>
      <c r="M722" s="12" t="n"/>
      <c r="N722" s="8" t="n">
        <v>1.187010616860226</v>
      </c>
      <c r="O722" s="15" t="n">
        <v>1.025059888998042</v>
      </c>
      <c r="P722" s="15" t="n">
        <v>1.146330236090666</v>
      </c>
      <c r="Q722" s="15" t="n">
        <v>0.001688233348479909</v>
      </c>
      <c r="R722" s="15" t="n">
        <v>0.02545618374451332</v>
      </c>
      <c r="S722" s="15" t="n">
        <v>0.001835574669103733</v>
      </c>
      <c r="T722" s="29">
        <f>HIPERLINK($A$1 &amp; "\Dados\Imagem_perfil_722.png", "Imagem_perfil_722")</f>
        <v/>
      </c>
      <c r="U722" s="29">
        <f>HIPERLINK($A$1 &amp; "\Dados\Results_airgap722.txt", "Results_airgap722")</f>
        <v/>
      </c>
      <c r="V722" s="19" t="n"/>
      <c r="W722" s="15" t="n">
        <v>1.426305652173913</v>
      </c>
      <c r="X722" s="15" t="n">
        <v>0.751363032170245</v>
      </c>
      <c r="Y722" s="15" t="n">
        <v>0.06529060368938353</v>
      </c>
      <c r="Z722" s="15" t="n">
        <v>0</v>
      </c>
      <c r="AA722" s="15" t="n">
        <v>0</v>
      </c>
      <c r="AB722" s="15" t="n">
        <v>0</v>
      </c>
      <c r="AC722" s="15" t="n">
        <v>4.632616629851722</v>
      </c>
      <c r="AD722" s="15" t="n">
        <v>38.96049111656119</v>
      </c>
      <c r="AE722" s="15" t="n">
        <v>81.79749100518684</v>
      </c>
      <c r="AF722" s="15" t="n">
        <v>115.5890746239924</v>
      </c>
      <c r="AH722" s="29">
        <f>HIPERLINK($A$1 &amp; "\Dados\Magnet_fields.txt_722.txt.txt", "Magnet_fields.txt_722.txt")</f>
        <v/>
      </c>
      <c r="AI722" t="n">
        <v>5691</v>
      </c>
      <c r="AJ722" t="n">
        <v>28</v>
      </c>
      <c r="AK722" s="29">
        <f>HIPERLINK($A$1 &amp; "\Dados\Magnet_3D_results.txt_722.txt.txt", "Magnet_3D_results.txt_722.txt")</f>
        <v/>
      </c>
      <c r="AL722" s="29">
        <f>HIPERLINK($A$1 &amp; "\Dados\Magnet_fields_2D.txt_722.txt.txt", "Magnet_fields_2D.txt_722.txt")</f>
        <v/>
      </c>
    </row>
    <row customHeight="1" ht="15.75" r="723" s="34">
      <c r="D723" s="30" t="n"/>
      <c r="E723" s="15" t="n">
        <v>150</v>
      </c>
      <c r="F723" s="15" t="n">
        <v>200</v>
      </c>
      <c r="G723" s="15" t="n">
        <v>350</v>
      </c>
      <c r="H723" s="15" t="n">
        <v>45</v>
      </c>
      <c r="I723" s="15" t="n">
        <v>180</v>
      </c>
      <c r="J723" s="13" t="n">
        <v>25</v>
      </c>
      <c r="K723" t="n">
        <v>45</v>
      </c>
      <c r="L723" s="13" t="n">
        <v>1.8</v>
      </c>
      <c r="M723" s="12" t="n"/>
      <c r="N723" s="8" t="n">
        <v>1.191506135054707</v>
      </c>
      <c r="O723" s="15" t="n">
        <v>1.028878722112915</v>
      </c>
      <c r="P723" s="15" t="n">
        <v>1.150585605518789</v>
      </c>
      <c r="Q723" s="15" t="n">
        <v>0.001689385581934508</v>
      </c>
      <c r="R723" s="15" t="n">
        <v>0.02551789439809626</v>
      </c>
      <c r="S723" s="15" t="n">
        <v>0.001836556957138399</v>
      </c>
      <c r="T723" s="29">
        <f>HIPERLINK($A$1 &amp; "\Dados\Imagem_perfil_723.png", "Imagem_perfil_723")</f>
        <v/>
      </c>
      <c r="U723" s="29">
        <f>HIPERLINK($A$1 &amp; "\Dados\Results_airgap723.txt", "Results_airgap723")</f>
        <v/>
      </c>
      <c r="V723" s="19" t="n"/>
      <c r="W723" s="15" t="n">
        <v>1.42860152173913</v>
      </c>
      <c r="X723" s="15" t="n">
        <v>0.7542064316250031</v>
      </c>
      <c r="Y723" s="15" t="n">
        <v>0.2015128166863145</v>
      </c>
      <c r="Z723" s="15" t="n">
        <v>0</v>
      </c>
      <c r="AA723" s="15" t="n">
        <v>0</v>
      </c>
      <c r="AB723" s="15" t="n">
        <v>0</v>
      </c>
      <c r="AC723" s="15" t="n">
        <v>5.237463422459072</v>
      </c>
      <c r="AD723" s="15" t="n">
        <v>39.16081342619209</v>
      </c>
      <c r="AE723" s="15" t="n">
        <v>81.82025519580827</v>
      </c>
      <c r="AF723" s="15" t="n">
        <v>115.4589084956379</v>
      </c>
      <c r="AH723" s="29">
        <f>HIPERLINK($A$1 &amp; "\Dados\Magnet_fields.txt_723.txt.txt", "Magnet_fields.txt_723.txt")</f>
        <v/>
      </c>
      <c r="AI723" t="n">
        <v>5691</v>
      </c>
      <c r="AJ723" t="n">
        <v>28</v>
      </c>
      <c r="AK723" s="29">
        <f>HIPERLINK($A$1 &amp; "\Dados\Magnet_3D_results.txt_723.txt.txt", "Magnet_3D_results.txt_723.txt")</f>
        <v/>
      </c>
      <c r="AL723" s="29">
        <f>HIPERLINK($A$1 &amp; "\Dados\Magnet_fields_2D.txt_723.txt.txt", "Magnet_fields_2D.txt_723.txt")</f>
        <v/>
      </c>
    </row>
    <row customHeight="1" ht="15.75" r="724" s="34">
      <c r="D724" s="30" t="n"/>
      <c r="E724" s="15" t="n">
        <v>150</v>
      </c>
      <c r="F724" s="15" t="n">
        <v>200</v>
      </c>
      <c r="G724" s="15" t="n">
        <v>350</v>
      </c>
      <c r="H724" s="15" t="n">
        <v>45</v>
      </c>
      <c r="I724" s="15" t="n">
        <v>180</v>
      </c>
      <c r="J724" s="13" t="n">
        <v>25</v>
      </c>
      <c r="K724" t="n">
        <v>45</v>
      </c>
      <c r="L724" s="13" t="n">
        <v>2</v>
      </c>
      <c r="M724" s="12" t="n"/>
      <c r="N724" s="8" t="n">
        <v>1.191506135054707</v>
      </c>
      <c r="O724" s="15" t="n">
        <v>1.028878722112915</v>
      </c>
      <c r="P724" s="15" t="n">
        <v>1.150585605518789</v>
      </c>
      <c r="Q724" s="15" t="n">
        <v>0.001689385581934508</v>
      </c>
      <c r="R724" s="15" t="n">
        <v>0.02551789439809625</v>
      </c>
      <c r="S724" s="15" t="n">
        <v>0.001836556957138398</v>
      </c>
      <c r="T724" s="29">
        <f>HIPERLINK($A$1 &amp; "\Dados\Imagem_perfil_724.png", "Imagem_perfil_724")</f>
        <v/>
      </c>
      <c r="U724" s="29">
        <f>HIPERLINK($A$1 &amp; "\Dados\Results_airgap724.txt", "Results_airgap724")</f>
        <v/>
      </c>
      <c r="V724" s="19" t="n"/>
      <c r="W724" s="15" t="n">
        <v>1.429532391304348</v>
      </c>
      <c r="X724" s="15" t="n">
        <v>0.754206431625003</v>
      </c>
      <c r="Y724" s="15" t="n">
        <v>0.3646530304709987</v>
      </c>
      <c r="Z724" s="15" t="n">
        <v>0</v>
      </c>
      <c r="AA724" s="15" t="n">
        <v>0</v>
      </c>
      <c r="AB724" s="15" t="n">
        <v>0</v>
      </c>
      <c r="AC724" s="15" t="n">
        <v>5.438355493073477</v>
      </c>
      <c r="AD724" s="15" t="n">
        <v>39.320804543469</v>
      </c>
      <c r="AE724" s="15" t="n">
        <v>81.83116760679896</v>
      </c>
      <c r="AF724" s="15" t="n">
        <v>115.4476829590244</v>
      </c>
      <c r="AH724" s="29">
        <f>HIPERLINK($A$1 &amp; "\Dados\Magnet_fields.txt_724.txt.txt", "Magnet_fields.txt_724.txt")</f>
        <v/>
      </c>
      <c r="AI724" t="n">
        <v>5691</v>
      </c>
      <c r="AJ724" t="n">
        <v>27</v>
      </c>
      <c r="AK724" s="29">
        <f>HIPERLINK($A$1 &amp; "\Dados\Magnet_3D_results.txt_724.txt.txt", "Magnet_3D_results.txt_724.txt")</f>
        <v/>
      </c>
      <c r="AL724" s="29">
        <f>HIPERLINK($A$1 &amp; "\Dados\Magnet_fields_2D.txt_724.txt.txt", "Magnet_fields_2D.txt_724.txt")</f>
        <v/>
      </c>
    </row>
    <row customHeight="1" ht="15.75" r="725" s="34">
      <c r="D725" s="30" t="n"/>
      <c r="E725" s="15" t="n">
        <v>150</v>
      </c>
      <c r="F725" s="15" t="n">
        <v>200</v>
      </c>
      <c r="G725" s="15" t="n">
        <v>350</v>
      </c>
      <c r="H725" s="15" t="n">
        <v>45</v>
      </c>
      <c r="I725" s="15" t="n">
        <v>180</v>
      </c>
      <c r="J725" s="13" t="n">
        <v>25</v>
      </c>
      <c r="K725" t="n">
        <v>45</v>
      </c>
      <c r="L725" s="13" t="n">
        <v>2.2</v>
      </c>
      <c r="M725" s="12" t="n"/>
      <c r="N725" s="8" t="n">
        <v>1.191506135054707</v>
      </c>
      <c r="O725" s="15" t="n">
        <v>1.028878722112915</v>
      </c>
      <c r="P725" s="15" t="n">
        <v>1.150585605518789</v>
      </c>
      <c r="Q725" s="15" t="n">
        <v>0.001689385581934508</v>
      </c>
      <c r="R725" s="15" t="n">
        <v>0.02551789439809626</v>
      </c>
      <c r="S725" s="15" t="n">
        <v>0.001836556957138398</v>
      </c>
      <c r="T725" s="29">
        <f>HIPERLINK($A$1 &amp; "\Dados\Imagem_perfil_725.png", "Imagem_perfil_725")</f>
        <v/>
      </c>
      <c r="U725" s="29">
        <f>HIPERLINK($A$1 &amp; "\Dados\Results_airgap725.txt", "Results_airgap725")</f>
        <v/>
      </c>
      <c r="V725" s="19" t="n"/>
      <c r="W725" s="15" t="n">
        <v>1.429970217391304</v>
      </c>
      <c r="X725" s="15" t="n">
        <v>0.754206431625003</v>
      </c>
      <c r="Y725" s="15" t="n">
        <v>0.533947708790822</v>
      </c>
      <c r="Z725" s="15" t="n">
        <v>0</v>
      </c>
      <c r="AA725" s="15" t="n">
        <v>0</v>
      </c>
      <c r="AB725" s="15" t="n">
        <v>0</v>
      </c>
      <c r="AC725" s="15" t="n">
        <v>5.527333893498025</v>
      </c>
      <c r="AD725" s="15" t="n">
        <v>39.40273902341946</v>
      </c>
      <c r="AE725" s="15" t="n">
        <v>81.8652207574159</v>
      </c>
      <c r="AF725" s="15" t="n">
        <v>115.4569010744241</v>
      </c>
      <c r="AH725" s="29">
        <f>HIPERLINK($A$1 &amp; "\Dados\Magnet_fields.txt_725.txt.txt", "Magnet_fields.txt_725.txt")</f>
        <v/>
      </c>
      <c r="AI725" t="n">
        <v>5691</v>
      </c>
      <c r="AJ725" t="n">
        <v>28</v>
      </c>
      <c r="AK725" s="29">
        <f>HIPERLINK($A$1 &amp; "\Dados\Magnet_3D_results.txt_725.txt.txt", "Magnet_3D_results.txt_725.txt")</f>
        <v/>
      </c>
      <c r="AL725" s="29">
        <f>HIPERLINK($A$1 &amp; "\Dados\Magnet_fields_2D.txt_725.txt.txt", "Magnet_fields_2D.txt_725.txt")</f>
        <v/>
      </c>
    </row>
    <row customHeight="1" ht="15.75" r="726" s="34">
      <c r="D726" s="30" t="n"/>
      <c r="E726" s="15" t="n">
        <v>150</v>
      </c>
      <c r="F726" s="15" t="n">
        <v>200</v>
      </c>
      <c r="G726" s="15" t="n">
        <v>430</v>
      </c>
      <c r="H726" s="15" t="n">
        <v>25</v>
      </c>
      <c r="I726" s="15" t="n">
        <v>140</v>
      </c>
      <c r="J726" s="13" t="n">
        <v>25</v>
      </c>
      <c r="K726" t="n">
        <v>45</v>
      </c>
      <c r="L726" s="13" t="n">
        <v>1.4</v>
      </c>
      <c r="M726" s="12" t="n"/>
      <c r="N726" s="8" t="n">
        <v>0.9376590479972116</v>
      </c>
      <c r="O726" s="15" t="n">
        <v>0.7031731169651384</v>
      </c>
      <c r="P726" s="15" t="n">
        <v>0.870781414840918</v>
      </c>
      <c r="Q726" s="15" t="n">
        <v>0.001632110670826702</v>
      </c>
      <c r="R726" s="15" t="n">
        <v>0.005747128581778702</v>
      </c>
      <c r="S726" s="15" t="n">
        <v>0.002027777546820669</v>
      </c>
      <c r="T726" s="29">
        <f>HIPERLINK($A$1 &amp; "\Dados\Imagem_perfil_726.png", "Imagem_perfil_726")</f>
        <v/>
      </c>
      <c r="U726" s="29">
        <f>HIPERLINK($A$1 &amp; "\Dados\Results_airgap726.txt", "Results_airgap726")</f>
        <v/>
      </c>
      <c r="V726" s="19" t="n"/>
      <c r="W726" s="43" t="n">
        <v>1.409043695652174</v>
      </c>
      <c r="X726" s="15" t="n">
        <v>0.6049658950677245</v>
      </c>
      <c r="Y726" s="15" t="n">
        <v>0.0001090141444386003</v>
      </c>
      <c r="Z726" s="15" t="n">
        <v>0.01722570064493914</v>
      </c>
      <c r="AA726" s="15" t="n">
        <v>6.967395173322662</v>
      </c>
      <c r="AB726" s="15" t="n">
        <v>0.1055841872754674</v>
      </c>
      <c r="AC726" s="15" t="n">
        <v>0.106273401669094</v>
      </c>
      <c r="AD726" s="15" t="n">
        <v>7.060077486296723</v>
      </c>
      <c r="AE726" s="15" t="n">
        <v>58.65576064362938</v>
      </c>
      <c r="AF726" s="15" t="n">
        <v>55.00830771891852</v>
      </c>
      <c r="AH726" s="29">
        <f>HIPERLINK($A$1 &amp; "\Dados\Magnet_fields.txt_726.txt.txt", "Magnet_fields.txt_726.txt")</f>
        <v/>
      </c>
      <c r="AI726" t="n">
        <v>9254</v>
      </c>
      <c r="AJ726" t="n">
        <v>29</v>
      </c>
      <c r="AK726" s="29">
        <f>HIPERLINK($A$1 &amp; "\Dados\Magnet_3D_results.txt_726.txt.txt", "Magnet_3D_results.txt_726.txt")</f>
        <v/>
      </c>
      <c r="AL726" s="29">
        <f>HIPERLINK($A$1 &amp; "\Dados\Magnet_fields_2D.txt_726.txt.txt", "Magnet_fields_2D.txt_726.txt")</f>
        <v/>
      </c>
    </row>
    <row customHeight="1" ht="15.75" r="727" s="34">
      <c r="D727" s="30" t="n"/>
      <c r="E727" s="15" t="n">
        <v>150</v>
      </c>
      <c r="F727" s="15" t="n">
        <v>200</v>
      </c>
      <c r="G727" s="15" t="n">
        <v>430</v>
      </c>
      <c r="H727" s="15" t="n">
        <v>25</v>
      </c>
      <c r="I727" s="15" t="n">
        <v>140</v>
      </c>
      <c r="J727" s="13" t="n">
        <v>25</v>
      </c>
      <c r="K727" t="n">
        <v>45</v>
      </c>
      <c r="L727" s="13" t="n">
        <v>1.6</v>
      </c>
      <c r="M727" s="12" t="n"/>
      <c r="N727" s="8" t="n">
        <v>1.107092970849349</v>
      </c>
      <c r="O727" s="15" t="n">
        <v>0.8435075322870241</v>
      </c>
      <c r="P727" s="15" t="n">
        <v>1.036236482096071</v>
      </c>
      <c r="Q727" s="15" t="n">
        <v>0.002018109079314241</v>
      </c>
      <c r="R727" s="15" t="n">
        <v>0.02643379660421808</v>
      </c>
      <c r="S727" s="15" t="n">
        <v>0.003026707064202103</v>
      </c>
      <c r="T727" s="29">
        <f>HIPERLINK($A$1 &amp; "\Dados\Imagem_perfil_727.png", "Imagem_perfil_727")</f>
        <v/>
      </c>
      <c r="U727" s="29">
        <f>HIPERLINK($A$1 &amp; "\Dados\Results_airgap727.txt", "Results_airgap727")</f>
        <v/>
      </c>
      <c r="V727" s="19" t="n"/>
      <c r="W727" s="43" t="n">
        <v>1.613818695652174</v>
      </c>
      <c r="X727" s="15" t="n">
        <v>0.7299365712571909</v>
      </c>
      <c r="Y727" s="15" t="n">
        <v>0.0001852499404876972</v>
      </c>
      <c r="Z727" s="15" t="n">
        <v>0.02453775794184353</v>
      </c>
      <c r="AA727" s="15" t="n">
        <v>6.052591203328647</v>
      </c>
      <c r="AB727" s="15" t="n">
        <v>0.5945521494932874</v>
      </c>
      <c r="AC727" s="15" t="n">
        <v>0</v>
      </c>
      <c r="AD727" s="15" t="n">
        <v>20.97711117227837</v>
      </c>
      <c r="AE727" s="15" t="n">
        <v>79.3204364774968</v>
      </c>
      <c r="AF727" s="15" t="n">
        <v>93.77935971344641</v>
      </c>
      <c r="AH727" s="29">
        <f>HIPERLINK($A$1 &amp; "\Dados\Magnet_fields.txt_727.txt.txt", "Magnet_fields.txt_727.txt")</f>
        <v/>
      </c>
      <c r="AI727" t="n">
        <v>9254</v>
      </c>
      <c r="AJ727" t="n">
        <v>29</v>
      </c>
      <c r="AK727" s="29">
        <f>HIPERLINK($A$1 &amp; "\Dados\Magnet_3D_results.txt_727.txt.txt", "Magnet_3D_results.txt_727.txt")</f>
        <v/>
      </c>
      <c r="AL727" s="29">
        <f>HIPERLINK($A$1 &amp; "\Dados\Magnet_fields_2D.txt_727.txt.txt", "Magnet_fields_2D.txt_727.txt")</f>
        <v/>
      </c>
    </row>
    <row customHeight="1" ht="15.75" r="728" s="34">
      <c r="D728" s="30" t="n"/>
      <c r="E728" s="15" t="n">
        <v>150</v>
      </c>
      <c r="F728" s="15" t="n">
        <v>200</v>
      </c>
      <c r="G728" s="15" t="n">
        <v>430</v>
      </c>
      <c r="H728" s="15" t="n">
        <v>25</v>
      </c>
      <c r="I728" s="15" t="n">
        <v>140</v>
      </c>
      <c r="J728" s="13" t="n">
        <v>25</v>
      </c>
      <c r="K728" t="n">
        <v>45</v>
      </c>
      <c r="L728" s="13" t="n">
        <v>1.8</v>
      </c>
      <c r="M728" s="12" t="n"/>
      <c r="N728" s="8" t="n">
        <v>1.208252710917763</v>
      </c>
      <c r="O728" s="15" t="n">
        <v>0.9253671810082978</v>
      </c>
      <c r="P728" s="15" t="n">
        <v>1.135373503572276</v>
      </c>
      <c r="Q728" s="15" t="n">
        <v>0.002185960050446537</v>
      </c>
      <c r="R728" s="15" t="n">
        <v>0.03603366274795879</v>
      </c>
      <c r="S728" s="15" t="n">
        <v>0.003426588173642129</v>
      </c>
      <c r="T728" s="29">
        <f>HIPERLINK($A$1 &amp; "\Dados\Imagem_perfil_728.png", "Imagem_perfil_728")</f>
        <v/>
      </c>
      <c r="U728" s="29">
        <f>HIPERLINK($A$1 &amp; "\Dados\Results_airgap728.txt", "Results_airgap728")</f>
        <v/>
      </c>
      <c r="V728" s="19" t="n"/>
      <c r="W728" s="43" t="n">
        <v>1.732476086956521</v>
      </c>
      <c r="X728" s="15" t="n">
        <v>0.8036595927569892</v>
      </c>
      <c r="Y728" s="15" t="n">
        <v>0.02592364634756923</v>
      </c>
      <c r="Z728" s="15" t="n">
        <v>0</v>
      </c>
      <c r="AA728" s="15" t="n">
        <v>4.379127206563941</v>
      </c>
      <c r="AB728" s="15" t="n">
        <v>0</v>
      </c>
      <c r="AC728" s="15" t="n">
        <v>5.517788316374101</v>
      </c>
      <c r="AD728" s="15" t="n">
        <v>41.65031281801915</v>
      </c>
      <c r="AE728" s="15" t="n">
        <v>85.60166045917477</v>
      </c>
      <c r="AF728" s="15" t="n">
        <v>117.9975262694006</v>
      </c>
      <c r="AH728" s="29">
        <f>HIPERLINK($A$1 &amp; "\Dados\Magnet_fields.txt_728.txt.txt", "Magnet_fields.txt_728.txt")</f>
        <v/>
      </c>
      <c r="AI728" t="n">
        <v>9254</v>
      </c>
      <c r="AJ728" t="n">
        <v>30</v>
      </c>
      <c r="AK728" s="29">
        <f>HIPERLINK($A$1 &amp; "\Dados\Magnet_3D_results.txt_728.txt.txt", "Magnet_3D_results.txt_728.txt")</f>
        <v/>
      </c>
      <c r="AL728" s="29">
        <f>HIPERLINK($A$1 &amp; "\Dados\Magnet_fields_2D.txt_728.txt.txt", "Magnet_fields_2D.txt_728.txt")</f>
        <v/>
      </c>
    </row>
    <row customHeight="1" ht="15.75" r="729" s="34">
      <c r="D729" s="30" t="n"/>
      <c r="E729" s="15" t="n">
        <v>150</v>
      </c>
      <c r="F729" s="15" t="n">
        <v>200</v>
      </c>
      <c r="G729" s="15" t="n">
        <v>430</v>
      </c>
      <c r="H729" s="15" t="n">
        <v>25</v>
      </c>
      <c r="I729" s="15" t="n">
        <v>140</v>
      </c>
      <c r="J729" s="13" t="n">
        <v>25</v>
      </c>
      <c r="K729" t="n">
        <v>45</v>
      </c>
      <c r="L729" s="13" t="n">
        <v>2</v>
      </c>
      <c r="M729" s="12" t="n"/>
      <c r="N729" s="8" t="n">
        <v>1.222156749592957</v>
      </c>
      <c r="O729" s="15" t="n">
        <v>0.936594007408697</v>
      </c>
      <c r="P729" s="15" t="n">
        <v>1.148184087825664</v>
      </c>
      <c r="Q729" s="15" t="n">
        <v>0.002197428801972082</v>
      </c>
      <c r="R729" s="15" t="n">
        <v>0.03672744512954654</v>
      </c>
      <c r="S729" s="15" t="n">
        <v>0.003450600940684029</v>
      </c>
      <c r="T729" s="29">
        <f>HIPERLINK($A$1 &amp; "\Dados\Imagem_perfil_729.png", "Imagem_perfil_729")</f>
        <v/>
      </c>
      <c r="U729" s="29">
        <f>HIPERLINK($A$1 &amp; "\Dados\Results_airgap729.txt", "Results_airgap729")</f>
        <v/>
      </c>
      <c r="V729" s="19" t="n"/>
      <c r="W729" s="15" t="n">
        <v>1.74835152173913</v>
      </c>
      <c r="X729" s="15" t="n">
        <v>0.8136784619262357</v>
      </c>
      <c r="Y729" s="15" t="n">
        <v>0.1160737424809372</v>
      </c>
      <c r="Z729" s="15" t="n">
        <v>0</v>
      </c>
      <c r="AA729" s="15" t="n">
        <v>3.78034223002015</v>
      </c>
      <c r="AB729" s="15" t="n">
        <v>0.4672244598709238</v>
      </c>
      <c r="AC729" s="15" t="n">
        <v>8.47503327921423</v>
      </c>
      <c r="AD729" s="15" t="n">
        <v>43.23839887188584</v>
      </c>
      <c r="AE729" s="15" t="n">
        <v>86.04865312970948</v>
      </c>
      <c r="AF729" s="15" t="n">
        <v>118.1966671351818</v>
      </c>
      <c r="AH729" s="29">
        <f>HIPERLINK($A$1 &amp; "\Dados\Magnet_fields.txt_729.txt.txt", "Magnet_fields.txt_729.txt")</f>
        <v/>
      </c>
      <c r="AI729" t="n">
        <v>9254</v>
      </c>
      <c r="AJ729" t="n">
        <v>29</v>
      </c>
      <c r="AK729" s="29">
        <f>HIPERLINK($A$1 &amp; "\Dados\Magnet_3D_results.txt_729.txt.txt", "Magnet_3D_results.txt_729.txt")</f>
        <v/>
      </c>
      <c r="AL729" s="29">
        <f>HIPERLINK($A$1 &amp; "\Dados\Magnet_fields_2D.txt_729.txt.txt", "Magnet_fields_2D.txt_729.txt")</f>
        <v/>
      </c>
    </row>
    <row customHeight="1" ht="15.75" r="730" s="34">
      <c r="D730" s="30" t="n"/>
      <c r="E730" s="15" t="n">
        <v>150</v>
      </c>
      <c r="F730" s="15" t="n">
        <v>200</v>
      </c>
      <c r="G730" s="15" t="n">
        <v>430</v>
      </c>
      <c r="H730" s="15" t="n">
        <v>25</v>
      </c>
      <c r="I730" s="15" t="n">
        <v>140</v>
      </c>
      <c r="J730" s="13" t="n">
        <v>25</v>
      </c>
      <c r="K730" t="n">
        <v>45</v>
      </c>
      <c r="L730" s="13" t="n">
        <v>2.2</v>
      </c>
      <c r="M730" s="12" t="n"/>
      <c r="N730" s="8" t="n">
        <v>1.225015960162909</v>
      </c>
      <c r="O730" s="15" t="n">
        <v>0.9389025693753476</v>
      </c>
      <c r="P730" s="15" t="n">
        <v>1.150652997939582</v>
      </c>
      <c r="Q730" s="15" t="n">
        <v>0.0022030646369885</v>
      </c>
      <c r="R730" s="15" t="n">
        <v>0.03678316496741427</v>
      </c>
      <c r="S730" s="15" t="n">
        <v>0.003456378849702009</v>
      </c>
      <c r="T730" s="29">
        <f>HIPERLINK($A$1 &amp; "\Dados\Imagem_perfil_730.png", "Imagem_perfil_730")</f>
        <v/>
      </c>
      <c r="U730" s="29">
        <f>HIPERLINK($A$1 &amp; "\Dados\Results_airgap730.txt", "Results_airgap730")</f>
        <v/>
      </c>
      <c r="V730" s="19" t="n"/>
      <c r="W730" s="15" t="n">
        <v>1.753856304347826</v>
      </c>
      <c r="X730" s="15" t="n">
        <v>0.8157058499087</v>
      </c>
      <c r="Y730" s="15" t="n">
        <v>0.2403146684933659</v>
      </c>
      <c r="Z730" s="15" t="n">
        <v>0</v>
      </c>
      <c r="AA730" s="15" t="n">
        <v>3.680874090668881</v>
      </c>
      <c r="AB730" s="15" t="n">
        <v>0.9719628612051125</v>
      </c>
      <c r="AC730" s="15" t="n">
        <v>9.459712748744806</v>
      </c>
      <c r="AD730" s="15" t="n">
        <v>43.75977654370514</v>
      </c>
      <c r="AE730" s="15" t="n">
        <v>86.20020629756084</v>
      </c>
      <c r="AF730" s="15" t="n">
        <v>118.1829487853679</v>
      </c>
      <c r="AH730" s="29">
        <f>HIPERLINK($A$1 &amp; "\Dados\Magnet_fields.txt_730.txt.txt", "Magnet_fields.txt_730.txt")</f>
        <v/>
      </c>
      <c r="AI730" t="n">
        <v>9254</v>
      </c>
      <c r="AJ730" t="n">
        <v>29</v>
      </c>
      <c r="AK730" s="29">
        <f>HIPERLINK($A$1 &amp; "\Dados\Magnet_3D_results.txt_730.txt.txt", "Magnet_3D_results.txt_730.txt")</f>
        <v/>
      </c>
      <c r="AL730" s="29">
        <f>HIPERLINK($A$1 &amp; "\Dados\Magnet_fields_2D.txt_730.txt.txt", "Magnet_fields_2D.txt_730.txt")</f>
        <v/>
      </c>
    </row>
    <row customHeight="1" ht="15.75" r="731" s="34">
      <c r="D731" s="30" t="n"/>
      <c r="E731" s="15" t="n">
        <v>150</v>
      </c>
      <c r="F731" s="15" t="n">
        <v>200</v>
      </c>
      <c r="G731" s="15" t="n">
        <v>430</v>
      </c>
      <c r="H731" s="15" t="n">
        <v>45</v>
      </c>
      <c r="I731" s="15" t="n">
        <v>140</v>
      </c>
      <c r="J731" s="13" t="n">
        <v>25</v>
      </c>
      <c r="K731" t="n">
        <v>45</v>
      </c>
      <c r="L731" s="13" t="n">
        <v>1.4</v>
      </c>
      <c r="M731" s="12" t="n"/>
      <c r="N731" s="8" t="n">
        <v>0.9645155099370614</v>
      </c>
      <c r="O731" s="15" t="n">
        <v>0.7269130655383665</v>
      </c>
      <c r="P731" s="15" t="n">
        <v>0.8971605369442837</v>
      </c>
      <c r="Q731" s="15" t="n">
        <v>0.001725103161738057</v>
      </c>
      <c r="R731" s="15" t="n">
        <v>0.01186276930917482</v>
      </c>
      <c r="S731" s="15" t="n">
        <v>0.002280685044254539</v>
      </c>
      <c r="T731" s="29">
        <f>HIPERLINK($A$1 &amp; "\Dados\Imagem_perfil_731.png", "Imagem_perfil_731")</f>
        <v/>
      </c>
      <c r="U731" s="29">
        <f>HIPERLINK($A$1 &amp; "\Dados\Results_airgap731.txt", "Results_airgap731")</f>
        <v/>
      </c>
      <c r="V731" s="19" t="n"/>
      <c r="W731" s="43" t="n">
        <v>1.409020652173913</v>
      </c>
      <c r="X731" s="15" t="n">
        <v>0.6250881201994153</v>
      </c>
      <c r="Y731" s="15" t="n">
        <v>0.0001089036976901934</v>
      </c>
      <c r="Z731" s="15" t="n">
        <v>0</v>
      </c>
      <c r="AA731" s="15" t="n">
        <v>6.984470804068995</v>
      </c>
      <c r="AB731" s="15" t="n">
        <v>0.110000522754125</v>
      </c>
      <c r="AC731" s="15" t="n">
        <v>0.1058720629407019</v>
      </c>
      <c r="AD731" s="15" t="n">
        <v>6.99482649605056</v>
      </c>
      <c r="AE731" s="15" t="n">
        <v>58.50686812910045</v>
      </c>
      <c r="AF731" s="15" t="n">
        <v>55.06073272251752</v>
      </c>
      <c r="AH731" s="29">
        <f>HIPERLINK($A$1 &amp; "\Dados\Magnet_fields.txt_731.txt.txt", "Magnet_fields.txt_731.txt")</f>
        <v/>
      </c>
      <c r="AI731" t="n">
        <v>6438</v>
      </c>
      <c r="AJ731" t="n">
        <v>28</v>
      </c>
      <c r="AK731" s="29">
        <f>HIPERLINK($A$1 &amp; "\Dados\Magnet_3D_results.txt_731.txt.txt", "Magnet_3D_results.txt_731.txt")</f>
        <v/>
      </c>
      <c r="AL731" s="29">
        <f>HIPERLINK($A$1 &amp; "\Dados\Magnet_fields_2D.txt_731.txt.txt", "Magnet_fields_2D.txt_731.txt")</f>
        <v/>
      </c>
    </row>
    <row customHeight="1" ht="15.75" r="732" s="34">
      <c r="D732" s="30" t="n"/>
      <c r="E732" s="15" t="n">
        <v>150</v>
      </c>
      <c r="F732" s="15" t="n">
        <v>200</v>
      </c>
      <c r="G732" s="15" t="n">
        <v>430</v>
      </c>
      <c r="H732" s="15" t="n">
        <v>45</v>
      </c>
      <c r="I732" s="15" t="n">
        <v>140</v>
      </c>
      <c r="J732" s="13" t="n">
        <v>25</v>
      </c>
      <c r="K732" t="n">
        <v>45</v>
      </c>
      <c r="L732" s="13" t="n">
        <v>1.6</v>
      </c>
      <c r="M732" s="12" t="n"/>
      <c r="N732" s="8" t="n">
        <v>1.134521141884173</v>
      </c>
      <c r="O732" s="15" t="n">
        <v>0.8675026876847423</v>
      </c>
      <c r="P732" s="15" t="n">
        <v>1.063417381731958</v>
      </c>
      <c r="Q732" s="15" t="n">
        <v>0.002218071872956996</v>
      </c>
      <c r="R732" s="15" t="n">
        <v>0.03252969041144253</v>
      </c>
      <c r="S732" s="15" t="n">
        <v>0.003357266391894308</v>
      </c>
      <c r="T732" s="29">
        <f>HIPERLINK($A$1 &amp; "\Dados\Imagem_perfil_732.png", "Imagem_perfil_732")</f>
        <v/>
      </c>
      <c r="U732" s="29">
        <f>HIPERLINK($A$1 &amp; "\Dados\Results_airgap732.txt", "Results_airgap732")</f>
        <v/>
      </c>
      <c r="V732" s="19" t="n"/>
      <c r="W732" s="43" t="n">
        <v>1.613819565217391</v>
      </c>
      <c r="X732" s="15" t="n">
        <v>0.7507255104271391</v>
      </c>
      <c r="Y732" s="15" t="n">
        <v>0.0001827156670861238</v>
      </c>
      <c r="Z732" s="15" t="n">
        <v>0.01553420092839289</v>
      </c>
      <c r="AA732" s="15" t="n">
        <v>4.424965523656211</v>
      </c>
      <c r="AB732" s="15" t="n">
        <v>0.6487330176762376</v>
      </c>
      <c r="AC732" s="15" t="n">
        <v>0</v>
      </c>
      <c r="AD732" s="15" t="n">
        <v>20.83898576071957</v>
      </c>
      <c r="AE732" s="15" t="n">
        <v>79.33539826463927</v>
      </c>
      <c r="AF732" s="15" t="n">
        <v>93.8901444083331</v>
      </c>
      <c r="AH732" s="29">
        <f>HIPERLINK($A$1 &amp; "\Dados\Magnet_fields.txt_732.txt.txt", "Magnet_fields.txt_732.txt")</f>
        <v/>
      </c>
      <c r="AI732" t="n">
        <v>6438</v>
      </c>
      <c r="AJ732" t="n">
        <v>28</v>
      </c>
      <c r="AK732" s="29">
        <f>HIPERLINK($A$1 &amp; "\Dados\Magnet_3D_results.txt_732.txt.txt", "Magnet_3D_results.txt_732.txt")</f>
        <v/>
      </c>
      <c r="AL732" s="29">
        <f>HIPERLINK($A$1 &amp; "\Dados\Magnet_fields_2D.txt_732.txt.txt", "Magnet_fields_2D.txt_732.txt")</f>
        <v/>
      </c>
    </row>
    <row customHeight="1" ht="15.75" r="733" s="34">
      <c r="D733" s="30" t="n"/>
      <c r="E733" s="15" t="n">
        <v>150</v>
      </c>
      <c r="F733" s="15" t="n">
        <v>200</v>
      </c>
      <c r="G733" s="15" t="n">
        <v>430</v>
      </c>
      <c r="H733" s="15" t="n">
        <v>45</v>
      </c>
      <c r="I733" s="15" t="n">
        <v>140</v>
      </c>
      <c r="J733" s="13" t="n">
        <v>25</v>
      </c>
      <c r="K733" t="n">
        <v>45</v>
      </c>
      <c r="L733" s="13" t="n">
        <v>1.8</v>
      </c>
      <c r="M733" s="12" t="n"/>
      <c r="N733" s="8" t="n">
        <v>1.229032293902971</v>
      </c>
      <c r="O733" s="15" t="n">
        <v>0.943356862658478</v>
      </c>
      <c r="P733" s="15" t="n">
        <v>1.156083791655648</v>
      </c>
      <c r="Q733" s="15" t="n">
        <v>0.002360752845297618</v>
      </c>
      <c r="R733" s="15" t="n">
        <v>0.0404636750774071</v>
      </c>
      <c r="S733" s="15" t="n">
        <v>0.003679275902167249</v>
      </c>
      <c r="T733" s="29">
        <f>HIPERLINK($A$1 &amp; "\Dados\Imagem_perfil_733.png", "Imagem_perfil_733")</f>
        <v/>
      </c>
      <c r="U733" s="29">
        <f>HIPERLINK($A$1 &amp; "\Dados\Results_airgap733.txt", "Results_airgap733")</f>
        <v/>
      </c>
      <c r="V733" s="19" t="n"/>
      <c r="W733" s="43" t="n">
        <v>1.732536956521739</v>
      </c>
      <c r="X733" s="15" t="n">
        <v>0.819207031642057</v>
      </c>
      <c r="Y733" s="15" t="n">
        <v>0.02585680980302973</v>
      </c>
      <c r="Z733" s="15" t="n">
        <v>0</v>
      </c>
      <c r="AA733" s="15" t="n">
        <v>0.003431311541491597</v>
      </c>
      <c r="AB733" s="15" t="n">
        <v>0</v>
      </c>
      <c r="AC733" s="15" t="n">
        <v>5.483359959117547</v>
      </c>
      <c r="AD733" s="15" t="n">
        <v>41.63934558382308</v>
      </c>
      <c r="AE733" s="15" t="n">
        <v>85.59256547865905</v>
      </c>
      <c r="AF733" s="15" t="n">
        <v>117.9859907050138</v>
      </c>
      <c r="AH733" s="29">
        <f>HIPERLINK($A$1 &amp; "\Dados\Magnet_fields.txt_733.txt.txt", "Magnet_fields.txt_733.txt")</f>
        <v/>
      </c>
      <c r="AI733" t="n">
        <v>6438</v>
      </c>
      <c r="AJ733" t="n">
        <v>29</v>
      </c>
      <c r="AK733" s="29">
        <f>HIPERLINK($A$1 &amp; "\Dados\Magnet_3D_results.txt_733.txt.txt", "Magnet_3D_results.txt_733.txt")</f>
        <v/>
      </c>
      <c r="AL733" s="29">
        <f>HIPERLINK($A$1 &amp; "\Dados\Magnet_fields_2D.txt_733.txt.txt", "Magnet_fields_2D.txt_733.txt")</f>
        <v/>
      </c>
    </row>
    <row customHeight="1" ht="15.75" r="734" s="34">
      <c r="D734" s="30" t="n"/>
      <c r="E734" s="15" t="n">
        <v>150</v>
      </c>
      <c r="F734" s="15" t="n">
        <v>200</v>
      </c>
      <c r="G734" s="15" t="n">
        <v>430</v>
      </c>
      <c r="H734" s="15" t="n">
        <v>45</v>
      </c>
      <c r="I734" s="15" t="n">
        <v>140</v>
      </c>
      <c r="J734" s="13" t="n">
        <v>25</v>
      </c>
      <c r="K734" t="n">
        <v>45</v>
      </c>
      <c r="L734" s="13" t="n">
        <v>2</v>
      </c>
      <c r="M734" s="12" t="n"/>
      <c r="N734" s="8" t="n">
        <v>1.241664094435205</v>
      </c>
      <c r="O734" s="15" t="n">
        <v>0.9533719600312497</v>
      </c>
      <c r="P734" s="15" t="n">
        <v>1.167623681877902</v>
      </c>
      <c r="Q734" s="15" t="n">
        <v>0.002362528761006383</v>
      </c>
      <c r="R734" s="15" t="n">
        <v>0.0408619786706261</v>
      </c>
      <c r="S734" s="15" t="n">
        <v>0.003685903531691308</v>
      </c>
      <c r="T734" s="29">
        <f>HIPERLINK($A$1 &amp; "\Dados\Imagem_perfil_734.png", "Imagem_perfil_734")</f>
        <v/>
      </c>
      <c r="U734" s="29">
        <f>HIPERLINK($A$1 &amp; "\Dados\Results_airgap734.txt", "Results_airgap734")</f>
        <v/>
      </c>
      <c r="V734" s="19" t="n"/>
      <c r="W734" s="15" t="n">
        <v>1.748526521739131</v>
      </c>
      <c r="X734" s="15" t="n">
        <v>0.8280520939882449</v>
      </c>
      <c r="Y734" s="15" t="n">
        <v>0.1159449838690829</v>
      </c>
      <c r="Z734" s="15" t="n">
        <v>0</v>
      </c>
      <c r="AA734" s="15" t="n">
        <v>0.003431311541491597</v>
      </c>
      <c r="AB734" s="15" t="n">
        <v>0.4674118416853851</v>
      </c>
      <c r="AC734" s="15" t="n">
        <v>8.474374502600195</v>
      </c>
      <c r="AD734" s="15" t="n">
        <v>43.22318294709245</v>
      </c>
      <c r="AE734" s="15" t="n">
        <v>86.0247288206206</v>
      </c>
      <c r="AF734" s="15" t="n">
        <v>118.1802085397316</v>
      </c>
      <c r="AH734" s="29">
        <f>HIPERLINK($A$1 &amp; "\Dados\Magnet_fields.txt_734.txt.txt", "Magnet_fields.txt_734.txt")</f>
        <v/>
      </c>
      <c r="AI734" t="n">
        <v>6438</v>
      </c>
      <c r="AJ734" t="n">
        <v>30</v>
      </c>
      <c r="AK734" s="29">
        <f>HIPERLINK($A$1 &amp; "\Dados\Magnet_3D_results.txt_734.txt.txt", "Magnet_3D_results.txt_734.txt")</f>
        <v/>
      </c>
      <c r="AL734" s="29">
        <f>HIPERLINK($A$1 &amp; "\Dados\Magnet_fields_2D.txt_734.txt.txt", "Magnet_fields_2D.txt_734.txt")</f>
        <v/>
      </c>
    </row>
    <row customHeight="1" ht="15.75" r="735" s="34">
      <c r="D735" s="30" t="n"/>
      <c r="E735" s="15" t="n">
        <v>150</v>
      </c>
      <c r="F735" s="15" t="n">
        <v>200</v>
      </c>
      <c r="G735" s="15" t="n">
        <v>430</v>
      </c>
      <c r="H735" s="15" t="n">
        <v>45</v>
      </c>
      <c r="I735" s="15" t="n">
        <v>140</v>
      </c>
      <c r="J735" s="13" t="n">
        <v>25</v>
      </c>
      <c r="K735" t="n">
        <v>45</v>
      </c>
      <c r="L735" s="13" t="n">
        <v>2.2</v>
      </c>
      <c r="M735" s="12" t="n"/>
      <c r="N735" s="8" t="n">
        <v>1.244436943100615</v>
      </c>
      <c r="O735" s="15" t="n">
        <v>0.9555800838487869</v>
      </c>
      <c r="P735" s="15" t="n">
        <v>1.169998698465043</v>
      </c>
      <c r="Q735" s="15" t="n">
        <v>0.002367975595962042</v>
      </c>
      <c r="R735" s="15" t="n">
        <v>0.04090341842774753</v>
      </c>
      <c r="S735" s="15" t="n">
        <v>0.003691075658281841</v>
      </c>
      <c r="T735" s="29">
        <f>HIPERLINK($A$1 &amp; "\Dados\Imagem_perfil_735.png", "Imagem_perfil_735")</f>
        <v/>
      </c>
      <c r="U735" s="29">
        <f>HIPERLINK($A$1 &amp; "\Dados\Results_airgap735.txt", "Results_airgap735")</f>
        <v/>
      </c>
      <c r="V735" s="19" t="n"/>
      <c r="W735" s="15" t="n">
        <v>1.754009565217391</v>
      </c>
      <c r="X735" s="15" t="n">
        <v>0.8299561863263102</v>
      </c>
      <c r="Y735" s="15" t="n">
        <v>0.2401466797496731</v>
      </c>
      <c r="Z735" s="15" t="n">
        <v>0</v>
      </c>
      <c r="AA735" s="15" t="n">
        <v>0.003431311541491597</v>
      </c>
      <c r="AB735" s="15" t="n">
        <v>0.9687733516498533</v>
      </c>
      <c r="AC735" s="15" t="n">
        <v>9.454839263414927</v>
      </c>
      <c r="AD735" s="15" t="n">
        <v>43.74668467385521</v>
      </c>
      <c r="AE735" s="15" t="n">
        <v>86.16712494714649</v>
      </c>
      <c r="AF735" s="15" t="n">
        <v>118.166167653427</v>
      </c>
      <c r="AH735" s="29">
        <f>HIPERLINK($A$1 &amp; "\Dados\Magnet_fields.txt_735.txt.txt", "Magnet_fields.txt_735.txt")</f>
        <v/>
      </c>
      <c r="AI735" t="n">
        <v>6438</v>
      </c>
      <c r="AJ735" t="n">
        <v>29</v>
      </c>
      <c r="AK735" s="29">
        <f>HIPERLINK($A$1 &amp; "\Dados\Magnet_3D_results.txt_735.txt.txt", "Magnet_3D_results.txt_735.txt")</f>
        <v/>
      </c>
      <c r="AL735" s="29">
        <f>HIPERLINK($A$1 &amp; "\Dados\Magnet_fields_2D.txt_735.txt.txt", "Magnet_fields_2D.txt_735.txt")</f>
        <v/>
      </c>
    </row>
    <row customHeight="1" ht="15.75" r="736" s="34">
      <c r="D736" s="30" t="n"/>
      <c r="E736" s="15" t="n">
        <v>150</v>
      </c>
      <c r="F736" s="15" t="n">
        <v>200</v>
      </c>
      <c r="G736" s="15" t="n">
        <v>430</v>
      </c>
      <c r="H736" s="15" t="n">
        <v>25</v>
      </c>
      <c r="I736" s="15" t="n">
        <v>180</v>
      </c>
      <c r="J736" s="13" t="n">
        <v>25</v>
      </c>
      <c r="K736" t="n">
        <v>45</v>
      </c>
      <c r="L736" s="13" t="n">
        <v>1.4</v>
      </c>
      <c r="M736" s="12" t="n"/>
      <c r="N736" s="8" t="n">
        <v>1.018712414187528</v>
      </c>
      <c r="O736" s="15" t="n">
        <v>0.8677571035235877</v>
      </c>
      <c r="P736" s="15" t="n">
        <v>0.9767234339263342</v>
      </c>
      <c r="Q736" s="15" t="n">
        <v>0.00175674074637165</v>
      </c>
      <c r="R736" s="15" t="n">
        <v>0.004360422199832365</v>
      </c>
      <c r="S736" s="15" t="n">
        <v>0.0018147077220425</v>
      </c>
      <c r="T736" s="29">
        <f>HIPERLINK($A$1 &amp; "\Dados\Imagem_perfil_736.png", "Imagem_perfil_736")</f>
        <v/>
      </c>
      <c r="U736" s="29">
        <f>HIPERLINK($A$1 &amp; "\Dados\Results_airgap736.txt", "Results_airgap736")</f>
        <v/>
      </c>
      <c r="V736" s="19" t="n"/>
      <c r="W736" s="43" t="n">
        <v>1.408991739130435</v>
      </c>
      <c r="X736" s="15" t="n">
        <v>0.638622143662265</v>
      </c>
      <c r="Y736" s="15" t="n">
        <v>0.0001089675450329803</v>
      </c>
      <c r="Z736" s="15" t="n">
        <v>0.02255579214606878</v>
      </c>
      <c r="AA736" s="15" t="n">
        <v>7.568021278634654</v>
      </c>
      <c r="AB736" s="15" t="n">
        <v>0.1184216178993584</v>
      </c>
      <c r="AC736" s="15" t="n">
        <v>0.1056120158684063</v>
      </c>
      <c r="AD736" s="15" t="n">
        <v>7.040343237987386</v>
      </c>
      <c r="AE736" s="15" t="n">
        <v>58.61963371029692</v>
      </c>
      <c r="AF736" s="15" t="n">
        <v>55.04677409044112</v>
      </c>
      <c r="AH736" s="29">
        <f>HIPERLINK($A$1 &amp; "\Dados\Magnet_fields.txt_736.txt.txt", "Magnet_fields.txt_736.txt")</f>
        <v/>
      </c>
      <c r="AI736" t="n">
        <v>9964</v>
      </c>
      <c r="AJ736" t="n">
        <v>32</v>
      </c>
      <c r="AK736" s="29">
        <f>HIPERLINK($A$1 &amp; "\Dados\Magnet_3D_results.txt_736.txt.txt", "Magnet_3D_results.txt_736.txt")</f>
        <v/>
      </c>
      <c r="AL736" s="29">
        <f>HIPERLINK($A$1 &amp; "\Dados\Magnet_fields_2D.txt_736.txt.txt", "Magnet_fields_2D.txt_736.txt")</f>
        <v/>
      </c>
    </row>
    <row customHeight="1" ht="15.75" r="737" s="34">
      <c r="D737" s="30" t="n"/>
      <c r="E737" s="15" t="n">
        <v>150</v>
      </c>
      <c r="F737" s="15" t="n">
        <v>200</v>
      </c>
      <c r="G737" s="15" t="n">
        <v>430</v>
      </c>
      <c r="H737" s="15" t="n">
        <v>25</v>
      </c>
      <c r="I737" s="15" t="n">
        <v>180</v>
      </c>
      <c r="J737" s="13" t="n">
        <v>25</v>
      </c>
      <c r="K737" t="n">
        <v>45</v>
      </c>
      <c r="L737" s="13" t="n">
        <v>1.6</v>
      </c>
      <c r="M737" s="12" t="n"/>
      <c r="N737" s="8" t="n">
        <v>1.21497688504308</v>
      </c>
      <c r="O737" s="15" t="n">
        <v>1.049087539355982</v>
      </c>
      <c r="P737" s="15" t="n">
        <v>1.17113135725764</v>
      </c>
      <c r="Q737" s="15" t="n">
        <v>0.002167266862898542</v>
      </c>
      <c r="R737" s="15" t="n">
        <v>0.0273153135533031</v>
      </c>
      <c r="S737" s="15" t="n">
        <v>0.002339517986666618</v>
      </c>
      <c r="T737" s="29">
        <f>HIPERLINK($A$1 &amp; "\Dados\Imagem_perfil_737.png", "Imagem_perfil_737")</f>
        <v/>
      </c>
      <c r="U737" s="29">
        <f>HIPERLINK($A$1 &amp; "\Dados\Results_airgap737.txt", "Results_airgap737")</f>
        <v/>
      </c>
      <c r="V737" s="19" t="n"/>
      <c r="W737" s="43" t="n">
        <v>1.613918478260869</v>
      </c>
      <c r="X737" s="15" t="n">
        <v>0.7797546757826714</v>
      </c>
      <c r="Y737" s="15" t="n">
        <v>0.0001814857014836417</v>
      </c>
      <c r="Z737" s="15" t="n">
        <v>0.0417969250848698</v>
      </c>
      <c r="AA737" s="15" t="n">
        <v>6.437175906340352</v>
      </c>
      <c r="AB737" s="15" t="n">
        <v>0.7070031892840841</v>
      </c>
      <c r="AC737" s="15" t="n">
        <v>0</v>
      </c>
      <c r="AD737" s="15" t="n">
        <v>20.84722064843161</v>
      </c>
      <c r="AE737" s="15" t="n">
        <v>79.28929522847939</v>
      </c>
      <c r="AF737" s="15" t="n">
        <v>94.11801403738426</v>
      </c>
      <c r="AH737" s="29">
        <f>HIPERLINK($A$1 &amp; "\Dados\Magnet_fields.txt_737.txt.txt", "Magnet_fields.txt_737.txt")</f>
        <v/>
      </c>
      <c r="AI737" t="n">
        <v>9964</v>
      </c>
      <c r="AJ737" t="n">
        <v>30</v>
      </c>
      <c r="AK737" s="29">
        <f>HIPERLINK($A$1 &amp; "\Dados\Magnet_3D_results.txt_737.txt.txt", "Magnet_3D_results.txt_737.txt")</f>
        <v/>
      </c>
      <c r="AL737" s="29">
        <f>HIPERLINK($A$1 &amp; "\Dados\Magnet_fields_2D.txt_737.txt.txt", "Magnet_fields_2D.txt_737.txt")</f>
        <v/>
      </c>
    </row>
    <row customHeight="1" ht="15.75" r="738" s="34">
      <c r="D738" s="30" t="n"/>
      <c r="E738" s="15" t="n">
        <v>150</v>
      </c>
      <c r="F738" s="15" t="n">
        <v>200</v>
      </c>
      <c r="G738" s="15" t="n">
        <v>430</v>
      </c>
      <c r="H738" s="15" t="n">
        <v>25</v>
      </c>
      <c r="I738" s="15" t="n">
        <v>180</v>
      </c>
      <c r="J738" s="13" t="n">
        <v>25</v>
      </c>
      <c r="K738" t="n">
        <v>45</v>
      </c>
      <c r="L738" s="13" t="n">
        <v>1.8</v>
      </c>
      <c r="M738" s="12" t="n"/>
      <c r="N738" s="8" t="n">
        <v>1.329653878888364</v>
      </c>
      <c r="O738" s="15" t="n">
        <v>1.155072759663512</v>
      </c>
      <c r="P738" s="15" t="n">
        <v>1.285972897211822</v>
      </c>
      <c r="Q738" s="15" t="n">
        <v>0.002353016502762329</v>
      </c>
      <c r="R738" s="15" t="n">
        <v>0.03792467570483124</v>
      </c>
      <c r="S738" s="15" t="n">
        <v>0.002561889886137383</v>
      </c>
      <c r="T738" s="29">
        <f>HIPERLINK($A$1 &amp; "\Dados\Imagem_perfil_738.png", "Imagem_perfil_738")</f>
        <v/>
      </c>
      <c r="U738" s="29">
        <f>HIPERLINK($A$1 &amp; "\Dados\Results_airgap738.txt", "Results_airgap738")</f>
        <v/>
      </c>
      <c r="V738" s="19" t="n"/>
      <c r="W738" s="43" t="n">
        <v>1.732338695652174</v>
      </c>
      <c r="X738" s="15" t="n">
        <v>0.8589312186687019</v>
      </c>
      <c r="Y738" s="15" t="n">
        <v>0.02592379043425903</v>
      </c>
      <c r="Z738" s="15" t="n">
        <v>0</v>
      </c>
      <c r="AA738" s="15" t="n">
        <v>4.69083200302912</v>
      </c>
      <c r="AB738" s="15" t="n">
        <v>0</v>
      </c>
      <c r="AC738" s="15" t="n">
        <v>5.482299174856506</v>
      </c>
      <c r="AD738" s="15" t="n">
        <v>41.65104236516969</v>
      </c>
      <c r="AE738" s="15" t="n">
        <v>85.60832259087174</v>
      </c>
      <c r="AF738" s="15" t="n">
        <v>117.9994244936569</v>
      </c>
      <c r="AH738" s="29">
        <f>HIPERLINK($A$1 &amp; "\Dados\Magnet_fields.txt_738.txt.txt", "Magnet_fields.txt_738.txt")</f>
        <v/>
      </c>
      <c r="AI738" t="n">
        <v>9964</v>
      </c>
      <c r="AJ738" t="n">
        <v>31</v>
      </c>
      <c r="AK738" s="29">
        <f>HIPERLINK($A$1 &amp; "\Dados\Magnet_3D_results.txt_738.txt.txt", "Magnet_3D_results.txt_738.txt")</f>
        <v/>
      </c>
      <c r="AL738" s="29">
        <f>HIPERLINK($A$1 &amp; "\Dados\Magnet_fields_2D.txt_738.txt.txt", "Magnet_fields_2D.txt_738.txt")</f>
        <v/>
      </c>
    </row>
    <row customHeight="1" ht="15.75" r="739" s="34">
      <c r="D739" s="30" t="n"/>
      <c r="E739" s="15" t="n">
        <v>150</v>
      </c>
      <c r="F739" s="15" t="n">
        <v>200</v>
      </c>
      <c r="G739" s="15" t="n">
        <v>430</v>
      </c>
      <c r="H739" s="15" t="n">
        <v>25</v>
      </c>
      <c r="I739" s="15" t="n">
        <v>180</v>
      </c>
      <c r="J739" s="13" t="n">
        <v>25</v>
      </c>
      <c r="K739" t="n">
        <v>45</v>
      </c>
      <c r="L739" s="13" t="n">
        <v>2</v>
      </c>
      <c r="M739" s="12" t="n"/>
      <c r="N739" s="8" t="n">
        <v>1.34532901274349</v>
      </c>
      <c r="O739" s="15" t="n">
        <v>1.168434458876364</v>
      </c>
      <c r="P739" s="15" t="n">
        <v>1.300787025294637</v>
      </c>
      <c r="Q739" s="15" t="n">
        <v>0.002368730926081569</v>
      </c>
      <c r="R739" s="15" t="n">
        <v>0.03874318920036981</v>
      </c>
      <c r="S739" s="15" t="n">
        <v>0.002579666030039723</v>
      </c>
      <c r="T739" s="29">
        <f>HIPERLINK($A$1 &amp; "\Dados\Imagem_perfil_739.png", "Imagem_perfil_739")</f>
        <v/>
      </c>
      <c r="U739" s="29">
        <f>HIPERLINK($A$1 &amp; "\Dados\Results_airgap739.txt", "Results_airgap739")</f>
        <v/>
      </c>
      <c r="V739" s="19" t="n"/>
      <c r="W739" s="15" t="n">
        <v>1.748396739130434</v>
      </c>
      <c r="X739" s="15" t="n">
        <v>0.8692671670968456</v>
      </c>
      <c r="Y739" s="15" t="n">
        <v>0.1160737445268844</v>
      </c>
      <c r="Z739" s="15" t="n">
        <v>0</v>
      </c>
      <c r="AA739" s="15" t="n">
        <v>4.031841289058939</v>
      </c>
      <c r="AB739" s="15" t="n">
        <v>0.4692274045651675</v>
      </c>
      <c r="AC739" s="15" t="n">
        <v>8.484182320486253</v>
      </c>
      <c r="AD739" s="15" t="n">
        <v>43.24233472222558</v>
      </c>
      <c r="AE739" s="15" t="n">
        <v>86.04999860584148</v>
      </c>
      <c r="AF739" s="15" t="n">
        <v>118.1904960961207</v>
      </c>
      <c r="AH739" s="29">
        <f>HIPERLINK($A$1 &amp; "\Dados\Magnet_fields.txt_739.txt.txt", "Magnet_fields.txt_739.txt")</f>
        <v/>
      </c>
      <c r="AI739" t="n">
        <v>9964</v>
      </c>
      <c r="AJ739" t="n">
        <v>31</v>
      </c>
      <c r="AK739" s="29">
        <f>HIPERLINK($A$1 &amp; "\Dados\Magnet_3D_results.txt_739.txt.txt", "Magnet_3D_results.txt_739.txt")</f>
        <v/>
      </c>
      <c r="AL739" s="29">
        <f>HIPERLINK($A$1 &amp; "\Dados\Magnet_fields_2D.txt_739.txt.txt", "Magnet_fields_2D.txt_739.txt")</f>
        <v/>
      </c>
    </row>
    <row customHeight="1" ht="15.75" r="740" s="34">
      <c r="D740" s="30" t="n"/>
      <c r="E740" s="15" t="n">
        <v>150</v>
      </c>
      <c r="F740" s="15" t="n">
        <v>200</v>
      </c>
      <c r="G740" s="15" t="n">
        <v>430</v>
      </c>
      <c r="H740" s="15" t="n">
        <v>25</v>
      </c>
      <c r="I740" s="15" t="n">
        <v>180</v>
      </c>
      <c r="J740" s="13" t="n">
        <v>25</v>
      </c>
      <c r="K740" t="n">
        <v>45</v>
      </c>
      <c r="L740" s="13" t="n">
        <v>2.2</v>
      </c>
      <c r="M740" s="12" t="n"/>
      <c r="N740" s="8" t="n">
        <v>1.348466743047326</v>
      </c>
      <c r="O740" s="15" t="n">
        <v>1.170872717834003</v>
      </c>
      <c r="P740" s="15" t="n">
        <v>1.303543402551453</v>
      </c>
      <c r="Q740" s="15" t="n">
        <v>0.002375505062693683</v>
      </c>
      <c r="R740" s="15" t="n">
        <v>0.03880907726443972</v>
      </c>
      <c r="S740" s="15" t="n">
        <v>0.002586296170904803</v>
      </c>
      <c r="T740" s="29">
        <f>HIPERLINK($A$1 &amp; "\Dados\Imagem_perfil_740.png", "Imagem_perfil_740")</f>
        <v/>
      </c>
      <c r="U740" s="29">
        <f>HIPERLINK($A$1 &amp; "\Dados\Results_airgap740.txt", "Results_airgap740")</f>
        <v/>
      </c>
      <c r="V740" s="19" t="n"/>
      <c r="W740" s="15" t="n">
        <v>1.753852826086957</v>
      </c>
      <c r="X740" s="15" t="n">
        <v>0.8713225640978913</v>
      </c>
      <c r="Y740" s="15" t="n">
        <v>0.2403146723668043</v>
      </c>
      <c r="Z740" s="15" t="n">
        <v>0</v>
      </c>
      <c r="AA740" s="15" t="n">
        <v>3.961431072322583</v>
      </c>
      <c r="AB740" s="15" t="n">
        <v>0.970839230274033</v>
      </c>
      <c r="AC740" s="15" t="n">
        <v>9.456961238297115</v>
      </c>
      <c r="AD740" s="15" t="n">
        <v>43.76427361070351</v>
      </c>
      <c r="AE740" s="15" t="n">
        <v>86.19494845097391</v>
      </c>
      <c r="AF740" s="15" t="n">
        <v>118.1810836632445</v>
      </c>
      <c r="AH740" s="29">
        <f>HIPERLINK($A$1 &amp; "\Dados\Magnet_fields.txt_740.txt.txt", "Magnet_fields.txt_740.txt")</f>
        <v/>
      </c>
      <c r="AI740" t="n">
        <v>9964</v>
      </c>
      <c r="AJ740" t="n">
        <v>29</v>
      </c>
      <c r="AK740" s="29">
        <f>HIPERLINK($A$1 &amp; "\Dados\Magnet_3D_results.txt_740.txt.txt", "Magnet_3D_results.txt_740.txt")</f>
        <v/>
      </c>
      <c r="AL740" s="29">
        <f>HIPERLINK($A$1 &amp; "\Dados\Magnet_fields_2D.txt_740.txt.txt", "Magnet_fields_2D.txt_740.txt")</f>
        <v/>
      </c>
    </row>
    <row customHeight="1" ht="15.75" r="741" s="34">
      <c r="D741" s="30" t="n"/>
      <c r="E741" s="15" t="n">
        <v>150</v>
      </c>
      <c r="F741" s="15" t="n">
        <v>200</v>
      </c>
      <c r="G741" s="15" t="n">
        <v>430</v>
      </c>
      <c r="H741" s="15" t="n">
        <v>45</v>
      </c>
      <c r="I741" s="15" t="n">
        <v>180</v>
      </c>
      <c r="J741" s="13" t="n">
        <v>25</v>
      </c>
      <c r="K741" t="n">
        <v>45</v>
      </c>
      <c r="L741" s="13" t="n">
        <v>1.4</v>
      </c>
      <c r="M741" s="12" t="n"/>
      <c r="N741" s="8" t="n">
        <v>1.053868785314437</v>
      </c>
      <c r="O741" s="15" t="n">
        <v>0.9013742216405645</v>
      </c>
      <c r="P741" s="15" t="n">
        <v>1.011592859679154</v>
      </c>
      <c r="Q741" s="15" t="n">
        <v>0.001828010237667287</v>
      </c>
      <c r="R741" s="15" t="n">
        <v>0.01114173835392919</v>
      </c>
      <c r="S741" s="15" t="n">
        <v>0.001928664280864785</v>
      </c>
      <c r="T741" s="29">
        <f>HIPERLINK($A$1 &amp; "\Dados\Imagem_perfil_741.png", "Imagem_perfil_741")</f>
        <v/>
      </c>
      <c r="U741" s="29">
        <f>HIPERLINK($A$1 &amp; "\Dados\Results_airgap741.txt", "Results_airgap741")</f>
        <v/>
      </c>
      <c r="V741" s="19" t="n"/>
      <c r="W741" s="43" t="n">
        <v>1.409131304347826</v>
      </c>
      <c r="X741" s="15" t="n">
        <v>0.6607164474145013</v>
      </c>
      <c r="Y741" s="15" t="n">
        <v>0.0001092050665262615</v>
      </c>
      <c r="Z741" s="15" t="n">
        <v>0</v>
      </c>
      <c r="AA741" s="15" t="n">
        <v>8.057236995387123</v>
      </c>
      <c r="AB741" s="15" t="n">
        <v>0.09445862889912146</v>
      </c>
      <c r="AC741" s="15" t="n">
        <v>0.0970493895339944</v>
      </c>
      <c r="AD741" s="15" t="n">
        <v>7.093706384120514</v>
      </c>
      <c r="AE741" s="15" t="n">
        <v>58.42560865137544</v>
      </c>
      <c r="AF741" s="15" t="n">
        <v>55.01260861168814</v>
      </c>
      <c r="AH741" s="29">
        <f>HIPERLINK($A$1 &amp; "\Dados\Magnet_fields.txt_741.txt.txt", "Magnet_fields.txt_741.txt")</f>
        <v/>
      </c>
      <c r="AI741" t="n">
        <v>6732</v>
      </c>
      <c r="AJ741" t="n">
        <v>28</v>
      </c>
      <c r="AK741" s="29">
        <f>HIPERLINK($A$1 &amp; "\Dados\Magnet_3D_results.txt_741.txt.txt", "Magnet_3D_results.txt_741.txt")</f>
        <v/>
      </c>
      <c r="AL741" s="29">
        <f>HIPERLINK($A$1 &amp; "\Dados\Magnet_fields_2D.txt_741.txt.txt", "Magnet_fields_2D.txt_741.txt")</f>
        <v/>
      </c>
    </row>
    <row customHeight="1" ht="15.75" r="742" s="34">
      <c r="D742" s="30" t="n"/>
      <c r="E742" s="15" t="n">
        <v>150</v>
      </c>
      <c r="F742" s="15" t="n">
        <v>200</v>
      </c>
      <c r="G742" s="15" t="n">
        <v>430</v>
      </c>
      <c r="H742" s="15" t="n">
        <v>45</v>
      </c>
      <c r="I742" s="15" t="n">
        <v>180</v>
      </c>
      <c r="J742" s="13" t="n">
        <v>25</v>
      </c>
      <c r="K742" t="n">
        <v>45</v>
      </c>
      <c r="L742" s="13" t="n">
        <v>1.6</v>
      </c>
      <c r="M742" s="12" t="n"/>
      <c r="N742" s="8" t="n">
        <v>1.251433705534582</v>
      </c>
      <c r="O742" s="15" t="n">
        <v>1.08154504142809</v>
      </c>
      <c r="P742" s="15" t="n">
        <v>1.206228990015966</v>
      </c>
      <c r="Q742" s="15" t="n">
        <v>0.00240218462418551</v>
      </c>
      <c r="R742" s="15" t="n">
        <v>0.0361477156721265</v>
      </c>
      <c r="S742" s="15" t="n">
        <v>0.002614969122334298</v>
      </c>
      <c r="T742" s="29">
        <f>HIPERLINK($A$1 &amp; "\Dados\Imagem_perfil_742.png", "Imagem_perfil_742")</f>
        <v/>
      </c>
      <c r="U742" s="29">
        <f>HIPERLINK($A$1 &amp; "\Dados\Results_airgap742.txt", "Results_airgap742")</f>
        <v/>
      </c>
      <c r="V742" s="19" t="n"/>
      <c r="W742" s="43" t="n">
        <v>1.61447152173913</v>
      </c>
      <c r="X742" s="15" t="n">
        <v>0.8032214880031364</v>
      </c>
      <c r="Y742" s="15" t="n">
        <v>0.0001332015888615692</v>
      </c>
      <c r="Z742" s="15" t="n">
        <v>0.06379620907924255</v>
      </c>
      <c r="AA742" s="15" t="n">
        <v>4.875831668760115</v>
      </c>
      <c r="AB742" s="15" t="n">
        <v>4.173430030596484</v>
      </c>
      <c r="AC742" s="15" t="n">
        <v>0</v>
      </c>
      <c r="AD742" s="15" t="n">
        <v>17.77300241064316</v>
      </c>
      <c r="AE742" s="15" t="n">
        <v>80.73252041330971</v>
      </c>
      <c r="AF742" s="15" t="n">
        <v>100.3962083033893</v>
      </c>
      <c r="AH742" s="29">
        <f>HIPERLINK($A$1 &amp; "\Dados\Magnet_fields.txt_742.txt.txt", "Magnet_fields.txt_742.txt")</f>
        <v/>
      </c>
      <c r="AI742" t="n">
        <v>6732</v>
      </c>
      <c r="AJ742" t="n">
        <v>28</v>
      </c>
      <c r="AK742" s="29">
        <f>HIPERLINK($A$1 &amp; "\Dados\Magnet_3D_results.txt_742.txt.txt", "Magnet_3D_results.txt_742.txt")</f>
        <v/>
      </c>
      <c r="AL742" s="29">
        <f>HIPERLINK($A$1 &amp; "\Dados\Magnet_fields_2D.txt_742.txt.txt", "Magnet_fields_2D.txt_742.txt")</f>
        <v/>
      </c>
    </row>
    <row customHeight="1" ht="15.75" r="743" s="34">
      <c r="D743" s="30" t="n"/>
      <c r="E743" s="15" t="n">
        <v>150</v>
      </c>
      <c r="F743" s="15" t="n">
        <v>200</v>
      </c>
      <c r="G743" s="15" t="n">
        <v>430</v>
      </c>
      <c r="H743" s="15" t="n">
        <v>45</v>
      </c>
      <c r="I743" s="15" t="n">
        <v>180</v>
      </c>
      <c r="J743" s="13" t="n">
        <v>25</v>
      </c>
      <c r="K743" t="n">
        <v>45</v>
      </c>
      <c r="L743" s="13" t="n">
        <v>1.8</v>
      </c>
      <c r="M743" s="12" t="n"/>
      <c r="N743" s="8" t="n">
        <v>1.353560022831473</v>
      </c>
      <c r="O743" s="15" t="n">
        <v>1.177154170225095</v>
      </c>
      <c r="P743" s="15" t="n">
        <v>1.30940497141613</v>
      </c>
      <c r="Q743" s="15" t="n">
        <v>0.00254253627414976</v>
      </c>
      <c r="R743" s="15" t="n">
        <v>0.04303877961014036</v>
      </c>
      <c r="S743" s="15" t="n">
        <v>0.002773431792933399</v>
      </c>
      <c r="T743" s="29">
        <f>HIPERLINK($A$1 &amp; "\Dados\Imagem_perfil_743.png", "Imagem_perfil_743")</f>
        <v/>
      </c>
      <c r="U743" s="29">
        <f>HIPERLINK($A$1 &amp; "\Dados\Results_airgap743.txt", "Results_airgap743")</f>
        <v/>
      </c>
      <c r="V743" s="19" t="n"/>
      <c r="W743" s="43" t="n">
        <v>1.732511956521739</v>
      </c>
      <c r="X743" s="15" t="n">
        <v>0.8711009461214752</v>
      </c>
      <c r="Y743" s="15" t="n">
        <v>0.02585679876352727</v>
      </c>
      <c r="Z743" s="15" t="n">
        <v>0</v>
      </c>
      <c r="AA743" s="15" t="n">
        <v>0</v>
      </c>
      <c r="AB743" s="15" t="n">
        <v>0</v>
      </c>
      <c r="AC743" s="15" t="n">
        <v>5.480741507476001</v>
      </c>
      <c r="AD743" s="15" t="n">
        <v>41.63435436970131</v>
      </c>
      <c r="AE743" s="15" t="n">
        <v>85.58607301783618</v>
      </c>
      <c r="AF743" s="15" t="n">
        <v>117.9846136947248</v>
      </c>
      <c r="AH743" s="29">
        <f>HIPERLINK($A$1 &amp; "\Dados\Magnet_fields.txt_743.txt.txt", "Magnet_fields.txt_743.txt")</f>
        <v/>
      </c>
      <c r="AI743" t="n">
        <v>6732</v>
      </c>
      <c r="AJ743" t="n">
        <v>28</v>
      </c>
      <c r="AK743" s="29">
        <f>HIPERLINK($A$1 &amp; "\Dados\Magnet_3D_results.txt_743.txt.txt", "Magnet_3D_results.txt_743.txt")</f>
        <v/>
      </c>
      <c r="AL743" s="29">
        <f>HIPERLINK($A$1 &amp; "\Dados\Magnet_fields_2D.txt_743.txt.txt", "Magnet_fields_2D.txt_743.txt")</f>
        <v/>
      </c>
    </row>
    <row customHeight="1" ht="15.75" r="744" s="34">
      <c r="D744" s="30" t="n"/>
      <c r="E744" s="15" t="n">
        <v>150</v>
      </c>
      <c r="F744" s="15" t="n">
        <v>200</v>
      </c>
      <c r="G744" s="15" t="n">
        <v>430</v>
      </c>
      <c r="H744" s="15" t="n">
        <v>45</v>
      </c>
      <c r="I744" s="15" t="n">
        <v>180</v>
      </c>
      <c r="J744" s="13" t="n">
        <v>25</v>
      </c>
      <c r="K744" t="n">
        <v>45</v>
      </c>
      <c r="L744" s="13" t="n">
        <v>2</v>
      </c>
      <c r="M744" s="12" t="n"/>
      <c r="N744" s="8" t="n">
        <v>1.36760137304709</v>
      </c>
      <c r="O744" s="15" t="n">
        <v>1.188935670948767</v>
      </c>
      <c r="P744" s="15" t="n">
        <v>1.322578811182076</v>
      </c>
      <c r="Q744" s="15" t="n">
        <v>0.002547033713107845</v>
      </c>
      <c r="R744" s="15" t="n">
        <v>0.04347946443991371</v>
      </c>
      <c r="S744" s="15" t="n">
        <v>0.002778405287135705</v>
      </c>
      <c r="T744" s="29">
        <f>HIPERLINK($A$1 &amp; "\Dados\Imagem_perfil_744.png", "Imagem_perfil_744")</f>
        <v/>
      </c>
      <c r="U744" s="29">
        <f>HIPERLINK($A$1 &amp; "\Dados\Results_airgap744.txt", "Results_airgap744")</f>
        <v/>
      </c>
      <c r="V744" s="19" t="n"/>
      <c r="W744" s="15" t="n">
        <v>1.748440869565218</v>
      </c>
      <c r="X744" s="15" t="n">
        <v>0.8802374170481494</v>
      </c>
      <c r="Y744" s="15" t="n">
        <v>0.115944965051384</v>
      </c>
      <c r="Z744" s="15" t="n">
        <v>0</v>
      </c>
      <c r="AA744" s="15" t="n">
        <v>0</v>
      </c>
      <c r="AB744" s="15" t="n">
        <v>0.4597488992587306</v>
      </c>
      <c r="AC744" s="15" t="n">
        <v>8.453484866085589</v>
      </c>
      <c r="AD744" s="15" t="n">
        <v>43.22329665378007</v>
      </c>
      <c r="AE744" s="15" t="n">
        <v>86.02701553812499</v>
      </c>
      <c r="AF744" s="15" t="n">
        <v>118.1780386808588</v>
      </c>
      <c r="AH744" s="29">
        <f>HIPERLINK($A$1 &amp; "\Dados\Magnet_fields.txt_744.txt.txt", "Magnet_fields.txt_744.txt")</f>
        <v/>
      </c>
      <c r="AI744" t="n">
        <v>6732</v>
      </c>
      <c r="AJ744" t="n">
        <v>29</v>
      </c>
      <c r="AK744" s="29">
        <f>HIPERLINK($A$1 &amp; "\Dados\Magnet_3D_results.txt_744.txt.txt", "Magnet_3D_results.txt_744.txt")</f>
        <v/>
      </c>
      <c r="AL744" s="29">
        <f>HIPERLINK($A$1 &amp; "\Dados\Magnet_fields_2D.txt_744.txt.txt", "Magnet_fields_2D.txt_744.txt")</f>
        <v/>
      </c>
    </row>
    <row customHeight="1" ht="15.75" r="745" s="34">
      <c r="D745" s="30" t="n"/>
      <c r="E745" s="15" t="n">
        <v>150</v>
      </c>
      <c r="F745" s="15" t="n">
        <v>200</v>
      </c>
      <c r="G745" s="15" t="n">
        <v>430</v>
      </c>
      <c r="H745" s="15" t="n">
        <v>45</v>
      </c>
      <c r="I745" s="15" t="n">
        <v>180</v>
      </c>
      <c r="J745" s="13" t="n">
        <v>25</v>
      </c>
      <c r="K745" t="n">
        <v>45</v>
      </c>
      <c r="L745" s="13" t="n">
        <v>2.2</v>
      </c>
      <c r="M745" s="12" t="n"/>
      <c r="N745" s="8" t="n">
        <v>1.370618456061682</v>
      </c>
      <c r="O745" s="15" t="n">
        <v>1.191240682902801</v>
      </c>
      <c r="P745" s="15" t="n">
        <v>1.325210113084366</v>
      </c>
      <c r="Q745" s="15" t="n">
        <v>0.002553530840189876</v>
      </c>
      <c r="R745" s="15" t="n">
        <v>0.04352657359362121</v>
      </c>
      <c r="S745" s="15" t="n">
        <v>0.002784658219867138</v>
      </c>
      <c r="T745" s="29">
        <f>HIPERLINK($A$1 &amp; "\Dados\Imagem_perfil_745.png", "Imagem_perfil_745")</f>
        <v/>
      </c>
      <c r="U745" s="29">
        <f>HIPERLINK($A$1 &amp; "\Dados\Results_airgap745.txt", "Results_airgap745")</f>
        <v/>
      </c>
      <c r="V745" s="19" t="n"/>
      <c r="W745" s="15" t="n">
        <v>1.754002173913043</v>
      </c>
      <c r="X745" s="15" t="n">
        <v>0.8821816816690116</v>
      </c>
      <c r="Y745" s="15" t="n">
        <v>0.2401466693275554</v>
      </c>
      <c r="Z745" s="15" t="n">
        <v>0</v>
      </c>
      <c r="AA745" s="15" t="n">
        <v>0</v>
      </c>
      <c r="AB745" s="15" t="n">
        <v>0.967659283936553</v>
      </c>
      <c r="AC745" s="15" t="n">
        <v>9.45376906368719</v>
      </c>
      <c r="AD745" s="15" t="n">
        <v>43.74450633367403</v>
      </c>
      <c r="AE745" s="15" t="n">
        <v>86.17055476516599</v>
      </c>
      <c r="AF745" s="15" t="n">
        <v>118.1651384209012</v>
      </c>
      <c r="AH745" s="29">
        <f>HIPERLINK($A$1 &amp; "\Dados\Magnet_fields.txt_745.txt.txt", "Magnet_fields.txt_745.txt")</f>
        <v/>
      </c>
      <c r="AI745" t="n">
        <v>6732</v>
      </c>
      <c r="AJ745" t="n">
        <v>29</v>
      </c>
      <c r="AK745" s="29">
        <f>HIPERLINK($A$1 &amp; "\Dados\Magnet_3D_results.txt_745.txt.txt", "Magnet_3D_results.txt_745.txt")</f>
        <v/>
      </c>
      <c r="AL745" s="29">
        <f>HIPERLINK($A$1 &amp; "\Dados\Magnet_fields_2D.txt_745.txt.txt", "Magnet_fields_2D.txt_745.txt")</f>
        <v/>
      </c>
    </row>
    <row customHeight="1" ht="15.75" r="746" s="34">
      <c r="D746" s="30" t="n"/>
      <c r="E746" s="15" t="n">
        <v>150</v>
      </c>
      <c r="F746" s="15" t="n">
        <v>200</v>
      </c>
      <c r="G746" s="15" t="n">
        <v>350</v>
      </c>
      <c r="H746" s="15" t="n">
        <v>25</v>
      </c>
      <c r="I746" s="15" t="n">
        <v>140</v>
      </c>
      <c r="J746" s="13" t="n">
        <v>25</v>
      </c>
      <c r="K746" t="n">
        <v>60</v>
      </c>
      <c r="L746" s="13" t="n">
        <v>1.4</v>
      </c>
      <c r="M746" s="12" t="n"/>
      <c r="N746" s="8" t="n">
        <v>0.9495124248288528</v>
      </c>
      <c r="O746" s="15" t="n">
        <v>0.7057978032772162</v>
      </c>
      <c r="P746" s="15" t="n">
        <v>0.8740376977416665</v>
      </c>
      <c r="Q746" s="15" t="n">
        <v>0.008768979275129828</v>
      </c>
      <c r="R746" s="15" t="n">
        <v>0.01284213418533172</v>
      </c>
      <c r="S746" s="15" t="n">
        <v>0.008044000773223609</v>
      </c>
      <c r="T746" s="29">
        <f>HIPERLINK($A$1 &amp; "\Dados\Imagem_perfil_746.png", "Imagem_perfil_746")</f>
        <v/>
      </c>
      <c r="U746" s="29">
        <f>HIPERLINK($A$1 &amp; "\Dados\Results_airgap746.txt", "Results_airgap746")</f>
        <v/>
      </c>
      <c r="V746" s="19" t="n"/>
      <c r="W746" s="43" t="n">
        <v>1.401737608695652</v>
      </c>
      <c r="X746" s="15" t="n">
        <v>0.6067636387325966</v>
      </c>
      <c r="Y746" s="15" t="n">
        <v>0.003341821367809753</v>
      </c>
      <c r="Z746" s="15" t="n">
        <v>0.05397624970602848</v>
      </c>
      <c r="AA746" s="15" t="n">
        <v>5.758617137743391</v>
      </c>
      <c r="AB746" s="15" t="n">
        <v>1.267681794636942</v>
      </c>
      <c r="AC746" s="15" t="n">
        <v>11.03324532679813</v>
      </c>
      <c r="AD746" s="15" t="n">
        <v>67.55110403839946</v>
      </c>
      <c r="AE746" s="15" t="n">
        <v>117.3189367044921</v>
      </c>
      <c r="AF746" s="15" t="n">
        <v>39.82719468254565</v>
      </c>
      <c r="AH746" s="29">
        <f>HIPERLINK($A$1 &amp; "\Dados\Magnet_fields.txt_746.txt.txt", "Magnet_fields.txt_746.txt")</f>
        <v/>
      </c>
      <c r="AI746" t="n">
        <v>9726</v>
      </c>
      <c r="AJ746" t="n">
        <v>36</v>
      </c>
      <c r="AK746" s="29">
        <f>HIPERLINK($A$1 &amp; "\Dados\Magnet_3D_results.txt_746.txt.txt", "Magnet_3D_results.txt_746.txt")</f>
        <v/>
      </c>
      <c r="AL746" s="29">
        <f>HIPERLINK($A$1 &amp; "\Dados\Magnet_fields_2D.txt_746.txt.txt", "Magnet_fields_2D.txt_746.txt")</f>
        <v/>
      </c>
    </row>
    <row customHeight="1" ht="15.75" r="747" s="34">
      <c r="D747" s="30" t="n"/>
      <c r="E747" s="15" t="n">
        <v>150</v>
      </c>
      <c r="F747" s="15" t="n">
        <v>200</v>
      </c>
      <c r="G747" s="15" t="n">
        <v>350</v>
      </c>
      <c r="H747" s="15" t="n">
        <v>25</v>
      </c>
      <c r="I747" s="15" t="n">
        <v>140</v>
      </c>
      <c r="J747" s="13" t="n">
        <v>25</v>
      </c>
      <c r="K747" t="n">
        <v>60</v>
      </c>
      <c r="L747" s="13" t="n">
        <v>1.6</v>
      </c>
      <c r="M747" s="12" t="n"/>
      <c r="N747" s="8" t="n">
        <v>1.094939553739892</v>
      </c>
      <c r="O747" s="15" t="n">
        <v>0.8337491814180651</v>
      </c>
      <c r="P747" s="15" t="n">
        <v>1.016528648313874</v>
      </c>
      <c r="Q747" s="15" t="n">
        <v>0.01341016930871569</v>
      </c>
      <c r="R747" s="15" t="n">
        <v>0.02756963757416026</v>
      </c>
      <c r="S747" s="15" t="n">
        <v>0.01344552262992763</v>
      </c>
      <c r="T747" s="29">
        <f>HIPERLINK($A$1 &amp; "\Dados\Imagem_perfil_747.png", "Imagem_perfil_747")</f>
        <v/>
      </c>
      <c r="U747" s="29">
        <f>HIPERLINK($A$1 &amp; "\Dados\Results_airgap747.txt", "Results_airgap747")</f>
        <v/>
      </c>
      <c r="V747" s="19" t="n"/>
      <c r="W747" s="43" t="n">
        <v>1.497034565217391</v>
      </c>
      <c r="X747" s="15" t="n">
        <v>0.7219128467534712</v>
      </c>
      <c r="Y747" s="15" t="n">
        <v>0.01888356583493834</v>
      </c>
      <c r="Z747" s="15" t="n">
        <v>0.02558880184424572</v>
      </c>
      <c r="AA747" s="15" t="n">
        <v>7.141765437523212</v>
      </c>
      <c r="AB747" s="15" t="n">
        <v>1.101696442531817</v>
      </c>
      <c r="AC747" s="15" t="n">
        <v>14.76020566212026</v>
      </c>
      <c r="AD747" s="15" t="n">
        <v>64.00939357058301</v>
      </c>
      <c r="AE747" s="15" t="n">
        <v>99.09129208479712</v>
      </c>
      <c r="AF747" s="15" t="n">
        <v>135.6677086417737</v>
      </c>
      <c r="AH747" s="29">
        <f>HIPERLINK($A$1 &amp; "\Dados\Magnet_fields.txt_747.txt.txt", "Magnet_fields.txt_747.txt")</f>
        <v/>
      </c>
      <c r="AI747" t="n">
        <v>9726</v>
      </c>
      <c r="AJ747" t="n">
        <v>29</v>
      </c>
      <c r="AK747" s="29">
        <f>HIPERLINK($A$1 &amp; "\Dados\Magnet_3D_results.txt_747.txt.txt", "Magnet_3D_results.txt_747.txt")</f>
        <v/>
      </c>
      <c r="AL747" s="29">
        <f>HIPERLINK($A$1 &amp; "\Dados\Magnet_fields_2D.txt_747.txt.txt", "Magnet_fields_2D.txt_747.txt")</f>
        <v/>
      </c>
    </row>
    <row customHeight="1" ht="15.75" r="748" s="34">
      <c r="D748" s="30" t="n"/>
      <c r="E748" s="15" t="n">
        <v>150</v>
      </c>
      <c r="F748" s="15" t="n">
        <v>200</v>
      </c>
      <c r="G748" s="15" t="n">
        <v>350</v>
      </c>
      <c r="H748" s="15" t="n">
        <v>25</v>
      </c>
      <c r="I748" s="15" t="n">
        <v>140</v>
      </c>
      <c r="J748" s="13" t="n">
        <v>25</v>
      </c>
      <c r="K748" t="n">
        <v>60</v>
      </c>
      <c r="L748" s="13" t="n">
        <v>1.8</v>
      </c>
      <c r="M748" s="12" t="n"/>
      <c r="N748" s="8" t="n">
        <v>1.082722714406279</v>
      </c>
      <c r="O748" s="15" t="n">
        <v>0.8238420563289113</v>
      </c>
      <c r="P748" s="15" t="n">
        <v>1.005375853002442</v>
      </c>
      <c r="Q748" s="15" t="n">
        <v>0.01473469403183913</v>
      </c>
      <c r="R748" s="15" t="n">
        <v>0.0259227747664925</v>
      </c>
      <c r="S748" s="15" t="n">
        <v>0.01461098393504359</v>
      </c>
      <c r="T748" s="29">
        <f>HIPERLINK($A$1 &amp; "\Dados\Imagem_perfil_748.png", "Imagem_perfil_748")</f>
        <v/>
      </c>
      <c r="U748" s="29">
        <f>HIPERLINK($A$1 &amp; "\Dados\Results_airgap748.txt", "Results_airgap748")</f>
        <v/>
      </c>
      <c r="V748" s="19" t="n"/>
      <c r="W748" s="15" t="n">
        <v>1.490064782608695</v>
      </c>
      <c r="X748" s="15" t="n">
        <v>0.7128697946457683</v>
      </c>
      <c r="Y748" s="15" t="n">
        <v>0.1117820087284945</v>
      </c>
      <c r="Z748" s="15" t="n">
        <v>0.02558880184424572</v>
      </c>
      <c r="AA748" s="15" t="n">
        <v>8.408219086743886</v>
      </c>
      <c r="AB748" s="15" t="n">
        <v>0</v>
      </c>
      <c r="AC748" s="15" t="n">
        <v>13.52908500319089</v>
      </c>
      <c r="AD748" s="15" t="n">
        <v>63.12388691113424</v>
      </c>
      <c r="AE748" s="15" t="n">
        <v>96.53920614797099</v>
      </c>
      <c r="AF748" s="15" t="n">
        <v>129.4242641279512</v>
      </c>
      <c r="AH748" s="29">
        <f>HIPERLINK($A$1 &amp; "\Dados\Magnet_fields.txt_748.txt.txt", "Magnet_fields.txt_748.txt")</f>
        <v/>
      </c>
      <c r="AI748" t="n">
        <v>9726</v>
      </c>
      <c r="AJ748" t="n">
        <v>29</v>
      </c>
      <c r="AK748" s="29">
        <f>HIPERLINK($A$1 &amp; "\Dados\Magnet_3D_results.txt_748.txt.txt", "Magnet_3D_results.txt_748.txt")</f>
        <v/>
      </c>
      <c r="AL748" s="29">
        <f>HIPERLINK($A$1 &amp; "\Dados\Magnet_fields_2D.txt_748.txt.txt", "Magnet_fields_2D.txt_748.txt")</f>
        <v/>
      </c>
    </row>
    <row customHeight="1" ht="15.75" r="749" s="34">
      <c r="D749" s="30" t="n"/>
      <c r="E749" s="15" t="n">
        <v>150</v>
      </c>
      <c r="F749" s="15" t="n">
        <v>200</v>
      </c>
      <c r="G749" s="15" t="n">
        <v>350</v>
      </c>
      <c r="H749" s="15" t="n">
        <v>25</v>
      </c>
      <c r="I749" s="15" t="n">
        <v>140</v>
      </c>
      <c r="J749" s="13" t="n">
        <v>25</v>
      </c>
      <c r="K749" t="n">
        <v>60</v>
      </c>
      <c r="L749" s="13" t="n">
        <v>2</v>
      </c>
      <c r="M749" s="12" t="n"/>
      <c r="N749" s="8" t="n">
        <v>1.076394249636125</v>
      </c>
      <c r="O749" s="15" t="n">
        <v>0.8185010192074756</v>
      </c>
      <c r="P749" s="15" t="n">
        <v>0.9991491501560165</v>
      </c>
      <c r="Q749" s="15" t="n">
        <v>0.01504051209277618</v>
      </c>
      <c r="R749" s="15" t="n">
        <v>0.02537116806042358</v>
      </c>
      <c r="S749" s="15" t="n">
        <v>0.0148792447693744</v>
      </c>
      <c r="T749" s="29">
        <f>HIPERLINK($A$1 &amp; "\Dados\Imagem_perfil_749.png", "Imagem_perfil_749")</f>
        <v/>
      </c>
      <c r="U749" s="29">
        <f>HIPERLINK($A$1 &amp; "\Dados\Results_airgap749.txt", "Results_airgap749")</f>
        <v/>
      </c>
      <c r="V749" s="19" t="n"/>
      <c r="W749" s="15" t="n">
        <v>1.487598913043478</v>
      </c>
      <c r="X749" s="15" t="n">
        <v>0.708056490481773</v>
      </c>
      <c r="Y749" s="15" t="n">
        <v>0.2487258246661814</v>
      </c>
      <c r="Z749" s="15" t="n">
        <v>0.02959867870836823</v>
      </c>
      <c r="AA749" s="15" t="n">
        <v>8.769430815450775</v>
      </c>
      <c r="AB749" s="15" t="n">
        <v>0</v>
      </c>
      <c r="AC749" s="15" t="n">
        <v>12.96870941358623</v>
      </c>
      <c r="AD749" s="15" t="n">
        <v>62.86768068853005</v>
      </c>
      <c r="AE749" s="15" t="n">
        <v>95.90124204216762</v>
      </c>
      <c r="AF749" s="15" t="n">
        <v>128.4403246722684</v>
      </c>
      <c r="AH749" s="29">
        <f>HIPERLINK($A$1 &amp; "\Dados\Magnet_fields.txt_749.txt.txt", "Magnet_fields.txt_749.txt")</f>
        <v/>
      </c>
      <c r="AI749" t="n">
        <v>9726</v>
      </c>
      <c r="AJ749" t="n">
        <v>29</v>
      </c>
      <c r="AK749" s="29">
        <f>HIPERLINK($A$1 &amp; "\Dados\Magnet_3D_results.txt_749.txt.txt", "Magnet_3D_results.txt_749.txt")</f>
        <v/>
      </c>
      <c r="AL749" s="29">
        <f>HIPERLINK($A$1 &amp; "\Dados\Magnet_fields_2D.txt_749.txt.txt", "Magnet_fields_2D.txt_749.txt")</f>
        <v/>
      </c>
    </row>
    <row customHeight="1" ht="15.75" r="750" s="34">
      <c r="D750" s="30" t="n"/>
      <c r="E750" s="15" t="n">
        <v>150</v>
      </c>
      <c r="F750" s="15" t="n">
        <v>200</v>
      </c>
      <c r="G750" s="15" t="n">
        <v>350</v>
      </c>
      <c r="H750" s="15" t="n">
        <v>25</v>
      </c>
      <c r="I750" s="15" t="n">
        <v>140</v>
      </c>
      <c r="J750" s="13" t="n">
        <v>25</v>
      </c>
      <c r="K750" t="n">
        <v>60</v>
      </c>
      <c r="L750" s="13" t="n">
        <v>2.2</v>
      </c>
      <c r="M750" s="12" t="n"/>
      <c r="N750" s="8" t="n">
        <v>1.075796443642369</v>
      </c>
      <c r="O750" s="15" t="n">
        <v>0.817954452353217</v>
      </c>
      <c r="P750" s="15" t="n">
        <v>0.9985628438663829</v>
      </c>
      <c r="Q750" s="15" t="n">
        <v>0.01517742427544957</v>
      </c>
      <c r="R750" s="15" t="n">
        <v>0.02515861355345659</v>
      </c>
      <c r="S750" s="15" t="n">
        <v>0.01499751805304403</v>
      </c>
      <c r="T750" s="29">
        <f>HIPERLINK($A$1 &amp; "\Dados\Imagem_perfil_750.png", "Imagem_perfil_750")</f>
        <v/>
      </c>
      <c r="U750" s="29">
        <f>HIPERLINK($A$1 &amp; "\Dados\Results_airgap750.txt", "Results_airgap750")</f>
        <v/>
      </c>
      <c r="V750" s="19" t="n"/>
      <c r="W750" s="15" t="n">
        <v>1.486647608695652</v>
      </c>
      <c r="X750" s="15" t="n">
        <v>0.7075510782786019</v>
      </c>
      <c r="Y750" s="15" t="n">
        <v>0.4023689505869421</v>
      </c>
      <c r="Z750" s="15" t="n">
        <v>0.02959867870836823</v>
      </c>
      <c r="AA750" s="15" t="n">
        <v>8.814240923399183</v>
      </c>
      <c r="AB750" s="15" t="n">
        <v>0</v>
      </c>
      <c r="AC750" s="15" t="n">
        <v>12.77328751746739</v>
      </c>
      <c r="AD750" s="15" t="n">
        <v>62.6946268944855</v>
      </c>
      <c r="AE750" s="15" t="n">
        <v>95.71672969634245</v>
      </c>
      <c r="AF750" s="15" t="n">
        <v>127.9219211300267</v>
      </c>
      <c r="AH750" s="29">
        <f>HIPERLINK($A$1 &amp; "\Dados\Magnet_fields.txt_750.txt.txt", "Magnet_fields.txt_750.txt")</f>
        <v/>
      </c>
      <c r="AI750" t="n">
        <v>9726</v>
      </c>
      <c r="AJ750" t="n">
        <v>29</v>
      </c>
      <c r="AK750" s="29">
        <f>HIPERLINK($A$1 &amp; "\Dados\Magnet_3D_results.txt_750.txt.txt", "Magnet_3D_results.txt_750.txt")</f>
        <v/>
      </c>
      <c r="AL750" s="29">
        <f>HIPERLINK($A$1 &amp; "\Dados\Magnet_fields_2D.txt_750.txt.txt", "Magnet_fields_2D.txt_750.txt")</f>
        <v/>
      </c>
    </row>
    <row customHeight="1" ht="15.75" r="751" s="34">
      <c r="D751" s="30" t="n"/>
      <c r="E751" s="15" t="n">
        <v>150</v>
      </c>
      <c r="F751" s="15" t="n">
        <v>200</v>
      </c>
      <c r="G751" s="15" t="n">
        <v>350</v>
      </c>
      <c r="H751" s="15" t="n">
        <v>45</v>
      </c>
      <c r="I751" s="15" t="n">
        <v>140</v>
      </c>
      <c r="J751" s="13" t="n">
        <v>25</v>
      </c>
      <c r="K751" t="n">
        <v>60</v>
      </c>
      <c r="L751" s="13" t="n">
        <v>1.4</v>
      </c>
      <c r="M751" s="12" t="n"/>
      <c r="N751" s="8" t="n">
        <v>0.9759156564086107</v>
      </c>
      <c r="O751" s="15" t="n">
        <v>0.7245030345810062</v>
      </c>
      <c r="P751" s="15" t="n">
        <v>0.8992517391587339</v>
      </c>
      <c r="Q751" s="15" t="n">
        <v>0.009289844356633247</v>
      </c>
      <c r="R751" s="15" t="n">
        <v>0.00700127672354421</v>
      </c>
      <c r="S751" s="15" t="n">
        <v>0.008602064877973018</v>
      </c>
      <c r="T751" s="29">
        <f>HIPERLINK($A$1 &amp; "\Dados\Imagem_perfil_751.png", "Imagem_perfil_751")</f>
        <v/>
      </c>
      <c r="U751" s="29">
        <f>HIPERLINK($A$1 &amp; "\Dados\Results_airgap751.txt", "Results_airgap751")</f>
        <v/>
      </c>
      <c r="V751" s="19" t="n"/>
      <c r="W751" s="43" t="n">
        <v>1.401084782608696</v>
      </c>
      <c r="X751" s="15" t="n">
        <v>0.6268726900309315</v>
      </c>
      <c r="Y751" s="15" t="n">
        <v>0.003356336790710937</v>
      </c>
      <c r="Z751" s="15" t="n">
        <v>0.01246783053754497</v>
      </c>
      <c r="AA751" s="15" t="n">
        <v>8.139081077176078</v>
      </c>
      <c r="AB751" s="15" t="n">
        <v>0.8935400039900466</v>
      </c>
      <c r="AC751" s="15" t="n">
        <v>11.50607962252701</v>
      </c>
      <c r="AD751" s="15" t="n">
        <v>66.72321115127497</v>
      </c>
      <c r="AE751" s="15" t="n">
        <v>112.0112605551076</v>
      </c>
      <c r="AF751" s="15" t="n">
        <v>35.22943249779859</v>
      </c>
      <c r="AH751" s="29">
        <f>HIPERLINK($A$1 &amp; "\Dados\Magnet_fields.txt_751.txt.txt", "Magnet_fields.txt_751.txt")</f>
        <v/>
      </c>
      <c r="AI751" t="n">
        <v>7101</v>
      </c>
      <c r="AJ751" t="n">
        <v>29</v>
      </c>
      <c r="AK751" s="29">
        <f>HIPERLINK($A$1 &amp; "\Dados\Magnet_3D_results.txt_751.txt.txt", "Magnet_3D_results.txt_751.txt")</f>
        <v/>
      </c>
      <c r="AL751" s="29">
        <f>HIPERLINK($A$1 &amp; "\Dados\Magnet_fields_2D.txt_751.txt.txt", "Magnet_fields_2D.txt_751.txt")</f>
        <v/>
      </c>
    </row>
    <row customHeight="1" ht="15.75" r="752" s="34">
      <c r="D752" s="30" t="n"/>
      <c r="E752" s="15" t="n">
        <v>150</v>
      </c>
      <c r="F752" s="15" t="n">
        <v>200</v>
      </c>
      <c r="G752" s="15" t="n">
        <v>350</v>
      </c>
      <c r="H752" s="15" t="n">
        <v>45</v>
      </c>
      <c r="I752" s="15" t="n">
        <v>140</v>
      </c>
      <c r="J752" s="13" t="n">
        <v>25</v>
      </c>
      <c r="K752" t="n">
        <v>60</v>
      </c>
      <c r="L752" s="13" t="n">
        <v>1.6</v>
      </c>
      <c r="M752" s="12" t="n"/>
      <c r="N752" s="8" t="n">
        <v>1.128329748685379</v>
      </c>
      <c r="O752" s="15" t="n">
        <v>0.8564371976432372</v>
      </c>
      <c r="P752" s="15" t="n">
        <v>1.047376622106399</v>
      </c>
      <c r="Q752" s="15" t="n">
        <v>0.01426260609326469</v>
      </c>
      <c r="R752" s="15" t="n">
        <v>0.03445182895403999</v>
      </c>
      <c r="S752" s="15" t="n">
        <v>0.01443010259129949</v>
      </c>
      <c r="T752" s="29">
        <f>HIPERLINK($A$1 &amp; "\Dados\Imagem_perfil_752.png", "Imagem_perfil_752")</f>
        <v/>
      </c>
      <c r="U752" s="29">
        <f>HIPERLINK($A$1 &amp; "\Dados\Results_airgap752.txt", "Results_airgap752")</f>
        <v/>
      </c>
      <c r="V752" s="19" t="n"/>
      <c r="W752" s="43" t="n">
        <v>1.497471956521739</v>
      </c>
      <c r="X752" s="15" t="n">
        <v>0.7471540308967914</v>
      </c>
      <c r="Y752" s="15" t="n">
        <v>0.01876135555897243</v>
      </c>
      <c r="Z752" s="15" t="n">
        <v>0</v>
      </c>
      <c r="AA752" s="15" t="n">
        <v>0</v>
      </c>
      <c r="AB752" s="15" t="n">
        <v>1.099703185221182</v>
      </c>
      <c r="AC752" s="15" t="n">
        <v>14.76181379381288</v>
      </c>
      <c r="AD752" s="15" t="n">
        <v>63.96837923654775</v>
      </c>
      <c r="AE752" s="15" t="n">
        <v>99.0248345440319</v>
      </c>
      <c r="AF752" s="15" t="n">
        <v>135.6241449462514</v>
      </c>
      <c r="AH752" s="29">
        <f>HIPERLINK($A$1 &amp; "\Dados\Magnet_fields.txt_752.txt.txt", "Magnet_fields.txt_752.txt")</f>
        <v/>
      </c>
      <c r="AI752" t="n">
        <v>7101</v>
      </c>
      <c r="AJ752" t="n">
        <v>28</v>
      </c>
      <c r="AK752" s="29">
        <f>HIPERLINK($A$1 &amp; "\Dados\Magnet_3D_results.txt_752.txt.txt", "Magnet_3D_results.txt_752.txt")</f>
        <v/>
      </c>
      <c r="AL752" s="29">
        <f>HIPERLINK($A$1 &amp; "\Dados\Magnet_fields_2D.txt_752.txt.txt", "Magnet_fields_2D.txt_752.txt")</f>
        <v/>
      </c>
    </row>
    <row customHeight="1" ht="15.75" r="753" s="34">
      <c r="D753" s="30" t="n"/>
      <c r="E753" s="15" t="n">
        <v>150</v>
      </c>
      <c r="F753" s="15" t="n">
        <v>200</v>
      </c>
      <c r="G753" s="15" t="n">
        <v>350</v>
      </c>
      <c r="H753" s="15" t="n">
        <v>45</v>
      </c>
      <c r="I753" s="15" t="n">
        <v>140</v>
      </c>
      <c r="J753" s="13" t="n">
        <v>25</v>
      </c>
      <c r="K753" t="n">
        <v>60</v>
      </c>
      <c r="L753" s="13" t="n">
        <v>1.8</v>
      </c>
      <c r="M753" s="12" t="n"/>
      <c r="N753" s="8" t="n">
        <v>1.11993470283417</v>
      </c>
      <c r="O753" s="15" t="n">
        <v>0.8498533690096302</v>
      </c>
      <c r="P753" s="15" t="n">
        <v>1.039844954287983</v>
      </c>
      <c r="Q753" s="15" t="n">
        <v>0.01562258760654605</v>
      </c>
      <c r="R753" s="15" t="n">
        <v>0.03372710897523616</v>
      </c>
      <c r="S753" s="15" t="n">
        <v>0.01564627372397826</v>
      </c>
      <c r="T753" s="29">
        <f>HIPERLINK($A$1 &amp; "\Dados\Imagem_perfil_753.png", "Imagem_perfil_753")</f>
        <v/>
      </c>
      <c r="U753" s="29">
        <f>HIPERLINK($A$1 &amp; "\Dados\Results_airgap753.txt", "Results_airgap753")</f>
        <v/>
      </c>
      <c r="V753" s="19" t="n"/>
      <c r="W753" s="15" t="n">
        <v>1.490216086956522</v>
      </c>
      <c r="X753" s="15" t="n">
        <v>0.7411180237898563</v>
      </c>
      <c r="Y753" s="15" t="n">
        <v>0.1114666108045656</v>
      </c>
      <c r="Z753" s="15" t="n">
        <v>0.006097496698567254</v>
      </c>
      <c r="AA753" s="15" t="n">
        <v>0</v>
      </c>
      <c r="AB753" s="15" t="n">
        <v>0</v>
      </c>
      <c r="AC753" s="15" t="n">
        <v>13.46549365934946</v>
      </c>
      <c r="AD753" s="15" t="n">
        <v>63.03810568876083</v>
      </c>
      <c r="AE753" s="15" t="n">
        <v>96.39811715063777</v>
      </c>
      <c r="AF753" s="15" t="n">
        <v>129.4378979800242</v>
      </c>
      <c r="AH753" s="29">
        <f>HIPERLINK($A$1 &amp; "\Dados\Magnet_fields.txt_753.txt.txt", "Magnet_fields.txt_753.txt")</f>
        <v/>
      </c>
      <c r="AI753" t="n">
        <v>7101</v>
      </c>
      <c r="AJ753" t="n">
        <v>27</v>
      </c>
      <c r="AK753" s="29">
        <f>HIPERLINK($A$1 &amp; "\Dados\Magnet_3D_results.txt_753.txt.txt", "Magnet_3D_results.txt_753.txt")</f>
        <v/>
      </c>
      <c r="AL753" s="29">
        <f>HIPERLINK($A$1 &amp; "\Dados\Magnet_fields_2D.txt_753.txt.txt", "Magnet_fields_2D.txt_753.txt")</f>
        <v/>
      </c>
    </row>
    <row customHeight="1" ht="15.75" r="754" s="34">
      <c r="D754" s="30" t="n"/>
      <c r="E754" s="15" t="n">
        <v>150</v>
      </c>
      <c r="F754" s="15" t="n">
        <v>200</v>
      </c>
      <c r="G754" s="15" t="n">
        <v>350</v>
      </c>
      <c r="H754" s="15" t="n">
        <v>45</v>
      </c>
      <c r="I754" s="15" t="n">
        <v>140</v>
      </c>
      <c r="J754" s="13" t="n">
        <v>25</v>
      </c>
      <c r="K754" t="n">
        <v>60</v>
      </c>
      <c r="L754" s="13" t="n">
        <v>2</v>
      </c>
      <c r="M754" s="12" t="n"/>
      <c r="N754" s="8" t="n">
        <v>1.114541971532199</v>
      </c>
      <c r="O754" s="15" t="n">
        <v>0.8453758446371232</v>
      </c>
      <c r="P754" s="15" t="n">
        <v>1.034534079528263</v>
      </c>
      <c r="Q754" s="15" t="n">
        <v>0.01595371664963679</v>
      </c>
      <c r="R754" s="15" t="n">
        <v>0.03340063736848801</v>
      </c>
      <c r="S754" s="15" t="n">
        <v>0.01594265354840483</v>
      </c>
      <c r="T754" s="29">
        <f>HIPERLINK($A$1 &amp; "\Dados\Imagem_perfil_754.png", "Imagem_perfil_754")</f>
        <v/>
      </c>
      <c r="U754" s="29">
        <f>HIPERLINK($A$1 &amp; "\Dados\Results_airgap754.txt", "Results_airgap754")</f>
        <v/>
      </c>
      <c r="V754" s="19" t="n"/>
      <c r="W754" s="15" t="n">
        <v>1.488096739130435</v>
      </c>
      <c r="X754" s="15" t="n">
        <v>0.7370596082340132</v>
      </c>
      <c r="Y754" s="15" t="n">
        <v>0.2482914313299638</v>
      </c>
      <c r="Z754" s="15" t="n">
        <v>0.006097496698567254</v>
      </c>
      <c r="AA754" s="15" t="n">
        <v>0.0439155633410746</v>
      </c>
      <c r="AB754" s="15" t="n">
        <v>0</v>
      </c>
      <c r="AC754" s="15" t="n">
        <v>12.97688350567102</v>
      </c>
      <c r="AD754" s="15" t="n">
        <v>62.837193044799</v>
      </c>
      <c r="AE754" s="15" t="n">
        <v>95.82622466573858</v>
      </c>
      <c r="AF754" s="15" t="n">
        <v>128.3588294153323</v>
      </c>
      <c r="AH754" s="29">
        <f>HIPERLINK($A$1 &amp; "\Dados\Magnet_fields.txt_754.txt.txt", "Magnet_fields.txt_754.txt")</f>
        <v/>
      </c>
      <c r="AI754" t="n">
        <v>7101</v>
      </c>
      <c r="AJ754" t="n">
        <v>29</v>
      </c>
      <c r="AK754" s="29">
        <f>HIPERLINK($A$1 &amp; "\Dados\Magnet_3D_results.txt_754.txt.txt", "Magnet_3D_results.txt_754.txt")</f>
        <v/>
      </c>
      <c r="AL754" s="29">
        <f>HIPERLINK($A$1 &amp; "\Dados\Magnet_fields_2D.txt_754.txt.txt", "Magnet_fields_2D.txt_754.txt")</f>
        <v/>
      </c>
    </row>
    <row customHeight="1" ht="15.75" r="755" s="34">
      <c r="D755" s="30" t="n"/>
      <c r="E755" s="15" t="n">
        <v>150</v>
      </c>
      <c r="F755" s="15" t="n">
        <v>200</v>
      </c>
      <c r="G755" s="15" t="n">
        <v>350</v>
      </c>
      <c r="H755" s="15" t="n">
        <v>45</v>
      </c>
      <c r="I755" s="15" t="n">
        <v>140</v>
      </c>
      <c r="J755" s="13" t="n">
        <v>25</v>
      </c>
      <c r="K755" t="n">
        <v>60</v>
      </c>
      <c r="L755" s="13" t="n">
        <v>2.2</v>
      </c>
      <c r="M755" s="12" t="n"/>
      <c r="N755" s="8" t="n">
        <v>1.114036649823165</v>
      </c>
      <c r="O755" s="15" t="n">
        <v>0.8449209408030947</v>
      </c>
      <c r="P755" s="15" t="n">
        <v>1.034040757257435</v>
      </c>
      <c r="Q755" s="15" t="n">
        <v>0.01609539123744503</v>
      </c>
      <c r="R755" s="15" t="n">
        <v>0.03324690695472544</v>
      </c>
      <c r="S755" s="15" t="n">
        <v>0.01606624863187958</v>
      </c>
      <c r="T755" s="29">
        <f>HIPERLINK($A$1 &amp; "\Dados\Imagem_perfil_755.png", "Imagem_perfil_755")</f>
        <v/>
      </c>
      <c r="U755" s="29">
        <f>HIPERLINK($A$1 &amp; "\Dados\Results_airgap755.txt", "Results_airgap755")</f>
        <v/>
      </c>
      <c r="V755" s="19" t="n"/>
      <c r="W755" s="15" t="n">
        <v>1.487110217391304</v>
      </c>
      <c r="X755" s="15" t="n">
        <v>0.7366332413338971</v>
      </c>
      <c r="Y755" s="15" t="n">
        <v>0.4018615290791621</v>
      </c>
      <c r="Z755" s="15" t="n">
        <v>0.006097496698567254</v>
      </c>
      <c r="AA755" s="15" t="n">
        <v>0.08871040664723731</v>
      </c>
      <c r="AB755" s="15" t="n">
        <v>0</v>
      </c>
      <c r="AC755" s="15" t="n">
        <v>12.7649253471618</v>
      </c>
      <c r="AD755" s="15" t="n">
        <v>62.69977716862424</v>
      </c>
      <c r="AE755" s="15" t="n">
        <v>95.63147020035876</v>
      </c>
      <c r="AF755" s="15" t="n">
        <v>127.8662670880673</v>
      </c>
      <c r="AH755" s="29">
        <f>HIPERLINK($A$1 &amp; "\Dados\Magnet_fields.txt_755.txt.txt", "Magnet_fields.txt_755.txt")</f>
        <v/>
      </c>
      <c r="AI755" t="n">
        <v>7101</v>
      </c>
      <c r="AJ755" t="n">
        <v>28</v>
      </c>
      <c r="AK755" s="29">
        <f>HIPERLINK($A$1 &amp; "\Dados\Magnet_3D_results.txt_755.txt.txt", "Magnet_3D_results.txt_755.txt")</f>
        <v/>
      </c>
      <c r="AL755" s="29">
        <f>HIPERLINK($A$1 &amp; "\Dados\Magnet_fields_2D.txt_755.txt.txt", "Magnet_fields_2D.txt_755.txt")</f>
        <v/>
      </c>
    </row>
    <row customHeight="1" ht="15.75" r="756" s="34">
      <c r="D756" s="30" t="n"/>
      <c r="E756" s="15" t="n">
        <v>150</v>
      </c>
      <c r="F756" s="15" t="n">
        <v>200</v>
      </c>
      <c r="G756" s="15" t="n">
        <v>350</v>
      </c>
      <c r="H756" s="15" t="n">
        <v>25</v>
      </c>
      <c r="I756" s="15" t="n">
        <v>180</v>
      </c>
      <c r="J756" s="13" t="n">
        <v>25</v>
      </c>
      <c r="K756" t="n">
        <v>60</v>
      </c>
      <c r="L756" s="13" t="n">
        <v>1.4</v>
      </c>
      <c r="M756" s="12" t="n"/>
      <c r="N756" s="8" t="n">
        <v>1.026233398251223</v>
      </c>
      <c r="O756" s="15" t="n">
        <v>0.8764174426036834</v>
      </c>
      <c r="P756" s="15" t="n">
        <v>0.9742285594435678</v>
      </c>
      <c r="Q756" s="15" t="n">
        <v>0.009845836687656671</v>
      </c>
      <c r="R756" s="15" t="n">
        <v>0.01610933711007777</v>
      </c>
      <c r="S756" s="15" t="n">
        <v>0.008716204714754193</v>
      </c>
      <c r="T756" s="29">
        <f>HIPERLINK($A$1 &amp; "\Dados\Imagem_perfil_756.png", "Imagem_perfil_756")</f>
        <v/>
      </c>
      <c r="U756" s="29">
        <f>HIPERLINK($A$1 &amp; "\Dados\Results_airgap756.txt", "Results_airgap756")</f>
        <v/>
      </c>
      <c r="V756" s="19" t="n"/>
      <c r="W756" s="43" t="n">
        <v>1.401787826086957</v>
      </c>
      <c r="X756" s="15" t="n">
        <v>0.6237516778970814</v>
      </c>
      <c r="Y756" s="15" t="n">
        <v>0.003341765369958683</v>
      </c>
      <c r="Z756" s="15" t="n">
        <v>0.0905672102714174</v>
      </c>
      <c r="AA756" s="15" t="n">
        <v>5.930969105285314</v>
      </c>
      <c r="AB756" s="15" t="n">
        <v>1.274592027705201</v>
      </c>
      <c r="AC756" s="15" t="n">
        <v>11.03690149549772</v>
      </c>
      <c r="AD756" s="15" t="n">
        <v>67.57123488934033</v>
      </c>
      <c r="AE756" s="15" t="n">
        <v>117.3469529446807</v>
      </c>
      <c r="AF756" s="15" t="n">
        <v>39.85210266041919</v>
      </c>
      <c r="AH756" s="29">
        <f>HIPERLINK($A$1 &amp; "\Dados\Magnet_fields.txt_756.txt.txt", "Magnet_fields.txt_756.txt")</f>
        <v/>
      </c>
      <c r="AI756" t="n">
        <v>9753</v>
      </c>
      <c r="AJ756" t="n">
        <v>33</v>
      </c>
      <c r="AK756" s="29">
        <f>HIPERLINK($A$1 &amp; "\Dados\Magnet_3D_results.txt_756.txt.txt", "Magnet_3D_results.txt_756.txt")</f>
        <v/>
      </c>
      <c r="AL756" s="29">
        <f>HIPERLINK($A$1 &amp; "\Dados\Magnet_fields_2D.txt_756.txt.txt", "Magnet_fields_2D.txt_756.txt")</f>
        <v/>
      </c>
    </row>
    <row customHeight="1" ht="15.75" r="757" s="34">
      <c r="D757" s="30" t="n"/>
      <c r="E757" s="15" t="n">
        <v>150</v>
      </c>
      <c r="F757" s="15" t="n">
        <v>200</v>
      </c>
      <c r="G757" s="15" t="n">
        <v>350</v>
      </c>
      <c r="H757" s="15" t="n">
        <v>25</v>
      </c>
      <c r="I757" s="15" t="n">
        <v>180</v>
      </c>
      <c r="J757" s="13" t="n">
        <v>25</v>
      </c>
      <c r="K757" t="n">
        <v>60</v>
      </c>
      <c r="L757" s="13" t="n">
        <v>1.6</v>
      </c>
      <c r="M757" s="12" t="n"/>
      <c r="N757" s="8" t="n">
        <v>1.189607507058335</v>
      </c>
      <c r="O757" s="15" t="n">
        <v>1.03161695796961</v>
      </c>
      <c r="P757" s="15" t="n">
        <v>1.136718576283578</v>
      </c>
      <c r="Q757" s="15" t="n">
        <v>0.0153110524076881</v>
      </c>
      <c r="R757" s="15" t="n">
        <v>0.02860664201736205</v>
      </c>
      <c r="S757" s="15" t="n">
        <v>0.01397408133104327</v>
      </c>
      <c r="T757" s="29">
        <f>HIPERLINK($A$1 &amp; "\Dados\Imagem_perfil_757.png", "Imagem_perfil_757")</f>
        <v/>
      </c>
      <c r="U757" s="29">
        <f>HIPERLINK($A$1 &amp; "\Dados\Results_airgap757.txt", "Results_airgap757")</f>
        <v/>
      </c>
      <c r="V757" s="19" t="n"/>
      <c r="W757" s="43" t="n">
        <v>1.496827391304348</v>
      </c>
      <c r="X757" s="15" t="n">
        <v>0.7530638226558645</v>
      </c>
      <c r="Y757" s="15" t="n">
        <v>0.01888440429784468</v>
      </c>
      <c r="Z757" s="15" t="n">
        <v>0.04255707168249364</v>
      </c>
      <c r="AA757" s="15" t="n">
        <v>7.739288953311904</v>
      </c>
      <c r="AB757" s="15" t="n">
        <v>0.8893081669830238</v>
      </c>
      <c r="AC757" s="15" t="n">
        <v>14.80663067493483</v>
      </c>
      <c r="AD757" s="15" t="n">
        <v>64.0119440409843</v>
      </c>
      <c r="AE757" s="15" t="n">
        <v>99.14909677222286</v>
      </c>
      <c r="AF757" s="15" t="n">
        <v>135.4286495040716</v>
      </c>
      <c r="AH757" s="29">
        <f>HIPERLINK($A$1 &amp; "\Dados\Magnet_fields.txt_757.txt.txt", "Magnet_fields.txt_757.txt")</f>
        <v/>
      </c>
      <c r="AI757" t="n">
        <v>9753</v>
      </c>
      <c r="AJ757" t="n">
        <v>31</v>
      </c>
      <c r="AK757" s="29">
        <f>HIPERLINK($A$1 &amp; "\Dados\Magnet_3D_results.txt_757.txt.txt", "Magnet_3D_results.txt_757.txt")</f>
        <v/>
      </c>
      <c r="AL757" s="29">
        <f>HIPERLINK($A$1 &amp; "\Dados\Magnet_fields_2D.txt_757.txt.txt", "Magnet_fields_2D.txt_757.txt")</f>
        <v/>
      </c>
    </row>
    <row customHeight="1" ht="15.75" r="758" s="34">
      <c r="D758" s="30" t="n"/>
      <c r="E758" s="15" t="n">
        <v>150</v>
      </c>
      <c r="F758" s="15" t="n">
        <v>200</v>
      </c>
      <c r="G758" s="15" t="n">
        <v>350</v>
      </c>
      <c r="H758" s="15" t="n">
        <v>25</v>
      </c>
      <c r="I758" s="15" t="n">
        <v>180</v>
      </c>
      <c r="J758" s="13" t="n">
        <v>25</v>
      </c>
      <c r="K758" t="n">
        <v>60</v>
      </c>
      <c r="L758" s="13" t="n">
        <v>1.8</v>
      </c>
      <c r="M758" s="12" t="n"/>
      <c r="N758" s="8" t="n">
        <v>1.178408225239088</v>
      </c>
      <c r="O758" s="15" t="n">
        <v>1.021203173363296</v>
      </c>
      <c r="P758" s="15" t="n">
        <v>1.125734008991855</v>
      </c>
      <c r="Q758" s="15" t="n">
        <v>0.01678722122653879</v>
      </c>
      <c r="R758" s="15" t="n">
        <v>0.02667821313418328</v>
      </c>
      <c r="S758" s="15" t="n">
        <v>0.01526928572739578</v>
      </c>
      <c r="T758" s="29">
        <f>HIPERLINK($A$1 &amp; "\Dados\Imagem_perfil_758.png", "Imagem_perfil_758")</f>
        <v/>
      </c>
      <c r="U758" s="29">
        <f>HIPERLINK($A$1 &amp; "\Dados\Results_airgap758.txt", "Results_airgap758")</f>
        <v/>
      </c>
      <c r="V758" s="19" t="n"/>
      <c r="W758" s="15" t="n">
        <v>1.490144347826087</v>
      </c>
      <c r="X758" s="15" t="n">
        <v>0.7442640053504342</v>
      </c>
      <c r="Y758" s="15" t="n">
        <v>0.111782573868409</v>
      </c>
      <c r="Z758" s="15" t="n">
        <v>0.04338982187634115</v>
      </c>
      <c r="AA758" s="15" t="n">
        <v>9.252267308643624</v>
      </c>
      <c r="AB758" s="15" t="n">
        <v>0</v>
      </c>
      <c r="AC758" s="15" t="n">
        <v>13.54842910748386</v>
      </c>
      <c r="AD758" s="15" t="n">
        <v>63.12285463920795</v>
      </c>
      <c r="AE758" s="15" t="n">
        <v>96.60214419951086</v>
      </c>
      <c r="AF758" s="15" t="n">
        <v>129.3875651205374</v>
      </c>
      <c r="AH758" s="29">
        <f>HIPERLINK($A$1 &amp; "\Dados\Magnet_fields.txt_758.txt.txt", "Magnet_fields.txt_758.txt")</f>
        <v/>
      </c>
      <c r="AI758" t="n">
        <v>9753</v>
      </c>
      <c r="AJ758" t="n">
        <v>29</v>
      </c>
      <c r="AK758" s="29">
        <f>HIPERLINK($A$1 &amp; "\Dados\Magnet_3D_results.txt_758.txt.txt", "Magnet_3D_results.txt_758.txt")</f>
        <v/>
      </c>
      <c r="AL758" s="29">
        <f>HIPERLINK($A$1 &amp; "\Dados\Magnet_fields_2D.txt_758.txt.txt", "Magnet_fields_2D.txt_758.txt")</f>
        <v/>
      </c>
    </row>
    <row customHeight="1" ht="15.75" r="759" s="34">
      <c r="D759" s="30" t="n"/>
      <c r="E759" s="15" t="n">
        <v>150</v>
      </c>
      <c r="F759" s="15" t="n">
        <v>200</v>
      </c>
      <c r="G759" s="15" t="n">
        <v>350</v>
      </c>
      <c r="H759" s="15" t="n">
        <v>25</v>
      </c>
      <c r="I759" s="15" t="n">
        <v>180</v>
      </c>
      <c r="J759" s="13" t="n">
        <v>25</v>
      </c>
      <c r="K759" t="n">
        <v>60</v>
      </c>
      <c r="L759" s="13" t="n">
        <v>2</v>
      </c>
      <c r="M759" s="12" t="n"/>
      <c r="N759" s="8" t="n">
        <v>1.171227883360388</v>
      </c>
      <c r="O759" s="15" t="n">
        <v>1.014786928698833</v>
      </c>
      <c r="P759" s="15" t="n">
        <v>1.118739011370207</v>
      </c>
      <c r="Q759" s="15" t="n">
        <v>0.01713210022056508</v>
      </c>
      <c r="R759" s="15" t="n">
        <v>0.02602605396839579</v>
      </c>
      <c r="S759" s="15" t="n">
        <v>0.01556888188099662</v>
      </c>
      <c r="T759" s="29">
        <f>HIPERLINK($A$1 &amp; "\Dados\Imagem_perfil_759.png", "Imagem_perfil_759")</f>
        <v/>
      </c>
      <c r="U759" s="29">
        <f>HIPERLINK($A$1 &amp; "\Dados\Results_airgap759.txt", "Results_airgap759")</f>
        <v/>
      </c>
      <c r="V759" s="19" t="n"/>
      <c r="W759" s="15" t="n">
        <v>1.487675652173913</v>
      </c>
      <c r="X759" s="15" t="n">
        <v>0.738956389804953</v>
      </c>
      <c r="Y759" s="15" t="n">
        <v>0.2487259192841588</v>
      </c>
      <c r="Z759" s="15" t="n">
        <v>0.04120023545931349</v>
      </c>
      <c r="AA759" s="15" t="n">
        <v>9.766819405182954</v>
      </c>
      <c r="AB759" s="15" t="n">
        <v>0</v>
      </c>
      <c r="AC759" s="15" t="n">
        <v>12.98285446403529</v>
      </c>
      <c r="AD759" s="15" t="n">
        <v>62.88776461740651</v>
      </c>
      <c r="AE759" s="15" t="n">
        <v>95.88700312934964</v>
      </c>
      <c r="AF759" s="15" t="n">
        <v>128.4301311441583</v>
      </c>
      <c r="AH759" s="29">
        <f>HIPERLINK($A$1 &amp; "\Dados\Magnet_fields.txt_759.txt.txt", "Magnet_fields.txt_759.txt")</f>
        <v/>
      </c>
      <c r="AI759" t="n">
        <v>9753</v>
      </c>
      <c r="AJ759" t="n">
        <v>29</v>
      </c>
      <c r="AK759" s="29">
        <f>HIPERLINK($A$1 &amp; "\Dados\Magnet_3D_results.txt_759.txt.txt", "Magnet_3D_results.txt_759.txt")</f>
        <v/>
      </c>
      <c r="AL759" s="29">
        <f>HIPERLINK($A$1 &amp; "\Dados\Magnet_fields_2D.txt_759.txt.txt", "Magnet_fields_2D.txt_759.txt")</f>
        <v/>
      </c>
    </row>
    <row customHeight="1" ht="15.75" r="760" s="34">
      <c r="D760" s="30" t="n"/>
      <c r="E760" s="15" t="n">
        <v>150</v>
      </c>
      <c r="F760" s="15" t="n">
        <v>200</v>
      </c>
      <c r="G760" s="15" t="n">
        <v>350</v>
      </c>
      <c r="H760" s="15" t="n">
        <v>25</v>
      </c>
      <c r="I760" s="15" t="n">
        <v>180</v>
      </c>
      <c r="J760" s="13" t="n">
        <v>25</v>
      </c>
      <c r="K760" t="n">
        <v>60</v>
      </c>
      <c r="L760" s="13" t="n">
        <v>2.2</v>
      </c>
      <c r="M760" s="12" t="n"/>
      <c r="N760" s="8" t="n">
        <v>1.170543034508017</v>
      </c>
      <c r="O760" s="15" t="n">
        <v>1.014109099677899</v>
      </c>
      <c r="P760" s="15" t="n">
        <v>1.118056781600341</v>
      </c>
      <c r="Q760" s="15" t="n">
        <v>0.01728302259773517</v>
      </c>
      <c r="R760" s="15" t="n">
        <v>0.02578427384621623</v>
      </c>
      <c r="S760" s="15" t="n">
        <v>0.01570084909267294</v>
      </c>
      <c r="T760" s="29">
        <f>HIPERLINK($A$1 &amp; "\Dados\Imagem_perfil_760.png", "Imagem_perfil_760")</f>
        <v/>
      </c>
      <c r="U760" s="29">
        <f>HIPERLINK($A$1 &amp; "\Dados\Results_airgap760.txt", "Results_airgap760")</f>
        <v/>
      </c>
      <c r="V760" s="19" t="n"/>
      <c r="W760" s="15" t="n">
        <v>1.486645217391305</v>
      </c>
      <c r="X760" s="15" t="n">
        <v>0.7383708557978116</v>
      </c>
      <c r="Y760" s="15" t="n">
        <v>0.4023689396354911</v>
      </c>
      <c r="Z760" s="15" t="n">
        <v>0.04120023545931349</v>
      </c>
      <c r="AA760" s="15" t="n">
        <v>9.799725995466023</v>
      </c>
      <c r="AB760" s="15" t="n">
        <v>0</v>
      </c>
      <c r="AC760" s="15" t="n">
        <v>12.77188872019961</v>
      </c>
      <c r="AD760" s="15" t="n">
        <v>62.69842077067681</v>
      </c>
      <c r="AE760" s="15" t="n">
        <v>95.7208389224725</v>
      </c>
      <c r="AF760" s="15" t="n">
        <v>127.9289109545875</v>
      </c>
      <c r="AH760" s="29">
        <f>HIPERLINK($A$1 &amp; "\Dados\Magnet_fields.txt_760.txt.txt", "Magnet_fields.txt_760.txt")</f>
        <v/>
      </c>
      <c r="AI760" t="n">
        <v>9753</v>
      </c>
      <c r="AJ760" t="n">
        <v>29</v>
      </c>
      <c r="AK760" s="29">
        <f>HIPERLINK($A$1 &amp; "\Dados\Magnet_3D_results.txt_760.txt.txt", "Magnet_3D_results.txt_760.txt")</f>
        <v/>
      </c>
      <c r="AL760" s="29">
        <f>HIPERLINK($A$1 &amp; "\Dados\Magnet_fields_2D.txt_760.txt.txt", "Magnet_fields_2D.txt_760.txt")</f>
        <v/>
      </c>
    </row>
    <row customHeight="1" ht="15.75" r="761" s="34">
      <c r="D761" s="30" t="n"/>
      <c r="E761" s="15" t="n">
        <v>150</v>
      </c>
      <c r="F761" s="15" t="n">
        <v>200</v>
      </c>
      <c r="G761" s="15" t="n">
        <v>350</v>
      </c>
      <c r="H761" s="15" t="n">
        <v>45</v>
      </c>
      <c r="I761" s="15" t="n">
        <v>180</v>
      </c>
      <c r="J761" s="13" t="n">
        <v>25</v>
      </c>
      <c r="K761" t="n">
        <v>60</v>
      </c>
      <c r="L761" s="13" t="n">
        <v>1.4</v>
      </c>
      <c r="M761" s="12" t="n"/>
      <c r="N761" s="8" t="n">
        <v>1.057263620725334</v>
      </c>
      <c r="O761" s="15" t="n">
        <v>0.9067018208317913</v>
      </c>
      <c r="P761" s="15" t="n">
        <v>1.005535693941716</v>
      </c>
      <c r="Q761" s="15" t="n">
        <v>0.01033052037195448</v>
      </c>
      <c r="R761" s="15" t="n">
        <v>0.00922346152865197</v>
      </c>
      <c r="S761" s="15" t="n">
        <v>0.009204685507504829</v>
      </c>
      <c r="T761" s="29">
        <f>HIPERLINK($A$1 &amp; "\Dados\Imagem_perfil_761.png", "Imagem_perfil_761")</f>
        <v/>
      </c>
      <c r="U761" s="29">
        <f>HIPERLINK($A$1 &amp; "\Dados\Results_airgap761.txt", "Results_airgap761")</f>
        <v/>
      </c>
      <c r="V761" s="19" t="n"/>
      <c r="W761" s="43" t="n">
        <v>1.400935</v>
      </c>
      <c r="X761" s="15" t="n">
        <v>0.6438482006736034</v>
      </c>
      <c r="Y761" s="15" t="n">
        <v>0.003356219746119067</v>
      </c>
      <c r="Z761" s="15" t="n">
        <v>0.02486033184556101</v>
      </c>
      <c r="AA761" s="15" t="n">
        <v>8.43567399657235</v>
      </c>
      <c r="AB761" s="15" t="n">
        <v>0.9036826301521581</v>
      </c>
      <c r="AC761" s="15" t="n">
        <v>11.48265677239984</v>
      </c>
      <c r="AD761" s="15" t="n">
        <v>66.73676870079262</v>
      </c>
      <c r="AE761" s="15" t="n">
        <v>112.0413886591957</v>
      </c>
      <c r="AF761" s="15" t="n">
        <v>35.18631783046942</v>
      </c>
      <c r="AH761" s="29">
        <f>HIPERLINK($A$1 &amp; "\Dados\Magnet_fields.txt_761.txt.txt", "Magnet_fields.txt_761.txt")</f>
        <v/>
      </c>
      <c r="AI761" t="n">
        <v>6718</v>
      </c>
      <c r="AJ761" t="n">
        <v>29</v>
      </c>
      <c r="AK761" s="29">
        <f>HIPERLINK($A$1 &amp; "\Dados\Magnet_3D_results.txt_761.txt.txt", "Magnet_3D_results.txt_761.txt")</f>
        <v/>
      </c>
      <c r="AL761" s="29">
        <f>HIPERLINK($A$1 &amp; "\Dados\Magnet_fields_2D.txt_761.txt.txt", "Magnet_fields_2D.txt_761.txt")</f>
        <v/>
      </c>
    </row>
    <row customHeight="1" ht="15.75" r="762" s="34">
      <c r="D762" s="30" t="n"/>
      <c r="E762" s="15" t="n">
        <v>150</v>
      </c>
      <c r="F762" s="15" t="n">
        <v>200</v>
      </c>
      <c r="G762" s="15" t="n">
        <v>350</v>
      </c>
      <c r="H762" s="15" t="n">
        <v>45</v>
      </c>
      <c r="I762" s="15" t="n">
        <v>180</v>
      </c>
      <c r="J762" s="13" t="n">
        <v>25</v>
      </c>
      <c r="K762" t="n">
        <v>60</v>
      </c>
      <c r="L762" s="13" t="n">
        <v>1.6</v>
      </c>
      <c r="M762" s="12" t="n"/>
      <c r="N762" s="8" t="n">
        <v>1.230375256158838</v>
      </c>
      <c r="O762" s="15" t="n">
        <v>1.070474179508248</v>
      </c>
      <c r="P762" s="15" t="n">
        <v>1.176230600360413</v>
      </c>
      <c r="Q762" s="15" t="n">
        <v>0.01622260770468783</v>
      </c>
      <c r="R762" s="15" t="n">
        <v>0.03624506692079265</v>
      </c>
      <c r="S762" s="15" t="n">
        <v>0.01490476040780432</v>
      </c>
      <c r="T762" s="29">
        <f>HIPERLINK($A$1 &amp; "\Dados\Imagem_perfil_762.png", "Imagem_perfil_762")</f>
        <v/>
      </c>
      <c r="U762" s="29">
        <f>HIPERLINK($A$1 &amp; "\Dados\Results_airgap762.txt", "Results_airgap762")</f>
        <v/>
      </c>
      <c r="V762" s="19" t="n"/>
      <c r="W762" s="43" t="n">
        <v>1.497507608695652</v>
      </c>
      <c r="X762" s="15" t="n">
        <v>0.7786330600144657</v>
      </c>
      <c r="Y762" s="15" t="n">
        <v>0.01876153003002526</v>
      </c>
      <c r="Z762" s="15" t="n">
        <v>0</v>
      </c>
      <c r="AA762" s="15" t="n">
        <v>0</v>
      </c>
      <c r="AB762" s="15" t="n">
        <v>1.137284475927663</v>
      </c>
      <c r="AC762" s="15" t="n">
        <v>14.75280433068328</v>
      </c>
      <c r="AD762" s="15" t="n">
        <v>63.97637659946414</v>
      </c>
      <c r="AE762" s="15" t="n">
        <v>99.02839652424812</v>
      </c>
      <c r="AF762" s="15" t="n">
        <v>135.6745123303149</v>
      </c>
      <c r="AH762" s="29">
        <f>HIPERLINK($A$1 &amp; "\Dados\Magnet_fields.txt_762.txt.txt", "Magnet_fields.txt_762.txt")</f>
        <v/>
      </c>
      <c r="AI762" t="n">
        <v>6718</v>
      </c>
      <c r="AJ762" t="n">
        <v>28</v>
      </c>
      <c r="AK762" s="29">
        <f>HIPERLINK($A$1 &amp; "\Dados\Magnet_3D_results.txt_762.txt.txt", "Magnet_3D_results.txt_762.txt")</f>
        <v/>
      </c>
      <c r="AL762" s="29">
        <f>HIPERLINK($A$1 &amp; "\Dados\Magnet_fields_2D.txt_762.txt.txt", "Magnet_fields_2D.txt_762.txt")</f>
        <v/>
      </c>
    </row>
    <row customHeight="1" ht="15.75" r="763" s="34">
      <c r="D763" s="30" t="n"/>
      <c r="E763" s="15" t="n">
        <v>150</v>
      </c>
      <c r="F763" s="15" t="n">
        <v>200</v>
      </c>
      <c r="G763" s="15" t="n">
        <v>350</v>
      </c>
      <c r="H763" s="15" t="n">
        <v>45</v>
      </c>
      <c r="I763" s="15" t="n">
        <v>180</v>
      </c>
      <c r="J763" s="13" t="n">
        <v>25</v>
      </c>
      <c r="K763" t="n">
        <v>60</v>
      </c>
      <c r="L763" s="13" t="n">
        <v>1.8</v>
      </c>
      <c r="M763" s="12" t="n"/>
      <c r="N763" s="8" t="n">
        <v>1.221277248273247</v>
      </c>
      <c r="O763" s="15" t="n">
        <v>1.062393139968926</v>
      </c>
      <c r="P763" s="15" t="n">
        <v>1.167897245116218</v>
      </c>
      <c r="Q763" s="15" t="n">
        <v>0.01774033216618812</v>
      </c>
      <c r="R763" s="15" t="n">
        <v>0.03546553311252952</v>
      </c>
      <c r="S763" s="15" t="n">
        <v>0.01625107942106882</v>
      </c>
      <c r="T763" s="29">
        <f>HIPERLINK($A$1 &amp; "\Dados\Imagem_perfil_763.png", "Imagem_perfil_763")</f>
        <v/>
      </c>
      <c r="U763" s="29">
        <f>HIPERLINK($A$1 &amp; "\Dados\Results_airgap763.txt", "Results_airgap763")</f>
        <v/>
      </c>
      <c r="V763" s="19" t="n"/>
      <c r="W763" s="15" t="n">
        <v>1.490452608695652</v>
      </c>
      <c r="X763" s="15" t="n">
        <v>0.7723161380911607</v>
      </c>
      <c r="Y763" s="15" t="n">
        <v>0.1114670713893653</v>
      </c>
      <c r="Z763" s="15" t="n">
        <v>0</v>
      </c>
      <c r="AA763" s="15" t="n">
        <v>0</v>
      </c>
      <c r="AB763" s="15" t="n">
        <v>0</v>
      </c>
      <c r="AC763" s="15" t="n">
        <v>13.51587071857875</v>
      </c>
      <c r="AD763" s="15" t="n">
        <v>63.07293667369562</v>
      </c>
      <c r="AE763" s="15" t="n">
        <v>96.47353016454684</v>
      </c>
      <c r="AF763" s="15" t="n">
        <v>129.3781252811259</v>
      </c>
      <c r="AH763" s="29">
        <f>HIPERLINK($A$1 &amp; "\Dados\Magnet_fields.txt_763.txt.txt", "Magnet_fields.txt_763.txt")</f>
        <v/>
      </c>
      <c r="AI763" t="n">
        <v>6718</v>
      </c>
      <c r="AJ763" t="n">
        <v>28</v>
      </c>
      <c r="AK763" s="29">
        <f>HIPERLINK($A$1 &amp; "\Dados\Magnet_3D_results.txt_763.txt.txt", "Magnet_3D_results.txt_763.txt")</f>
        <v/>
      </c>
      <c r="AL763" s="29">
        <f>HIPERLINK($A$1 &amp; "\Dados\Magnet_fields_2D.txt_763.txt.txt", "Magnet_fields_2D.txt_763.txt")</f>
        <v/>
      </c>
    </row>
    <row customHeight="1" ht="15.75" r="764" s="34">
      <c r="D764" s="30" t="n"/>
      <c r="E764" s="15" t="n">
        <v>150</v>
      </c>
      <c r="F764" s="15" t="n">
        <v>200</v>
      </c>
      <c r="G764" s="15" t="n">
        <v>350</v>
      </c>
      <c r="H764" s="15" t="n">
        <v>45</v>
      </c>
      <c r="I764" s="15" t="n">
        <v>180</v>
      </c>
      <c r="J764" s="13" t="n">
        <v>25</v>
      </c>
      <c r="K764" t="n">
        <v>60</v>
      </c>
      <c r="L764" s="13" t="n">
        <v>2</v>
      </c>
      <c r="M764" s="12" t="n"/>
      <c r="N764" s="8" t="n">
        <v>1.215307857010631</v>
      </c>
      <c r="O764" s="15" t="n">
        <v>1.057123073187938</v>
      </c>
      <c r="P764" s="15" t="n">
        <v>1.162095840036008</v>
      </c>
      <c r="Q764" s="15" t="n">
        <v>0.01811544046527586</v>
      </c>
      <c r="R764" s="15" t="n">
        <v>0.03510305656172984</v>
      </c>
      <c r="S764" s="15" t="n">
        <v>0.01658188997274146</v>
      </c>
      <c r="T764" s="29">
        <f>HIPERLINK($A$1 &amp; "\Dados\Imagem_perfil_764.png", "Imagem_perfil_764")</f>
        <v/>
      </c>
      <c r="U764" s="29">
        <f>HIPERLINK($A$1 &amp; "\Dados\Results_airgap764.txt", "Results_airgap764")</f>
        <v/>
      </c>
      <c r="V764" s="19" t="n"/>
      <c r="W764" s="15" t="n">
        <v>1.488098478260869</v>
      </c>
      <c r="X764" s="15" t="n">
        <v>0.7680232948672504</v>
      </c>
      <c r="Y764" s="15" t="n">
        <v>0.2482915694321446</v>
      </c>
      <c r="Z764" s="15" t="n">
        <v>0</v>
      </c>
      <c r="AA764" s="15" t="n">
        <v>0.0419980245019483</v>
      </c>
      <c r="AB764" s="15" t="n">
        <v>0</v>
      </c>
      <c r="AC764" s="15" t="n">
        <v>12.97383079117213</v>
      </c>
      <c r="AD764" s="15" t="n">
        <v>62.85374326626926</v>
      </c>
      <c r="AE764" s="15" t="n">
        <v>95.81357981543437</v>
      </c>
      <c r="AF764" s="15" t="n">
        <v>128.3584926593955</v>
      </c>
      <c r="AH764" s="29">
        <f>HIPERLINK($A$1 &amp; "\Dados\Magnet_fields.txt_764.txt.txt", "Magnet_fields.txt_764.txt")</f>
        <v/>
      </c>
      <c r="AI764" t="n">
        <v>6718</v>
      </c>
      <c r="AJ764" t="n">
        <v>29</v>
      </c>
      <c r="AK764" s="29">
        <f>HIPERLINK($A$1 &amp; "\Dados\Magnet_3D_results.txt_764.txt.txt", "Magnet_3D_results.txt_764.txt")</f>
        <v/>
      </c>
      <c r="AL764" s="29">
        <f>HIPERLINK($A$1 &amp; "\Dados\Magnet_fields_2D.txt_764.txt.txt", "Magnet_fields_2D.txt_764.txt")</f>
        <v/>
      </c>
    </row>
    <row customHeight="1" ht="15.75" r="765" s="34">
      <c r="D765" s="30" t="n"/>
      <c r="E765" s="15" t="n">
        <v>150</v>
      </c>
      <c r="F765" s="15" t="n">
        <v>200</v>
      </c>
      <c r="G765" s="15" t="n">
        <v>350</v>
      </c>
      <c r="H765" s="15" t="n">
        <v>45</v>
      </c>
      <c r="I765" s="15" t="n">
        <v>180</v>
      </c>
      <c r="J765" s="13" t="n">
        <v>25</v>
      </c>
      <c r="K765" t="n">
        <v>60</v>
      </c>
      <c r="L765" s="13" t="n">
        <v>2.2</v>
      </c>
      <c r="M765" s="12" t="n"/>
      <c r="N765" s="8" t="n">
        <v>1.214746442211298</v>
      </c>
      <c r="O765" s="15" t="n">
        <v>1.056571700509818</v>
      </c>
      <c r="P765" s="15" t="n">
        <v>1.161538487717624</v>
      </c>
      <c r="Q765" s="15" t="n">
        <v>0.01827204965329735</v>
      </c>
      <c r="R765" s="15" t="n">
        <v>0.03493405316406027</v>
      </c>
      <c r="S765" s="15" t="n">
        <v>0.01671972594750074</v>
      </c>
      <c r="T765" s="29">
        <f>HIPERLINK($A$1 &amp; "\Dados\Imagem_perfil_765.png", "Imagem_perfil_765")</f>
        <v/>
      </c>
      <c r="U765" s="29">
        <f>HIPERLINK($A$1 &amp; "\Dados\Results_airgap765.txt", "Results_airgap765")</f>
        <v/>
      </c>
      <c r="V765" s="19" t="n"/>
      <c r="W765" s="15" t="n">
        <v>1.487116086956522</v>
      </c>
      <c r="X765" s="15" t="n">
        <v>0.7675503835091562</v>
      </c>
      <c r="Y765" s="15" t="n">
        <v>0.4018615526147076</v>
      </c>
      <c r="Z765" s="15" t="n">
        <v>0</v>
      </c>
      <c r="AA765" s="15" t="n">
        <v>0.1449805536367195</v>
      </c>
      <c r="AB765" s="15" t="n">
        <v>0</v>
      </c>
      <c r="AC765" s="15" t="n">
        <v>12.76480249831816</v>
      </c>
      <c r="AD765" s="15" t="n">
        <v>62.70630008365126</v>
      </c>
      <c r="AE765" s="15" t="n">
        <v>95.62569905613867</v>
      </c>
      <c r="AF765" s="15" t="n">
        <v>127.8681884191816</v>
      </c>
      <c r="AH765" s="29">
        <f>HIPERLINK($A$1 &amp; "\Dados\Magnet_fields.txt_765.txt.txt", "Magnet_fields.txt_765.txt")</f>
        <v/>
      </c>
      <c r="AI765" t="n">
        <v>6718</v>
      </c>
      <c r="AJ765" t="n">
        <v>29</v>
      </c>
      <c r="AK765" s="29">
        <f>HIPERLINK($A$1 &amp; "\Dados\Magnet_3D_results.txt_765.txt.txt", "Magnet_3D_results.txt_765.txt")</f>
        <v/>
      </c>
      <c r="AL765" s="29">
        <f>HIPERLINK($A$1 &amp; "\Dados\Magnet_fields_2D.txt_765.txt.txt", "Magnet_fields_2D.txt_765.txt")</f>
        <v/>
      </c>
    </row>
    <row customHeight="1" ht="15.75" r="766" s="34">
      <c r="D766" s="30" t="n"/>
      <c r="E766" s="15" t="n">
        <v>150</v>
      </c>
      <c r="F766" s="15" t="n">
        <v>200</v>
      </c>
      <c r="G766" s="15" t="n">
        <v>430</v>
      </c>
      <c r="H766" s="15" t="n">
        <v>25</v>
      </c>
      <c r="I766" s="15" t="n">
        <v>140</v>
      </c>
      <c r="J766" s="13" t="n">
        <v>25</v>
      </c>
      <c r="K766" t="n">
        <v>60</v>
      </c>
      <c r="L766" s="13" t="n">
        <v>1.4</v>
      </c>
      <c r="M766" s="12" t="n"/>
      <c r="N766" s="8" t="n">
        <v>0.8208167393490783</v>
      </c>
      <c r="O766" s="15" t="n">
        <v>0.595409749078771</v>
      </c>
      <c r="P766" s="15" t="n">
        <v>0.7473832738917074</v>
      </c>
      <c r="Q766" s="15" t="n">
        <v>0.007907608461113875</v>
      </c>
      <c r="R766" s="15" t="n">
        <v>0.04543667694306743</v>
      </c>
      <c r="S766" s="15" t="n">
        <v>0.007214076001548493</v>
      </c>
      <c r="T766" s="29">
        <f>HIPERLINK($A$1 &amp; "\Dados\Imagem_perfil_766.png", "Imagem_perfil_766")</f>
        <v/>
      </c>
      <c r="U766" s="29">
        <f>HIPERLINK($A$1 &amp; "\Dados\Results_airgap766.txt", "Results_airgap766")</f>
        <v/>
      </c>
      <c r="V766" s="19" t="n"/>
      <c r="W766" s="43" t="n">
        <v>1.427114347826087</v>
      </c>
      <c r="X766" s="15" t="n">
        <v>0.5150774416415937</v>
      </c>
      <c r="Y766" s="15" t="n">
        <v>0.00334457560248958</v>
      </c>
      <c r="Z766" s="15" t="n">
        <v>0.1145600065375439</v>
      </c>
      <c r="AA766" s="15" t="n">
        <v>7.140632271102505</v>
      </c>
      <c r="AB766" s="15" t="n">
        <v>0</v>
      </c>
      <c r="AC766" s="15" t="n">
        <v>0</v>
      </c>
      <c r="AD766" s="15" t="n">
        <v>65.66397749393039</v>
      </c>
      <c r="AE766" s="15" t="n">
        <v>39.17817016231702</v>
      </c>
      <c r="AF766" s="15" t="n">
        <v>0</v>
      </c>
      <c r="AH766" s="29">
        <f>HIPERLINK($A$1 &amp; "\Dados\Magnet_fields.txt_766.txt.txt", "Magnet_fields.txt_766.txt")</f>
        <v/>
      </c>
      <c r="AI766" t="n">
        <v>10611</v>
      </c>
      <c r="AJ766" t="n">
        <v>39</v>
      </c>
      <c r="AK766" s="29">
        <f>HIPERLINK($A$1 &amp; "\Dados\Magnet_3D_results.txt_766.txt.txt", "Magnet_3D_results.txt_766.txt")</f>
        <v/>
      </c>
      <c r="AL766" s="29">
        <f>HIPERLINK($A$1 &amp; "\Dados\Magnet_fields_2D.txt_766.txt.txt", "Magnet_fields_2D.txt_766.txt")</f>
        <v/>
      </c>
    </row>
    <row customHeight="1" ht="15.75" r="767" s="34">
      <c r="D767" s="30" t="n"/>
      <c r="E767" s="15" t="n">
        <v>150</v>
      </c>
      <c r="F767" s="15" t="n">
        <v>200</v>
      </c>
      <c r="G767" s="15" t="n">
        <v>430</v>
      </c>
      <c r="H767" s="15" t="n">
        <v>25</v>
      </c>
      <c r="I767" s="15" t="n">
        <v>140</v>
      </c>
      <c r="J767" s="13" t="n">
        <v>25</v>
      </c>
      <c r="K767" t="n">
        <v>60</v>
      </c>
      <c r="L767" s="13" t="n">
        <v>1.6</v>
      </c>
      <c r="M767" s="12" t="n"/>
      <c r="N767" s="8" t="n">
        <v>1.010091196427395</v>
      </c>
      <c r="O767" s="15" t="n">
        <v>0.7545880104566658</v>
      </c>
      <c r="P767" s="15" t="n">
        <v>0.9298852684952742</v>
      </c>
      <c r="Q767" s="15" t="n">
        <v>0.006201483424428884</v>
      </c>
      <c r="R767" s="15" t="n">
        <v>0.01568474018700557</v>
      </c>
      <c r="S767" s="15" t="n">
        <v>0.005765074187466363</v>
      </c>
      <c r="T767" s="29">
        <f>HIPERLINK($A$1 &amp; "\Dados\Imagem_perfil_767.png", "Imagem_perfil_767")</f>
        <v/>
      </c>
      <c r="U767" s="29">
        <f>HIPERLINK($A$1 &amp; "\Dados\Results_airgap767.txt", "Results_airgap767")</f>
        <v/>
      </c>
      <c r="V767" s="19" t="n"/>
      <c r="W767" s="43" t="n">
        <v>1.613006086956522</v>
      </c>
      <c r="X767" s="15" t="n">
        <v>0.6569343004602268</v>
      </c>
      <c r="Y767" s="15" t="n">
        <v>0.001887104040745023</v>
      </c>
      <c r="Z767" s="15" t="n">
        <v>0.07229757197653189</v>
      </c>
      <c r="AA767" s="15" t="n">
        <v>6.810386402388184</v>
      </c>
      <c r="AB767" s="15" t="n">
        <v>0</v>
      </c>
      <c r="AC767" s="15" t="n">
        <v>5.052290929399353</v>
      </c>
      <c r="AD767" s="15" t="n">
        <v>66.22836546296527</v>
      </c>
      <c r="AE767" s="15" t="n">
        <v>117.3898943860223</v>
      </c>
      <c r="AF767" s="15" t="n">
        <v>21.98095304228334</v>
      </c>
      <c r="AH767" s="29">
        <f>HIPERLINK($A$1 &amp; "\Dados\Magnet_fields.txt_767.txt.txt", "Magnet_fields.txt_767.txt")</f>
        <v/>
      </c>
      <c r="AI767" t="n">
        <v>10611</v>
      </c>
      <c r="AJ767" t="n">
        <v>35</v>
      </c>
      <c r="AK767" s="29">
        <f>HIPERLINK($A$1 &amp; "\Dados\Magnet_3D_results.txt_767.txt.txt", "Magnet_3D_results.txt_767.txt")</f>
        <v/>
      </c>
      <c r="AL767" s="29">
        <f>HIPERLINK($A$1 &amp; "\Dados\Magnet_fields_2D.txt_767.txt.txt", "Magnet_fields_2D.txt_767.txt")</f>
        <v/>
      </c>
    </row>
    <row customHeight="1" ht="15.75" r="768" s="34">
      <c r="D768" s="30" t="n"/>
      <c r="E768" s="15" t="n">
        <v>150</v>
      </c>
      <c r="F768" s="15" t="n">
        <v>200</v>
      </c>
      <c r="G768" s="15" t="n">
        <v>430</v>
      </c>
      <c r="H768" s="15" t="n">
        <v>25</v>
      </c>
      <c r="I768" s="15" t="n">
        <v>140</v>
      </c>
      <c r="J768" s="13" t="n">
        <v>25</v>
      </c>
      <c r="K768" t="n">
        <v>60</v>
      </c>
      <c r="L768" s="13" t="n">
        <v>1.8</v>
      </c>
      <c r="M768" s="12" t="n"/>
      <c r="N768" s="8" t="n">
        <v>1.236667918773028</v>
      </c>
      <c r="O768" s="15" t="n">
        <v>0.953000442208305</v>
      </c>
      <c r="P768" s="15" t="n">
        <v>1.150266548516472</v>
      </c>
      <c r="Q768" s="15" t="n">
        <v>0.00704849815972567</v>
      </c>
      <c r="R768" s="15" t="n">
        <v>0.04860361013067131</v>
      </c>
      <c r="S768" s="15" t="n">
        <v>0.008532499788003432</v>
      </c>
      <c r="T768" s="29">
        <f>HIPERLINK($A$1 &amp; "\Dados\Imagem_perfil_768.png", "Imagem_perfil_768")</f>
        <v/>
      </c>
      <c r="U768" s="29">
        <f>HIPERLINK($A$1 &amp; "\Dados\Results_airgap768.txt", "Results_airgap768")</f>
        <v/>
      </c>
      <c r="V768" s="19" t="n"/>
      <c r="W768" s="43" t="n">
        <v>1.809491086956522</v>
      </c>
      <c r="X768" s="15" t="n">
        <v>0.8391148405951676</v>
      </c>
      <c r="Y768" s="15" t="n">
        <v>0.001120481767811266</v>
      </c>
      <c r="Z768" s="15" t="n">
        <v>0.02927961048891678</v>
      </c>
      <c r="AA768" s="15" t="n">
        <v>4.965523573618529</v>
      </c>
      <c r="AB768" s="15" t="n">
        <v>1.687028510358338</v>
      </c>
      <c r="AC768" s="15" t="n">
        <v>10.24878621025268</v>
      </c>
      <c r="AD768" s="15" t="n">
        <v>68.97016850862585</v>
      </c>
      <c r="AE768" s="15" t="n">
        <v>115.7682273337305</v>
      </c>
      <c r="AF768" s="15" t="n">
        <v>171.6160161650385</v>
      </c>
      <c r="AH768" s="29">
        <f>HIPERLINK($A$1 &amp; "\Dados\Magnet_fields.txt_768.txt.txt", "Magnet_fields.txt_768.txt")</f>
        <v/>
      </c>
      <c r="AI768" t="n">
        <v>10611</v>
      </c>
      <c r="AJ768" t="n">
        <v>30</v>
      </c>
      <c r="AK768" s="29">
        <f>HIPERLINK($A$1 &amp; "\Dados\Magnet_3D_results.txt_768.txt.txt", "Magnet_3D_results.txt_768.txt")</f>
        <v/>
      </c>
      <c r="AL768" s="29">
        <f>HIPERLINK($A$1 &amp; "\Dados\Magnet_fields_2D.txt_768.txt.txt", "Magnet_fields_2D.txt_768.txt")</f>
        <v/>
      </c>
    </row>
    <row customHeight="1" ht="15.75" r="769" s="34">
      <c r="D769" s="30" t="n"/>
      <c r="E769" s="15" t="n">
        <v>150</v>
      </c>
      <c r="F769" s="15" t="n">
        <v>200</v>
      </c>
      <c r="G769" s="15" t="n">
        <v>430</v>
      </c>
      <c r="H769" s="15" t="n">
        <v>25</v>
      </c>
      <c r="I769" s="15" t="n">
        <v>140</v>
      </c>
      <c r="J769" s="13" t="n">
        <v>25</v>
      </c>
      <c r="K769" t="n">
        <v>60</v>
      </c>
      <c r="L769" s="13" t="n">
        <v>2</v>
      </c>
      <c r="M769" s="12" t="n"/>
      <c r="N769" s="8" t="n">
        <v>1.261358128384975</v>
      </c>
      <c r="O769" s="15" t="n">
        <v>0.9737869397256759</v>
      </c>
      <c r="P769" s="15" t="n">
        <v>1.176041969898747</v>
      </c>
      <c r="Q769" s="15" t="n">
        <v>0.01850513578729764</v>
      </c>
      <c r="R769" s="15" t="n">
        <v>0.05279903677406974</v>
      </c>
      <c r="S769" s="15" t="n">
        <v>0.01899711002232678</v>
      </c>
      <c r="T769" s="29">
        <f>HIPERLINK($A$1 &amp; "\Dados\Imagem_perfil_769.png", "Imagem_perfil_769")</f>
        <v/>
      </c>
      <c r="U769" s="29">
        <f>HIPERLINK($A$1 &amp; "\Dados\Results_airgap769.txt", "Results_airgap769")</f>
        <v/>
      </c>
      <c r="V769" s="19" t="n"/>
      <c r="W769" s="43" t="n">
        <v>1.875685652173913</v>
      </c>
      <c r="X769" s="15" t="n">
        <v>0.8569025525299727</v>
      </c>
      <c r="Y769" s="15" t="n">
        <v>0.02625531042748675</v>
      </c>
      <c r="Z769" s="15" t="n">
        <v>0.01506581886973925</v>
      </c>
      <c r="AA769" s="15" t="n">
        <v>6.022380088290697</v>
      </c>
      <c r="AB769" s="15" t="n">
        <v>0.7214608644819124</v>
      </c>
      <c r="AC769" s="15" t="n">
        <v>15.9017284479223</v>
      </c>
      <c r="AD769" s="15" t="n">
        <v>65.54102081705821</v>
      </c>
      <c r="AE769" s="15" t="n">
        <v>100.7736573157259</v>
      </c>
      <c r="AF769" s="15" t="n">
        <v>134.1777612183215</v>
      </c>
      <c r="AH769" s="29">
        <f>HIPERLINK($A$1 &amp; "\Dados\Magnet_fields.txt_769.txt.txt", "Magnet_fields.txt_769.txt")</f>
        <v/>
      </c>
      <c r="AI769" t="n">
        <v>10611</v>
      </c>
      <c r="AJ769" t="n">
        <v>29</v>
      </c>
      <c r="AK769" s="29">
        <f>HIPERLINK($A$1 &amp; "\Dados\Magnet_3D_results.txt_769.txt.txt", "Magnet_3D_results.txt_769.txt")</f>
        <v/>
      </c>
      <c r="AL769" s="29">
        <f>HIPERLINK($A$1 &amp; "\Dados\Magnet_fields_2D.txt_769.txt.txt", "Magnet_fields_2D.txt_769.txt")</f>
        <v/>
      </c>
    </row>
    <row customHeight="1" ht="15.75" r="770" s="34">
      <c r="D770" s="30" t="n"/>
      <c r="E770" s="15" t="n">
        <v>150</v>
      </c>
      <c r="F770" s="15" t="n">
        <v>200</v>
      </c>
      <c r="G770" s="15" t="n">
        <v>430</v>
      </c>
      <c r="H770" s="15" t="n">
        <v>25</v>
      </c>
      <c r="I770" s="15" t="n">
        <v>140</v>
      </c>
      <c r="J770" s="13" t="n">
        <v>25</v>
      </c>
      <c r="K770" t="n">
        <v>60</v>
      </c>
      <c r="L770" s="13" t="n">
        <v>2.2</v>
      </c>
      <c r="M770" s="12" t="n"/>
      <c r="N770" s="8" t="n">
        <v>1.262344428595509</v>
      </c>
      <c r="O770" s="15" t="n">
        <v>0.9745113951940105</v>
      </c>
      <c r="P770" s="15" t="n">
        <v>1.177200516870193</v>
      </c>
      <c r="Q770" s="15" t="n">
        <v>0.01912550503469423</v>
      </c>
      <c r="R770" s="15" t="n">
        <v>0.05211782144034337</v>
      </c>
      <c r="S770" s="15" t="n">
        <v>0.01953993928510651</v>
      </c>
      <c r="T770" s="29">
        <f>HIPERLINK($A$1 &amp; "\Dados\Imagem_perfil_770.png", "Imagem_perfil_770")</f>
        <v/>
      </c>
      <c r="U770" s="29">
        <f>HIPERLINK($A$1 &amp; "\Dados\Results_airgap770.txt", "Results_airgap770")</f>
        <v/>
      </c>
      <c r="V770" s="19" t="n"/>
      <c r="W770" s="15" t="n">
        <v>1.877903695652174</v>
      </c>
      <c r="X770" s="15" t="n">
        <v>0.8574282077424114</v>
      </c>
      <c r="Y770" s="15" t="n">
        <v>0.1042536877647616</v>
      </c>
      <c r="Z770" s="15" t="n">
        <v>0.0136748020048719</v>
      </c>
      <c r="AA770" s="15" t="n">
        <v>6.392345729057499</v>
      </c>
      <c r="AB770" s="15" t="n">
        <v>0.9185938604945469</v>
      </c>
      <c r="AC770" s="15" t="n">
        <v>16.26618441594769</v>
      </c>
      <c r="AD770" s="15" t="n">
        <v>65.36824228122138</v>
      </c>
      <c r="AE770" s="15" t="n">
        <v>99.5532516534731</v>
      </c>
      <c r="AF770" s="15" t="n">
        <v>131.9441988342305</v>
      </c>
      <c r="AH770" s="29">
        <f>HIPERLINK($A$1 &amp; "\Dados\Magnet_fields.txt_770.txt.txt", "Magnet_fields.txt_770.txt")</f>
        <v/>
      </c>
      <c r="AI770" t="n">
        <v>10611</v>
      </c>
      <c r="AJ770" t="n">
        <v>30</v>
      </c>
      <c r="AK770" s="29">
        <f>HIPERLINK($A$1 &amp; "\Dados\Magnet_3D_results.txt_770.txt.txt", "Magnet_3D_results.txt_770.txt")</f>
        <v/>
      </c>
      <c r="AL770" s="29">
        <f>HIPERLINK($A$1 &amp; "\Dados\Magnet_fields_2D.txt_770.txt.txt", "Magnet_fields_2D.txt_770.txt")</f>
        <v/>
      </c>
    </row>
    <row customHeight="1" ht="15.75" r="771" s="34">
      <c r="D771" s="30" t="n"/>
      <c r="E771" s="15" t="n">
        <v>150</v>
      </c>
      <c r="F771" s="15" t="n">
        <v>200</v>
      </c>
      <c r="G771" s="15" t="n">
        <v>430</v>
      </c>
      <c r="H771" s="15" t="n">
        <v>45</v>
      </c>
      <c r="I771" s="15" t="n">
        <v>140</v>
      </c>
      <c r="J771" s="13" t="n">
        <v>25</v>
      </c>
      <c r="K771" t="n">
        <v>60</v>
      </c>
      <c r="L771" s="13" t="n">
        <v>1.4</v>
      </c>
      <c r="M771" s="12" t="n"/>
      <c r="N771" s="8" t="n">
        <v>0.8544486389741794</v>
      </c>
      <c r="O771" s="15" t="n">
        <v>0.6223189590822532</v>
      </c>
      <c r="P771" s="15" t="n">
        <v>0.7797167828667394</v>
      </c>
      <c r="Q771" s="15" t="n">
        <v>0.008354889217147653</v>
      </c>
      <c r="R771" s="15" t="n">
        <v>0.03615830201453494</v>
      </c>
      <c r="S771" s="15" t="n">
        <v>0.007527415501176449</v>
      </c>
      <c r="T771" s="29">
        <f>HIPERLINK($A$1 &amp; "\Dados\Imagem_perfil_771.png", "Imagem_perfil_771")</f>
        <v/>
      </c>
      <c r="U771" s="29">
        <f>HIPERLINK($A$1 &amp; "\Dados\Results_airgap771.txt", "Results_airgap771")</f>
        <v/>
      </c>
      <c r="V771" s="19" t="n"/>
      <c r="W771" s="43" t="n">
        <v>1.427318043478261</v>
      </c>
      <c r="X771" s="15" t="n">
        <v>0.5360494489634229</v>
      </c>
      <c r="Y771" s="15" t="n">
        <v>0.003364347057549434</v>
      </c>
      <c r="Z771" s="15" t="n">
        <v>0.04101499714100098</v>
      </c>
      <c r="AA771" s="15" t="n">
        <v>11.03156261611659</v>
      </c>
      <c r="AB771" s="15" t="n">
        <v>0</v>
      </c>
      <c r="AC771" s="15" t="n">
        <v>0</v>
      </c>
      <c r="AD771" s="15" t="n">
        <v>65.5928685217162</v>
      </c>
      <c r="AE771" s="15" t="n">
        <v>38.85776303583538</v>
      </c>
      <c r="AF771" s="15" t="n">
        <v>0</v>
      </c>
      <c r="AH771" s="29">
        <f>HIPERLINK($A$1 &amp; "\Dados\Magnet_fields.txt_771.txt.txt", "Magnet_fields.txt_771.txt")</f>
        <v/>
      </c>
      <c r="AI771" t="n">
        <v>7762</v>
      </c>
      <c r="AJ771" t="n">
        <v>34</v>
      </c>
      <c r="AK771" s="29">
        <f>HIPERLINK($A$1 &amp; "\Dados\Magnet_3D_results.txt_771.txt.txt", "Magnet_3D_results.txt_771.txt")</f>
        <v/>
      </c>
      <c r="AL771" s="29">
        <f>HIPERLINK($A$1 &amp; "\Dados\Magnet_fields_2D.txt_771.txt.txt", "Magnet_fields_2D.txt_771.txt")</f>
        <v/>
      </c>
    </row>
    <row customHeight="1" ht="15.75" r="772" s="34">
      <c r="D772" s="30" t="n"/>
      <c r="E772" s="15" t="n">
        <v>150</v>
      </c>
      <c r="F772" s="15" t="n">
        <v>200</v>
      </c>
      <c r="G772" s="15" t="n">
        <v>430</v>
      </c>
      <c r="H772" s="15" t="n">
        <v>45</v>
      </c>
      <c r="I772" s="15" t="n">
        <v>140</v>
      </c>
      <c r="J772" s="13" t="n">
        <v>25</v>
      </c>
      <c r="K772" t="n">
        <v>60</v>
      </c>
      <c r="L772" s="13" t="n">
        <v>1.6</v>
      </c>
      <c r="M772" s="12" t="n"/>
      <c r="N772" s="8" t="n">
        <v>1.03876516651789</v>
      </c>
      <c r="O772" s="15" t="n">
        <v>0.7771566039067059</v>
      </c>
      <c r="P772" s="15" t="n">
        <v>0.9572077689028123</v>
      </c>
      <c r="Q772" s="15" t="n">
        <v>0.006713511856607728</v>
      </c>
      <c r="R772" s="15" t="n">
        <v>0.008660409227825926</v>
      </c>
      <c r="S772" s="15" t="n">
        <v>0.006340679160751706</v>
      </c>
      <c r="T772" s="29">
        <f>HIPERLINK($A$1 &amp; "\Dados\Imagem_perfil_772.png", "Imagem_perfil_772")</f>
        <v/>
      </c>
      <c r="U772" s="29">
        <f>HIPERLINK($A$1 &amp; "\Dados\Results_airgap772.txt", "Results_airgap772")</f>
        <v/>
      </c>
      <c r="V772" s="19" t="n"/>
      <c r="W772" s="43" t="n">
        <v>1.61204652173913</v>
      </c>
      <c r="X772" s="15" t="n">
        <v>0.675415242579927</v>
      </c>
      <c r="Y772" s="15" t="n">
        <v>0.001871190624580461</v>
      </c>
      <c r="Z772" s="15" t="n">
        <v>0.05755656720337644</v>
      </c>
      <c r="AA772" s="15" t="n">
        <v>7.560228793396812</v>
      </c>
      <c r="AB772" s="15" t="n">
        <v>0</v>
      </c>
      <c r="AC772" s="15" t="n">
        <v>4.804966615646372</v>
      </c>
      <c r="AD772" s="15" t="n">
        <v>66.52373610728496</v>
      </c>
      <c r="AE772" s="15" t="n">
        <v>116.635111501042</v>
      </c>
      <c r="AF772" s="15" t="n">
        <v>21.4064840335326</v>
      </c>
      <c r="AH772" s="29">
        <f>HIPERLINK($A$1 &amp; "\Dados\Magnet_fields.txt_772.txt.txt", "Magnet_fields.txt_772.txt")</f>
        <v/>
      </c>
      <c r="AI772" t="n">
        <v>7762</v>
      </c>
      <c r="AJ772" t="n">
        <v>30</v>
      </c>
      <c r="AK772" s="29">
        <f>HIPERLINK($A$1 &amp; "\Dados\Magnet_3D_results.txt_772.txt.txt", "Magnet_3D_results.txt_772.txt")</f>
        <v/>
      </c>
      <c r="AL772" s="29">
        <f>HIPERLINK($A$1 &amp; "\Dados\Magnet_fields_2D.txt_772.txt.txt", "Magnet_fields_2D.txt_772.txt")</f>
        <v/>
      </c>
    </row>
    <row customHeight="1" ht="15.75" r="773" s="34">
      <c r="D773" s="30" t="n"/>
      <c r="E773" s="15" t="n">
        <v>150</v>
      </c>
      <c r="F773" s="15" t="n">
        <v>200</v>
      </c>
      <c r="G773" s="15" t="n">
        <v>430</v>
      </c>
      <c r="H773" s="15" t="n">
        <v>45</v>
      </c>
      <c r="I773" s="15" t="n">
        <v>140</v>
      </c>
      <c r="J773" s="13" t="n">
        <v>25</v>
      </c>
      <c r="K773" t="n">
        <v>60</v>
      </c>
      <c r="L773" s="13" t="n">
        <v>1.8</v>
      </c>
      <c r="M773" s="12" t="n"/>
      <c r="N773" s="8" t="n">
        <v>1.25839413263238</v>
      </c>
      <c r="O773" s="15" t="n">
        <v>0.9676755679559704</v>
      </c>
      <c r="P773" s="15" t="n">
        <v>1.170653357381392</v>
      </c>
      <c r="Q773" s="15" t="n">
        <v>0.007585980709586018</v>
      </c>
      <c r="R773" s="15" t="n">
        <v>0.05347628994116782</v>
      </c>
      <c r="S773" s="15" t="n">
        <v>0.009174605427604128</v>
      </c>
      <c r="T773" s="29">
        <f>HIPERLINK($A$1 &amp; "\Dados\Imagem_perfil_773.png", "Imagem_perfil_773")</f>
        <v/>
      </c>
      <c r="U773" s="29">
        <f>HIPERLINK($A$1 &amp; "\Dados\Results_airgap773.txt", "Results_airgap773")</f>
        <v/>
      </c>
      <c r="V773" s="19" t="n"/>
      <c r="W773" s="43" t="n">
        <v>1.808504347826087</v>
      </c>
      <c r="X773" s="15" t="n">
        <v>0.8504197581164386</v>
      </c>
      <c r="Y773" s="15" t="n">
        <v>0.001095922778434407</v>
      </c>
      <c r="Z773" s="15" t="n">
        <v>0.02329424002665481</v>
      </c>
      <c r="AA773" s="15" t="n">
        <v>0.2315123238830058</v>
      </c>
      <c r="AB773" s="15" t="n">
        <v>1.318884786184914</v>
      </c>
      <c r="AC773" s="15" t="n">
        <v>10.53816656954191</v>
      </c>
      <c r="AD773" s="15" t="n">
        <v>67.57124565916079</v>
      </c>
      <c r="AE773" s="15" t="n">
        <v>113.5297708088712</v>
      </c>
      <c r="AF773" s="15" t="n">
        <v>173.2995478582809</v>
      </c>
      <c r="AH773" s="29">
        <f>HIPERLINK($A$1 &amp; "\Dados\Magnet_fields.txt_773.txt.txt", "Magnet_fields.txt_773.txt")</f>
        <v/>
      </c>
      <c r="AI773" t="n">
        <v>7762</v>
      </c>
      <c r="AJ773" t="n">
        <v>29</v>
      </c>
      <c r="AK773" s="29">
        <f>HIPERLINK($A$1 &amp; "\Dados\Magnet_3D_results.txt_773.txt.txt", "Magnet_3D_results.txt_773.txt")</f>
        <v/>
      </c>
      <c r="AL773" s="29">
        <f>HIPERLINK($A$1 &amp; "\Dados\Magnet_fields_2D.txt_773.txt.txt", "Magnet_fields_2D.txt_773.txt")</f>
        <v/>
      </c>
    </row>
    <row customHeight="1" ht="15.75" r="774" s="34">
      <c r="D774" s="30" t="n"/>
      <c r="E774" s="15" t="n">
        <v>150</v>
      </c>
      <c r="F774" s="15" t="n">
        <v>200</v>
      </c>
      <c r="G774" s="15" t="n">
        <v>430</v>
      </c>
      <c r="H774" s="15" t="n">
        <v>45</v>
      </c>
      <c r="I774" s="15" t="n">
        <v>140</v>
      </c>
      <c r="J774" s="13" t="n">
        <v>25</v>
      </c>
      <c r="K774" t="n">
        <v>60</v>
      </c>
      <c r="L774" s="13" t="n">
        <v>2</v>
      </c>
      <c r="M774" s="12" t="n"/>
      <c r="N774" s="8" t="n">
        <v>1.288452684737539</v>
      </c>
      <c r="O774" s="15" t="n">
        <v>0.9928581669561548</v>
      </c>
      <c r="P774" s="15" t="n">
        <v>1.201457617687403</v>
      </c>
      <c r="Q774" s="15" t="n">
        <v>0.01987686964179602</v>
      </c>
      <c r="R774" s="15" t="n">
        <v>0.05970686208986011</v>
      </c>
      <c r="S774" s="15" t="n">
        <v>0.02044294373118648</v>
      </c>
      <c r="T774" s="29">
        <f>HIPERLINK($A$1 &amp; "\Dados\Imagem_perfil_774.png", "Imagem_perfil_774")</f>
        <v/>
      </c>
      <c r="U774" s="29">
        <f>HIPERLINK($A$1 &amp; "\Dados\Results_airgap774.txt", "Results_airgap774")</f>
        <v/>
      </c>
      <c r="V774" s="19" t="n"/>
      <c r="W774" s="43" t="n">
        <v>1.87601304347826</v>
      </c>
      <c r="X774" s="15" t="n">
        <v>0.8721975465125977</v>
      </c>
      <c r="Y774" s="15" t="n">
        <v>0.02614657751538361</v>
      </c>
      <c r="Z774" s="15" t="n">
        <v>0.007430525994154717</v>
      </c>
      <c r="AA774" s="15" t="n">
        <v>0</v>
      </c>
      <c r="AB774" s="15" t="n">
        <v>0.7173002680606259</v>
      </c>
      <c r="AC774" s="15" t="n">
        <v>15.8926178809991</v>
      </c>
      <c r="AD774" s="15" t="n">
        <v>65.51114691443239</v>
      </c>
      <c r="AE774" s="15" t="n">
        <v>100.7223714186773</v>
      </c>
      <c r="AF774" s="15" t="n">
        <v>134.1425459762939</v>
      </c>
      <c r="AH774" s="29">
        <f>HIPERLINK($A$1 &amp; "\Dados\Magnet_fields.txt_774.txt.txt", "Magnet_fields.txt_774.txt")</f>
        <v/>
      </c>
      <c r="AI774" t="n">
        <v>7762</v>
      </c>
      <c r="AJ774" t="n">
        <v>29</v>
      </c>
      <c r="AK774" s="29">
        <f>HIPERLINK($A$1 &amp; "\Dados\Magnet_3D_results.txt_774.txt.txt", "Magnet_3D_results.txt_774.txt")</f>
        <v/>
      </c>
      <c r="AL774" s="29">
        <f>HIPERLINK($A$1 &amp; "\Dados\Magnet_fields_2D.txt_774.txt.txt", "Magnet_fields_2D.txt_774.txt")</f>
        <v/>
      </c>
    </row>
    <row customHeight="1" ht="15.75" r="775" s="34">
      <c r="D775" s="30" t="n"/>
      <c r="E775" s="15" t="n">
        <v>150</v>
      </c>
      <c r="F775" s="15" t="n">
        <v>200</v>
      </c>
      <c r="G775" s="15" t="n">
        <v>430</v>
      </c>
      <c r="H775" s="15" t="n">
        <v>45</v>
      </c>
      <c r="I775" s="15" t="n">
        <v>140</v>
      </c>
      <c r="J775" s="13" t="n">
        <v>25</v>
      </c>
      <c r="K775" t="n">
        <v>60</v>
      </c>
      <c r="L775" s="13" t="n">
        <v>2.2</v>
      </c>
      <c r="M775" s="12" t="n"/>
      <c r="N775" s="8" t="n">
        <v>1.290067580050055</v>
      </c>
      <c r="O775" s="15" t="n">
        <v>0.9941414961557722</v>
      </c>
      <c r="P775" s="15" t="n">
        <v>1.203225698661362</v>
      </c>
      <c r="Q775" s="15" t="n">
        <v>0.02056424505532375</v>
      </c>
      <c r="R775" s="15" t="n">
        <v>0.05937365971582449</v>
      </c>
      <c r="S775" s="15" t="n">
        <v>0.02105611756080475</v>
      </c>
      <c r="T775" s="29">
        <f>HIPERLINK($A$1 &amp; "\Dados\Imagem_perfil_775.png", "Imagem_perfil_775")</f>
        <v/>
      </c>
      <c r="U775" s="29">
        <f>HIPERLINK($A$1 &amp; "\Dados\Results_airgap775.txt", "Results_airgap775")</f>
        <v/>
      </c>
      <c r="V775" s="19" t="n"/>
      <c r="W775" s="15" t="n">
        <v>1.878499565217391</v>
      </c>
      <c r="X775" s="15" t="n">
        <v>0.8732344838909526</v>
      </c>
      <c r="Y775" s="15" t="n">
        <v>0.1040364786200735</v>
      </c>
      <c r="Z775" s="15" t="n">
        <v>0.003716439830462558</v>
      </c>
      <c r="AA775" s="15" t="n">
        <v>0</v>
      </c>
      <c r="AB775" s="15" t="n">
        <v>0.9161892502731726</v>
      </c>
      <c r="AC775" s="15" t="n">
        <v>16.30568773925312</v>
      </c>
      <c r="AD775" s="15" t="n">
        <v>65.35934526578544</v>
      </c>
      <c r="AE775" s="15" t="n">
        <v>99.56396730455307</v>
      </c>
      <c r="AF775" s="15" t="n">
        <v>131.8449362756004</v>
      </c>
      <c r="AH775" s="29">
        <f>HIPERLINK($A$1 &amp; "\Dados\Magnet_fields.txt_775.txt.txt", "Magnet_fields.txt_775.txt")</f>
        <v/>
      </c>
      <c r="AI775" t="n">
        <v>7762</v>
      </c>
      <c r="AJ775" t="n">
        <v>29</v>
      </c>
      <c r="AK775" s="29">
        <f>HIPERLINK($A$1 &amp; "\Dados\Magnet_3D_results.txt_775.txt.txt", "Magnet_3D_results.txt_775.txt")</f>
        <v/>
      </c>
      <c r="AL775" s="29">
        <f>HIPERLINK($A$1 &amp; "\Dados\Magnet_fields_2D.txt_775.txt.txt", "Magnet_fields_2D.txt_775.txt")</f>
        <v/>
      </c>
    </row>
    <row customHeight="1" ht="15.75" r="776" s="34">
      <c r="D776" s="30" t="n"/>
      <c r="E776" s="15" t="n">
        <v>150</v>
      </c>
      <c r="F776" s="15" t="n">
        <v>200</v>
      </c>
      <c r="G776" s="15" t="n">
        <v>430</v>
      </c>
      <c r="H776" s="15" t="n">
        <v>25</v>
      </c>
      <c r="I776" s="15" t="n">
        <v>180</v>
      </c>
      <c r="J776" s="13" t="n">
        <v>25</v>
      </c>
      <c r="K776" t="n">
        <v>60</v>
      </c>
      <c r="L776" s="13" t="n">
        <v>1.4</v>
      </c>
      <c r="M776" s="12" t="n"/>
      <c r="N776" s="8" t="n">
        <v>0.8889144042911004</v>
      </c>
      <c r="O776" s="15" t="n">
        <v>0.7456142433022929</v>
      </c>
      <c r="P776" s="15" t="n">
        <v>0.8376657681760116</v>
      </c>
      <c r="Q776" s="15" t="n">
        <v>0.008681586594409674</v>
      </c>
      <c r="R776" s="15" t="n">
        <v>0.05396182794396048</v>
      </c>
      <c r="S776" s="15" t="n">
        <v>0.007505340261120932</v>
      </c>
      <c r="T776" s="29">
        <f>HIPERLINK($A$1 &amp; "\Dados\Imagem_perfil_776.png", "Imagem_perfil_776")</f>
        <v/>
      </c>
      <c r="U776" s="29">
        <f>HIPERLINK($A$1 &amp; "\Dados\Results_airgap776.txt", "Results_airgap776")</f>
        <v/>
      </c>
      <c r="V776" s="19" t="n"/>
      <c r="W776" s="43" t="n">
        <v>1.429931304347826</v>
      </c>
      <c r="X776" s="15" t="n">
        <v>0.52163670020116</v>
      </c>
      <c r="Y776" s="15" t="n">
        <v>0.003338796089918156</v>
      </c>
      <c r="Z776" s="15" t="n">
        <v>0.1864935735468585</v>
      </c>
      <c r="AA776" s="15" t="n">
        <v>7.309697613189275</v>
      </c>
      <c r="AB776" s="15" t="n">
        <v>0</v>
      </c>
      <c r="AC776" s="15" t="n">
        <v>0</v>
      </c>
      <c r="AD776" s="15" t="n">
        <v>68.0176499608214</v>
      </c>
      <c r="AE776" s="15" t="n">
        <v>39.28066337659036</v>
      </c>
      <c r="AF776" s="15" t="n">
        <v>0</v>
      </c>
      <c r="AH776" s="29">
        <f>HIPERLINK($A$1 &amp; "\Dados\Magnet_fields.txt_776.txt.txt", "Magnet_fields.txt_776.txt")</f>
        <v/>
      </c>
      <c r="AI776" t="n">
        <v>11478</v>
      </c>
      <c r="AJ776" t="n">
        <v>33</v>
      </c>
      <c r="AK776" s="29">
        <f>HIPERLINK($A$1 &amp; "\Dados\Magnet_3D_results.txt_776.txt.txt", "Magnet_3D_results.txt_776.txt")</f>
        <v/>
      </c>
      <c r="AL776" s="29">
        <f>HIPERLINK($A$1 &amp; "\Dados\Magnet_fields_2D.txt_776.txt.txt", "Magnet_fields_2D.txt_776.txt")</f>
        <v/>
      </c>
    </row>
    <row customHeight="1" ht="15.75" r="777" s="34">
      <c r="D777" s="30" t="n"/>
      <c r="E777" s="15" t="n">
        <v>150</v>
      </c>
      <c r="F777" s="15" t="n">
        <v>200</v>
      </c>
      <c r="G777" s="15" t="n">
        <v>430</v>
      </c>
      <c r="H777" s="15" t="n">
        <v>25</v>
      </c>
      <c r="I777" s="15" t="n">
        <v>180</v>
      </c>
      <c r="J777" s="13" t="n">
        <v>25</v>
      </c>
      <c r="K777" t="n">
        <v>60</v>
      </c>
      <c r="L777" s="13" t="n">
        <v>1.6</v>
      </c>
      <c r="M777" s="12" t="n"/>
      <c r="N777" s="8" t="n">
        <v>1.097869322899146</v>
      </c>
      <c r="O777" s="15" t="n">
        <v>0.9404352361102792</v>
      </c>
      <c r="P777" s="15" t="n">
        <v>1.042535729274697</v>
      </c>
      <c r="Q777" s="15" t="n">
        <v>0.007059486680031686</v>
      </c>
      <c r="R777" s="15" t="n">
        <v>0.01988440254381799</v>
      </c>
      <c r="S777" s="15" t="n">
        <v>0.006309285521324103</v>
      </c>
      <c r="T777" s="29">
        <f>HIPERLINK($A$1 &amp; "\Dados\Imagem_perfil_777.png", "Imagem_perfil_777")</f>
        <v/>
      </c>
      <c r="U777" s="29">
        <f>HIPERLINK($A$1 &amp; "\Dados\Results_airgap777.txt", "Results_airgap777")</f>
        <v/>
      </c>
      <c r="V777" s="19" t="n"/>
      <c r="W777" s="43" t="n">
        <v>1.612576304347826</v>
      </c>
      <c r="X777" s="15" t="n">
        <v>0.6744060889717461</v>
      </c>
      <c r="Y777" s="15" t="n">
        <v>0.001886949938781063</v>
      </c>
      <c r="Z777" s="15" t="n">
        <v>0.1394042848927775</v>
      </c>
      <c r="AA777" s="15" t="n">
        <v>7.325617519088068</v>
      </c>
      <c r="AB777" s="15" t="n">
        <v>0</v>
      </c>
      <c r="AC777" s="15" t="n">
        <v>4.924057048871515</v>
      </c>
      <c r="AD777" s="15" t="n">
        <v>66.64354214279078</v>
      </c>
      <c r="AE777" s="15" t="n">
        <v>116.659619452155</v>
      </c>
      <c r="AF777" s="15" t="n">
        <v>21.63127193136034</v>
      </c>
      <c r="AH777" s="29">
        <f>HIPERLINK($A$1 &amp; "\Dados\Magnet_fields.txt_777.txt.txt", "Magnet_fields.txt_777.txt")</f>
        <v/>
      </c>
      <c r="AI777" t="n">
        <v>11478</v>
      </c>
      <c r="AJ777" t="n">
        <v>34</v>
      </c>
      <c r="AK777" s="29">
        <f>HIPERLINK($A$1 &amp; "\Dados\Magnet_3D_results.txt_777.txt.txt", "Magnet_3D_results.txt_777.txt")</f>
        <v/>
      </c>
      <c r="AL777" s="29">
        <f>HIPERLINK($A$1 &amp; "\Dados\Magnet_fields_2D.txt_777.txt.txt", "Magnet_fields_2D.txt_777.txt")</f>
        <v/>
      </c>
    </row>
    <row customHeight="1" ht="15.75" r="778" s="34">
      <c r="D778" s="30" t="n"/>
      <c r="E778" s="15" t="n">
        <v>150</v>
      </c>
      <c r="F778" s="15" t="n">
        <v>200</v>
      </c>
      <c r="G778" s="15" t="n">
        <v>430</v>
      </c>
      <c r="H778" s="15" t="n">
        <v>25</v>
      </c>
      <c r="I778" s="15" t="n">
        <v>180</v>
      </c>
      <c r="J778" s="13" t="n">
        <v>25</v>
      </c>
      <c r="K778" t="n">
        <v>60</v>
      </c>
      <c r="L778" s="13" t="n">
        <v>1.8</v>
      </c>
      <c r="M778" s="12" t="n"/>
      <c r="N778" s="8" t="n">
        <v>1.35678192771376</v>
      </c>
      <c r="O778" s="15" t="n">
        <v>1.18574204658145</v>
      </c>
      <c r="P778" s="15" t="n">
        <v>1.297754067373388</v>
      </c>
      <c r="Q778" s="15" t="n">
        <v>0.007999804935602815</v>
      </c>
      <c r="R778" s="15" t="n">
        <v>0.05082587121435126</v>
      </c>
      <c r="S778" s="15" t="n">
        <v>0.007891619608286214</v>
      </c>
      <c r="T778" s="29">
        <f>HIPERLINK($A$1 &amp; "\Dados\Imagem_perfil_778.png", "Imagem_perfil_778")</f>
        <v/>
      </c>
      <c r="U778" s="29">
        <f>HIPERLINK($A$1 &amp; "\Dados\Results_airgap778.txt", "Results_airgap778")</f>
        <v/>
      </c>
      <c r="V778" s="19" t="n"/>
      <c r="W778" s="43" t="n">
        <v>1.808528695652174</v>
      </c>
      <c r="X778" s="15" t="n">
        <v>0.8775184290935922</v>
      </c>
      <c r="Y778" s="15" t="n">
        <v>0.001105070889774747</v>
      </c>
      <c r="Z778" s="15" t="n">
        <v>0.04735656059528125</v>
      </c>
      <c r="AA778" s="15" t="n">
        <v>5.697287358519997</v>
      </c>
      <c r="AB778" s="15" t="n">
        <v>1.394549264243525</v>
      </c>
      <c r="AC778" s="15" t="n">
        <v>10.64743082985588</v>
      </c>
      <c r="AD778" s="15" t="n">
        <v>67.61907587805524</v>
      </c>
      <c r="AE778" s="15" t="n">
        <v>114.3245914924674</v>
      </c>
      <c r="AF778" s="15" t="n">
        <v>173.1849965043674</v>
      </c>
      <c r="AH778" s="29">
        <f>HIPERLINK($A$1 &amp; "\Dados\Magnet_fields.txt_778.txt.txt", "Magnet_fields.txt_778.txt")</f>
        <v/>
      </c>
      <c r="AI778" t="n">
        <v>11478</v>
      </c>
      <c r="AJ778" t="n">
        <v>30</v>
      </c>
      <c r="AK778" s="29">
        <f>HIPERLINK($A$1 &amp; "\Dados\Magnet_3D_results.txt_778.txt.txt", "Magnet_3D_results.txt_778.txt")</f>
        <v/>
      </c>
      <c r="AL778" s="29">
        <f>HIPERLINK($A$1 &amp; "\Dados\Magnet_fields_2D.txt_778.txt.txt", "Magnet_fields_2D.txt_778.txt")</f>
        <v/>
      </c>
    </row>
    <row customHeight="1" ht="15.75" r="779" s="34">
      <c r="D779" s="30" t="n"/>
      <c r="E779" s="15" t="n">
        <v>150</v>
      </c>
      <c r="F779" s="15" t="n">
        <v>200</v>
      </c>
      <c r="G779" s="15" t="n">
        <v>430</v>
      </c>
      <c r="H779" s="15" t="n">
        <v>25</v>
      </c>
      <c r="I779" s="15" t="n">
        <v>180</v>
      </c>
      <c r="J779" s="13" t="n">
        <v>25</v>
      </c>
      <c r="K779" t="n">
        <v>60</v>
      </c>
      <c r="L779" s="13" t="n">
        <v>2</v>
      </c>
      <c r="M779" s="12" t="n"/>
      <c r="N779" s="8" t="n">
        <v>1.388697474704331</v>
      </c>
      <c r="O779" s="15" t="n">
        <v>1.212443289910385</v>
      </c>
      <c r="P779" s="15" t="n">
        <v>1.32964444351133</v>
      </c>
      <c r="Q779" s="15" t="n">
        <v>0.02137092617343277</v>
      </c>
      <c r="R779" s="15" t="n">
        <v>0.05602129224057418</v>
      </c>
      <c r="S779" s="15" t="n">
        <v>0.02011064275951197</v>
      </c>
      <c r="T779" s="29">
        <f>HIPERLINK($A$1 &amp; "\Dados\Imagem_perfil_779.png", "Imagem_perfil_779")</f>
        <v/>
      </c>
      <c r="U779" s="29">
        <f>HIPERLINK($A$1 &amp; "\Dados\Results_airgap779.txt", "Results_airgap779")</f>
        <v/>
      </c>
      <c r="V779" s="19" t="n"/>
      <c r="W779" s="43" t="n">
        <v>1.875654565217391</v>
      </c>
      <c r="X779" s="15" t="n">
        <v>0.8985516518488632</v>
      </c>
      <c r="Y779" s="15" t="n">
        <v>0.0262553805006394</v>
      </c>
      <c r="Z779" s="15" t="n">
        <v>0.01950902107788906</v>
      </c>
      <c r="AA779" s="15" t="n">
        <v>6.51590951025046</v>
      </c>
      <c r="AB779" s="15" t="n">
        <v>0.7139895993252506</v>
      </c>
      <c r="AC779" s="15" t="n">
        <v>15.89645660954455</v>
      </c>
      <c r="AD779" s="15" t="n">
        <v>65.55100009580052</v>
      </c>
      <c r="AE779" s="15" t="n">
        <v>100.7840919379972</v>
      </c>
      <c r="AF779" s="15" t="n">
        <v>134.1729759755702</v>
      </c>
      <c r="AH779" s="29">
        <f>HIPERLINK($A$1 &amp; "\Dados\Magnet_fields.txt_779.txt.txt", "Magnet_fields.txt_779.txt")</f>
        <v/>
      </c>
      <c r="AI779" t="n">
        <v>11478</v>
      </c>
      <c r="AJ779" t="n">
        <v>30</v>
      </c>
      <c r="AK779" s="29">
        <f>HIPERLINK($A$1 &amp; "\Dados\Magnet_3D_results.txt_779.txt.txt", "Magnet_3D_results.txt_779.txt")</f>
        <v/>
      </c>
      <c r="AL779" s="29">
        <f>HIPERLINK($A$1 &amp; "\Dados\Magnet_fields_2D.txt_779.txt.txt", "Magnet_fields_2D.txt_779.txt")</f>
        <v/>
      </c>
    </row>
    <row customHeight="1" ht="15.75" r="780" s="34">
      <c r="D780" s="30" t="n"/>
      <c r="E780" s="15" t="n">
        <v>150</v>
      </c>
      <c r="F780" s="15" t="n">
        <v>200</v>
      </c>
      <c r="G780" s="15" t="n">
        <v>430</v>
      </c>
      <c r="H780" s="15" t="n">
        <v>25</v>
      </c>
      <c r="I780" s="15" t="n">
        <v>180</v>
      </c>
      <c r="J780" s="13" t="n">
        <v>25</v>
      </c>
      <c r="K780" t="n">
        <v>60</v>
      </c>
      <c r="L780" s="13" t="n">
        <v>2.2</v>
      </c>
      <c r="M780" s="12" t="n"/>
      <c r="N780" s="8" t="n">
        <v>1.389777485011878</v>
      </c>
      <c r="O780" s="15" t="n">
        <v>1.212979187254496</v>
      </c>
      <c r="P780" s="15" t="n">
        <v>1.330695130846918</v>
      </c>
      <c r="Q780" s="15" t="n">
        <v>0.02206609652212671</v>
      </c>
      <c r="R780" s="15" t="n">
        <v>0.05523520369262667</v>
      </c>
      <c r="S780" s="15" t="n">
        <v>0.0207343639507691</v>
      </c>
      <c r="T780" s="29">
        <f>HIPERLINK($A$1 &amp; "\Dados\Imagem_perfil_780.png", "Imagem_perfil_780")</f>
        <v/>
      </c>
      <c r="U780" s="29">
        <f>HIPERLINK($A$1 &amp; "\Dados\Results_airgap780.txt", "Results_airgap780")</f>
        <v/>
      </c>
      <c r="V780" s="19" t="n"/>
      <c r="W780" s="15" t="n">
        <v>1.877941739130434</v>
      </c>
      <c r="X780" s="15" t="n">
        <v>0.8989834020281237</v>
      </c>
      <c r="Y780" s="15" t="n">
        <v>0.1042536804840197</v>
      </c>
      <c r="Z780" s="15" t="n">
        <v>0.01950902107788906</v>
      </c>
      <c r="AA780" s="15" t="n">
        <v>6.858707269491061</v>
      </c>
      <c r="AB780" s="15" t="n">
        <v>0.9181017263463183</v>
      </c>
      <c r="AC780" s="15" t="n">
        <v>16.27478964460405</v>
      </c>
      <c r="AD780" s="15" t="n">
        <v>65.36550563707432</v>
      </c>
      <c r="AE780" s="15" t="n">
        <v>99.56898594781113</v>
      </c>
      <c r="AF780" s="15" t="n">
        <v>131.9282033942705</v>
      </c>
      <c r="AH780" s="29">
        <f>HIPERLINK($A$1 &amp; "\Dados\Magnet_fields.txt_780.txt.txt", "Magnet_fields.txt_780.txt")</f>
        <v/>
      </c>
      <c r="AI780" t="n">
        <v>11478</v>
      </c>
      <c r="AJ780" t="n">
        <v>29</v>
      </c>
      <c r="AK780" s="29">
        <f>HIPERLINK($A$1 &amp; "\Dados\Magnet_3D_results.txt_780.txt.txt", "Magnet_3D_results.txt_780.txt")</f>
        <v/>
      </c>
      <c r="AL780" s="29">
        <f>HIPERLINK($A$1 &amp; "\Dados\Magnet_fields_2D.txt_780.txt.txt", "Magnet_fields_2D.txt_780.txt")</f>
        <v/>
      </c>
    </row>
    <row customHeight="1" ht="15.75" r="781" s="34">
      <c r="D781" s="30" t="n"/>
      <c r="E781" s="15" t="n">
        <v>150</v>
      </c>
      <c r="F781" s="15" t="n">
        <v>200</v>
      </c>
      <c r="G781" s="15" t="n">
        <v>430</v>
      </c>
      <c r="H781" s="15" t="n">
        <v>45</v>
      </c>
      <c r="I781" s="15" t="n">
        <v>180</v>
      </c>
      <c r="J781" s="13" t="n">
        <v>25</v>
      </c>
      <c r="K781" t="n">
        <v>60</v>
      </c>
      <c r="L781" s="13" t="n">
        <v>1.4</v>
      </c>
      <c r="M781" s="12" t="n"/>
      <c r="N781" s="8" t="n">
        <v>0.923166442081486</v>
      </c>
      <c r="O781" s="15" t="n">
        <v>0.7795349974925426</v>
      </c>
      <c r="P781" s="15" t="n">
        <v>0.8719568422059661</v>
      </c>
      <c r="Q781" s="15" t="n">
        <v>0.009473287836159911</v>
      </c>
      <c r="R781" s="15" t="n">
        <v>0.04347367159477224</v>
      </c>
      <c r="S781" s="15" t="n">
        <v>0.008254602833493524</v>
      </c>
      <c r="T781" s="29">
        <f>HIPERLINK($A$1 &amp; "\Dados\Imagem_perfil_781.png", "Imagem_perfil_781")</f>
        <v/>
      </c>
      <c r="U781" s="29">
        <f>HIPERLINK($A$1 &amp; "\Dados\Results_airgap781.txt", "Results_airgap781")</f>
        <v/>
      </c>
      <c r="V781" s="19" t="n"/>
      <c r="W781" s="43" t="n">
        <v>1.427372608695652</v>
      </c>
      <c r="X781" s="15" t="n">
        <v>0.5398155754981168</v>
      </c>
      <c r="Y781" s="15" t="n">
        <v>0.00336443042007906</v>
      </c>
      <c r="Z781" s="15" t="n">
        <v>0.05441364519359681</v>
      </c>
      <c r="AA781" s="15" t="n">
        <v>11.78784718789478</v>
      </c>
      <c r="AB781" s="15" t="n">
        <v>0</v>
      </c>
      <c r="AC781" s="15" t="n">
        <v>0</v>
      </c>
      <c r="AD781" s="15" t="n">
        <v>65.58239550387121</v>
      </c>
      <c r="AE781" s="15" t="n">
        <v>38.87828495369929</v>
      </c>
      <c r="AF781" s="15" t="n">
        <v>0</v>
      </c>
      <c r="AH781" s="29">
        <f>HIPERLINK($A$1 &amp; "\Dados\Magnet_fields.txt_781.txt.txt", "Magnet_fields.txt_781.txt")</f>
        <v/>
      </c>
      <c r="AI781" t="n">
        <v>7903</v>
      </c>
      <c r="AJ781" t="n">
        <v>30</v>
      </c>
      <c r="AK781" s="29">
        <f>HIPERLINK($A$1 &amp; "\Dados\Magnet_3D_results.txt_781.txt.txt", "Magnet_3D_results.txt_781.txt")</f>
        <v/>
      </c>
      <c r="AL781" s="29">
        <f>HIPERLINK($A$1 &amp; "\Dados\Magnet_fields_2D.txt_781.txt.txt", "Magnet_fields_2D.txt_781.txt")</f>
        <v/>
      </c>
    </row>
    <row customHeight="1" ht="15.75" r="782" s="34">
      <c r="D782" s="30" t="n"/>
      <c r="E782" s="15" t="n">
        <v>150</v>
      </c>
      <c r="F782" s="15" t="n">
        <v>200</v>
      </c>
      <c r="G782" s="15" t="n">
        <v>430</v>
      </c>
      <c r="H782" s="15" t="n">
        <v>45</v>
      </c>
      <c r="I782" s="15" t="n">
        <v>180</v>
      </c>
      <c r="J782" s="13" t="n">
        <v>25</v>
      </c>
      <c r="K782" t="n">
        <v>60</v>
      </c>
      <c r="L782" s="13" t="n">
        <v>1.6</v>
      </c>
      <c r="M782" s="12" t="n"/>
      <c r="N782" s="8" t="n">
        <v>1.141513428471296</v>
      </c>
      <c r="O782" s="15" t="n">
        <v>0.9832891108263861</v>
      </c>
      <c r="P782" s="15" t="n">
        <v>1.085750993047195</v>
      </c>
      <c r="Q782" s="15" t="n">
        <v>0.007578064999424729</v>
      </c>
      <c r="R782" s="15" t="n">
        <v>0.009681355285521885</v>
      </c>
      <c r="S782" s="15" t="n">
        <v>0.00685903289692189</v>
      </c>
      <c r="T782" s="29">
        <f>HIPERLINK($A$1 &amp; "\Dados\Imagem_perfil_782.png", "Imagem_perfil_782")</f>
        <v/>
      </c>
      <c r="U782" s="29">
        <f>HIPERLINK($A$1 &amp; "\Dados\Results_airgap782.txt", "Results_airgap782")</f>
        <v/>
      </c>
      <c r="V782" s="19" t="n"/>
      <c r="W782" s="43" t="n">
        <v>1.613273043478261</v>
      </c>
      <c r="X782" s="15" t="n">
        <v>0.6996261779411737</v>
      </c>
      <c r="Y782" s="15" t="n">
        <v>0.001866404895251053</v>
      </c>
      <c r="Z782" s="15" t="n">
        <v>0.1010709112092475</v>
      </c>
      <c r="AA782" s="15" t="n">
        <v>7.81657233360851</v>
      </c>
      <c r="AB782" s="15" t="n">
        <v>0</v>
      </c>
      <c r="AC782" s="15" t="n">
        <v>4.771828583620224</v>
      </c>
      <c r="AD782" s="15" t="n">
        <v>67.6642590675004</v>
      </c>
      <c r="AE782" s="15" t="n">
        <v>118.1370290407121</v>
      </c>
      <c r="AF782" s="15" t="n">
        <v>22.20252215271315</v>
      </c>
      <c r="AH782" s="29">
        <f>HIPERLINK($A$1 &amp; "\Dados\Magnet_fields.txt_782.txt.txt", "Magnet_fields.txt_782.txt")</f>
        <v/>
      </c>
      <c r="AI782" t="n">
        <v>7903</v>
      </c>
      <c r="AJ782" t="n">
        <v>30</v>
      </c>
      <c r="AK782" s="29">
        <f>HIPERLINK($A$1 &amp; "\Dados\Magnet_3D_results.txt_782.txt.txt", "Magnet_3D_results.txt_782.txt")</f>
        <v/>
      </c>
      <c r="AL782" s="29">
        <f>HIPERLINK($A$1 &amp; "\Dados\Magnet_fields_2D.txt_782.txt.txt", "Magnet_fields_2D.txt_782.txt")</f>
        <v/>
      </c>
    </row>
    <row customHeight="1" ht="15.75" r="783" s="34">
      <c r="D783" s="30" t="n"/>
      <c r="E783" s="15" t="n">
        <v>150</v>
      </c>
      <c r="F783" s="15" t="n">
        <v>200</v>
      </c>
      <c r="G783" s="15" t="n">
        <v>430</v>
      </c>
      <c r="H783" s="15" t="n">
        <v>45</v>
      </c>
      <c r="I783" s="15" t="n">
        <v>180</v>
      </c>
      <c r="J783" s="13" t="n">
        <v>25</v>
      </c>
      <c r="K783" t="n">
        <v>60</v>
      </c>
      <c r="L783" s="13" t="n">
        <v>1.8</v>
      </c>
      <c r="M783" s="12" t="n"/>
      <c r="N783" s="8" t="n">
        <v>1.38889168550831</v>
      </c>
      <c r="O783" s="15" t="n">
        <v>1.21640391943205</v>
      </c>
      <c r="P783" s="15" t="n">
        <v>1.329498736605335</v>
      </c>
      <c r="Q783" s="15" t="n">
        <v>0.009081352513016281</v>
      </c>
      <c r="R783" s="15" t="n">
        <v>0.05783119444779038</v>
      </c>
      <c r="S783" s="15" t="n">
        <v>0.008978063605925584</v>
      </c>
      <c r="T783" s="29">
        <f>HIPERLINK($A$1 &amp; "\Dados\Imagem_perfil_783.png", "Imagem_perfil_783")</f>
        <v/>
      </c>
      <c r="U783" s="29">
        <f>HIPERLINK($A$1 &amp; "\Dados\Results_airgap783.txt", "Results_airgap783")</f>
        <v/>
      </c>
      <c r="V783" s="19" t="n"/>
      <c r="W783" s="43" t="n">
        <v>1.809671956521739</v>
      </c>
      <c r="X783" s="15" t="n">
        <v>0.8910100720003356</v>
      </c>
      <c r="Y783" s="15" t="n">
        <v>0.001095318080927723</v>
      </c>
      <c r="Z783" s="15" t="n">
        <v>0.03193350917632562</v>
      </c>
      <c r="AA783" s="15" t="n">
        <v>0.1607770853392231</v>
      </c>
      <c r="AB783" s="15" t="n">
        <v>1.260005873768909</v>
      </c>
      <c r="AC783" s="15" t="n">
        <v>11.02149145757055</v>
      </c>
      <c r="AD783" s="15" t="n">
        <v>66.94296978359608</v>
      </c>
      <c r="AE783" s="15" t="n">
        <v>113.6856603556831</v>
      </c>
      <c r="AF783" s="15" t="n">
        <v>173.6528537032147</v>
      </c>
      <c r="AH783" s="29">
        <f>HIPERLINK($A$1 &amp; "\Dados\Magnet_fields.txt_783.txt.txt", "Magnet_fields.txt_783.txt")</f>
        <v/>
      </c>
      <c r="AI783" t="n">
        <v>7903</v>
      </c>
      <c r="AJ783" t="n">
        <v>29</v>
      </c>
      <c r="AK783" s="29">
        <f>HIPERLINK($A$1 &amp; "\Dados\Magnet_3D_results.txt_783.txt.txt", "Magnet_3D_results.txt_783.txt")</f>
        <v/>
      </c>
      <c r="AL783" s="29">
        <f>HIPERLINK($A$1 &amp; "\Dados\Magnet_fields_2D.txt_783.txt.txt", "Magnet_fields_2D.txt_783.txt")</f>
        <v/>
      </c>
    </row>
    <row customHeight="1" ht="15.75" r="784" s="34">
      <c r="D784" s="30" t="n"/>
      <c r="E784" s="15" t="n">
        <v>150</v>
      </c>
      <c r="F784" s="15" t="n">
        <v>200</v>
      </c>
      <c r="G784" s="15" t="n">
        <v>430</v>
      </c>
      <c r="H784" s="15" t="n">
        <v>45</v>
      </c>
      <c r="I784" s="15" t="n">
        <v>180</v>
      </c>
      <c r="J784" s="13" t="n">
        <v>25</v>
      </c>
      <c r="K784" t="n">
        <v>60</v>
      </c>
      <c r="L784" s="13" t="n">
        <v>2</v>
      </c>
      <c r="M784" s="12" t="n"/>
      <c r="N784" s="8" t="n">
        <v>1.420428383654488</v>
      </c>
      <c r="O784" s="15" t="n">
        <v>1.243057006731767</v>
      </c>
      <c r="P784" s="15" t="n">
        <v>1.36093368861012</v>
      </c>
      <c r="Q784" s="15" t="n">
        <v>0.02280597019163142</v>
      </c>
      <c r="R784" s="15" t="n">
        <v>0.06464066144123021</v>
      </c>
      <c r="S784" s="15" t="n">
        <v>0.02159624177137937</v>
      </c>
      <c r="T784" s="29">
        <f>HIPERLINK($A$1 &amp; "\Dados\Imagem_perfil_784.png", "Imagem_perfil_784")</f>
        <v/>
      </c>
      <c r="U784" s="29">
        <f>HIPERLINK($A$1 &amp; "\Dados\Results_airgap784.txt", "Results_airgap784")</f>
        <v/>
      </c>
      <c r="V784" s="19" t="n"/>
      <c r="W784" s="43" t="n">
        <v>1.876182826086956</v>
      </c>
      <c r="X784" s="15" t="n">
        <v>0.9117947546814889</v>
      </c>
      <c r="Y784" s="15" t="n">
        <v>0.02615006046038322</v>
      </c>
      <c r="Z784" s="15" t="n">
        <v>0.02302017185807697</v>
      </c>
      <c r="AA784" s="15" t="n">
        <v>0</v>
      </c>
      <c r="AB784" s="15" t="n">
        <v>0.6231493847166556</v>
      </c>
      <c r="AC784" s="15" t="n">
        <v>15.92943917444186</v>
      </c>
      <c r="AD784" s="15" t="n">
        <v>65.71235644415417</v>
      </c>
      <c r="AE784" s="15" t="n">
        <v>101.0387800482263</v>
      </c>
      <c r="AF784" s="15" t="n">
        <v>134.0433542188322</v>
      </c>
      <c r="AH784" s="29">
        <f>HIPERLINK($A$1 &amp; "\Dados\Magnet_fields.txt_784.txt.txt", "Magnet_fields.txt_784.txt")</f>
        <v/>
      </c>
      <c r="AI784" t="n">
        <v>7903</v>
      </c>
      <c r="AJ784" t="n">
        <v>29</v>
      </c>
      <c r="AK784" s="29">
        <f>HIPERLINK($A$1 &amp; "\Dados\Magnet_3D_results.txt_784.txt.txt", "Magnet_3D_results.txt_784.txt")</f>
        <v/>
      </c>
      <c r="AL784" s="29">
        <f>HIPERLINK($A$1 &amp; "\Dados\Magnet_fields_2D.txt_784.txt.txt", "Magnet_fields_2D.txt_784.txt")</f>
        <v/>
      </c>
    </row>
    <row customHeight="1" ht="15.75" r="785" s="34">
      <c r="D785" s="30" t="n"/>
      <c r="E785" s="15" t="n">
        <v>150</v>
      </c>
      <c r="F785" s="15" t="n">
        <v>200</v>
      </c>
      <c r="G785" s="15" t="n">
        <v>430</v>
      </c>
      <c r="H785" s="15" t="n">
        <v>45</v>
      </c>
      <c r="I785" s="15" t="n">
        <v>180</v>
      </c>
      <c r="J785" s="13" t="n">
        <v>25</v>
      </c>
      <c r="K785" t="n">
        <v>60</v>
      </c>
      <c r="L785" s="13" t="n">
        <v>2.2</v>
      </c>
      <c r="M785" s="12" t="n"/>
      <c r="N785" s="8" t="n">
        <v>1.421631324236571</v>
      </c>
      <c r="O785" s="15" t="n">
        <v>1.243697778316217</v>
      </c>
      <c r="P785" s="15" t="n">
        <v>1.362114689555568</v>
      </c>
      <c r="Q785" s="15" t="n">
        <v>0.02376126992872918</v>
      </c>
      <c r="R785" s="15" t="n">
        <v>0.06418806653371088</v>
      </c>
      <c r="S785" s="15" t="n">
        <v>0.0224653825002036</v>
      </c>
      <c r="T785" s="29">
        <f>HIPERLINK($A$1 &amp; "\Dados\Imagem_perfil_785.png", "Imagem_perfil_785")</f>
        <v/>
      </c>
      <c r="U785" s="29">
        <f>HIPERLINK($A$1 &amp; "\Dados\Results_airgap785.txt", "Results_airgap785")</f>
        <v/>
      </c>
      <c r="V785" s="19" t="n"/>
      <c r="W785" s="15" t="n">
        <v>1.878238695652174</v>
      </c>
      <c r="X785" s="15" t="n">
        <v>0.912321726935275</v>
      </c>
      <c r="Y785" s="15" t="n">
        <v>0.1040361692791769</v>
      </c>
      <c r="Z785" s="15" t="n">
        <v>0.02302017185807697</v>
      </c>
      <c r="AA785" s="15" t="n">
        <v>0</v>
      </c>
      <c r="AB785" s="15" t="n">
        <v>0.9206142375539014</v>
      </c>
      <c r="AC785" s="15" t="n">
        <v>16.25547589636382</v>
      </c>
      <c r="AD785" s="15" t="n">
        <v>65.33393370415457</v>
      </c>
      <c r="AE785" s="15" t="n">
        <v>99.50109840288025</v>
      </c>
      <c r="AF785" s="15" t="n">
        <v>131.8954486964114</v>
      </c>
      <c r="AH785" s="29">
        <f>HIPERLINK($A$1 &amp; "\Dados\Magnet_fields.txt_785.txt.txt", "Magnet_fields.txt_785.txt")</f>
        <v/>
      </c>
      <c r="AI785" t="n">
        <v>7903</v>
      </c>
      <c r="AJ785" t="n">
        <v>29</v>
      </c>
      <c r="AK785" s="29">
        <f>HIPERLINK($A$1 &amp; "\Dados\Magnet_3D_results.txt_785.txt.txt", "Magnet_3D_results.txt_785.txt")</f>
        <v/>
      </c>
      <c r="AL785" s="29">
        <f>HIPERLINK($A$1 &amp; "\Dados\Magnet_fields_2D.txt_785.txt.txt", "Magnet_fields_2D.txt_785.txt")</f>
        <v/>
      </c>
    </row>
    <row customHeight="1" ht="15.75" r="786" s="34">
      <c r="E786" s="15" t="n">
        <v>144</v>
      </c>
      <c r="F786" s="15" t="n">
        <v>179</v>
      </c>
      <c r="G786" s="15" t="n">
        <v>402</v>
      </c>
      <c r="H786" s="15" t="n">
        <v>45</v>
      </c>
      <c r="I786" s="15" t="n">
        <v>157</v>
      </c>
      <c r="J786" s="13" t="n">
        <v>25</v>
      </c>
      <c r="K786" t="n">
        <v>50</v>
      </c>
      <c r="L786" s="13" t="n">
        <v>1.3</v>
      </c>
      <c r="M786" s="12" t="n"/>
      <c r="N786" s="8" t="n">
        <v>0.9182442627013171</v>
      </c>
      <c r="O786" s="15" t="n">
        <v>0.7358917234258372</v>
      </c>
      <c r="P786" s="15" t="n">
        <v>0.8644349626997534</v>
      </c>
      <c r="Q786" s="15" t="n">
        <v>0.001398694695473112</v>
      </c>
      <c r="R786" s="15" t="n">
        <v>0.0232393424482295</v>
      </c>
      <c r="S786" s="15" t="n">
        <v>0.001285123796838184</v>
      </c>
      <c r="T786" s="29">
        <f>HIPERLINK($A$1 &amp; "\Dados\Imagem_perfil_786.png", "Imagem_perfil_786")</f>
        <v/>
      </c>
      <c r="U786" s="29">
        <f>HIPERLINK($A$1 &amp; "\Dados\Results_airgap786.txt", "Results_airgap786")</f>
        <v/>
      </c>
      <c r="V786" s="19" t="n"/>
      <c r="W786" s="43" t="n">
        <v>1.301038260869565</v>
      </c>
      <c r="X786" s="15" t="n">
        <v>0.5278527699621277</v>
      </c>
      <c r="Y786" s="15" t="n">
        <v>9.84817484857323e-05</v>
      </c>
      <c r="Z786" s="15" t="n">
        <v>0</v>
      </c>
      <c r="AA786" s="15" t="n">
        <v>11.92432800971636</v>
      </c>
      <c r="AB786" s="15" t="n">
        <v>0</v>
      </c>
      <c r="AC786" s="15" t="n">
        <v>0</v>
      </c>
      <c r="AD786" s="15" t="n">
        <v>0</v>
      </c>
      <c r="AE786" s="15" t="n">
        <v>33.65197007198279</v>
      </c>
      <c r="AF786" s="15" t="n">
        <v>24.46236252896022</v>
      </c>
      <c r="AH786" s="29">
        <f>HIPERLINK($A$1 &amp; "\Dados\Magnet_fields.txt_786.txt.txt", "Magnet_fields.txt_786.txt")</f>
        <v/>
      </c>
      <c r="AI786" t="n">
        <v>6914</v>
      </c>
      <c r="AJ786" t="n">
        <v>28</v>
      </c>
      <c r="AK786" s="29">
        <f>HIPERLINK($A$1 &amp; "\Dados\Magnet_3D_results.txt_786.txt.txt", "Magnet_3D_results.txt_786.txt")</f>
        <v/>
      </c>
      <c r="AL786" s="29">
        <f>HIPERLINK($A$1 &amp; "\Dados\Magnet_fields_2D.txt_786.txt.txt", "Magnet_fields_2D.txt_786.txt")</f>
        <v/>
      </c>
    </row>
    <row customHeight="1" ht="15.75" r="787" s="34">
      <c r="E787" s="15" t="n">
        <v>144</v>
      </c>
      <c r="F787" s="15" t="n">
        <v>179</v>
      </c>
      <c r="G787" s="15" t="n">
        <v>402</v>
      </c>
      <c r="H787" s="15" t="n">
        <v>45</v>
      </c>
      <c r="I787" s="15" t="n">
        <v>157</v>
      </c>
      <c r="J787" s="13" t="n">
        <v>25</v>
      </c>
      <c r="K787" t="n">
        <v>50</v>
      </c>
      <c r="L787" s="13" t="n">
        <v>1.5</v>
      </c>
      <c r="M787" s="12" t="n"/>
      <c r="N787" s="8" t="n">
        <v>1.073910431800029</v>
      </c>
      <c r="O787" s="15" t="n">
        <v>0.8712474049508897</v>
      </c>
      <c r="P787" s="15" t="n">
        <v>1.013286910436397</v>
      </c>
      <c r="Q787" s="15" t="n">
        <v>0.001813355702919671</v>
      </c>
      <c r="R787" s="15" t="n">
        <v>0.01178765779707205</v>
      </c>
      <c r="S787" s="15" t="n">
        <v>0.001714646234979357</v>
      </c>
      <c r="T787" s="29">
        <f>HIPERLINK($A$1 &amp; "\Dados\Imagem_perfil_787.png", "Imagem_perfil_787")</f>
        <v/>
      </c>
      <c r="U787" s="29">
        <f>HIPERLINK($A$1 &amp; "\Dados\Results_airgap787.txt", "Results_airgap787")</f>
        <v/>
      </c>
      <c r="V787" s="19" t="n"/>
      <c r="W787" s="43" t="n">
        <v>1.498750217391304</v>
      </c>
      <c r="X787" s="15" t="n">
        <v>0.6332902792059765</v>
      </c>
      <c r="Y787" s="15" t="n">
        <v>9.254373536116066e-05</v>
      </c>
      <c r="Z787" s="15" t="n">
        <v>0</v>
      </c>
      <c r="AA787" s="15" t="n">
        <v>9.064774532487595</v>
      </c>
      <c r="AB787" s="15" t="n">
        <v>3.904390021493564</v>
      </c>
      <c r="AC787" s="15" t="n">
        <v>1.769195255001438</v>
      </c>
      <c r="AD787" s="15" t="n">
        <v>10.8071828897524</v>
      </c>
      <c r="AE787" s="15" t="n">
        <v>47.7688752651167</v>
      </c>
      <c r="AF787" s="15" t="n">
        <v>37.22246892986573</v>
      </c>
      <c r="AH787" s="29">
        <f>HIPERLINK($A$1 &amp; "\Dados\Magnet_fields.txt_787.txt.txt", "Magnet_fields.txt_787.txt")</f>
        <v/>
      </c>
      <c r="AI787" t="n">
        <v>6914</v>
      </c>
      <c r="AJ787" t="n">
        <v>29</v>
      </c>
      <c r="AK787" s="29">
        <f>HIPERLINK($A$1 &amp; "\Dados\Magnet_3D_results.txt_787.txt.txt", "Magnet_3D_results.txt_787.txt")</f>
        <v/>
      </c>
      <c r="AL787" s="29">
        <f>HIPERLINK($A$1 &amp; "\Dados\Magnet_fields_2D.txt_787.txt.txt", "Magnet_fields_2D.txt_787.txt")</f>
        <v/>
      </c>
    </row>
    <row customHeight="1" ht="15.75" r="788" s="34">
      <c r="E788" s="15" t="n">
        <v>144</v>
      </c>
      <c r="F788" s="15" t="n">
        <v>179</v>
      </c>
      <c r="G788" s="15" t="n">
        <v>402</v>
      </c>
      <c r="H788" s="15" t="n">
        <v>45</v>
      </c>
      <c r="I788" s="15" t="n">
        <v>157</v>
      </c>
      <c r="J788" s="13" t="n">
        <v>25</v>
      </c>
      <c r="K788" t="n">
        <v>50</v>
      </c>
      <c r="L788" s="13" t="n">
        <v>1.7</v>
      </c>
      <c r="M788" s="12" t="n"/>
      <c r="N788" s="8" t="n">
        <v>1.255063137151079</v>
      </c>
      <c r="O788" s="15" t="n">
        <v>1.02775120127598</v>
      </c>
      <c r="P788" s="15" t="n">
        <v>1.185485285825624</v>
      </c>
      <c r="Q788" s="15" t="n">
        <v>0.002850110373964617</v>
      </c>
      <c r="R788" s="15" t="n">
        <v>0.005531581365587358</v>
      </c>
      <c r="S788" s="15" t="n">
        <v>0.002783445481719839</v>
      </c>
      <c r="T788" s="29">
        <f>HIPERLINK($A$1 &amp; "\Dados\Imagem_perfil_788.png", "Imagem_perfil_788")</f>
        <v/>
      </c>
      <c r="U788" s="29">
        <f>HIPERLINK($A$1 &amp; "\Dados\Results_airgap788.txt", "Results_airgap788")</f>
        <v/>
      </c>
      <c r="V788" s="19" t="n"/>
      <c r="W788" s="43" t="n">
        <v>1.701377608695652</v>
      </c>
      <c r="X788" s="15" t="n">
        <v>0.7597690832990028</v>
      </c>
      <c r="Y788" s="15" t="n">
        <v>0.0001687182703120822</v>
      </c>
      <c r="Z788" s="15" t="n">
        <v>0</v>
      </c>
      <c r="AA788" s="15" t="n">
        <v>7.489670276434482</v>
      </c>
      <c r="AB788" s="15" t="n">
        <v>9.766188670853278</v>
      </c>
      <c r="AC788" s="15" t="n">
        <v>0</v>
      </c>
      <c r="AD788" s="15" t="n">
        <v>28.26391550425646</v>
      </c>
      <c r="AE788" s="15" t="n">
        <v>62.42716406823837</v>
      </c>
      <c r="AF788" s="15" t="n">
        <v>52.91892678756471</v>
      </c>
      <c r="AH788" s="29">
        <f>HIPERLINK($A$1 &amp; "\Dados\Magnet_fields.txt_788.txt.txt", "Magnet_fields.txt_788.txt")</f>
        <v/>
      </c>
      <c r="AI788" t="n">
        <v>6914</v>
      </c>
      <c r="AJ788" t="n">
        <v>28</v>
      </c>
      <c r="AK788" s="29">
        <f>HIPERLINK($A$1 &amp; "\Dados\Magnet_3D_results.txt_788.txt.txt", "Magnet_3D_results.txt_788.txt")</f>
        <v/>
      </c>
      <c r="AL788" s="29">
        <f>HIPERLINK($A$1 &amp; "\Dados\Magnet_fields_2D.txt_788.txt.txt", "Magnet_fields_2D.txt_788.txt")</f>
        <v/>
      </c>
    </row>
    <row customHeight="1" ht="15.75" r="789" s="34">
      <c r="E789" s="15" t="n">
        <v>144</v>
      </c>
      <c r="F789" s="15" t="n">
        <v>179</v>
      </c>
      <c r="G789" s="15" t="n">
        <v>402</v>
      </c>
      <c r="H789" s="15" t="n">
        <v>45</v>
      </c>
      <c r="I789" s="15" t="n">
        <v>157</v>
      </c>
      <c r="J789" s="13" t="n">
        <v>25</v>
      </c>
      <c r="K789" t="n">
        <v>50</v>
      </c>
      <c r="L789" s="13" t="n">
        <v>1.9</v>
      </c>
      <c r="M789" s="12" t="n"/>
      <c r="N789" s="8" t="n">
        <v>1.453427574043844</v>
      </c>
      <c r="O789" s="15" t="n">
        <v>1.204503175233075</v>
      </c>
      <c r="P789" s="15" t="n">
        <v>1.376827225478334</v>
      </c>
      <c r="Q789" s="15" t="n">
        <v>0.005674215124557716</v>
      </c>
      <c r="R789" s="15" t="n">
        <v>0.03303740245810004</v>
      </c>
      <c r="S789" s="15" t="n">
        <v>0.005689286877753994</v>
      </c>
      <c r="T789" s="29">
        <f>HIPERLINK($A$1 &amp; "\Dados\Imagem_perfil_789.png", "Imagem_perfil_789")</f>
        <v/>
      </c>
      <c r="U789" s="29">
        <f>HIPERLINK($A$1 &amp; "\Dados\Results_airgap789.txt", "Results_airgap789")</f>
        <v/>
      </c>
      <c r="V789" s="19" t="n"/>
      <c r="W789" s="43" t="n">
        <v>1.90113695652174</v>
      </c>
      <c r="X789" s="15" t="n">
        <v>0.9023966157022809</v>
      </c>
      <c r="Y789" s="15" t="n">
        <v>0.000195081639381802</v>
      </c>
      <c r="Z789" s="15" t="n">
        <v>0</v>
      </c>
      <c r="AA789" s="15" t="n">
        <v>4.080045552507236</v>
      </c>
      <c r="AB789" s="15" t="n">
        <v>13.73368932177032</v>
      </c>
      <c r="AC789" s="15" t="n">
        <v>1.040985001825565</v>
      </c>
      <c r="AD789" s="15" t="n">
        <v>36.71336511477358</v>
      </c>
      <c r="AE789" s="15" t="n">
        <v>83.61486637601769</v>
      </c>
      <c r="AF789" s="15" t="n">
        <v>92.05790213360011</v>
      </c>
      <c r="AH789" s="29">
        <f>HIPERLINK($A$1 &amp; "\Dados\Magnet_fields.txt_789.txt.txt", "Magnet_fields.txt_789.txt")</f>
        <v/>
      </c>
      <c r="AI789" t="n">
        <v>6914</v>
      </c>
      <c r="AJ789" t="n">
        <v>28</v>
      </c>
      <c r="AK789" s="29">
        <f>HIPERLINK($A$1 &amp; "\Dados\Magnet_3D_results.txt_789.txt.txt", "Magnet_3D_results.txt_789.txt")</f>
        <v/>
      </c>
      <c r="AL789" s="29">
        <f>HIPERLINK($A$1 &amp; "\Dados\Magnet_fields_2D.txt_789.txt.txt", "Magnet_fields_2D.txt_789.txt")</f>
        <v/>
      </c>
    </row>
    <row customHeight="1" ht="15.75" r="790" s="34">
      <c r="E790" s="15" t="n">
        <v>144</v>
      </c>
      <c r="F790" s="15" t="n">
        <v>179</v>
      </c>
      <c r="G790" s="15" t="n">
        <v>402</v>
      </c>
      <c r="H790" s="15" t="n">
        <v>45</v>
      </c>
      <c r="I790" s="15" t="n">
        <v>157</v>
      </c>
      <c r="J790" s="13" t="n">
        <v>25</v>
      </c>
      <c r="K790" t="n">
        <v>50</v>
      </c>
      <c r="L790" s="13" t="n">
        <v>2.1</v>
      </c>
      <c r="M790" s="12" t="n"/>
      <c r="N790" s="8" t="n">
        <v>1.539224316215884</v>
      </c>
      <c r="O790" s="15" t="n">
        <v>1.290592600102807</v>
      </c>
      <c r="P790" s="15" t="n">
        <v>1.467482512943565</v>
      </c>
      <c r="Q790" s="15" t="n">
        <v>0.006571257345428614</v>
      </c>
      <c r="R790" s="15" t="n">
        <v>0.04491289588909422</v>
      </c>
      <c r="S790" s="15" t="n">
        <v>0.006642762025928541</v>
      </c>
      <c r="T790" s="29">
        <f>HIPERLINK($A$1 &amp; "\Dados\Imagem_perfil_790.png", "Imagem_perfil_790")</f>
        <v/>
      </c>
      <c r="U790" s="29">
        <f>HIPERLINK($A$1 &amp; "\Dados\Results_airgap790.txt", "Results_airgap790")</f>
        <v/>
      </c>
      <c r="V790" s="19" t="n"/>
      <c r="W790" s="43" t="n">
        <v>1.994472826086957</v>
      </c>
      <c r="X790" s="15" t="n">
        <v>0.9629580703310121</v>
      </c>
      <c r="Y790" s="15" t="n">
        <v>0.01782816184922412</v>
      </c>
      <c r="Z790" s="15" t="n">
        <v>0</v>
      </c>
      <c r="AA790" s="15" t="n">
        <v>0</v>
      </c>
      <c r="AB790" s="15" t="n">
        <v>0.4864552411733499</v>
      </c>
      <c r="AC790" s="15" t="n">
        <v>6.366340528239213</v>
      </c>
      <c r="AD790" s="15" t="n">
        <v>47.09582046524804</v>
      </c>
      <c r="AE790" s="15" t="n">
        <v>90.71068248780219</v>
      </c>
      <c r="AF790" s="15" t="n">
        <v>122.4496579565628</v>
      </c>
      <c r="AH790" s="29">
        <f>HIPERLINK($A$1 &amp; "\Dados\Magnet_fields.txt_790.txt.txt", "Magnet_fields.txt_790.txt")</f>
        <v/>
      </c>
      <c r="AI790" t="n">
        <v>6914</v>
      </c>
      <c r="AJ790" t="n">
        <v>29</v>
      </c>
      <c r="AK790" s="29">
        <f>HIPERLINK($A$1 &amp; "\Dados\Magnet_3D_results.txt_790.txt.txt", "Magnet_3D_results.txt_790.txt")</f>
        <v/>
      </c>
      <c r="AL790" s="29">
        <f>HIPERLINK($A$1 &amp; "\Dados\Magnet_fields_2D.txt_790.txt.txt", "Magnet_fields_2D.txt_790.txt")</f>
        <v/>
      </c>
    </row>
    <row customHeight="1" ht="15.75" r="791" s="34">
      <c r="E791" s="15" t="n">
        <v>146</v>
      </c>
      <c r="F791" s="15" t="n">
        <v>178</v>
      </c>
      <c r="G791" s="15" t="n">
        <v>415</v>
      </c>
      <c r="H791" s="15" t="n">
        <v>45</v>
      </c>
      <c r="I791" s="15" t="n">
        <v>178</v>
      </c>
      <c r="J791" s="13" t="n">
        <v>25</v>
      </c>
      <c r="K791" t="n">
        <v>55</v>
      </c>
      <c r="L791" s="13" t="n">
        <v>1.3</v>
      </c>
      <c r="M791" s="12" t="n"/>
      <c r="N791" s="8" t="n">
        <v>0.887237406801009</v>
      </c>
      <c r="O791" s="15" t="n">
        <v>0.7595402074282892</v>
      </c>
      <c r="P791" s="15" t="n">
        <v>0.8468198627227712</v>
      </c>
      <c r="Q791" s="15" t="n">
        <v>0.002163921547228723</v>
      </c>
      <c r="R791" s="15" t="n">
        <v>0.04542679543066372</v>
      </c>
      <c r="S791" s="15" t="n">
        <v>0.002160481345374465</v>
      </c>
      <c r="T791" s="29">
        <f>HIPERLINK($A$1 &amp; "\Dados\Imagem_perfil_791.png", "Imagem_perfil_791")</f>
        <v/>
      </c>
      <c r="U791" s="29">
        <f>HIPERLINK($A$1 &amp; "\Dados\Results_airgap791.txt", "Results_airgap791")</f>
        <v/>
      </c>
      <c r="V791" s="19" t="n"/>
      <c r="W791" s="43" t="n">
        <v>1.301062826086957</v>
      </c>
      <c r="X791" s="15" t="n">
        <v>0.4782642518998007</v>
      </c>
      <c r="Y791" s="15" t="n">
        <v>0.0003268690459403636</v>
      </c>
      <c r="Z791" s="15" t="n">
        <v>0</v>
      </c>
      <c r="AA791" s="15" t="n">
        <v>16.50365630799899</v>
      </c>
      <c r="AB791" s="15" t="n">
        <v>0</v>
      </c>
      <c r="AC791" s="15" t="n">
        <v>0</v>
      </c>
      <c r="AD791" s="15" t="n">
        <v>4.447281592576208</v>
      </c>
      <c r="AE791" s="15" t="n">
        <v>25.65490871667141</v>
      </c>
      <c r="AF791" s="15" t="n">
        <v>14.01273446558763</v>
      </c>
      <c r="AH791" s="29">
        <f>HIPERLINK($A$1 &amp; "\Dados\Magnet_fields.txt_791.txt.txt", "Magnet_fields.txt_791.txt")</f>
        <v/>
      </c>
      <c r="AI791" t="n">
        <v>11259</v>
      </c>
      <c r="AJ791" t="n">
        <v>30</v>
      </c>
      <c r="AK791" s="29">
        <f>HIPERLINK($A$1 &amp; "\Dados\Magnet_3D_results.txt_791.txt.txt", "Magnet_3D_results.txt_791.txt")</f>
        <v/>
      </c>
      <c r="AL791" s="29">
        <f>HIPERLINK($A$1 &amp; "\Dados\Magnet_fields_2D.txt_791.txt.txt", "Magnet_fields_2D.txt_791.txt")</f>
        <v/>
      </c>
    </row>
    <row customHeight="1" ht="15.75" r="792" s="34">
      <c r="E792" s="15" t="n">
        <v>146</v>
      </c>
      <c r="F792" s="15" t="n">
        <v>178</v>
      </c>
      <c r="G792" s="15" t="n">
        <v>415</v>
      </c>
      <c r="H792" s="15" t="n">
        <v>45</v>
      </c>
      <c r="I792" s="15" t="n">
        <v>178</v>
      </c>
      <c r="J792" s="13" t="n">
        <v>25</v>
      </c>
      <c r="K792" t="n">
        <v>55</v>
      </c>
      <c r="L792" s="13" t="n">
        <v>1.5</v>
      </c>
      <c r="M792" s="12" t="n"/>
      <c r="N792" s="8" t="n">
        <v>1.047956628843925</v>
      </c>
      <c r="O792" s="15" t="n">
        <v>0.9033071740496061</v>
      </c>
      <c r="P792" s="15" t="n">
        <v>1.000502394487703</v>
      </c>
      <c r="Q792" s="15" t="n">
        <v>0.002201860583202933</v>
      </c>
      <c r="R792" s="15" t="n">
        <v>0.04016686404802817</v>
      </c>
      <c r="S792" s="15" t="n">
        <v>0.002222187090880278</v>
      </c>
      <c r="T792" s="29">
        <f>HIPERLINK($A$1 &amp; "\Dados\Imagem_perfil_792.png", "Imagem_perfil_792")</f>
        <v/>
      </c>
      <c r="U792" s="29">
        <f>HIPERLINK($A$1 &amp; "\Dados\Results_airgap792.txt", "Results_airgap792")</f>
        <v/>
      </c>
      <c r="V792" s="19" t="n"/>
      <c r="W792" s="43" t="n">
        <v>1.498322173913043</v>
      </c>
      <c r="X792" s="15" t="n">
        <v>0.5741956948228103</v>
      </c>
      <c r="Y792" s="15" t="n">
        <v>0.0002603864984853338</v>
      </c>
      <c r="Z792" s="15" t="n">
        <v>0</v>
      </c>
      <c r="AA792" s="15" t="n">
        <v>12.64216107001424</v>
      </c>
      <c r="AB792" s="15" t="n">
        <v>2.513839999294333</v>
      </c>
      <c r="AC792" s="15" t="n">
        <v>0.8132093195863241</v>
      </c>
      <c r="AD792" s="15" t="n">
        <v>28.32217585046916</v>
      </c>
      <c r="AE792" s="15" t="n">
        <v>28.12306875378425</v>
      </c>
      <c r="AF792" s="15" t="n">
        <v>17.52555350933837</v>
      </c>
      <c r="AH792" s="29">
        <f>HIPERLINK($A$1 &amp; "\Dados\Magnet_fields.txt_792.txt.txt", "Magnet_fields.txt_792.txt")</f>
        <v/>
      </c>
      <c r="AI792" t="n">
        <v>11259</v>
      </c>
      <c r="AJ792" t="n">
        <v>30</v>
      </c>
      <c r="AK792" s="29">
        <f>HIPERLINK($A$1 &amp; "\Dados\Magnet_3D_results.txt_792.txt.txt", "Magnet_3D_results.txt_792.txt")</f>
        <v/>
      </c>
      <c r="AL792" s="29">
        <f>HIPERLINK($A$1 &amp; "\Dados\Magnet_fields_2D.txt_792.txt.txt", "Magnet_fields_2D.txt_792.txt")</f>
        <v/>
      </c>
    </row>
    <row customHeight="1" ht="15.75" r="793" s="34">
      <c r="E793" s="15" t="n">
        <v>146</v>
      </c>
      <c r="F793" s="15" t="n">
        <v>178</v>
      </c>
      <c r="G793" s="15" t="n">
        <v>415</v>
      </c>
      <c r="H793" s="15" t="n">
        <v>45</v>
      </c>
      <c r="I793" s="15" t="n">
        <v>178</v>
      </c>
      <c r="J793" s="13" t="n">
        <v>25</v>
      </c>
      <c r="K793" t="n">
        <v>55</v>
      </c>
      <c r="L793" s="13" t="n">
        <v>1.7</v>
      </c>
      <c r="M793" s="12" t="n"/>
      <c r="N793" s="8" t="n">
        <v>1.223965799774327</v>
      </c>
      <c r="O793" s="15" t="n">
        <v>1.063734862162323</v>
      </c>
      <c r="P793" s="15" t="n">
        <v>1.17070607118778</v>
      </c>
      <c r="Q793" s="15" t="n">
        <v>0.003053206323313898</v>
      </c>
      <c r="R793" s="15" t="n">
        <v>0.02562616832106577</v>
      </c>
      <c r="S793" s="15" t="n">
        <v>0.003153685712388089</v>
      </c>
      <c r="T793" s="29">
        <f>HIPERLINK($A$1 &amp; "\Dados\Imagem_perfil_793.png", "Imagem_perfil_793")</f>
        <v/>
      </c>
      <c r="U793" s="29">
        <f>HIPERLINK($A$1 &amp; "\Dados\Results_airgap793.txt", "Results_airgap793")</f>
        <v/>
      </c>
      <c r="V793" s="19" t="n"/>
      <c r="W793" s="43" t="n">
        <v>1.698957608695652</v>
      </c>
      <c r="X793" s="15" t="n">
        <v>0.6906572440250683</v>
      </c>
      <c r="Y793" s="15" t="n">
        <v>0.0002603163874913971</v>
      </c>
      <c r="Z793" s="15" t="n">
        <v>0</v>
      </c>
      <c r="AA793" s="15" t="n">
        <v>10.72415076491397</v>
      </c>
      <c r="AB793" s="15" t="n">
        <v>4.711231380172696</v>
      </c>
      <c r="AC793" s="15" t="n">
        <v>3.84417250794054</v>
      </c>
      <c r="AD793" s="15" t="n">
        <v>39.29124355512134</v>
      </c>
      <c r="AE793" s="15" t="n">
        <v>44.81510925893183</v>
      </c>
      <c r="AF793" s="15" t="n">
        <v>30.27741383621534</v>
      </c>
      <c r="AH793" s="29">
        <f>HIPERLINK($A$1 &amp; "\Dados\Magnet_fields.txt_793.txt.txt", "Magnet_fields.txt_793.txt")</f>
        <v/>
      </c>
      <c r="AI793" t="n">
        <v>11259</v>
      </c>
      <c r="AJ793" t="n">
        <v>31</v>
      </c>
      <c r="AK793" s="29">
        <f>HIPERLINK($A$1 &amp; "\Dados\Magnet_3D_results.txt_793.txt.txt", "Magnet_3D_results.txt_793.txt")</f>
        <v/>
      </c>
      <c r="AL793" s="29">
        <f>HIPERLINK($A$1 &amp; "\Dados\Magnet_fields_2D.txt_793.txt.txt", "Magnet_fields_2D.txt_793.txt")</f>
        <v/>
      </c>
    </row>
    <row customHeight="1" ht="15.75" r="794" s="34">
      <c r="E794" s="15" t="n">
        <v>146</v>
      </c>
      <c r="F794" s="15" t="n">
        <v>178</v>
      </c>
      <c r="G794" s="15" t="n">
        <v>415</v>
      </c>
      <c r="H794" s="15" t="n">
        <v>45</v>
      </c>
      <c r="I794" s="15" t="n">
        <v>178</v>
      </c>
      <c r="J794" s="13" t="n">
        <v>25</v>
      </c>
      <c r="K794" t="n">
        <v>55</v>
      </c>
      <c r="L794" s="13" t="n">
        <v>1.9</v>
      </c>
      <c r="M794" s="12" t="n"/>
      <c r="N794" s="8" t="n">
        <v>1.416737784254656</v>
      </c>
      <c r="O794" s="15" t="n">
        <v>1.241920998268691</v>
      </c>
      <c r="P794" s="15" t="n">
        <v>1.357998947908582</v>
      </c>
      <c r="Q794" s="15" t="n">
        <v>0.005294520291696771</v>
      </c>
      <c r="R794" s="15" t="n">
        <v>0.005942860720748086</v>
      </c>
      <c r="S794" s="15" t="n">
        <v>0.005491569495278115</v>
      </c>
      <c r="T794" s="29">
        <f>HIPERLINK($A$1 &amp; "\Dados\Imagem_perfil_794.png", "Imagem_perfil_794")</f>
        <v/>
      </c>
      <c r="U794" s="29">
        <f>HIPERLINK($A$1 &amp; "\Dados\Results_airgap794.txt", "Results_airgap794")</f>
        <v/>
      </c>
      <c r="V794" s="19" t="n"/>
      <c r="W794" s="43" t="n">
        <v>1.898806739130435</v>
      </c>
      <c r="X794" s="15" t="n">
        <v>0.8263505764322904</v>
      </c>
      <c r="Y794" s="15" t="n">
        <v>0.0002636939565105124</v>
      </c>
      <c r="Z794" s="15" t="n">
        <v>0</v>
      </c>
      <c r="AA794" s="15" t="n">
        <v>8.704346547745764</v>
      </c>
      <c r="AB794" s="15" t="n">
        <v>7.561731832635635</v>
      </c>
      <c r="AC794" s="15" t="n">
        <v>6.297815493508942</v>
      </c>
      <c r="AD794" s="15" t="n">
        <v>49.32379870581232</v>
      </c>
      <c r="AE794" s="15" t="n">
        <v>64.67214078025482</v>
      </c>
      <c r="AF794" s="15" t="n">
        <v>49.70631760581839</v>
      </c>
      <c r="AH794" s="29">
        <f>HIPERLINK($A$1 &amp; "\Dados\Magnet_fields.txt_794.txt.txt", "Magnet_fields.txt_794.txt")</f>
        <v/>
      </c>
      <c r="AI794" t="n">
        <v>11259</v>
      </c>
      <c r="AJ794" t="n">
        <v>30</v>
      </c>
      <c r="AK794" s="29">
        <f>HIPERLINK($A$1 &amp; "\Dados\Magnet_3D_results.txt_794.txt.txt", "Magnet_3D_results.txt_794.txt")</f>
        <v/>
      </c>
      <c r="AL794" s="29">
        <f>HIPERLINK($A$1 &amp; "\Dados\Magnet_fields_2D.txt_794.txt.txt", "Magnet_fields_2D.txt_794.txt")</f>
        <v/>
      </c>
    </row>
    <row customHeight="1" ht="15.75" r="795" s="34">
      <c r="E795" s="15" t="n">
        <v>146</v>
      </c>
      <c r="F795" s="15" t="n">
        <v>178</v>
      </c>
      <c r="G795" s="15" t="n">
        <v>415</v>
      </c>
      <c r="H795" s="15" t="n">
        <v>45</v>
      </c>
      <c r="I795" s="15" t="n">
        <v>178</v>
      </c>
      <c r="J795" s="13" t="n">
        <v>25</v>
      </c>
      <c r="K795" t="n">
        <v>55</v>
      </c>
      <c r="L795" s="13" t="n">
        <v>2.1</v>
      </c>
      <c r="M795" s="12" t="n"/>
      <c r="N795" s="8" t="n">
        <v>1.629906682185258</v>
      </c>
      <c r="O795" s="15" t="n">
        <v>1.441589467476528</v>
      </c>
      <c r="P795" s="15" t="n">
        <v>1.56687862931909</v>
      </c>
      <c r="Q795" s="15" t="n">
        <v>0.01205553548271379</v>
      </c>
      <c r="R795" s="15" t="n">
        <v>0.03461754715531497</v>
      </c>
      <c r="S795" s="15" t="n">
        <v>0.01231440873640387</v>
      </c>
      <c r="T795" s="29">
        <f>HIPERLINK($A$1 &amp; "\Dados\Imagem_perfil_795.png", "Imagem_perfil_795")</f>
        <v/>
      </c>
      <c r="U795" s="29">
        <f>HIPERLINK($A$1 &amp; "\Dados\Results_airgap795.txt", "Results_airgap795")</f>
        <v/>
      </c>
      <c r="V795" s="19" t="n"/>
      <c r="W795" s="43" t="n">
        <v>2.10283847826087</v>
      </c>
      <c r="X795" s="15" t="n">
        <v>0.9779951251902993</v>
      </c>
      <c r="Y795" s="15" t="n">
        <v>0.0002705655306404438</v>
      </c>
      <c r="Z795" s="15" t="n">
        <v>0.006671130744168381</v>
      </c>
      <c r="AA795" s="15" t="n">
        <v>5.745008770156478</v>
      </c>
      <c r="AB795" s="15" t="n">
        <v>6.928070884537371</v>
      </c>
      <c r="AC795" s="15" t="n">
        <v>9.641179916912074</v>
      </c>
      <c r="AD795" s="15" t="n">
        <v>59.01664178084369</v>
      </c>
      <c r="AE795" s="15" t="n">
        <v>86.17053508086296</v>
      </c>
      <c r="AF795" s="15" t="n">
        <v>86.28062398923804</v>
      </c>
      <c r="AH795" s="29">
        <f>HIPERLINK($A$1 &amp; "\Dados\Magnet_fields.txt_795.txt.txt", "Magnet_fields.txt_795.txt")</f>
        <v/>
      </c>
      <c r="AI795" t="n">
        <v>11259</v>
      </c>
      <c r="AJ795" t="n">
        <v>30</v>
      </c>
      <c r="AK795" s="29">
        <f>HIPERLINK($A$1 &amp; "\Dados\Magnet_3D_results.txt_795.txt.txt", "Magnet_3D_results.txt_795.txt")</f>
        <v/>
      </c>
      <c r="AL795" s="29">
        <f>HIPERLINK($A$1 &amp; "\Dados\Magnet_fields_2D.txt_795.txt.txt", "Magnet_fields_2D.txt_795.txt")</f>
        <v/>
      </c>
    </row>
    <row customHeight="1" ht="15.75" r="796" s="34">
      <c r="E796" s="15" t="n">
        <v>132</v>
      </c>
      <c r="F796" s="15" t="n">
        <v>179</v>
      </c>
      <c r="G796" s="15" t="n">
        <v>369</v>
      </c>
      <c r="H796" s="15" t="n">
        <v>45</v>
      </c>
      <c r="I796" s="15" t="n">
        <v>141</v>
      </c>
      <c r="J796" s="13" t="n">
        <v>25</v>
      </c>
      <c r="K796" t="n">
        <v>40</v>
      </c>
      <c r="L796" s="13" t="n">
        <v>1.3</v>
      </c>
      <c r="M796" s="12" t="n"/>
      <c r="N796" s="8" t="n">
        <v>1.015030876003501</v>
      </c>
      <c r="O796" s="15" t="n">
        <v>0.7828767572973416</v>
      </c>
      <c r="P796" s="15" t="n">
        <v>0.9481578528042603</v>
      </c>
      <c r="Q796" s="15" t="n">
        <v>0.00110486375992166</v>
      </c>
      <c r="R796" s="15" t="n">
        <v>0.02029638673012913</v>
      </c>
      <c r="S796" s="15" t="n">
        <v>0.001979245453464784</v>
      </c>
      <c r="T796" s="29">
        <f>HIPERLINK($A$1 &amp; "\Dados\Imagem_perfil_796.png", "Imagem_perfil_796")</f>
        <v/>
      </c>
      <c r="U796" s="29">
        <f>HIPERLINK($A$1 &amp; "\Dados\Results_airgap796.txt", "Results_airgap796")</f>
        <v/>
      </c>
      <c r="V796" s="19" t="n"/>
      <c r="W796" s="43" t="n">
        <v>1.329796521739131</v>
      </c>
      <c r="X796" s="15" t="n">
        <v>0.6435263106484129</v>
      </c>
      <c r="Y796" s="15" t="n">
        <v>0.0005362174118575594</v>
      </c>
      <c r="Z796" s="15" t="n">
        <v>0.1630369162508827</v>
      </c>
      <c r="AA796" s="15" t="n">
        <v>8.778436368049654</v>
      </c>
      <c r="AB796" s="15" t="n">
        <v>0</v>
      </c>
      <c r="AC796" s="15" t="n">
        <v>0</v>
      </c>
      <c r="AD796" s="15" t="n">
        <v>0</v>
      </c>
      <c r="AE796" s="15" t="n">
        <v>40.0748652206186</v>
      </c>
      <c r="AF796" s="15" t="n">
        <v>96.46465271197587</v>
      </c>
      <c r="AH796" s="29">
        <f>HIPERLINK($A$1 &amp; "\Dados\Magnet_fields.txt_796.txt.txt", "Magnet_fields.txt_796.txt")</f>
        <v/>
      </c>
      <c r="AI796" t="n">
        <v>7073</v>
      </c>
      <c r="AJ796" t="n">
        <v>29</v>
      </c>
      <c r="AK796" s="29">
        <f>HIPERLINK($A$1 &amp; "\Dados\Magnet_3D_results.txt_796.txt.txt", "Magnet_3D_results.txt_796.txt")</f>
        <v/>
      </c>
      <c r="AL796" s="29">
        <f>HIPERLINK($A$1 &amp; "\Dados\Magnet_fields_2D.txt_796.txt.txt", "Magnet_fields_2D.txt_796.txt")</f>
        <v/>
      </c>
    </row>
    <row customHeight="1" ht="15.75" r="797" s="34">
      <c r="E797" s="15" t="n">
        <v>132</v>
      </c>
      <c r="F797" s="15" t="n">
        <v>179</v>
      </c>
      <c r="G797" s="15" t="n">
        <v>369</v>
      </c>
      <c r="H797" s="15" t="n">
        <v>45</v>
      </c>
      <c r="I797" s="15" t="n">
        <v>141</v>
      </c>
      <c r="J797" s="13" t="n">
        <v>25</v>
      </c>
      <c r="K797" t="n">
        <v>40</v>
      </c>
      <c r="L797" s="13" t="n">
        <v>1.5</v>
      </c>
      <c r="M797" s="12" t="n"/>
      <c r="N797" s="8" t="n">
        <v>1.165336461276186</v>
      </c>
      <c r="O797" s="15" t="n">
        <v>0.9033245022591765</v>
      </c>
      <c r="P797" s="15" t="n">
        <v>1.090597162452665</v>
      </c>
      <c r="Q797" s="15" t="n">
        <v>0.001226023637794119</v>
      </c>
      <c r="R797" s="15" t="n">
        <v>0.02958525961266201</v>
      </c>
      <c r="S797" s="15" t="n">
        <v>0.002291775461971127</v>
      </c>
      <c r="T797" s="29">
        <f>HIPERLINK($A$1 &amp; "\Dados\Imagem_perfil_797.png", "Imagem_perfil_797")</f>
        <v/>
      </c>
      <c r="U797" s="29">
        <f>HIPERLINK($A$1 &amp; "\Dados\Results_airgap797.txt", "Results_airgap797")</f>
        <v/>
      </c>
      <c r="V797" s="19" t="n"/>
      <c r="W797" s="43" t="n">
        <v>1.525537173913044</v>
      </c>
      <c r="X797" s="15" t="n">
        <v>0.7490009371674983</v>
      </c>
      <c r="Y797" s="15" t="n">
        <v>0.0159594836976684</v>
      </c>
      <c r="Z797" s="15" t="n">
        <v>0.03696381551265523</v>
      </c>
      <c r="AA797" s="15" t="n">
        <v>0.01610688002676056</v>
      </c>
      <c r="AB797" s="15" t="n">
        <v>0</v>
      </c>
      <c r="AC797" s="15" t="n">
        <v>0</v>
      </c>
      <c r="AD797" s="15" t="n">
        <v>27.90289401773287</v>
      </c>
      <c r="AE797" s="15" t="n">
        <v>71.34475936349014</v>
      </c>
      <c r="AF797" s="15" t="n">
        <v>110.3717473183256</v>
      </c>
      <c r="AH797" s="29">
        <f>HIPERLINK($A$1 &amp; "\Dados\Magnet_fields.txt_797.txt.txt", "Magnet_fields.txt_797.txt")</f>
        <v/>
      </c>
      <c r="AI797" t="n">
        <v>7073</v>
      </c>
      <c r="AJ797" t="n">
        <v>30</v>
      </c>
      <c r="AK797" s="29">
        <f>HIPERLINK($A$1 &amp; "\Dados\Magnet_3D_results.txt_797.txt.txt", "Magnet_3D_results.txt_797.txt")</f>
        <v/>
      </c>
      <c r="AL797" s="29">
        <f>HIPERLINK($A$1 &amp; "\Dados\Magnet_fields_2D.txt_797.txt.txt", "Magnet_fields_2D.txt_797.txt")</f>
        <v/>
      </c>
    </row>
    <row customHeight="1" ht="15.75" r="798" s="34">
      <c r="E798" s="15" t="n">
        <v>132</v>
      </c>
      <c r="F798" s="15" t="n">
        <v>179</v>
      </c>
      <c r="G798" s="15" t="n">
        <v>369</v>
      </c>
      <c r="H798" s="15" t="n">
        <v>45</v>
      </c>
      <c r="I798" s="15" t="n">
        <v>141</v>
      </c>
      <c r="J798" s="13" t="n">
        <v>25</v>
      </c>
      <c r="K798" t="n">
        <v>40</v>
      </c>
      <c r="L798" s="13" t="n">
        <v>1.7</v>
      </c>
      <c r="M798" s="12" t="n"/>
      <c r="N798" s="8" t="n">
        <v>1.200096448488773</v>
      </c>
      <c r="O798" s="15" t="n">
        <v>0.9297442345290911</v>
      </c>
      <c r="P798" s="15" t="n">
        <v>1.122675728409302</v>
      </c>
      <c r="Q798" s="15" t="n">
        <v>0.001255330807307235</v>
      </c>
      <c r="R798" s="15" t="n">
        <v>0.03058040962054775</v>
      </c>
      <c r="S798" s="15" t="n">
        <v>0.002331771440643518</v>
      </c>
      <c r="T798" s="29">
        <f>HIPERLINK($A$1 &amp; "\Dados\Imagem_perfil_798.png", "Imagem_perfil_798")</f>
        <v/>
      </c>
      <c r="U798" s="29">
        <f>HIPERLINK($A$1 &amp; "\Dados\Results_airgap798.txt", "Results_airgap798")</f>
        <v/>
      </c>
      <c r="V798" s="19" t="n"/>
      <c r="W798" s="43" t="n">
        <v>1.571707826086956</v>
      </c>
      <c r="X798" s="15" t="n">
        <v>0.7721100882809712</v>
      </c>
      <c r="Y798" s="15" t="n">
        <v>0.1048387902289228</v>
      </c>
      <c r="Z798" s="15" t="n">
        <v>0.02103576250370455</v>
      </c>
      <c r="AA798" s="15" t="n">
        <v>0.01590799971322429</v>
      </c>
      <c r="AB798" s="15" t="n">
        <v>0.4543923310295112</v>
      </c>
      <c r="AC798" s="15" t="n">
        <v>7.968061904115001</v>
      </c>
      <c r="AD798" s="15" t="n">
        <v>34.02633253033395</v>
      </c>
      <c r="AE798" s="15" t="n">
        <v>74.06240424633545</v>
      </c>
      <c r="AF798" s="15" t="n">
        <v>111.0854911815787</v>
      </c>
      <c r="AH798" s="29">
        <f>HIPERLINK($A$1 &amp; "\Dados\Magnet_fields.txt_798.txt.txt", "Magnet_fields.txt_798.txt")</f>
        <v/>
      </c>
      <c r="AI798" t="n">
        <v>7073</v>
      </c>
      <c r="AJ798" t="n">
        <v>28</v>
      </c>
      <c r="AK798" s="29">
        <f>HIPERLINK($A$1 &amp; "\Dados\Magnet_3D_results.txt_798.txt.txt", "Magnet_3D_results.txt_798.txt")</f>
        <v/>
      </c>
      <c r="AL798" s="29">
        <f>HIPERLINK($A$1 &amp; "\Dados\Magnet_fields_2D.txt_798.txt.txt", "Magnet_fields_2D.txt_798.txt")</f>
        <v/>
      </c>
    </row>
    <row customHeight="1" ht="15.75" r="799" s="34">
      <c r="E799" s="15" t="n">
        <v>132</v>
      </c>
      <c r="F799" s="15" t="n">
        <v>179</v>
      </c>
      <c r="G799" s="15" t="n">
        <v>369</v>
      </c>
      <c r="H799" s="15" t="n">
        <v>45</v>
      </c>
      <c r="I799" s="15" t="n">
        <v>141</v>
      </c>
      <c r="J799" s="13" t="n">
        <v>25</v>
      </c>
      <c r="K799" t="n">
        <v>40</v>
      </c>
      <c r="L799" s="13" t="n">
        <v>1.9</v>
      </c>
      <c r="M799" s="12" t="n"/>
      <c r="N799" s="8" t="n">
        <v>1.209521392092626</v>
      </c>
      <c r="O799" s="15" t="n">
        <v>0.9368028090082854</v>
      </c>
      <c r="P799" s="15" t="n">
        <v>1.131220525578931</v>
      </c>
      <c r="Q799" s="15" t="n">
        <v>0.001265575633569886</v>
      </c>
      <c r="R799" s="15" t="n">
        <v>0.0307451807555895</v>
      </c>
      <c r="S799" s="15" t="n">
        <v>0.002342741579738881</v>
      </c>
      <c r="T799" s="29">
        <f>HIPERLINK($A$1 &amp; "\Dados\Imagem_perfil_799.png", "Imagem_perfil_799")</f>
        <v/>
      </c>
      <c r="U799" s="29">
        <f>HIPERLINK($A$1 &amp; "\Dados\Results_airgap799.txt", "Results_airgap799")</f>
        <v/>
      </c>
      <c r="V799" s="19" t="n"/>
      <c r="W799" s="15" t="n">
        <v>1.58379652173913</v>
      </c>
      <c r="X799" s="15" t="n">
        <v>0.7780470915606944</v>
      </c>
      <c r="Y799" s="15" t="n">
        <v>0.2444030392966477</v>
      </c>
      <c r="Z799" s="15" t="n">
        <v>0.02004056409211927</v>
      </c>
      <c r="AA799" s="15" t="n">
        <v>0.01626452905578321</v>
      </c>
      <c r="AB799" s="15" t="n">
        <v>1.527984551901038</v>
      </c>
      <c r="AC799" s="15" t="n">
        <v>10.22725251990547</v>
      </c>
      <c r="AD799" s="15" t="n">
        <v>35.70536597475271</v>
      </c>
      <c r="AE799" s="15" t="n">
        <v>74.76769966708703</v>
      </c>
      <c r="AF799" s="15" t="n">
        <v>111.3742243713206</v>
      </c>
      <c r="AH799" s="29">
        <f>HIPERLINK($A$1 &amp; "\Dados\Magnet_fields.txt_799.txt.txt", "Magnet_fields.txt_799.txt")</f>
        <v/>
      </c>
      <c r="AI799" t="n">
        <v>7073</v>
      </c>
      <c r="AJ799" t="n">
        <v>28</v>
      </c>
      <c r="AK799" s="29">
        <f>HIPERLINK($A$1 &amp; "\Dados\Magnet_3D_results.txt_799.txt.txt", "Magnet_3D_results.txt_799.txt")</f>
        <v/>
      </c>
      <c r="AL799" s="29">
        <f>HIPERLINK($A$1 &amp; "\Dados\Magnet_fields_2D.txt_799.txt.txt", "Magnet_fields_2D.txt_799.txt")</f>
        <v/>
      </c>
    </row>
    <row customHeight="1" ht="15.75" r="800" s="34">
      <c r="E800" s="15" t="n">
        <v>132</v>
      </c>
      <c r="F800" s="15" t="n">
        <v>179</v>
      </c>
      <c r="G800" s="15" t="n">
        <v>369</v>
      </c>
      <c r="H800" s="15" t="n">
        <v>45</v>
      </c>
      <c r="I800" s="15" t="n">
        <v>141</v>
      </c>
      <c r="J800" s="13" t="n">
        <v>25</v>
      </c>
      <c r="K800" t="n">
        <v>40</v>
      </c>
      <c r="L800" s="13" t="n">
        <v>2.1</v>
      </c>
      <c r="M800" s="12" t="n"/>
      <c r="N800" s="8" t="n">
        <v>1.214711441155045</v>
      </c>
      <c r="O800" s="15" t="n">
        <v>0.9407699605569162</v>
      </c>
      <c r="P800" s="15" t="n">
        <v>1.136004870840071</v>
      </c>
      <c r="Q800" s="15" t="n">
        <v>0.001267066877091412</v>
      </c>
      <c r="R800" s="15" t="n">
        <v>0.03090139680159515</v>
      </c>
      <c r="S800" s="15" t="n">
        <v>0.002345555524103305</v>
      </c>
      <c r="T800" s="29">
        <f>HIPERLINK($A$1 &amp; "\Dados\Imagem_perfil_800.png", "Imagem_perfil_800")</f>
        <v/>
      </c>
      <c r="U800" s="29">
        <f>HIPERLINK($A$1 &amp; "\Dados\Results_airgap800.txt", "Results_airgap800")</f>
        <v/>
      </c>
      <c r="V800" s="19" t="n"/>
      <c r="W800" s="15" t="n">
        <v>1.588724782608696</v>
      </c>
      <c r="X800" s="15" t="n">
        <v>0.7815313452543704</v>
      </c>
      <c r="Y800" s="15" t="n">
        <v>0.4036457436349927</v>
      </c>
      <c r="Z800" s="15" t="n">
        <v>0.01857703701625857</v>
      </c>
      <c r="AA800" s="15" t="n">
        <v>0.01491844888489748</v>
      </c>
      <c r="AB800" s="15" t="n">
        <v>2.00882888543449</v>
      </c>
      <c r="AC800" s="15" t="n">
        <v>11.21936450161535</v>
      </c>
      <c r="AD800" s="15" t="n">
        <v>36.41402483578513</v>
      </c>
      <c r="AE800" s="15" t="n">
        <v>75.07253018782988</v>
      </c>
      <c r="AF800" s="15" t="n">
        <v>111.4487593331228</v>
      </c>
      <c r="AH800" s="29">
        <f>HIPERLINK($A$1 &amp; "\Dados\Magnet_fields.txt_800.txt.txt", "Magnet_fields.txt_800.txt")</f>
        <v/>
      </c>
      <c r="AI800" t="n">
        <v>7073</v>
      </c>
      <c r="AJ800" t="n">
        <v>28</v>
      </c>
      <c r="AK800" s="29">
        <f>HIPERLINK($A$1 &amp; "\Dados\Magnet_3D_results.txt_800.txt.txt", "Magnet_3D_results.txt_800.txt")</f>
        <v/>
      </c>
      <c r="AL800" s="29">
        <f>HIPERLINK($A$1 &amp; "\Dados\Magnet_fields_2D.txt_800.txt.txt", "Magnet_fields_2D.txt_800.txt")</f>
        <v/>
      </c>
    </row>
    <row customHeight="1" ht="15.75" r="801" s="34">
      <c r="E801" s="15" t="n">
        <v>140</v>
      </c>
      <c r="F801" s="15" t="n">
        <v>181</v>
      </c>
      <c r="G801" s="15" t="n">
        <v>413</v>
      </c>
      <c r="H801" s="15" t="n">
        <v>45</v>
      </c>
      <c r="I801" s="15" t="n">
        <v>140</v>
      </c>
      <c r="J801" s="13" t="n">
        <v>25</v>
      </c>
      <c r="K801" t="n">
        <v>55</v>
      </c>
      <c r="L801" s="13" t="n">
        <v>1.3</v>
      </c>
      <c r="M801" s="12" t="n"/>
      <c r="N801" s="8" t="n">
        <v>0.8338038753291265</v>
      </c>
      <c r="O801" s="15" t="n">
        <v>0.6021189251537574</v>
      </c>
      <c r="P801" s="15" t="n">
        <v>0.7632862021538332</v>
      </c>
      <c r="Q801" s="15" t="n">
        <v>0.003453085332410445</v>
      </c>
      <c r="R801" s="15" t="n">
        <v>0.03674517960421001</v>
      </c>
      <c r="S801" s="15" t="n">
        <v>0.003361657878752873</v>
      </c>
      <c r="T801" s="29">
        <f>HIPERLINK($A$1 &amp; "\Dados\Imagem_perfil_801.png", "Imagem_perfil_801")</f>
        <v/>
      </c>
      <c r="U801" s="29">
        <f>HIPERLINK($A$1 &amp; "\Dados\Results_airgap801.txt", "Results_airgap801")</f>
        <v/>
      </c>
      <c r="V801" s="19" t="n"/>
      <c r="W801" s="43" t="n">
        <v>1.317536086956522</v>
      </c>
      <c r="X801" s="15" t="n">
        <v>0.4997484041646079</v>
      </c>
      <c r="Y801" s="15" t="n">
        <v>0.0007222063045992319</v>
      </c>
      <c r="Z801" s="15" t="n">
        <v>0</v>
      </c>
      <c r="AA801" s="15" t="n">
        <v>11.39619619480298</v>
      </c>
      <c r="AB801" s="15" t="n">
        <v>0</v>
      </c>
      <c r="AC801" s="15" t="n">
        <v>0</v>
      </c>
      <c r="AD801" s="15" t="n">
        <v>22.83758124197352</v>
      </c>
      <c r="AE801" s="15" t="n">
        <v>30.29780211746523</v>
      </c>
      <c r="AF801" s="15" t="n">
        <v>0</v>
      </c>
      <c r="AH801" s="29">
        <f>HIPERLINK($A$1 &amp; "\Dados\Magnet_fields.txt_801.txt.txt", "Magnet_fields.txt_801.txt")</f>
        <v/>
      </c>
      <c r="AI801" t="n">
        <v>10755</v>
      </c>
      <c r="AJ801" t="n">
        <v>30</v>
      </c>
      <c r="AK801" s="29">
        <f>HIPERLINK($A$1 &amp; "\Dados\Magnet_3D_results.txt_801.txt.txt", "Magnet_3D_results.txt_801.txt")</f>
        <v/>
      </c>
      <c r="AL801" s="29">
        <f>HIPERLINK($A$1 &amp; "\Dados\Magnet_fields_2D.txt_801.txt.txt", "Magnet_fields_2D.txt_801.txt")</f>
        <v/>
      </c>
    </row>
    <row customHeight="1" ht="15.75" r="802" s="34">
      <c r="E802" s="15" t="n">
        <v>140</v>
      </c>
      <c r="F802" s="15" t="n">
        <v>181</v>
      </c>
      <c r="G802" s="15" t="n">
        <v>413</v>
      </c>
      <c r="H802" s="15" t="n">
        <v>45</v>
      </c>
      <c r="I802" s="15" t="n">
        <v>140</v>
      </c>
      <c r="J802" s="13" t="n">
        <v>25</v>
      </c>
      <c r="K802" t="n">
        <v>55</v>
      </c>
      <c r="L802" s="13" t="n">
        <v>1.5</v>
      </c>
      <c r="M802" s="12" t="n"/>
      <c r="N802" s="8" t="n">
        <v>0.980962416317763</v>
      </c>
      <c r="O802" s="15" t="n">
        <v>0.7202768811171312</v>
      </c>
      <c r="P802" s="15" t="n">
        <v>0.9021387637345967</v>
      </c>
      <c r="Q802" s="15" t="n">
        <v>0.002917248967474283</v>
      </c>
      <c r="R802" s="15" t="n">
        <v>0.02788560904613709</v>
      </c>
      <c r="S802" s="15" t="n">
        <v>0.00285474426195183</v>
      </c>
      <c r="T802" s="29">
        <f>HIPERLINK($A$1 &amp; "\Dados\Imagem_perfil_802.png", "Imagem_perfil_802")</f>
        <v/>
      </c>
      <c r="U802" s="29">
        <f>HIPERLINK($A$1 &amp; "\Dados\Results_airgap802.txt", "Results_airgap802")</f>
        <v/>
      </c>
      <c r="V802" s="19" t="n"/>
      <c r="W802" s="43" t="n">
        <v>1.507931304347826</v>
      </c>
      <c r="X802" s="15" t="n">
        <v>0.5994346678439169</v>
      </c>
      <c r="Y802" s="15" t="n">
        <v>0.0003712807188346182</v>
      </c>
      <c r="Z802" s="15" t="n">
        <v>0.0002807765599304473</v>
      </c>
      <c r="AA802" s="15" t="n">
        <v>9.298039101718937</v>
      </c>
      <c r="AB802" s="15" t="n">
        <v>0</v>
      </c>
      <c r="AC802" s="15" t="n">
        <v>0</v>
      </c>
      <c r="AD802" s="15" t="n">
        <v>47.74560518368474</v>
      </c>
      <c r="AE802" s="15" t="n">
        <v>50.75754450720638</v>
      </c>
      <c r="AF802" s="15" t="n">
        <v>0</v>
      </c>
      <c r="AH802" s="29">
        <f>HIPERLINK($A$1 &amp; "\Dados\Magnet_fields.txt_802.txt.txt", "Magnet_fields.txt_802.txt")</f>
        <v/>
      </c>
      <c r="AI802" t="n">
        <v>10755</v>
      </c>
      <c r="AJ802" t="n">
        <v>32</v>
      </c>
      <c r="AK802" s="29">
        <f>HIPERLINK($A$1 &amp; "\Dados\Magnet_3D_results.txt_802.txt.txt", "Magnet_3D_results.txt_802.txt")</f>
        <v/>
      </c>
      <c r="AL802" s="29">
        <f>HIPERLINK($A$1 &amp; "\Dados\Magnet_fields_2D.txt_802.txt.txt", "Magnet_fields_2D.txt_802.txt")</f>
        <v/>
      </c>
    </row>
    <row customHeight="1" ht="15.75" r="803" s="34">
      <c r="E803" s="15" t="n">
        <v>140</v>
      </c>
      <c r="F803" s="15" t="n">
        <v>181</v>
      </c>
      <c r="G803" s="15" t="n">
        <v>413</v>
      </c>
      <c r="H803" s="15" t="n">
        <v>45</v>
      </c>
      <c r="I803" s="15" t="n">
        <v>140</v>
      </c>
      <c r="J803" s="13" t="n">
        <v>25</v>
      </c>
      <c r="K803" t="n">
        <v>55</v>
      </c>
      <c r="L803" s="13" t="n">
        <v>1.7</v>
      </c>
      <c r="M803" s="12" t="n"/>
      <c r="N803" s="8" t="n">
        <v>1.14432154574645</v>
      </c>
      <c r="O803" s="15" t="n">
        <v>0.8578085812619222</v>
      </c>
      <c r="P803" s="15" t="n">
        <v>1.059012339940131</v>
      </c>
      <c r="Q803" s="15" t="n">
        <v>0.006313932437661774</v>
      </c>
      <c r="R803" s="15" t="n">
        <v>0.005027613472658099</v>
      </c>
      <c r="S803" s="15" t="n">
        <v>0.006664209100506416</v>
      </c>
      <c r="T803" s="29">
        <f>HIPERLINK($A$1 &amp; "\Dados\Imagem_perfil_803.png", "Imagem_perfil_803")</f>
        <v/>
      </c>
      <c r="U803" s="29">
        <f>HIPERLINK($A$1 &amp; "\Dados\Results_airgap803.txt", "Results_airgap803")</f>
        <v/>
      </c>
      <c r="V803" s="19" t="n"/>
      <c r="W803" s="43" t="n">
        <v>1.70692847826087</v>
      </c>
      <c r="X803" s="15" t="n">
        <v>0.7213530019821721</v>
      </c>
      <c r="Y803" s="15" t="n">
        <v>0.0007240740186479579</v>
      </c>
      <c r="Z803" s="15" t="n">
        <v>0</v>
      </c>
      <c r="AA803" s="15" t="n">
        <v>8.787340265562905</v>
      </c>
      <c r="AB803" s="15" t="n">
        <v>0</v>
      </c>
      <c r="AC803" s="15" t="n">
        <v>5.206421479961088</v>
      </c>
      <c r="AD803" s="15" t="n">
        <v>51.1298674570342</v>
      </c>
      <c r="AE803" s="15" t="n">
        <v>58.41274490970626</v>
      </c>
      <c r="AF803" s="15" t="n">
        <v>42.17103813191193</v>
      </c>
      <c r="AH803" s="29">
        <f>HIPERLINK($A$1 &amp; "\Dados\Magnet_fields.txt_803.txt.txt", "Magnet_fields.txt_803.txt")</f>
        <v/>
      </c>
      <c r="AI803" t="n">
        <v>10755</v>
      </c>
      <c r="AJ803" t="n">
        <v>31</v>
      </c>
      <c r="AK803" s="29">
        <f>HIPERLINK($A$1 &amp; "\Dados\Magnet_3D_results.txt_803.txt.txt", "Magnet_3D_results.txt_803.txt")</f>
        <v/>
      </c>
      <c r="AL803" s="29">
        <f>HIPERLINK($A$1 &amp; "\Dados\Magnet_fields_2D.txt_803.txt.txt", "Magnet_fields_2D.txt_803.txt")</f>
        <v/>
      </c>
    </row>
    <row customHeight="1" ht="15.75" r="804" s="34">
      <c r="E804" s="15" t="n">
        <v>140</v>
      </c>
      <c r="F804" s="15" t="n">
        <v>181</v>
      </c>
      <c r="G804" s="15" t="n">
        <v>413</v>
      </c>
      <c r="H804" s="15" t="n">
        <v>45</v>
      </c>
      <c r="I804" s="15" t="n">
        <v>140</v>
      </c>
      <c r="J804" s="13" t="n">
        <v>25</v>
      </c>
      <c r="K804" t="n">
        <v>55</v>
      </c>
      <c r="L804" s="13" t="n">
        <v>1.9</v>
      </c>
      <c r="M804" s="12" t="n"/>
      <c r="N804" s="8" t="n">
        <v>1.330543590119735</v>
      </c>
      <c r="O804" s="15" t="n">
        <v>1.017455278618489</v>
      </c>
      <c r="P804" s="15" t="n">
        <v>1.238232091463801</v>
      </c>
      <c r="Q804" s="15" t="n">
        <v>0.008970955459211307</v>
      </c>
      <c r="R804" s="15" t="n">
        <v>0.03077830257582602</v>
      </c>
      <c r="S804" s="15" t="n">
        <v>0.0100141369607418</v>
      </c>
      <c r="T804" s="29">
        <f>HIPERLINK($A$1 &amp; "\Dados\Imagem_perfil_804.png", "Imagem_perfil_804")</f>
        <v/>
      </c>
      <c r="U804" s="29">
        <f>HIPERLINK($A$1 &amp; "\Dados\Results_airgap804.txt", "Results_airgap804")</f>
        <v/>
      </c>
      <c r="V804" s="19" t="n"/>
      <c r="W804" s="43" t="n">
        <v>1.908922173913043</v>
      </c>
      <c r="X804" s="15" t="n">
        <v>0.8640871733468474</v>
      </c>
      <c r="Y804" s="15" t="n">
        <v>0.0006847257570092492</v>
      </c>
      <c r="Z804" s="15" t="n">
        <v>0.01329638997747551</v>
      </c>
      <c r="AA804" s="15" t="n">
        <v>5.81840630990141</v>
      </c>
      <c r="AB804" s="15" t="n">
        <v>0</v>
      </c>
      <c r="AC804" s="15" t="n">
        <v>8.535383275527089</v>
      </c>
      <c r="AD804" s="15" t="n">
        <v>62.18525964323937</v>
      </c>
      <c r="AE804" s="15" t="n">
        <v>83.01082767286242</v>
      </c>
      <c r="AF804" s="15" t="n">
        <v>77.22108270832209</v>
      </c>
      <c r="AH804" s="29">
        <f>HIPERLINK($A$1 &amp; "\Dados\Magnet_fields.txt_804.txt.txt", "Magnet_fields.txt_804.txt")</f>
        <v/>
      </c>
      <c r="AI804" t="n">
        <v>10755</v>
      </c>
      <c r="AJ804" t="n">
        <v>30</v>
      </c>
      <c r="AK804" s="29">
        <f>HIPERLINK($A$1 &amp; "\Dados\Magnet_3D_results.txt_804.txt.txt", "Magnet_3D_results.txt_804.txt")</f>
        <v/>
      </c>
      <c r="AL804" s="29">
        <f>HIPERLINK($A$1 &amp; "\Dados\Magnet_fields_2D.txt_804.txt.txt", "Magnet_fields_2D.txt_804.txt")</f>
        <v/>
      </c>
    </row>
    <row customHeight="1" ht="15.75" r="805" s="34">
      <c r="E805" s="15" t="n">
        <v>140</v>
      </c>
      <c r="F805" s="15" t="n">
        <v>181</v>
      </c>
      <c r="G805" s="15" t="n">
        <v>413</v>
      </c>
      <c r="H805" s="15" t="n">
        <v>45</v>
      </c>
      <c r="I805" s="15" t="n">
        <v>140</v>
      </c>
      <c r="J805" s="13" t="n">
        <v>25</v>
      </c>
      <c r="K805" t="n">
        <v>55</v>
      </c>
      <c r="L805" s="13" t="n">
        <v>2.1</v>
      </c>
      <c r="M805" s="12" t="n"/>
      <c r="N805" s="8" t="n">
        <v>1.452513314692873</v>
      </c>
      <c r="O805" s="15" t="n">
        <v>1.120559298753045</v>
      </c>
      <c r="P805" s="15" t="n">
        <v>1.355363933547251</v>
      </c>
      <c r="Q805" s="15" t="n">
        <v>0.01056976478428879</v>
      </c>
      <c r="R805" s="15" t="n">
        <v>0.05610504720353064</v>
      </c>
      <c r="S805" s="15" t="n">
        <v>0.01206085470010401</v>
      </c>
      <c r="T805" s="29">
        <f>HIPERLINK($A$1 &amp; "\Dados\Imagem_perfil_805.png", "Imagem_perfil_805")</f>
        <v/>
      </c>
      <c r="U805" s="29">
        <f>HIPERLINK($A$1 &amp; "\Dados\Results_airgap805.txt", "Results_airgap805")</f>
        <v/>
      </c>
      <c r="V805" s="19" t="n"/>
      <c r="W805" s="43" t="n">
        <v>2.023314999999999</v>
      </c>
      <c r="X805" s="15" t="n">
        <v>0.954382808396267</v>
      </c>
      <c r="Y805" s="15" t="n">
        <v>0.01074014159553177</v>
      </c>
      <c r="Z805" s="15" t="n">
        <v>0</v>
      </c>
      <c r="AA805" s="15" t="n">
        <v>0.0006174992525073533</v>
      </c>
      <c r="AB805" s="15" t="n">
        <v>0</v>
      </c>
      <c r="AC805" s="15" t="n">
        <v>14.7196958468326</v>
      </c>
      <c r="AD805" s="15" t="n">
        <v>64.48643814611701</v>
      </c>
      <c r="AE805" s="15" t="n">
        <v>97.75080850515519</v>
      </c>
      <c r="AF805" s="15" t="n">
        <v>127.7217194314085</v>
      </c>
      <c r="AH805" s="29">
        <f>HIPERLINK($A$1 &amp; "\Dados\Magnet_fields.txt_805.txt.txt", "Magnet_fields.txt_805.txt")</f>
        <v/>
      </c>
      <c r="AI805" t="n">
        <v>10755</v>
      </c>
      <c r="AJ805" t="n">
        <v>30</v>
      </c>
      <c r="AK805" s="29">
        <f>HIPERLINK($A$1 &amp; "\Dados\Magnet_3D_results.txt_805.txt.txt", "Magnet_3D_results.txt_805.txt")</f>
        <v/>
      </c>
      <c r="AL805" s="29">
        <f>HIPERLINK($A$1 &amp; "\Dados\Magnet_fields_2D.txt_805.txt.txt", "Magnet_fields_2D.txt_805.txt")</f>
        <v/>
      </c>
    </row>
    <row customHeight="1" ht="15.75" r="806" s="34">
      <c r="E806" s="15" t="n">
        <v>150</v>
      </c>
      <c r="F806" s="15" t="n">
        <v>190</v>
      </c>
      <c r="G806" s="15" t="n">
        <v>367</v>
      </c>
      <c r="H806" s="15" t="n">
        <v>45</v>
      </c>
      <c r="I806" s="15" t="n">
        <v>170</v>
      </c>
      <c r="J806" s="13" t="n">
        <v>25</v>
      </c>
      <c r="K806" t="n">
        <v>40</v>
      </c>
      <c r="L806" s="13" t="n">
        <v>1.3</v>
      </c>
      <c r="M806" s="12" t="n"/>
      <c r="N806" s="8" t="n">
        <v>1.034312642954905</v>
      </c>
      <c r="O806" s="15" t="n">
        <v>0.887548095122686</v>
      </c>
      <c r="P806" s="15" t="n">
        <v>0.9918856208186114</v>
      </c>
      <c r="Q806" s="15" t="n">
        <v>0.0006503938581084491</v>
      </c>
      <c r="R806" s="15" t="n">
        <v>0.002780167574001529</v>
      </c>
      <c r="S806" s="15" t="n">
        <v>0.0006757024249208687</v>
      </c>
      <c r="T806" s="29">
        <f>HIPERLINK($A$1 &amp; "\Dados\Imagem_perfil_806.png", "Imagem_perfil_806")</f>
        <v/>
      </c>
      <c r="U806" s="29">
        <f>HIPERLINK($A$1 &amp; "\Dados\Results_airgap806.txt", "Results_airgap806")</f>
        <v/>
      </c>
      <c r="V806" s="19" t="n"/>
      <c r="W806" s="43" t="n">
        <v>1.301208478260869</v>
      </c>
      <c r="X806" s="15" t="n">
        <v>0.619263735417936</v>
      </c>
      <c r="Y806" s="15" t="n">
        <v>0.0001225333533885582</v>
      </c>
      <c r="Z806" s="15" t="n">
        <v>0</v>
      </c>
      <c r="AA806" s="15" t="n">
        <v>6.665226712435033</v>
      </c>
      <c r="AB806" s="15" t="n">
        <v>0.1862169042586232</v>
      </c>
      <c r="AC806" s="15" t="n">
        <v>0.06936627173417063</v>
      </c>
      <c r="AD806" s="15" t="n">
        <v>0.3143950460798874</v>
      </c>
      <c r="AE806" s="15" t="n">
        <v>49.56746564156204</v>
      </c>
      <c r="AF806" s="15" t="n">
        <v>45.27946714748303</v>
      </c>
      <c r="AH806" s="29">
        <f>HIPERLINK($A$1 &amp; "\Dados\Magnet_fields.txt_806.txt.txt", "Magnet_fields.txt_806.txt")</f>
        <v/>
      </c>
      <c r="AI806" t="n">
        <v>7266</v>
      </c>
      <c r="AJ806" t="n">
        <v>29</v>
      </c>
      <c r="AK806" s="29">
        <f>HIPERLINK($A$1 &amp; "\Dados\Magnet_3D_results.txt_806.txt.txt", "Magnet_3D_results.txt_806.txt")</f>
        <v/>
      </c>
      <c r="AL806" s="29">
        <f>HIPERLINK($A$1 &amp; "\Dados\Magnet_fields_2D.txt_806.txt.txt", "Magnet_fields_2D.txt_806.txt")</f>
        <v/>
      </c>
    </row>
    <row customHeight="1" ht="15.75" r="807" s="34">
      <c r="E807" s="15" t="n">
        <v>150</v>
      </c>
      <c r="F807" s="15" t="n">
        <v>190</v>
      </c>
      <c r="G807" s="15" t="n">
        <v>367</v>
      </c>
      <c r="H807" s="15" t="n">
        <v>45</v>
      </c>
      <c r="I807" s="15" t="n">
        <v>170</v>
      </c>
      <c r="J807" s="13" t="n">
        <v>25</v>
      </c>
      <c r="K807" t="n">
        <v>40</v>
      </c>
      <c r="L807" s="13" t="n">
        <v>1.5</v>
      </c>
      <c r="M807" s="12" t="n"/>
      <c r="N807" s="8" t="n">
        <v>1.233763412927201</v>
      </c>
      <c r="O807" s="15" t="n">
        <v>1.067657929154869</v>
      </c>
      <c r="P807" s="15" t="n">
        <v>1.185948398502675</v>
      </c>
      <c r="Q807" s="15" t="n">
        <v>0.0009961917869708249</v>
      </c>
      <c r="R807" s="15" t="n">
        <v>0.01957482312446487</v>
      </c>
      <c r="S807" s="15" t="n">
        <v>0.001068419130333351</v>
      </c>
      <c r="T807" s="29">
        <f>HIPERLINK($A$1 &amp; "\Dados\Imagem_perfil_807.png", "Imagem_perfil_807")</f>
        <v/>
      </c>
      <c r="U807" s="29">
        <f>HIPERLINK($A$1 &amp; "\Dados\Results_airgap807.txt", "Results_airgap807")</f>
        <v/>
      </c>
      <c r="V807" s="19" t="n"/>
      <c r="W807" s="43" t="n">
        <v>1.50160347826087</v>
      </c>
      <c r="X807" s="15" t="n">
        <v>0.7602268501825357</v>
      </c>
      <c r="Y807" s="15" t="n">
        <v>0.0001327057456169</v>
      </c>
      <c r="Z807" s="15" t="n">
        <v>0.08328508510269983</v>
      </c>
      <c r="AA807" s="15" t="n">
        <v>3.14498469339908</v>
      </c>
      <c r="AB807" s="15" t="n">
        <v>4.282713721841129</v>
      </c>
      <c r="AC807" s="15" t="n">
        <v>1.62255428958895</v>
      </c>
      <c r="AD807" s="15" t="n">
        <v>6.672913067776781</v>
      </c>
      <c r="AE807" s="15" t="n">
        <v>73.26414119037821</v>
      </c>
      <c r="AF807" s="15" t="n">
        <v>88.9855586970542</v>
      </c>
      <c r="AH807" s="29">
        <f>HIPERLINK($A$1 &amp; "\Dados\Magnet_fields.txt_807.txt.txt", "Magnet_fields.txt_807.txt")</f>
        <v/>
      </c>
      <c r="AI807" t="n">
        <v>7266</v>
      </c>
      <c r="AJ807" t="n">
        <v>28</v>
      </c>
      <c r="AK807" s="29">
        <f>HIPERLINK($A$1 &amp; "\Dados\Magnet_3D_results.txt_807.txt.txt", "Magnet_3D_results.txt_807.txt")</f>
        <v/>
      </c>
      <c r="AL807" s="29">
        <f>HIPERLINK($A$1 &amp; "\Dados\Magnet_fields_2D.txt_807.txt.txt", "Magnet_fields_2D.txt_807.txt")</f>
        <v/>
      </c>
    </row>
    <row customHeight="1" ht="15.75" r="808" s="34">
      <c r="E808" s="15" t="n">
        <v>150</v>
      </c>
      <c r="F808" s="15" t="n">
        <v>190</v>
      </c>
      <c r="G808" s="15" t="n">
        <v>367</v>
      </c>
      <c r="H808" s="15" t="n">
        <v>45</v>
      </c>
      <c r="I808" s="15" t="n">
        <v>170</v>
      </c>
      <c r="J808" s="13" t="n">
        <v>25</v>
      </c>
      <c r="K808" t="n">
        <v>40</v>
      </c>
      <c r="L808" s="13" t="n">
        <v>1.7</v>
      </c>
      <c r="M808" s="12" t="n"/>
      <c r="N808" s="8" t="n">
        <v>1.320293099553245</v>
      </c>
      <c r="O808" s="15" t="n">
        <v>1.147694999277292</v>
      </c>
      <c r="P808" s="15" t="n">
        <v>1.270895009525173</v>
      </c>
      <c r="Q808" s="15" t="n">
        <v>0.001171829596411085</v>
      </c>
      <c r="R808" s="15" t="n">
        <v>0.02468724972566781</v>
      </c>
      <c r="S808" s="15" t="n">
        <v>0.001251459880874791</v>
      </c>
      <c r="T808" s="29">
        <f>HIPERLINK($A$1 &amp; "\Dados\Imagem_perfil_808.png", "Imagem_perfil_808")</f>
        <v/>
      </c>
      <c r="U808" s="29">
        <f>HIPERLINK($A$1 &amp; "\Dados\Results_airgap808.txt", "Results_airgap808")</f>
        <v/>
      </c>
      <c r="V808" s="19" t="n"/>
      <c r="W808" s="43" t="n">
        <v>1.591756304347826</v>
      </c>
      <c r="X808" s="15" t="n">
        <v>0.8208625646017137</v>
      </c>
      <c r="Y808" s="15" t="n">
        <v>0.03203039145833523</v>
      </c>
      <c r="Z808" s="15" t="n">
        <v>0</v>
      </c>
      <c r="AA808" s="15" t="n">
        <v>0.006303447591867277</v>
      </c>
      <c r="AB808" s="15" t="n">
        <v>0</v>
      </c>
      <c r="AC808" s="15" t="n">
        <v>0</v>
      </c>
      <c r="AD808" s="15" t="n">
        <v>25.0308598953123</v>
      </c>
      <c r="AE808" s="15" t="n">
        <v>79.03559599283297</v>
      </c>
      <c r="AF808" s="15" t="n">
        <v>113.7910351376514</v>
      </c>
      <c r="AH808" s="29">
        <f>HIPERLINK($A$1 &amp; "\Dados\Magnet_fields.txt_808.txt.txt", "Magnet_fields.txt_808.txt")</f>
        <v/>
      </c>
      <c r="AI808" t="n">
        <v>7266</v>
      </c>
      <c r="AJ808" t="n">
        <v>28</v>
      </c>
      <c r="AK808" s="29">
        <f>HIPERLINK($A$1 &amp; "\Dados\Magnet_3D_results.txt_808.txt.txt", "Magnet_3D_results.txt_808.txt")</f>
        <v/>
      </c>
      <c r="AL808" s="29">
        <f>HIPERLINK($A$1 &amp; "\Dados\Magnet_fields_2D.txt_808.txt.txt", "Magnet_fields_2D.txt_808.txt")</f>
        <v/>
      </c>
    </row>
    <row customHeight="1" ht="15.75" r="809" s="34">
      <c r="E809" s="15" t="n">
        <v>150</v>
      </c>
      <c r="F809" s="15" t="n">
        <v>190</v>
      </c>
      <c r="G809" s="15" t="n">
        <v>367</v>
      </c>
      <c r="H809" s="15" t="n">
        <v>45</v>
      </c>
      <c r="I809" s="15" t="n">
        <v>170</v>
      </c>
      <c r="J809" s="13" t="n">
        <v>25</v>
      </c>
      <c r="K809" t="n">
        <v>40</v>
      </c>
      <c r="L809" s="13" t="n">
        <v>1.9</v>
      </c>
      <c r="M809" s="12" t="n"/>
      <c r="N809" s="8" t="n">
        <v>1.323001273657565</v>
      </c>
      <c r="O809" s="15" t="n">
        <v>1.150209837498468</v>
      </c>
      <c r="P809" s="15" t="n">
        <v>1.273570251556501</v>
      </c>
      <c r="Q809" s="15" t="n">
        <v>0.001174543791744843</v>
      </c>
      <c r="R809" s="15" t="n">
        <v>0.02478022401375135</v>
      </c>
      <c r="S809" s="15" t="n">
        <v>0.001254147345337189</v>
      </c>
      <c r="T809" s="29">
        <f>HIPERLINK($A$1 &amp; "\Dados\Imagem_perfil_809.png", "Imagem_perfil_809")</f>
        <v/>
      </c>
      <c r="U809" s="29">
        <f>HIPERLINK($A$1 &amp; "\Dados\Results_airgap809.txt", "Results_airgap809")</f>
        <v/>
      </c>
      <c r="V809" s="19" t="n"/>
      <c r="W809" s="15" t="n">
        <v>1.598927173913044</v>
      </c>
      <c r="X809" s="15" t="n">
        <v>0.8227325374514939</v>
      </c>
      <c r="Y809" s="15" t="n">
        <v>0.1360804640574147</v>
      </c>
      <c r="Z809" s="15" t="n">
        <v>0</v>
      </c>
      <c r="AA809" s="15" t="n">
        <v>0.005713541616834725</v>
      </c>
      <c r="AB809" s="15" t="n">
        <v>0</v>
      </c>
      <c r="AC809" s="15" t="n">
        <v>0.7177940612711791</v>
      </c>
      <c r="AD809" s="15" t="n">
        <v>26.37786238668735</v>
      </c>
      <c r="AE809" s="15" t="n">
        <v>79.2351404004459</v>
      </c>
      <c r="AF809" s="15" t="n">
        <v>114.0864920627942</v>
      </c>
      <c r="AH809" s="29">
        <f>HIPERLINK($A$1 &amp; "\Dados\Magnet_fields.txt_809.txt.txt", "Magnet_fields.txt_809.txt")</f>
        <v/>
      </c>
      <c r="AI809" t="n">
        <v>7266</v>
      </c>
      <c r="AJ809" t="n">
        <v>28</v>
      </c>
      <c r="AK809" s="29">
        <f>HIPERLINK($A$1 &amp; "\Dados\Magnet_3D_results.txt_809.txt.txt", "Magnet_3D_results.txt_809.txt")</f>
        <v/>
      </c>
      <c r="AL809" s="29">
        <f>HIPERLINK($A$1 &amp; "\Dados\Magnet_fields_2D.txt_809.txt.txt", "Magnet_fields_2D.txt_809.txt")</f>
        <v/>
      </c>
    </row>
    <row customHeight="1" ht="15.75" r="810" s="34">
      <c r="E810" s="15" t="n">
        <v>150</v>
      </c>
      <c r="F810" s="15" t="n">
        <v>190</v>
      </c>
      <c r="G810" s="15" t="n">
        <v>367</v>
      </c>
      <c r="H810" s="15" t="n">
        <v>45</v>
      </c>
      <c r="I810" s="15" t="n">
        <v>170</v>
      </c>
      <c r="J810" s="13" t="n">
        <v>25</v>
      </c>
      <c r="K810" t="n">
        <v>40</v>
      </c>
      <c r="L810" s="13" t="n">
        <v>2.1</v>
      </c>
      <c r="M810" s="12" t="n"/>
      <c r="N810" s="8" t="n">
        <v>1.326313198508532</v>
      </c>
      <c r="O810" s="15" t="n">
        <v>1.152775770832209</v>
      </c>
      <c r="P810" s="15" t="n">
        <v>1.276551961130445</v>
      </c>
      <c r="Q810" s="15" t="n">
        <v>0.001179980461969793</v>
      </c>
      <c r="R810" s="15" t="n">
        <v>0.02481165651182336</v>
      </c>
      <c r="S810" s="15" t="n">
        <v>0.001259461244193436</v>
      </c>
      <c r="T810" s="29">
        <f>HIPERLINK($A$1 &amp; "\Dados\Imagem_perfil_810.png", "Imagem_perfil_810")</f>
        <v/>
      </c>
      <c r="U810" s="29">
        <f>HIPERLINK($A$1 &amp; "\Dados\Results_airgap810.txt", "Results_airgap810")</f>
        <v/>
      </c>
      <c r="V810" s="19" t="n"/>
      <c r="W810" s="15" t="n">
        <v>1.602515434782609</v>
      </c>
      <c r="X810" s="15" t="n">
        <v>0.8245163583549469</v>
      </c>
      <c r="Y810" s="15" t="n">
        <v>0.2742574932941398</v>
      </c>
      <c r="Z810" s="15" t="n">
        <v>0</v>
      </c>
      <c r="AA810" s="15" t="n">
        <v>0.005713541616834725</v>
      </c>
      <c r="AB810" s="15" t="n">
        <v>0</v>
      </c>
      <c r="AC810" s="15" t="n">
        <v>1.308017917938461</v>
      </c>
      <c r="AD810" s="15" t="n">
        <v>26.81784223989098</v>
      </c>
      <c r="AE810" s="15" t="n">
        <v>79.34838114737809</v>
      </c>
      <c r="AF810" s="15" t="n">
        <v>114.0651889663245</v>
      </c>
      <c r="AH810" s="29">
        <f>HIPERLINK($A$1 &amp; "\Dados\Magnet_fields.txt_810.txt.txt", "Magnet_fields.txt_810.txt")</f>
        <v/>
      </c>
      <c r="AI810" t="n">
        <v>7266</v>
      </c>
      <c r="AJ810" t="n">
        <v>29</v>
      </c>
      <c r="AK810" s="29">
        <f>HIPERLINK($A$1 &amp; "\Dados\Magnet_3D_results.txt_810.txt.txt", "Magnet_3D_results.txt_810.txt")</f>
        <v/>
      </c>
      <c r="AL810" s="29">
        <f>HIPERLINK($A$1 &amp; "\Dados\Magnet_fields_2D.txt_810.txt.txt", "Magnet_fields_2D.txt_810.txt")</f>
        <v/>
      </c>
    </row>
    <row customHeight="1" ht="15.75" r="811" s="34">
      <c r="E811" s="15" t="n">
        <v>136</v>
      </c>
      <c r="F811" s="15" t="n">
        <v>182</v>
      </c>
      <c r="G811" s="15" t="n">
        <v>370</v>
      </c>
      <c r="H811" s="15" t="n">
        <v>45</v>
      </c>
      <c r="I811" s="15" t="n">
        <v>160</v>
      </c>
      <c r="J811" s="13" t="n">
        <v>25</v>
      </c>
      <c r="K811" t="n">
        <v>55</v>
      </c>
      <c r="L811" s="13" t="n">
        <v>1.3</v>
      </c>
      <c r="M811" s="12" t="n"/>
      <c r="N811" s="8" t="n">
        <v>0.8763501973575002</v>
      </c>
      <c r="O811" s="15" t="n">
        <v>0.7135967286425569</v>
      </c>
      <c r="P811" s="15" t="n">
        <v>0.8265762164246144</v>
      </c>
      <c r="Q811" s="15" t="n">
        <v>0.00499690004864908</v>
      </c>
      <c r="R811" s="15" t="n">
        <v>0.03248540734951259</v>
      </c>
      <c r="S811" s="15" t="n">
        <v>0.004673664018934236</v>
      </c>
      <c r="T811" s="29">
        <f>HIPERLINK($A$1 &amp; "\Dados\Imagem_perfil_811.png", "Imagem_perfil_811")</f>
        <v/>
      </c>
      <c r="U811" s="29">
        <f>HIPERLINK($A$1 &amp; "\Dados\Results_airgap811.txt", "Results_airgap811")</f>
        <v/>
      </c>
      <c r="V811" s="19" t="n"/>
      <c r="W811" s="43" t="n">
        <v>1.311624565217391</v>
      </c>
      <c r="X811" s="15" t="n">
        <v>0.5233143038982134</v>
      </c>
      <c r="Y811" s="15" t="n">
        <v>0.000963216503889997</v>
      </c>
      <c r="Z811" s="15" t="n">
        <v>0</v>
      </c>
      <c r="AA811" s="15" t="n">
        <v>11.480723245677</v>
      </c>
      <c r="AB811" s="15" t="n">
        <v>0</v>
      </c>
      <c r="AC811" s="15" t="n">
        <v>0</v>
      </c>
      <c r="AD811" s="15" t="n">
        <v>42.65607764465324</v>
      </c>
      <c r="AE811" s="15" t="n">
        <v>37.10871396490168</v>
      </c>
      <c r="AF811" s="15" t="n">
        <v>0</v>
      </c>
      <c r="AH811" s="29">
        <f>HIPERLINK($A$1 &amp; "\Dados\Magnet_fields.txt_811.txt.txt", "Magnet_fields.txt_811.txt")</f>
        <v/>
      </c>
      <c r="AI811" t="n">
        <v>9629</v>
      </c>
      <c r="AJ811" t="n">
        <v>35</v>
      </c>
      <c r="AK811" s="29">
        <f>HIPERLINK($A$1 &amp; "\Dados\Magnet_3D_results.txt_811.txt.txt", "Magnet_3D_results.txt_811.txt")</f>
        <v/>
      </c>
      <c r="AL811" s="29">
        <f>HIPERLINK($A$1 &amp; "\Dados\Magnet_fields_2D.txt_811.txt.txt", "Magnet_fields_2D.txt_811.txt")</f>
        <v/>
      </c>
    </row>
    <row customHeight="1" ht="15.75" r="812" s="34">
      <c r="E812" s="15" t="n">
        <v>136</v>
      </c>
      <c r="F812" s="15" t="n">
        <v>182</v>
      </c>
      <c r="G812" s="15" t="n">
        <v>370</v>
      </c>
      <c r="H812" s="15" t="n">
        <v>45</v>
      </c>
      <c r="I812" s="15" t="n">
        <v>160</v>
      </c>
      <c r="J812" s="13" t="n">
        <v>25</v>
      </c>
      <c r="K812" t="n">
        <v>55</v>
      </c>
      <c r="L812" s="13" t="n">
        <v>1.5</v>
      </c>
      <c r="M812" s="12" t="n"/>
      <c r="N812" s="8" t="n">
        <v>1.085027316280857</v>
      </c>
      <c r="O812" s="15" t="n">
        <v>0.8985156592894522</v>
      </c>
      <c r="P812" s="15" t="n">
        <v>1.028923584556594</v>
      </c>
      <c r="Q812" s="15" t="n">
        <v>0.003845549179608573</v>
      </c>
      <c r="R812" s="15" t="n">
        <v>0.006095142570034629</v>
      </c>
      <c r="S812" s="15" t="n">
        <v>0.003767971642257517</v>
      </c>
      <c r="T812" s="29">
        <f>HIPERLINK($A$1 &amp; "\Dados\Imagem_perfil_812.png", "Imagem_perfil_812")</f>
        <v/>
      </c>
      <c r="U812" s="29">
        <f>HIPERLINK($A$1 &amp; "\Dados\Results_airgap812.txt", "Results_airgap812")</f>
        <v/>
      </c>
      <c r="V812" s="19" t="n"/>
      <c r="W812" s="43" t="n">
        <v>1.498336086956522</v>
      </c>
      <c r="X812" s="15" t="n">
        <v>0.6700669766304835</v>
      </c>
      <c r="Y812" s="15" t="n">
        <v>0.0004995206679025805</v>
      </c>
      <c r="Z812" s="15" t="n">
        <v>0.1069086046871141</v>
      </c>
      <c r="AA812" s="15" t="n">
        <v>7.612544457757505</v>
      </c>
      <c r="AB812" s="15" t="n">
        <v>0.5138884875247439</v>
      </c>
      <c r="AC812" s="15" t="n">
        <v>0.2471092909727861</v>
      </c>
      <c r="AD812" s="15" t="n">
        <v>62.0419323514415</v>
      </c>
      <c r="AE812" s="15" t="n">
        <v>108.3305044648419</v>
      </c>
      <c r="AF812" s="15" t="n">
        <v>19.5671968771043</v>
      </c>
      <c r="AH812" s="29">
        <f>HIPERLINK($A$1 &amp; "\Dados\Magnet_fields.txt_812.txt.txt", "Magnet_fields.txt_812.txt")</f>
        <v/>
      </c>
      <c r="AI812" t="n">
        <v>9629</v>
      </c>
      <c r="AJ812" t="n">
        <v>29</v>
      </c>
      <c r="AK812" s="29">
        <f>HIPERLINK($A$1 &amp; "\Dados\Magnet_3D_results.txt_812.txt.txt", "Magnet_3D_results.txt_812.txt")</f>
        <v/>
      </c>
      <c r="AL812" s="29">
        <f>HIPERLINK($A$1 &amp; "\Dados\Magnet_fields_2D.txt_812.txt.txt", "Magnet_fields_2D.txt_812.txt")</f>
        <v/>
      </c>
    </row>
    <row customHeight="1" ht="15.75" r="813" s="34">
      <c r="E813" s="15" t="n">
        <v>136</v>
      </c>
      <c r="F813" s="15" t="n">
        <v>182</v>
      </c>
      <c r="G813" s="15" t="n">
        <v>370</v>
      </c>
      <c r="H813" s="15" t="n">
        <v>45</v>
      </c>
      <c r="I813" s="15" t="n">
        <v>160</v>
      </c>
      <c r="J813" s="13" t="n">
        <v>25</v>
      </c>
      <c r="K813" t="n">
        <v>55</v>
      </c>
      <c r="L813" s="13" t="n">
        <v>1.7</v>
      </c>
      <c r="M813" s="12" t="n"/>
      <c r="N813" s="8" t="n">
        <v>1.284989490428071</v>
      </c>
      <c r="O813" s="15" t="n">
        <v>1.080133697444832</v>
      </c>
      <c r="P813" s="15" t="n">
        <v>1.223070680755261</v>
      </c>
      <c r="Q813" s="15" t="n">
        <v>0.01081283536217986</v>
      </c>
      <c r="R813" s="15" t="n">
        <v>0.03298239088368003</v>
      </c>
      <c r="S813" s="15" t="n">
        <v>0.01088018453870366</v>
      </c>
      <c r="T813" s="29">
        <f>HIPERLINK($A$1 &amp; "\Dados\Imagem_perfil_813.png", "Imagem_perfil_813")</f>
        <v/>
      </c>
      <c r="U813" s="29">
        <f>HIPERLINK($A$1 &amp; "\Dados\Results_airgap813.txt", "Results_airgap813")</f>
        <v/>
      </c>
      <c r="V813" s="19" t="n"/>
      <c r="W813" s="43" t="n">
        <v>1.702597826086956</v>
      </c>
      <c r="X813" s="15" t="n">
        <v>0.8130128304344904</v>
      </c>
      <c r="Y813" s="15" t="n">
        <v>0.001175607304636798</v>
      </c>
      <c r="Z813" s="15" t="n">
        <v>0.01795926531202255</v>
      </c>
      <c r="AA813" s="15" t="n">
        <v>5.053873203495999</v>
      </c>
      <c r="AB813" s="15" t="n">
        <v>1.63502817601203</v>
      </c>
      <c r="AC813" s="15" t="n">
        <v>7.046603725628846</v>
      </c>
      <c r="AD813" s="15" t="n">
        <v>63.95547539484005</v>
      </c>
      <c r="AE813" s="15" t="n">
        <v>90.45119144175365</v>
      </c>
      <c r="AF813" s="15" t="n">
        <v>89.7741766926935</v>
      </c>
      <c r="AH813" s="29">
        <f>HIPERLINK($A$1 &amp; "\Dados\Magnet_fields.txt_813.txt.txt", "Magnet_fields.txt_813.txt")</f>
        <v/>
      </c>
      <c r="AI813" t="n">
        <v>9629</v>
      </c>
      <c r="AJ813" t="n">
        <v>29</v>
      </c>
      <c r="AK813" s="29">
        <f>HIPERLINK($A$1 &amp; "\Dados\Magnet_3D_results.txt_813.txt.txt", "Magnet_3D_results.txt_813.txt")</f>
        <v/>
      </c>
      <c r="AL813" s="29">
        <f>HIPERLINK($A$1 &amp; "\Dados\Magnet_fields_2D.txt_813.txt.txt", "Magnet_fields_2D.txt_813.txt")</f>
        <v/>
      </c>
    </row>
    <row customHeight="1" ht="15.75" r="814" s="34">
      <c r="E814" s="15" t="n">
        <v>136</v>
      </c>
      <c r="F814" s="15" t="n">
        <v>182</v>
      </c>
      <c r="G814" s="15" t="n">
        <v>370</v>
      </c>
      <c r="H814" s="15" t="n">
        <v>45</v>
      </c>
      <c r="I814" s="15" t="n">
        <v>160</v>
      </c>
      <c r="J814" s="13" t="n">
        <v>25</v>
      </c>
      <c r="K814" t="n">
        <v>55</v>
      </c>
      <c r="L814" s="13" t="n">
        <v>1.9</v>
      </c>
      <c r="M814" s="12" t="n"/>
      <c r="N814" s="8" t="n">
        <v>1.361354545529666</v>
      </c>
      <c r="O814" s="15" t="n">
        <v>1.149849868152935</v>
      </c>
      <c r="P814" s="15" t="n">
        <v>1.297524867462515</v>
      </c>
      <c r="Q814" s="15" t="n">
        <v>0.01018159164485619</v>
      </c>
      <c r="R814" s="15" t="n">
        <v>0.04678427064017161</v>
      </c>
      <c r="S814" s="15" t="n">
        <v>0.01042073179418783</v>
      </c>
      <c r="T814" s="29">
        <f>HIPERLINK($A$1 &amp; "\Dados\Imagem_perfil_814.png", "Imagem_perfil_814")</f>
        <v/>
      </c>
      <c r="U814" s="29">
        <f>HIPERLINK($A$1 &amp; "\Dados\Results_airgap814.txt", "Results_airgap814")</f>
        <v/>
      </c>
      <c r="V814" s="19" t="n"/>
      <c r="W814" s="43" t="n">
        <v>1.760406086956522</v>
      </c>
      <c r="X814" s="15" t="n">
        <v>0.8675295488845238</v>
      </c>
      <c r="Y814" s="15" t="n">
        <v>0.02941004494798618</v>
      </c>
      <c r="Z814" s="15" t="n">
        <v>0</v>
      </c>
      <c r="AA814" s="15" t="n">
        <v>0</v>
      </c>
      <c r="AB814" s="15" t="n">
        <v>0</v>
      </c>
      <c r="AC814" s="15" t="n">
        <v>14.16121025737052</v>
      </c>
      <c r="AD814" s="15" t="n">
        <v>63.4020722486543</v>
      </c>
      <c r="AE814" s="15" t="n">
        <v>96.03739595768542</v>
      </c>
      <c r="AF814" s="15" t="n">
        <v>126.3538113406364</v>
      </c>
      <c r="AH814" s="29">
        <f>HIPERLINK($A$1 &amp; "\Dados\Magnet_fields.txt_814.txt.txt", "Magnet_fields.txt_814.txt")</f>
        <v/>
      </c>
      <c r="AI814" t="n">
        <v>9629</v>
      </c>
      <c r="AJ814" t="n">
        <v>30</v>
      </c>
      <c r="AK814" s="29">
        <f>HIPERLINK($A$1 &amp; "\Dados\Magnet_3D_results.txt_814.txt.txt", "Magnet_3D_results.txt_814.txt")</f>
        <v/>
      </c>
      <c r="AL814" s="29">
        <f>HIPERLINK($A$1 &amp; "\Dados\Magnet_fields_2D.txt_814.txt.txt", "Magnet_fields_2D.txt_814.txt")</f>
        <v/>
      </c>
    </row>
    <row customHeight="1" ht="15.75" r="815" s="34">
      <c r="E815" s="15" t="n">
        <v>136</v>
      </c>
      <c r="F815" s="15" t="n">
        <v>182</v>
      </c>
      <c r="G815" s="15" t="n">
        <v>370</v>
      </c>
      <c r="H815" s="15" t="n">
        <v>45</v>
      </c>
      <c r="I815" s="15" t="n">
        <v>160</v>
      </c>
      <c r="J815" s="13" t="n">
        <v>25</v>
      </c>
      <c r="K815" t="n">
        <v>55</v>
      </c>
      <c r="L815" s="13" t="n">
        <v>2.1</v>
      </c>
      <c r="M815" s="12" t="n"/>
      <c r="N815" s="8" t="n">
        <v>1.360960294637217</v>
      </c>
      <c r="O815" s="15" t="n">
        <v>1.149488793318947</v>
      </c>
      <c r="P815" s="15" t="n">
        <v>1.297137059037552</v>
      </c>
      <c r="Q815" s="15" t="n">
        <v>0.01025521166532498</v>
      </c>
      <c r="R815" s="15" t="n">
        <v>0.04673537965410764</v>
      </c>
      <c r="S815" s="15" t="n">
        <v>0.0104907816276867</v>
      </c>
      <c r="T815" s="29">
        <f>HIPERLINK($A$1 &amp; "\Dados\Imagem_perfil_815.png", "Imagem_perfil_815")</f>
        <v/>
      </c>
      <c r="U815" s="29">
        <f>HIPERLINK($A$1 &amp; "\Dados\Results_airgap815.txt", "Results_airgap815")</f>
        <v/>
      </c>
      <c r="V815" s="19" t="n"/>
      <c r="W815" s="15" t="n">
        <v>1.76313847826087</v>
      </c>
      <c r="X815" s="15" t="n">
        <v>0.8671963861291561</v>
      </c>
      <c r="Y815" s="15" t="n">
        <v>0.1185052601676668</v>
      </c>
      <c r="Z815" s="15" t="n">
        <v>0</v>
      </c>
      <c r="AA815" s="15" t="n">
        <v>0</v>
      </c>
      <c r="AB815" s="15" t="n">
        <v>0</v>
      </c>
      <c r="AC815" s="15" t="n">
        <v>14.81999936096809</v>
      </c>
      <c r="AD815" s="15" t="n">
        <v>63.54392098576135</v>
      </c>
      <c r="AE815" s="15" t="n">
        <v>95.90549931707665</v>
      </c>
      <c r="AF815" s="15" t="n">
        <v>126.1530961453608</v>
      </c>
      <c r="AH815" s="29">
        <f>HIPERLINK($A$1 &amp; "\Dados\Magnet_fields.txt_815.txt.txt", "Magnet_fields.txt_815.txt")</f>
        <v/>
      </c>
      <c r="AI815" t="n">
        <v>9629</v>
      </c>
      <c r="AJ815" t="n">
        <v>29</v>
      </c>
      <c r="AK815" s="29">
        <f>HIPERLINK($A$1 &amp; "\Dados\Magnet_3D_results.txt_815.txt.txt", "Magnet_3D_results.txt_815.txt")</f>
        <v/>
      </c>
      <c r="AL815" s="29">
        <f>HIPERLINK($A$1 &amp; "\Dados\Magnet_fields_2D.txt_815.txt.txt", "Magnet_fields_2D.txt_815.txt")</f>
        <v/>
      </c>
    </row>
    <row customHeight="1" ht="15.75" r="816" s="34">
      <c r="E816" s="15" t="n">
        <v>148</v>
      </c>
      <c r="F816" s="15" t="n">
        <v>186</v>
      </c>
      <c r="G816" s="15" t="n">
        <v>352</v>
      </c>
      <c r="H816" s="15" t="n">
        <v>45</v>
      </c>
      <c r="I816" s="15" t="n">
        <v>156</v>
      </c>
      <c r="J816" s="13" t="n">
        <v>25</v>
      </c>
      <c r="K816" t="n">
        <v>40</v>
      </c>
      <c r="L816" s="13" t="n">
        <v>1.3</v>
      </c>
      <c r="M816" s="12" t="n"/>
      <c r="N816" s="8" t="n">
        <v>1.040269891079205</v>
      </c>
      <c r="O816" s="15" t="n">
        <v>0.8602723000680903</v>
      </c>
      <c r="P816" s="15" t="n">
        <v>0.9822463787076776</v>
      </c>
      <c r="Q816" s="15" t="n">
        <v>0.0006857037121569588</v>
      </c>
      <c r="R816" s="15" t="n">
        <v>0.003542927875776798</v>
      </c>
      <c r="S816" s="15" t="n">
        <v>0.0007381997641867946</v>
      </c>
      <c r="T816" s="29">
        <f>HIPERLINK($A$1 &amp; "\Dados\Imagem_perfil_816.png", "Imagem_perfil_816")</f>
        <v/>
      </c>
      <c r="U816" s="29">
        <f>HIPERLINK($A$1 &amp; "\Dados\Results_airgap816.txt", "Results_airgap816")</f>
        <v/>
      </c>
      <c r="V816" s="19" t="n"/>
      <c r="W816" s="43" t="n">
        <v>1.30825152173913</v>
      </c>
      <c r="X816" s="15" t="n">
        <v>0.6373882693038374</v>
      </c>
      <c r="Y816" s="15" t="n">
        <v>0.00019730820429034</v>
      </c>
      <c r="Z816" s="15" t="n">
        <v>0</v>
      </c>
      <c r="AA816" s="15" t="n">
        <v>6.782265710867094</v>
      </c>
      <c r="AB816" s="15" t="n">
        <v>0.1390638872754505</v>
      </c>
      <c r="AC816" s="15" t="n">
        <v>0.09111743424259047</v>
      </c>
      <c r="AD816" s="15" t="n">
        <v>0</v>
      </c>
      <c r="AE816" s="15" t="n">
        <v>44.29878945972757</v>
      </c>
      <c r="AF816" s="15" t="n">
        <v>53.09549229142091</v>
      </c>
      <c r="AH816" s="29">
        <f>HIPERLINK($A$1 &amp; "\Dados\Magnet_fields.txt_816.txt.txt", "Magnet_fields.txt_816.txt")</f>
        <v/>
      </c>
      <c r="AI816" t="n">
        <v>7049</v>
      </c>
      <c r="AJ816" t="n">
        <v>29</v>
      </c>
      <c r="AK816" s="29">
        <f>HIPERLINK($A$1 &amp; "\Dados\Magnet_3D_results.txt_816.txt.txt", "Magnet_3D_results.txt_816.txt")</f>
        <v/>
      </c>
      <c r="AL816" s="29">
        <f>HIPERLINK($A$1 &amp; "\Dados\Magnet_fields_2D.txt_816.txt.txt", "Magnet_fields_2D.txt_816.txt")</f>
        <v/>
      </c>
    </row>
    <row customHeight="1" ht="15.75" r="817" s="34">
      <c r="E817" s="15" t="n">
        <v>148</v>
      </c>
      <c r="F817" s="15" t="n">
        <v>186</v>
      </c>
      <c r="G817" s="15" t="n">
        <v>352</v>
      </c>
      <c r="H817" s="15" t="n">
        <v>45</v>
      </c>
      <c r="I817" s="15" t="n">
        <v>156</v>
      </c>
      <c r="J817" s="13" t="n">
        <v>25</v>
      </c>
      <c r="K817" t="n">
        <v>40</v>
      </c>
      <c r="L817" s="13" t="n">
        <v>1.5</v>
      </c>
      <c r="M817" s="12" t="n"/>
      <c r="N817" s="8" t="n">
        <v>1.24549002460407</v>
      </c>
      <c r="O817" s="15" t="n">
        <v>1.044317136908086</v>
      </c>
      <c r="P817" s="15" t="n">
        <v>1.178857406728552</v>
      </c>
      <c r="Q817" s="15" t="n">
        <v>0.001095999885923333</v>
      </c>
      <c r="R817" s="15" t="n">
        <v>0.01990535678251677</v>
      </c>
      <c r="S817" s="15" t="n">
        <v>0.001212169886844324</v>
      </c>
      <c r="T817" s="29">
        <f>HIPERLINK($A$1 &amp; "\Dados\Imagem_perfil_817.png", "Imagem_perfil_817")</f>
        <v/>
      </c>
      <c r="U817" s="29">
        <f>HIPERLINK($A$1 &amp; "\Dados\Results_airgap817.txt", "Results_airgap817")</f>
        <v/>
      </c>
      <c r="V817" s="19" t="n"/>
      <c r="W817" s="43" t="n">
        <v>1.517847608695652</v>
      </c>
      <c r="X817" s="15" t="n">
        <v>0.7857195680968185</v>
      </c>
      <c r="Y817" s="15" t="n">
        <v>0.0007381993311918162</v>
      </c>
      <c r="Z817" s="15" t="n">
        <v>0.03419044018636695</v>
      </c>
      <c r="AA817" s="15" t="n">
        <v>0.2501300191703737</v>
      </c>
      <c r="AB817" s="15" t="n">
        <v>2.339975236684765</v>
      </c>
      <c r="AC817" s="15" t="n">
        <v>0</v>
      </c>
      <c r="AD817" s="15" t="n">
        <v>11.4784244699956</v>
      </c>
      <c r="AE817" s="15" t="n">
        <v>65.40302678348563</v>
      </c>
      <c r="AF817" s="15" t="n">
        <v>107.6734681243322</v>
      </c>
      <c r="AH817" s="29">
        <f>HIPERLINK($A$1 &amp; "\Dados\Magnet_fields.txt_817.txt.txt", "Magnet_fields.txt_817.txt")</f>
        <v/>
      </c>
      <c r="AI817" t="n">
        <v>7049</v>
      </c>
      <c r="AJ817" t="n">
        <v>28</v>
      </c>
      <c r="AK817" s="29">
        <f>HIPERLINK($A$1 &amp; "\Dados\Magnet_3D_results.txt_817.txt.txt", "Magnet_3D_results.txt_817.txt")</f>
        <v/>
      </c>
      <c r="AL817" s="29">
        <f>HIPERLINK($A$1 &amp; "\Dados\Magnet_fields_2D.txt_817.txt.txt", "Magnet_fields_2D.txt_817.txt")</f>
        <v/>
      </c>
    </row>
    <row customHeight="1" ht="15.75" r="818" s="34">
      <c r="E818" s="15" t="n">
        <v>148</v>
      </c>
      <c r="F818" s="15" t="n">
        <v>186</v>
      </c>
      <c r="G818" s="15" t="n">
        <v>352</v>
      </c>
      <c r="H818" s="15" t="n">
        <v>45</v>
      </c>
      <c r="I818" s="15" t="n">
        <v>156</v>
      </c>
      <c r="J818" s="13" t="n">
        <v>25</v>
      </c>
      <c r="K818" t="n">
        <v>40</v>
      </c>
      <c r="L818" s="13" t="n">
        <v>1.7</v>
      </c>
      <c r="M818" s="12" t="n"/>
      <c r="N818" s="8" t="n">
        <v>1.306838591326777</v>
      </c>
      <c r="O818" s="15" t="n">
        <v>1.095766661528638</v>
      </c>
      <c r="P818" s="15" t="n">
        <v>1.236039013407547</v>
      </c>
      <c r="Q818" s="15" t="n">
        <v>0.001202189957448527</v>
      </c>
      <c r="R818" s="15" t="n">
        <v>0.02175635681632978</v>
      </c>
      <c r="S818" s="15" t="n">
        <v>0.001320465315795711</v>
      </c>
      <c r="T818" s="29">
        <f>HIPERLINK($A$1 &amp; "\Dados\Imagem_perfil_818.png", "Imagem_perfil_818")</f>
        <v/>
      </c>
      <c r="U818" s="29">
        <f>HIPERLINK($A$1 &amp; "\Dados\Results_airgap818.txt", "Results_airgap818")</f>
        <v/>
      </c>
      <c r="V818" s="19" t="n"/>
      <c r="W818" s="43" t="n">
        <v>1.589884130434783</v>
      </c>
      <c r="X818" s="15" t="n">
        <v>0.8257962580782788</v>
      </c>
      <c r="Y818" s="15" t="n">
        <v>0.0498681852238339</v>
      </c>
      <c r="Z818" s="15" t="n">
        <v>0.001459943619444927</v>
      </c>
      <c r="AA818" s="15" t="n">
        <v>0</v>
      </c>
      <c r="AB818" s="15" t="n">
        <v>0</v>
      </c>
      <c r="AC818" s="15" t="n">
        <v>1.511932879810073</v>
      </c>
      <c r="AD818" s="15" t="n">
        <v>27.24689908053756</v>
      </c>
      <c r="AE818" s="15" t="n">
        <v>71.72984136636892</v>
      </c>
      <c r="AF818" s="15" t="n">
        <v>110.456487236113</v>
      </c>
      <c r="AH818" s="29">
        <f>HIPERLINK($A$1 &amp; "\Dados\Magnet_fields.txt_818.txt.txt", "Magnet_fields.txt_818.txt")</f>
        <v/>
      </c>
      <c r="AI818" t="n">
        <v>7049</v>
      </c>
      <c r="AJ818" t="n">
        <v>29</v>
      </c>
      <c r="AK818" s="29">
        <f>HIPERLINK($A$1 &amp; "\Dados\Magnet_3D_results.txt_818.txt.txt", "Magnet_3D_results.txt_818.txt")</f>
        <v/>
      </c>
      <c r="AL818" s="29">
        <f>HIPERLINK($A$1 &amp; "\Dados\Magnet_fields_2D.txt_818.txt.txt", "Magnet_fields_2D.txt_818.txt")</f>
        <v/>
      </c>
    </row>
    <row customHeight="1" ht="15.75" r="819" s="34">
      <c r="D819" s="30" t="n"/>
      <c r="E819" s="15" t="n">
        <v>120</v>
      </c>
      <c r="F819" s="15" t="n">
        <v>170</v>
      </c>
      <c r="G819" s="15" t="n">
        <v>350</v>
      </c>
      <c r="H819" s="15" t="n">
        <v>25</v>
      </c>
      <c r="I819" s="15" t="n">
        <v>140</v>
      </c>
      <c r="J819" s="13" t="n">
        <v>25</v>
      </c>
      <c r="K819" t="n">
        <v>45</v>
      </c>
      <c r="L819" s="13" t="n">
        <v>1.4</v>
      </c>
      <c r="M819" s="12" t="n"/>
      <c r="N819" s="8" t="n">
        <v>1.024079141520749</v>
      </c>
      <c r="O819" s="15" t="n">
        <v>0.785994856315704</v>
      </c>
      <c r="P819" s="15" t="n">
        <v>0.9528699232374125</v>
      </c>
      <c r="Q819" s="15" t="n">
        <v>0.003987271442251997</v>
      </c>
      <c r="R819" s="15" t="n">
        <v>0.02321043964572957</v>
      </c>
      <c r="S819" s="15" t="n">
        <v>0.004794408272871223</v>
      </c>
      <c r="T819" s="29">
        <f>HIPERLINK($A$1 &amp; "\Dados\Imagem_perfil_819.png", "Imagem_perfil_819")</f>
        <v/>
      </c>
      <c r="U819" s="29">
        <f>HIPERLINK($A$1 &amp; "\Dados\Results_airgap819.txt", "Results_airgap819")</f>
        <v/>
      </c>
      <c r="V819" s="19" t="n"/>
      <c r="W819" s="43" t="n">
        <v>1.412008913043478</v>
      </c>
      <c r="X819" s="15" t="n">
        <v>0.669231126240541</v>
      </c>
      <c r="Y819" s="15" t="n">
        <v>0.0003287799717585762</v>
      </c>
      <c r="Z819" s="15" t="n">
        <v>0.1019786609979791</v>
      </c>
      <c r="AA819" s="15" t="n">
        <v>6.950969204122645</v>
      </c>
      <c r="AB819" s="15" t="n">
        <v>0.6767717200144729</v>
      </c>
      <c r="AC819" s="15" t="n">
        <v>0</v>
      </c>
      <c r="AD819" s="15" t="n">
        <v>8.840159481471163</v>
      </c>
      <c r="AE819" s="15" t="n">
        <v>73.81909672478983</v>
      </c>
      <c r="AF819" s="15" t="n">
        <v>100.9209309340507</v>
      </c>
      <c r="AH819" s="29">
        <f>HIPERLINK($A$1 &amp; "\Dados\Magnet_fields.txt_819.txt.txt", "Magnet_fields.txt_819.txt")</f>
        <v/>
      </c>
      <c r="AI819" t="n">
        <v>8619</v>
      </c>
      <c r="AJ819" t="n">
        <v>29</v>
      </c>
      <c r="AK819" s="29">
        <f>HIPERLINK($A$1 &amp; "\Dados\Magnet_3D_results.txt_819.txt.txt", "Magnet_3D_results.txt_819.txt")</f>
        <v/>
      </c>
      <c r="AL819" s="29">
        <f>HIPERLINK($A$1 &amp; "\Dados\Magnet_fields_2D.txt_819.txt.txt", "Magnet_fields_2D.txt_819.txt")</f>
        <v/>
      </c>
    </row>
    <row customHeight="1" ht="15.75" r="820" s="34">
      <c r="D820" s="30" t="n"/>
      <c r="E820" s="15" t="n">
        <v>120</v>
      </c>
      <c r="F820" s="15" t="n">
        <v>170</v>
      </c>
      <c r="G820" s="15" t="n">
        <v>350</v>
      </c>
      <c r="H820" s="15" t="n">
        <v>25</v>
      </c>
      <c r="I820" s="15" t="n">
        <v>140</v>
      </c>
      <c r="J820" s="13" t="n">
        <v>25</v>
      </c>
      <c r="K820" t="n">
        <v>45</v>
      </c>
      <c r="L820" s="13" t="n">
        <v>1.6</v>
      </c>
      <c r="M820" s="12" t="n"/>
      <c r="N820" s="8" t="n">
        <v>1.154303603384216</v>
      </c>
      <c r="O820" s="15" t="n">
        <v>0.8943811442213991</v>
      </c>
      <c r="P820" s="15" t="n">
        <v>1.077863887380763</v>
      </c>
      <c r="Q820" s="15" t="n">
        <v>0.003900123534705632</v>
      </c>
      <c r="R820" s="15" t="n">
        <v>0.03267967699545039</v>
      </c>
      <c r="S820" s="15" t="n">
        <v>0.00496053889047143</v>
      </c>
      <c r="T820" s="29">
        <f>HIPERLINK($A$1 &amp; "\Dados\Imagem_perfil_820.png", "Imagem_perfil_820")</f>
        <v/>
      </c>
      <c r="U820" s="29">
        <f>HIPERLINK($A$1 &amp; "\Dados\Results_airgap820.txt", "Results_airgap820")</f>
        <v/>
      </c>
      <c r="V820" s="19" t="n"/>
      <c r="W820" s="43" t="n">
        <v>1.563156739130435</v>
      </c>
      <c r="X820" s="15" t="n">
        <v>0.7615247495420985</v>
      </c>
      <c r="Y820" s="15" t="n">
        <v>0.02530434271758692</v>
      </c>
      <c r="Z820" s="15" t="n">
        <v>0</v>
      </c>
      <c r="AA820" s="15" t="n">
        <v>3.263821668528593</v>
      </c>
      <c r="AB820" s="15" t="n">
        <v>0</v>
      </c>
      <c r="AC820" s="15" t="n">
        <v>7.511174788270221</v>
      </c>
      <c r="AD820" s="15" t="n">
        <v>40.27322630031326</v>
      </c>
      <c r="AE820" s="15" t="n">
        <v>81.43937485500616</v>
      </c>
      <c r="AF820" s="15" t="n">
        <v>116.5053352895497</v>
      </c>
      <c r="AH820" s="29">
        <f>HIPERLINK($A$1 &amp; "\Dados\Magnet_fields.txt_820.txt.txt", "Magnet_fields.txt_820.txt")</f>
        <v/>
      </c>
      <c r="AI820" t="n">
        <v>8619</v>
      </c>
      <c r="AJ820" t="n">
        <v>29</v>
      </c>
      <c r="AK820" s="29">
        <f>HIPERLINK($A$1 &amp; "\Dados\Magnet_3D_results.txt_820.txt.txt", "Magnet_3D_results.txt_820.txt")</f>
        <v/>
      </c>
      <c r="AL820" s="29">
        <f>HIPERLINK($A$1 &amp; "\Dados\Magnet_fields_2D.txt_820.txt.txt", "Magnet_fields_2D.txt_820.txt")</f>
        <v/>
      </c>
    </row>
    <row customHeight="1" ht="15.75" r="821" s="34">
      <c r="D821" s="30" t="n"/>
      <c r="E821" s="15" t="n">
        <v>120</v>
      </c>
      <c r="F821" s="15" t="n">
        <v>170</v>
      </c>
      <c r="G821" s="15" t="n">
        <v>350</v>
      </c>
      <c r="H821" s="15" t="n">
        <v>25</v>
      </c>
      <c r="I821" s="15" t="n">
        <v>140</v>
      </c>
      <c r="J821" s="13" t="n">
        <v>25</v>
      </c>
      <c r="K821" t="n">
        <v>45</v>
      </c>
      <c r="L821" s="13" t="n">
        <v>1.8</v>
      </c>
      <c r="M821" s="12" t="n"/>
      <c r="N821" s="8" t="n">
        <v>1.170696389501946</v>
      </c>
      <c r="O821" s="15" t="n">
        <v>0.9065527753276917</v>
      </c>
      <c r="P821" s="15" t="n">
        <v>1.092408890798735</v>
      </c>
      <c r="Q821" s="15" t="n">
        <v>0.003893524462114597</v>
      </c>
      <c r="R821" s="15" t="n">
        <v>0.03336824730914507</v>
      </c>
      <c r="S821" s="15" t="n">
        <v>0.004968880321014581</v>
      </c>
      <c r="T821" s="29">
        <f>HIPERLINK($A$1 &amp; "\Dados\Imagem_perfil_821.png", "Imagem_perfil_821")</f>
        <v/>
      </c>
      <c r="U821" s="29">
        <f>HIPERLINK($A$1 &amp; "\Dados\Results_airgap821.txt", "Results_airgap821")</f>
        <v/>
      </c>
      <c r="V821" s="19" t="n"/>
      <c r="W821" s="15" t="n">
        <v>1.582748043478261</v>
      </c>
      <c r="X821" s="15" t="n">
        <v>0.7721101919607706</v>
      </c>
      <c r="Y821" s="15" t="n">
        <v>0.1264354866383607</v>
      </c>
      <c r="Z821" s="15" t="n">
        <v>0</v>
      </c>
      <c r="AA821" s="15" t="n">
        <v>2.741877470164024</v>
      </c>
      <c r="AB821" s="15" t="n">
        <v>1.495515025465011</v>
      </c>
      <c r="AC821" s="15" t="n">
        <v>11.48424834038539</v>
      </c>
      <c r="AD821" s="15" t="n">
        <v>42.61495551198185</v>
      </c>
      <c r="AE821" s="15" t="n">
        <v>82.27031939006153</v>
      </c>
      <c r="AF821" s="15" t="n">
        <v>116.7738935063579</v>
      </c>
      <c r="AH821" s="29">
        <f>HIPERLINK($A$1 &amp; "\Dados\Magnet_fields.txt_821.txt.txt", "Magnet_fields.txt_821.txt")</f>
        <v/>
      </c>
      <c r="AI821" t="n">
        <v>8619</v>
      </c>
      <c r="AJ821" t="n">
        <v>29</v>
      </c>
      <c r="AK821" s="29">
        <f>HIPERLINK($A$1 &amp; "\Dados\Magnet_3D_results.txt_821.txt.txt", "Magnet_3D_results.txt_821.txt")</f>
        <v/>
      </c>
      <c r="AL821" s="29">
        <f>HIPERLINK($A$1 &amp; "\Dados\Magnet_fields_2D.txt_821.txt.txt", "Magnet_fields_2D.txt_821.txt")</f>
        <v/>
      </c>
    </row>
    <row customHeight="1" ht="15.75" r="822" s="34">
      <c r="D822" s="30" t="n"/>
      <c r="E822" s="15" t="n">
        <v>120</v>
      </c>
      <c r="F822" s="15" t="n">
        <v>170</v>
      </c>
      <c r="G822" s="15" t="n">
        <v>350</v>
      </c>
      <c r="H822" s="15" t="n">
        <v>25</v>
      </c>
      <c r="I822" s="15" t="n">
        <v>140</v>
      </c>
      <c r="J822" s="13" t="n">
        <v>25</v>
      </c>
      <c r="K822" t="n">
        <v>45</v>
      </c>
      <c r="L822" s="13" t="n">
        <v>2</v>
      </c>
      <c r="M822" s="12" t="n"/>
      <c r="N822" s="8" t="n">
        <v>1.175832721774276</v>
      </c>
      <c r="O822" s="15" t="n">
        <v>0.9104850396512632</v>
      </c>
      <c r="P822" s="15" t="n">
        <v>1.097132040205859</v>
      </c>
      <c r="Q822" s="15" t="n">
        <v>0.00389288682220011</v>
      </c>
      <c r="R822" s="15" t="n">
        <v>0.03357534599485332</v>
      </c>
      <c r="S822" s="15" t="n">
        <v>0.004972294229014643</v>
      </c>
      <c r="T822" s="29">
        <f>HIPERLINK($A$1 &amp; "\Dados\Imagem_perfil_822.png", "Imagem_perfil_822")</f>
        <v/>
      </c>
      <c r="U822" s="29">
        <f>HIPERLINK($A$1 &amp; "\Dados\Results_airgap822.txt", "Results_airgap822")</f>
        <v/>
      </c>
      <c r="V822" s="19" t="n"/>
      <c r="W822" s="15" t="n">
        <v>1.588255869565217</v>
      </c>
      <c r="X822" s="15" t="n">
        <v>0.7755054137145549</v>
      </c>
      <c r="Y822" s="15" t="n">
        <v>0.2680928465155733</v>
      </c>
      <c r="Z822" s="15" t="n">
        <v>0</v>
      </c>
      <c r="AA822" s="15" t="n">
        <v>2.610410875394665</v>
      </c>
      <c r="AB822" s="15" t="n">
        <v>2.120305525942934</v>
      </c>
      <c r="AC822" s="15" t="n">
        <v>12.65636262645624</v>
      </c>
      <c r="AD822" s="15" t="n">
        <v>43.30911797089639</v>
      </c>
      <c r="AE822" s="15" t="n">
        <v>82.50970929868818</v>
      </c>
      <c r="AF822" s="15" t="n">
        <v>116.7833922462777</v>
      </c>
      <c r="AH822" s="29">
        <f>HIPERLINK($A$1 &amp; "\Dados\Magnet_fields.txt_822.txt.txt", "Magnet_fields.txt_822.txt")</f>
        <v/>
      </c>
      <c r="AI822" t="n">
        <v>8619</v>
      </c>
      <c r="AJ822" t="n">
        <v>30</v>
      </c>
      <c r="AK822" s="29">
        <f>HIPERLINK($A$1 &amp; "\Dados\Magnet_3D_results.txt_822.txt.txt", "Magnet_3D_results.txt_822.txt")</f>
        <v/>
      </c>
      <c r="AL822" s="29">
        <f>HIPERLINK($A$1 &amp; "\Dados\Magnet_fields_2D.txt_822.txt.txt", "Magnet_fields_2D.txt_822.txt")</f>
        <v/>
      </c>
    </row>
    <row customHeight="1" ht="15.75" r="823" s="34">
      <c r="D823" s="30" t="n"/>
      <c r="E823" s="15" t="n">
        <v>120</v>
      </c>
      <c r="F823" s="15" t="n">
        <v>170</v>
      </c>
      <c r="G823" s="15" t="n">
        <v>350</v>
      </c>
      <c r="H823" s="15" t="n">
        <v>25</v>
      </c>
      <c r="I823" s="15" t="n">
        <v>140</v>
      </c>
      <c r="J823" s="13" t="n">
        <v>25</v>
      </c>
      <c r="K823" t="n">
        <v>45</v>
      </c>
      <c r="L823" s="13" t="n">
        <v>2.2</v>
      </c>
      <c r="M823" s="12" t="n"/>
      <c r="N823" s="8" t="n">
        <v>1.178304500790583</v>
      </c>
      <c r="O823" s="15" t="n">
        <v>0.9121324077159639</v>
      </c>
      <c r="P823" s="15" t="n">
        <v>1.09915185306134</v>
      </c>
      <c r="Q823" s="15" t="n">
        <v>0.003894302302998847</v>
      </c>
      <c r="R823" s="15" t="n">
        <v>0.03363131244860016</v>
      </c>
      <c r="S823" s="15" t="n">
        <v>0.004974560614867262</v>
      </c>
      <c r="T823" s="29">
        <f>HIPERLINK($A$1 &amp; "\Dados\Imagem_perfil_823.png", "Imagem_perfil_823")</f>
        <v/>
      </c>
      <c r="U823" s="29">
        <f>HIPERLINK($A$1 &amp; "\Dados\Results_airgap823.txt", "Results_airgap823")</f>
        <v/>
      </c>
      <c r="V823" s="19" t="n"/>
      <c r="W823" s="15" t="n">
        <v>1.590873478260869</v>
      </c>
      <c r="X823" s="15" t="n">
        <v>0.7769798785501387</v>
      </c>
      <c r="Y823" s="15" t="n">
        <v>0.4245064085930123</v>
      </c>
      <c r="Z823" s="15" t="n">
        <v>0</v>
      </c>
      <c r="AA823" s="15" t="n">
        <v>2.604152895989406</v>
      </c>
      <c r="AB823" s="15" t="n">
        <v>2.420030381053895</v>
      </c>
      <c r="AC823" s="15" t="n">
        <v>13.23041416846232</v>
      </c>
      <c r="AD823" s="15" t="n">
        <v>43.65789045301926</v>
      </c>
      <c r="AE823" s="15" t="n">
        <v>82.62797090163436</v>
      </c>
      <c r="AF823" s="15" t="n">
        <v>116.8316148114828</v>
      </c>
      <c r="AH823" s="29">
        <f>HIPERLINK($A$1 &amp; "\Dados\Magnet_fields.txt_823.txt.txt", "Magnet_fields.txt_823.txt")</f>
        <v/>
      </c>
      <c r="AI823" t="n">
        <v>8619</v>
      </c>
      <c r="AJ823" t="n">
        <v>30</v>
      </c>
      <c r="AK823" s="29">
        <f>HIPERLINK($A$1 &amp; "\Dados\Magnet_3D_results.txt_823.txt.txt", "Magnet_3D_results.txt_823.txt")</f>
        <v/>
      </c>
      <c r="AL823" s="29">
        <f>HIPERLINK($A$1 &amp; "\Dados\Magnet_fields_2D.txt_823.txt.txt", "Magnet_fields_2D.txt_823.txt")</f>
        <v/>
      </c>
    </row>
    <row customHeight="1" ht="15.75" r="824" s="34">
      <c r="D824" s="31" t="n"/>
      <c r="E824" s="15" t="n"/>
      <c r="F824" s="15" t="n"/>
      <c r="G824" s="15" t="n"/>
      <c r="H824" s="15" t="n"/>
      <c r="I824" s="15" t="n"/>
      <c r="J824" s="13" t="n"/>
      <c r="L824" s="13" t="n"/>
      <c r="M824" s="12" t="n"/>
      <c r="N824" s="8" t="n"/>
      <c r="O824" s="15" t="n"/>
      <c r="P824" s="15" t="n"/>
      <c r="Q824" s="15" t="n"/>
      <c r="R824" s="15" t="n"/>
      <c r="S824" s="15" t="n"/>
      <c r="T824" s="29" t="n"/>
      <c r="U824" s="29" t="n"/>
      <c r="V824" s="19" t="n"/>
      <c r="W824" s="15" t="n"/>
      <c r="X824" s="15" t="n"/>
      <c r="Y824" s="15" t="n"/>
      <c r="Z824" s="15" t="n"/>
      <c r="AA824" s="15" t="n"/>
      <c r="AB824" s="15" t="n"/>
      <c r="AC824" s="15" t="n"/>
      <c r="AD824" s="15" t="n"/>
      <c r="AE824" s="15" t="n"/>
      <c r="AF824" s="15" t="n"/>
      <c r="AH824" s="29" t="n"/>
      <c r="AK824" s="29" t="n"/>
      <c r="AL824" s="29" t="n"/>
    </row>
    <row customHeight="1" ht="15.75" r="825" s="34">
      <c r="D825" s="31" t="n"/>
      <c r="E825" s="15" t="n"/>
      <c r="F825" s="15" t="n"/>
      <c r="G825" s="15" t="n"/>
      <c r="H825" s="15" t="n"/>
      <c r="I825" s="15" t="n"/>
      <c r="J825" s="13" t="n"/>
      <c r="L825" s="13" t="n"/>
      <c r="M825" s="12" t="n"/>
      <c r="N825" s="8" t="n"/>
      <c r="O825" s="15" t="n"/>
      <c r="P825" s="15" t="n"/>
      <c r="Q825" s="15" t="n"/>
      <c r="R825" s="15" t="n"/>
      <c r="S825" s="15" t="n"/>
      <c r="T825" s="29" t="n"/>
      <c r="U825" s="29" t="n"/>
      <c r="V825" s="19" t="n"/>
      <c r="W825" s="15" t="n"/>
      <c r="X825" s="15" t="n"/>
      <c r="Y825" s="15" t="n"/>
      <c r="Z825" s="15" t="n"/>
      <c r="AA825" s="15" t="n"/>
      <c r="AB825" s="15" t="n"/>
      <c r="AC825" s="15" t="n"/>
      <c r="AD825" s="15" t="n"/>
      <c r="AE825" s="15" t="n"/>
      <c r="AF825" s="15" t="n"/>
      <c r="AH825" s="29" t="n"/>
      <c r="AK825" s="29" t="n"/>
      <c r="AL825" s="29" t="n"/>
    </row>
    <row customHeight="1" ht="15.75" r="826" s="34">
      <c r="D826" s="31" t="n"/>
      <c r="E826" s="15" t="n"/>
      <c r="F826" s="15" t="n"/>
      <c r="G826" s="15" t="n"/>
      <c r="H826" s="15" t="n"/>
      <c r="I826" s="15" t="n"/>
      <c r="J826" s="13" t="n"/>
      <c r="L826" s="13" t="n"/>
      <c r="M826" s="12" t="n"/>
      <c r="N826" s="8" t="n"/>
      <c r="O826" s="15" t="n"/>
      <c r="P826" s="15" t="n"/>
      <c r="Q826" s="15" t="n"/>
      <c r="R826" s="15" t="n"/>
      <c r="S826" s="15" t="n"/>
      <c r="T826" s="29" t="n"/>
      <c r="U826" s="29" t="n"/>
      <c r="V826" s="19" t="n"/>
      <c r="W826" s="15" t="n"/>
      <c r="X826" s="15" t="n"/>
      <c r="Y826" s="15" t="n"/>
      <c r="Z826" s="15" t="n"/>
      <c r="AA826" s="15" t="n"/>
      <c r="AB826" s="15" t="n"/>
      <c r="AC826" s="15" t="n"/>
      <c r="AD826" s="15" t="n"/>
      <c r="AE826" s="15" t="n"/>
      <c r="AF826" s="15" t="n"/>
      <c r="AH826" s="29" t="n"/>
      <c r="AK826" s="29" t="n"/>
      <c r="AL826" s="29" t="n"/>
    </row>
    <row customHeight="1" ht="15.75" r="827" s="34">
      <c r="D827" s="31" t="n"/>
      <c r="E827" s="15" t="n"/>
      <c r="F827" s="15" t="n"/>
      <c r="G827" s="15" t="n"/>
      <c r="H827" s="15" t="n"/>
      <c r="I827" s="15" t="n"/>
      <c r="J827" s="13" t="n"/>
      <c r="L827" s="13" t="n"/>
      <c r="M827" s="12" t="n"/>
      <c r="N827" s="8" t="n"/>
      <c r="O827" s="15" t="n"/>
      <c r="P827" s="15" t="n"/>
      <c r="Q827" s="15" t="n"/>
      <c r="R827" s="15" t="n"/>
      <c r="S827" s="15" t="n"/>
      <c r="T827" s="29" t="n"/>
      <c r="U827" s="29" t="n"/>
      <c r="V827" s="19" t="n"/>
      <c r="W827" s="15" t="n"/>
      <c r="X827" s="15" t="n"/>
      <c r="Y827" s="15" t="n"/>
      <c r="Z827" s="15" t="n"/>
      <c r="AA827" s="15" t="n"/>
      <c r="AB827" s="15" t="n"/>
      <c r="AC827" s="15" t="n"/>
      <c r="AD827" s="15" t="n"/>
      <c r="AE827" s="15" t="n"/>
      <c r="AF827" s="15" t="n"/>
      <c r="AH827" s="29" t="n"/>
      <c r="AK827" s="29" t="n"/>
      <c r="AL827" s="29" t="n"/>
    </row>
    <row customHeight="1" ht="15.75" r="828" s="34">
      <c r="D828" s="31" t="n"/>
      <c r="E828" s="15" t="n"/>
      <c r="F828" s="15" t="n"/>
      <c r="G828" s="15" t="n"/>
      <c r="H828" s="15" t="n"/>
      <c r="I828" s="15" t="n"/>
      <c r="J828" s="13" t="n"/>
      <c r="L828" s="13" t="n"/>
      <c r="M828" s="12" t="n"/>
      <c r="N828" s="8" t="n"/>
      <c r="O828" s="15" t="n"/>
      <c r="P828" s="15" t="n"/>
      <c r="Q828" s="15" t="n"/>
      <c r="R828" s="15" t="n"/>
      <c r="S828" s="15" t="n"/>
      <c r="T828" s="29" t="n"/>
      <c r="U828" s="29" t="n"/>
      <c r="V828" s="19" t="n"/>
      <c r="W828" s="15" t="n"/>
      <c r="X828" s="15" t="n"/>
      <c r="Y828" s="15" t="n"/>
      <c r="Z828" s="15" t="n"/>
      <c r="AA828" s="15" t="n"/>
      <c r="AB828" s="15" t="n"/>
      <c r="AC828" s="15" t="n"/>
      <c r="AD828" s="15" t="n"/>
      <c r="AE828" s="15" t="n"/>
      <c r="AF828" s="15" t="n"/>
      <c r="AH828" s="29" t="n"/>
      <c r="AK828" s="29" t="n"/>
      <c r="AL828" s="29" t="n"/>
    </row>
    <row customHeight="1" ht="15.75" r="829" s="34">
      <c r="D829" s="31" t="n"/>
      <c r="E829" s="15" t="n"/>
      <c r="F829" s="15" t="n"/>
      <c r="G829" s="15" t="n"/>
      <c r="H829" s="15" t="n"/>
      <c r="I829" s="15" t="n"/>
      <c r="J829" s="13" t="n"/>
      <c r="L829" s="13" t="n"/>
      <c r="M829" s="12" t="n"/>
      <c r="N829" s="8" t="n"/>
      <c r="O829" s="15" t="n"/>
      <c r="P829" s="15" t="n"/>
      <c r="Q829" s="15" t="n"/>
      <c r="R829" s="15" t="n"/>
      <c r="S829" s="15" t="n"/>
      <c r="T829" s="29" t="n"/>
      <c r="U829" s="29" t="n"/>
      <c r="V829" s="19" t="n"/>
      <c r="W829" s="15" t="n"/>
      <c r="X829" s="15" t="n"/>
      <c r="Y829" s="15" t="n"/>
      <c r="Z829" s="15" t="n"/>
      <c r="AA829" s="15" t="n"/>
      <c r="AB829" s="15" t="n"/>
      <c r="AC829" s="15" t="n"/>
      <c r="AD829" s="15" t="n"/>
      <c r="AE829" s="15" t="n"/>
      <c r="AF829" s="15" t="n"/>
      <c r="AH829" s="29" t="n"/>
      <c r="AK829" s="29" t="n"/>
      <c r="AL829" s="29" t="n"/>
    </row>
    <row customHeight="1" ht="15.75" r="830" s="34">
      <c r="D830" s="31" t="n"/>
      <c r="E830" s="15" t="n"/>
      <c r="F830" s="15" t="n"/>
      <c r="G830" s="15" t="n"/>
      <c r="H830" s="15" t="n"/>
      <c r="I830" s="15" t="n"/>
      <c r="J830" s="13" t="n"/>
      <c r="L830" s="13" t="n"/>
      <c r="M830" s="12" t="n"/>
      <c r="N830" s="8" t="n"/>
      <c r="O830" s="15" t="n"/>
      <c r="P830" s="15" t="n"/>
      <c r="Q830" s="15" t="n"/>
      <c r="R830" s="15" t="n"/>
      <c r="S830" s="15" t="n"/>
      <c r="T830" s="29" t="n"/>
      <c r="U830" s="29" t="n"/>
      <c r="V830" s="19" t="n"/>
      <c r="W830" s="15" t="n"/>
      <c r="X830" s="15" t="n"/>
      <c r="Y830" s="15" t="n"/>
      <c r="Z830" s="15" t="n"/>
      <c r="AA830" s="15" t="n"/>
      <c r="AB830" s="15" t="n"/>
      <c r="AC830" s="15" t="n"/>
      <c r="AD830" s="15" t="n"/>
      <c r="AE830" s="15" t="n"/>
      <c r="AF830" s="15" t="n"/>
      <c r="AH830" s="29" t="n"/>
      <c r="AK830" s="29" t="n"/>
      <c r="AL830" s="29" t="n"/>
    </row>
    <row customHeight="1" ht="15.75" r="831" s="34">
      <c r="D831" s="31" t="n"/>
      <c r="E831" s="15" t="n"/>
      <c r="F831" s="15" t="n"/>
      <c r="G831" s="15" t="n"/>
      <c r="H831" s="15" t="n"/>
      <c r="I831" s="15" t="n"/>
      <c r="J831" s="13" t="n"/>
      <c r="L831" s="13" t="n"/>
      <c r="M831" s="12" t="n"/>
      <c r="N831" s="8" t="n"/>
      <c r="O831" s="15" t="n"/>
      <c r="P831" s="15" t="n"/>
      <c r="Q831" s="15" t="n"/>
      <c r="R831" s="15" t="n"/>
      <c r="S831" s="15" t="n"/>
      <c r="T831" s="29" t="n"/>
      <c r="U831" s="29" t="n"/>
      <c r="V831" s="19" t="n"/>
      <c r="W831" s="15" t="n"/>
      <c r="X831" s="15" t="n"/>
      <c r="Y831" s="15" t="n"/>
      <c r="Z831" s="15" t="n"/>
      <c r="AA831" s="15" t="n"/>
      <c r="AB831" s="15" t="n"/>
      <c r="AC831" s="15" t="n"/>
      <c r="AD831" s="15" t="n"/>
      <c r="AE831" s="15" t="n"/>
      <c r="AF831" s="15" t="n"/>
      <c r="AH831" s="29" t="n"/>
      <c r="AK831" s="29" t="n"/>
      <c r="AL831" s="29" t="n"/>
    </row>
    <row customHeight="1" ht="15.75" r="832" s="34">
      <c r="D832" s="31" t="n"/>
      <c r="E832" s="15" t="n"/>
      <c r="F832" s="15" t="n"/>
      <c r="G832" s="15" t="n"/>
      <c r="H832" s="15" t="n"/>
      <c r="I832" s="15" t="n"/>
      <c r="J832" s="13" t="n"/>
      <c r="L832" s="13" t="n"/>
      <c r="M832" s="12" t="n"/>
      <c r="N832" s="8" t="n"/>
      <c r="O832" s="15" t="n"/>
      <c r="P832" s="15" t="n"/>
      <c r="Q832" s="15" t="n"/>
      <c r="R832" s="15" t="n"/>
      <c r="S832" s="15" t="n"/>
      <c r="T832" s="29" t="n"/>
      <c r="U832" s="29" t="n"/>
      <c r="V832" s="19" t="n"/>
      <c r="W832" s="15" t="n"/>
      <c r="X832" s="15" t="n"/>
      <c r="Y832" s="15" t="n"/>
      <c r="Z832" s="15" t="n"/>
      <c r="AA832" s="15" t="n"/>
      <c r="AB832" s="15" t="n"/>
      <c r="AC832" s="15" t="n"/>
      <c r="AD832" s="15" t="n"/>
      <c r="AE832" s="15" t="n"/>
      <c r="AF832" s="15" t="n"/>
      <c r="AH832" s="29" t="n"/>
      <c r="AK832" s="29" t="n"/>
      <c r="AL832" s="29" t="n"/>
    </row>
    <row customHeight="1" ht="15.75" r="833" s="34">
      <c r="D833" s="31" t="n"/>
      <c r="E833" s="15" t="n"/>
      <c r="F833" s="15" t="n"/>
      <c r="G833" s="15" t="n"/>
      <c r="H833" s="15" t="n"/>
      <c r="I833" s="15" t="n"/>
      <c r="J833" s="13" t="n"/>
      <c r="L833" s="13" t="n"/>
      <c r="M833" s="12" t="n"/>
      <c r="N833" s="8" t="n"/>
      <c r="O833" s="15" t="n"/>
      <c r="P833" s="15" t="n"/>
      <c r="Q833" s="15" t="n"/>
      <c r="R833" s="15" t="n"/>
      <c r="S833" s="15" t="n"/>
      <c r="T833" s="29" t="n"/>
      <c r="U833" s="29" t="n"/>
      <c r="V833" s="19" t="n"/>
      <c r="W833" s="15" t="n"/>
      <c r="X833" s="15" t="n"/>
      <c r="Y833" s="15" t="n"/>
      <c r="Z833" s="15" t="n"/>
      <c r="AA833" s="15" t="n"/>
      <c r="AB833" s="15" t="n"/>
      <c r="AC833" s="15" t="n"/>
      <c r="AD833" s="15" t="n"/>
      <c r="AE833" s="15" t="n"/>
      <c r="AF833" s="15" t="n"/>
      <c r="AH833" s="29" t="n"/>
      <c r="AK833" s="29" t="n"/>
      <c r="AL833" s="29" t="n"/>
    </row>
    <row customHeight="1" ht="15.75" r="834" s="34">
      <c r="D834" s="31" t="n"/>
      <c r="E834" s="15" t="n"/>
      <c r="F834" s="15" t="n"/>
      <c r="G834" s="15" t="n"/>
      <c r="H834" s="15" t="n"/>
      <c r="I834" s="15" t="n"/>
      <c r="J834" s="13" t="n"/>
      <c r="L834" s="13" t="n"/>
      <c r="M834" s="12" t="n"/>
      <c r="N834" s="8" t="n"/>
      <c r="O834" s="15" t="n"/>
      <c r="P834" s="15" t="n"/>
      <c r="Q834" s="15" t="n"/>
      <c r="R834" s="15" t="n"/>
      <c r="S834" s="15" t="n"/>
      <c r="T834" s="29" t="n"/>
      <c r="U834" s="29" t="n"/>
      <c r="V834" s="19" t="n"/>
      <c r="W834" s="15" t="n"/>
      <c r="X834" s="15" t="n"/>
      <c r="Y834" s="15" t="n"/>
      <c r="Z834" s="15" t="n"/>
      <c r="AA834" s="15" t="n"/>
      <c r="AB834" s="15" t="n"/>
      <c r="AC834" s="15" t="n"/>
      <c r="AD834" s="15" t="n"/>
      <c r="AE834" s="15" t="n"/>
      <c r="AF834" s="15" t="n"/>
      <c r="AH834" s="29" t="n"/>
      <c r="AK834" s="29" t="n"/>
      <c r="AL834" s="29" t="n"/>
    </row>
    <row customHeight="1" ht="15.75" r="835" s="34">
      <c r="D835" s="31" t="n"/>
      <c r="E835" s="15" t="n"/>
      <c r="F835" s="15" t="n"/>
      <c r="G835" s="15" t="n"/>
      <c r="H835" s="15" t="n"/>
      <c r="I835" s="15" t="n"/>
      <c r="J835" s="13" t="n"/>
      <c r="L835" s="13" t="n"/>
      <c r="M835" s="12" t="n"/>
      <c r="N835" s="8" t="n"/>
      <c r="O835" s="15" t="n"/>
      <c r="P835" s="15" t="n"/>
      <c r="Q835" s="15" t="n"/>
      <c r="R835" s="15" t="n"/>
      <c r="S835" s="15" t="n"/>
      <c r="T835" s="29" t="n"/>
      <c r="U835" s="29" t="n"/>
      <c r="V835" s="19" t="n"/>
      <c r="W835" s="15" t="n"/>
      <c r="X835" s="15" t="n"/>
      <c r="Y835" s="15" t="n"/>
      <c r="Z835" s="15" t="n"/>
      <c r="AA835" s="15" t="n"/>
      <c r="AB835" s="15" t="n"/>
      <c r="AC835" s="15" t="n"/>
      <c r="AD835" s="15" t="n"/>
      <c r="AE835" s="15" t="n"/>
      <c r="AF835" s="15" t="n"/>
      <c r="AH835" s="29" t="n"/>
      <c r="AK835" s="29" t="n"/>
      <c r="AL835" s="29" t="n"/>
    </row>
    <row customHeight="1" ht="15.75" r="836" s="34">
      <c r="D836" s="31" t="n"/>
      <c r="E836" s="15" t="n"/>
      <c r="F836" s="15" t="n"/>
      <c r="G836" s="15" t="n"/>
      <c r="H836" s="15" t="n"/>
      <c r="I836" s="15" t="n"/>
      <c r="J836" s="13" t="n"/>
      <c r="L836" s="13" t="n"/>
      <c r="M836" s="12" t="n"/>
      <c r="N836" s="8" t="n"/>
      <c r="O836" s="15" t="n"/>
      <c r="P836" s="15" t="n"/>
      <c r="Q836" s="15" t="n"/>
      <c r="R836" s="15" t="n"/>
      <c r="S836" s="15" t="n"/>
      <c r="T836" s="29" t="n"/>
      <c r="U836" s="29" t="n"/>
      <c r="V836" s="19" t="n"/>
      <c r="W836" s="15" t="n"/>
      <c r="X836" s="15" t="n"/>
      <c r="Y836" s="15" t="n"/>
      <c r="Z836" s="15" t="n"/>
      <c r="AA836" s="15" t="n"/>
      <c r="AB836" s="15" t="n"/>
      <c r="AC836" s="15" t="n"/>
      <c r="AD836" s="15" t="n"/>
      <c r="AE836" s="15" t="n"/>
      <c r="AF836" s="15" t="n"/>
      <c r="AH836" s="29" t="n"/>
      <c r="AK836" s="29" t="n"/>
      <c r="AL836" s="29" t="n"/>
    </row>
    <row customHeight="1" ht="15.75" r="837" s="34">
      <c r="D837" s="31" t="n"/>
      <c r="E837" s="15" t="n"/>
      <c r="F837" s="15" t="n"/>
      <c r="G837" s="15" t="n"/>
      <c r="H837" s="15" t="n"/>
      <c r="I837" s="15" t="n"/>
      <c r="J837" s="13" t="n"/>
      <c r="L837" s="13" t="n"/>
      <c r="M837" s="12" t="n"/>
      <c r="N837" s="8" t="n"/>
      <c r="O837" s="15" t="n"/>
      <c r="P837" s="15" t="n"/>
      <c r="Q837" s="15" t="n"/>
      <c r="R837" s="15" t="n"/>
      <c r="S837" s="15" t="n"/>
      <c r="T837" s="29" t="n"/>
      <c r="U837" s="29" t="n"/>
      <c r="V837" s="19" t="n"/>
      <c r="W837" s="15" t="n"/>
      <c r="X837" s="15" t="n"/>
      <c r="Y837" s="15" t="n"/>
      <c r="Z837" s="15" t="n"/>
      <c r="AA837" s="15" t="n"/>
      <c r="AB837" s="15" t="n"/>
      <c r="AC837" s="15" t="n"/>
      <c r="AD837" s="15" t="n"/>
      <c r="AE837" s="15" t="n"/>
      <c r="AF837" s="15" t="n"/>
      <c r="AH837" s="29" t="n"/>
      <c r="AK837" s="29" t="n"/>
      <c r="AL837" s="29" t="n"/>
    </row>
    <row customHeight="1" ht="15.75" r="838" s="34">
      <c r="D838" s="31" t="n"/>
      <c r="E838" s="15" t="n"/>
      <c r="F838" s="15" t="n"/>
      <c r="G838" s="15" t="n"/>
      <c r="H838" s="15" t="n"/>
      <c r="I838" s="15" t="n"/>
      <c r="J838" s="13" t="n"/>
      <c r="L838" s="13" t="n"/>
      <c r="M838" s="12" t="n"/>
      <c r="N838" s="8" t="n"/>
      <c r="O838" s="15" t="n"/>
      <c r="P838" s="15" t="n"/>
      <c r="Q838" s="15" t="n"/>
      <c r="R838" s="15" t="n"/>
      <c r="S838" s="15" t="n"/>
      <c r="T838" s="29" t="n"/>
      <c r="U838" s="29" t="n"/>
      <c r="V838" s="19" t="n"/>
      <c r="W838" s="15" t="n"/>
      <c r="X838" s="15" t="n"/>
      <c r="Y838" s="15" t="n"/>
      <c r="Z838" s="15" t="n"/>
      <c r="AA838" s="15" t="n"/>
      <c r="AB838" s="15" t="n"/>
      <c r="AC838" s="15" t="n"/>
      <c r="AD838" s="15" t="n"/>
      <c r="AE838" s="15" t="n"/>
      <c r="AF838" s="15" t="n"/>
      <c r="AH838" s="29" t="n"/>
      <c r="AK838" s="29" t="n"/>
      <c r="AL838" s="29" t="n"/>
    </row>
    <row customHeight="1" ht="15.75" r="839" s="34">
      <c r="D839" s="30" t="n"/>
      <c r="E839" s="15" t="n">
        <v>120</v>
      </c>
      <c r="F839" s="15" t="n">
        <v>170</v>
      </c>
      <c r="G839" s="15" t="n">
        <v>430</v>
      </c>
      <c r="H839" s="15" t="n">
        <v>25</v>
      </c>
      <c r="I839" s="15" t="n">
        <v>140</v>
      </c>
      <c r="J839" s="13" t="n">
        <v>25</v>
      </c>
      <c r="K839" t="n">
        <v>45</v>
      </c>
      <c r="L839" s="13" t="n">
        <v>1.4</v>
      </c>
      <c r="M839" s="12" t="n"/>
      <c r="N839" s="8" t="n">
        <v>0.972349601236391</v>
      </c>
      <c r="O839" s="15" t="n">
        <v>0.7429117911734116</v>
      </c>
      <c r="P839" s="15" t="n">
        <v>0.9037668219133803</v>
      </c>
      <c r="Q839" s="15" t="n">
        <v>0.004617511626387346</v>
      </c>
      <c r="R839" s="15" t="n">
        <v>0.01813552664591223</v>
      </c>
      <c r="S839" s="15" t="n">
        <v>0.005285606890053806</v>
      </c>
      <c r="T839" s="29">
        <f>HIPERLINK($A$1 &amp; "\Dados\Imagem_perfil_839.png", "Imagem_perfil_839")</f>
        <v/>
      </c>
      <c r="U839" s="29">
        <f>HIPERLINK($A$1 &amp; "\Dados\Results_airgap839.txt", "Results_airgap839")</f>
        <v/>
      </c>
      <c r="V839" s="19" t="n"/>
      <c r="W839" s="43" t="n">
        <v>1.421901739130435</v>
      </c>
      <c r="X839" s="15" t="n">
        <v>0.6301784946249708</v>
      </c>
      <c r="Y839" s="15" t="n">
        <v>0.0005224618450236659</v>
      </c>
      <c r="Z839" s="15" t="n">
        <v>0.001037713450879644</v>
      </c>
      <c r="AA839" s="15" t="n">
        <v>8.22619044429111</v>
      </c>
      <c r="AB839" s="15" t="n">
        <v>0</v>
      </c>
      <c r="AC839" s="15" t="n">
        <v>0</v>
      </c>
      <c r="AD839" s="15" t="n">
        <v>0</v>
      </c>
      <c r="AE839" s="15" t="n">
        <v>46.01308506728385</v>
      </c>
      <c r="AF839" s="15" t="n">
        <v>75.02402050635567</v>
      </c>
      <c r="AH839" s="29">
        <f>HIPERLINK($A$1 &amp; "\Dados\Magnet_fields.txt_839.txt.txt", "Magnet_fields.txt_839.txt")</f>
        <v/>
      </c>
      <c r="AI839" t="n">
        <v>9462</v>
      </c>
      <c r="AJ839" t="n">
        <v>29</v>
      </c>
      <c r="AK839" s="29">
        <f>HIPERLINK($A$1 &amp; "\Dados\Magnet_3D_results.txt_839.txt.txt", "Magnet_3D_results.txt_839.txt")</f>
        <v/>
      </c>
      <c r="AL839" s="29">
        <f>HIPERLINK($A$1 &amp; "\Dados\Magnet_fields_2D.txt_839.txt.txt", "Magnet_fields_2D.txt_839.txt")</f>
        <v/>
      </c>
    </row>
    <row customHeight="1" ht="15.75" r="840" s="34">
      <c r="D840" s="30" t="n"/>
      <c r="E840" s="15" t="n">
        <v>120</v>
      </c>
      <c r="F840" s="15" t="n">
        <v>170</v>
      </c>
      <c r="G840" s="15" t="n">
        <v>430</v>
      </c>
      <c r="H840" s="15" t="n">
        <v>25</v>
      </c>
      <c r="I840" s="15" t="n">
        <v>140</v>
      </c>
      <c r="J840" s="13" t="n">
        <v>25</v>
      </c>
      <c r="K840" t="n">
        <v>45</v>
      </c>
      <c r="L840" s="13" t="n">
        <v>1.6</v>
      </c>
      <c r="M840" s="12" t="n"/>
      <c r="N840" s="8" t="n">
        <v>1.135260529422938</v>
      </c>
      <c r="O840" s="15" t="n">
        <v>0.8800442493184617</v>
      </c>
      <c r="P840" s="15" t="n">
        <v>1.060069400544559</v>
      </c>
      <c r="Q840" s="15" t="n">
        <v>0.004753805771179221</v>
      </c>
      <c r="R840" s="15" t="n">
        <v>0.04141246993716884</v>
      </c>
      <c r="S840" s="15" t="n">
        <v>0.006127617781782703</v>
      </c>
      <c r="T840" s="29">
        <f>HIPERLINK($A$1 &amp; "\Dados\Imagem_perfil_840.png", "Imagem_perfil_840")</f>
        <v/>
      </c>
      <c r="U840" s="29">
        <f>HIPERLINK($A$1 &amp; "\Dados\Results_airgap840.txt", "Results_airgap840")</f>
        <v/>
      </c>
      <c r="V840" s="19" t="n"/>
      <c r="W840" s="43" t="n">
        <v>1.63492652173913</v>
      </c>
      <c r="X840" s="15" t="n">
        <v>0.7505395281624283</v>
      </c>
      <c r="Y840" s="15" t="n">
        <v>0.0008504709529330636</v>
      </c>
      <c r="Z840" s="15" t="n">
        <v>0.07161680273781455</v>
      </c>
      <c r="AA840" s="15" t="n">
        <v>5.985183287130832</v>
      </c>
      <c r="AB840" s="15" t="n">
        <v>0</v>
      </c>
      <c r="AC840" s="15" t="n">
        <v>0</v>
      </c>
      <c r="AD840" s="15" t="n">
        <v>11.34931441947302</v>
      </c>
      <c r="AE840" s="15" t="n">
        <v>72.89812047532497</v>
      </c>
      <c r="AF840" s="15" t="n">
        <v>112.0023405942109</v>
      </c>
      <c r="AH840" s="29">
        <f>HIPERLINK($A$1 &amp; "\Dados\Magnet_fields.txt_840.txt.txt", "Magnet_fields.txt_840.txt")</f>
        <v/>
      </c>
      <c r="AI840" t="n">
        <v>9462</v>
      </c>
      <c r="AJ840" t="n">
        <v>30</v>
      </c>
      <c r="AK840" s="29">
        <f>HIPERLINK($A$1 &amp; "\Dados\Magnet_3D_results.txt_840.txt.txt", "Magnet_3D_results.txt_840.txt")</f>
        <v/>
      </c>
      <c r="AL840" s="29">
        <f>HIPERLINK($A$1 &amp; "\Dados\Magnet_fields_2D.txt_840.txt.txt", "Magnet_fields_2D.txt_840.txt")</f>
        <v/>
      </c>
    </row>
    <row customHeight="1" ht="15.75" r="841" s="34">
      <c r="D841" s="30" t="n"/>
      <c r="E841" s="15" t="n">
        <v>120</v>
      </c>
      <c r="F841" s="15" t="n">
        <v>170</v>
      </c>
      <c r="G841" s="15" t="n">
        <v>430</v>
      </c>
      <c r="H841" s="15" t="n">
        <v>25</v>
      </c>
      <c r="I841" s="15" t="n">
        <v>140</v>
      </c>
      <c r="J841" s="13" t="n">
        <v>25</v>
      </c>
      <c r="K841" t="n">
        <v>45</v>
      </c>
      <c r="L841" s="13" t="n">
        <v>1.8</v>
      </c>
      <c r="M841" s="12" t="n"/>
      <c r="N841" s="8" t="n">
        <v>1.264775409257245</v>
      </c>
      <c r="O841" s="15" t="n">
        <v>0.9875651841623734</v>
      </c>
      <c r="P841" s="15" t="n">
        <v>1.184240718950648</v>
      </c>
      <c r="Q841" s="15" t="n">
        <v>0.004917200146872046</v>
      </c>
      <c r="R841" s="15" t="n">
        <v>0.0516122697659725</v>
      </c>
      <c r="S841" s="15" t="n">
        <v>0.006524511392009244</v>
      </c>
      <c r="T841" s="29">
        <f>HIPERLINK($A$1 &amp; "\Dados\Imagem_perfil_841.png", "Imagem_perfil_841")</f>
        <v/>
      </c>
      <c r="U841" s="29">
        <f>HIPERLINK($A$1 &amp; "\Dados\Results_airgap841.txt", "Results_airgap841")</f>
        <v/>
      </c>
      <c r="V841" s="19" t="n"/>
      <c r="W841" s="43" t="n">
        <v>1.811203695652174</v>
      </c>
      <c r="X841" s="15" t="n">
        <v>0.8428100361566975</v>
      </c>
      <c r="Y841" s="15" t="n">
        <v>0.01952753499298369</v>
      </c>
      <c r="Z841" s="15" t="n">
        <v>0</v>
      </c>
      <c r="AA841" s="15" t="n">
        <v>3.47318084774411</v>
      </c>
      <c r="AB841" s="15" t="n">
        <v>0</v>
      </c>
      <c r="AC841" s="15" t="n">
        <v>7.429112150243843</v>
      </c>
      <c r="AD841" s="15" t="n">
        <v>42.09517419812347</v>
      </c>
      <c r="AE841" s="15" t="n">
        <v>84.17562606433567</v>
      </c>
      <c r="AF841" s="15" t="n">
        <v>118.0771721350626</v>
      </c>
      <c r="AH841" s="29">
        <f>HIPERLINK($A$1 &amp; "\Dados\Magnet_fields.txt_841.txt.txt", "Magnet_fields.txt_841.txt")</f>
        <v/>
      </c>
      <c r="AI841" t="n">
        <v>9462</v>
      </c>
      <c r="AJ841" t="n">
        <v>29</v>
      </c>
      <c r="AK841" s="29">
        <f>HIPERLINK($A$1 &amp; "\Dados\Magnet_3D_results.txt_841.txt.txt", "Magnet_3D_results.txt_841.txt")</f>
        <v/>
      </c>
      <c r="AL841" s="29">
        <f>HIPERLINK($A$1 &amp; "\Dados\Magnet_fields_2D.txt_841.txt.txt", "Magnet_fields_2D.txt_841.txt")</f>
        <v/>
      </c>
    </row>
    <row customHeight="1" ht="15.75" r="842" s="34">
      <c r="D842" s="30" t="n"/>
      <c r="E842" s="15" t="n">
        <v>120</v>
      </c>
      <c r="F842" s="15" t="n">
        <v>170</v>
      </c>
      <c r="G842" s="15" t="n">
        <v>430</v>
      </c>
      <c r="H842" s="15" t="n">
        <v>25</v>
      </c>
      <c r="I842" s="15" t="n">
        <v>140</v>
      </c>
      <c r="J842" s="13" t="n">
        <v>25</v>
      </c>
      <c r="K842" t="n">
        <v>45</v>
      </c>
      <c r="L842" s="13" t="n">
        <v>2</v>
      </c>
      <c r="M842" s="12" t="n"/>
      <c r="N842" s="8" t="n">
        <v>1.290731166770891</v>
      </c>
      <c r="O842" s="15" t="n">
        <v>1.006858737935307</v>
      </c>
      <c r="P842" s="15" t="n">
        <v>1.207354034044487</v>
      </c>
      <c r="Q842" s="15" t="n">
        <v>0.004962029733031195</v>
      </c>
      <c r="R842" s="15" t="n">
        <v>0.05292703052526117</v>
      </c>
      <c r="S842" s="15" t="n">
        <v>0.006592449766584569</v>
      </c>
      <c r="T842" s="29">
        <f>HIPERLINK($A$1 &amp; "\Dados\Imagem_perfil_842.png", "Imagem_perfil_842")</f>
        <v/>
      </c>
      <c r="U842" s="29">
        <f>HIPERLINK($A$1 &amp; "\Dados\Results_airgap842.txt", "Results_airgap842")</f>
        <v/>
      </c>
      <c r="V842" s="19" t="n"/>
      <c r="W842" s="15" t="n">
        <v>1.848442391304348</v>
      </c>
      <c r="X842" s="15" t="n">
        <v>0.8597526877380759</v>
      </c>
      <c r="Y842" s="15" t="n">
        <v>0.09510989607700349</v>
      </c>
      <c r="Z842" s="15" t="n">
        <v>0</v>
      </c>
      <c r="AA842" s="15" t="n">
        <v>2.302234801054324</v>
      </c>
      <c r="AB842" s="15" t="n">
        <v>2.353778034742638</v>
      </c>
      <c r="AC842" s="15" t="n">
        <v>13.93206422988095</v>
      </c>
      <c r="AD842" s="15" t="n">
        <v>45.89165907856528</v>
      </c>
      <c r="AE842" s="15" t="n">
        <v>85.57097436179973</v>
      </c>
      <c r="AF842" s="15" t="n">
        <v>118.4903460457679</v>
      </c>
      <c r="AH842" s="29">
        <f>HIPERLINK($A$1 &amp; "\Dados\Magnet_fields.txt_842.txt.txt", "Magnet_fields.txt_842.txt")</f>
        <v/>
      </c>
      <c r="AI842" t="n">
        <v>9462</v>
      </c>
      <c r="AJ842" t="n">
        <v>29</v>
      </c>
      <c r="AK842" s="29">
        <f>HIPERLINK($A$1 &amp; "\Dados\Magnet_3D_results.txt_842.txt.txt", "Magnet_3D_results.txt_842.txt")</f>
        <v/>
      </c>
      <c r="AL842" s="29">
        <f>HIPERLINK($A$1 &amp; "\Dados\Magnet_fields_2D.txt_842.txt.txt", "Magnet_fields_2D.txt_842.txt")</f>
        <v/>
      </c>
    </row>
    <row customHeight="1" ht="15.75" r="843" s="34">
      <c r="D843" s="30" t="n"/>
      <c r="E843" s="15" t="n">
        <v>120</v>
      </c>
      <c r="F843" s="15" t="n">
        <v>170</v>
      </c>
      <c r="G843" s="15" t="n">
        <v>430</v>
      </c>
      <c r="H843" s="15" t="n">
        <v>25</v>
      </c>
      <c r="I843" s="15" t="n">
        <v>140</v>
      </c>
      <c r="J843" s="13" t="n">
        <v>25</v>
      </c>
      <c r="K843" t="n">
        <v>45</v>
      </c>
      <c r="L843" s="13" t="n">
        <v>2.2</v>
      </c>
      <c r="M843" s="12" t="n"/>
      <c r="N843" s="8" t="n">
        <v>1.300102567114806</v>
      </c>
      <c r="O843" s="15" t="n">
        <v>1.013939136941368</v>
      </c>
      <c r="P843" s="15" t="n">
        <v>1.215872588688451</v>
      </c>
      <c r="Q843" s="15" t="n">
        <v>0.004974015165634571</v>
      </c>
      <c r="R843" s="15" t="n">
        <v>0.05347591833867509</v>
      </c>
      <c r="S843" s="15" t="n">
        <v>0.006614334844573281</v>
      </c>
      <c r="T843" s="29">
        <f>HIPERLINK($A$1 &amp; "\Dados\Imagem_perfil_843.png", "Imagem_perfil_843")</f>
        <v/>
      </c>
      <c r="U843" s="29">
        <f>HIPERLINK($A$1 &amp; "\Dados\Results_airgap843.txt", "Results_airgap843")</f>
        <v/>
      </c>
      <c r="V843" s="19" t="n"/>
      <c r="W843" s="15" t="n">
        <v>1.858245869565217</v>
      </c>
      <c r="X843" s="15" t="n">
        <v>0.8659435693762525</v>
      </c>
      <c r="Y843" s="15" t="n">
        <v>0.2089769250346775</v>
      </c>
      <c r="Z843" s="15" t="n">
        <v>0</v>
      </c>
      <c r="AA843" s="15" t="n">
        <v>1.996450826751451</v>
      </c>
      <c r="AB843" s="15" t="n">
        <v>3.370464208736936</v>
      </c>
      <c r="AC843" s="15" t="n">
        <v>15.80609663643656</v>
      </c>
      <c r="AD843" s="15" t="n">
        <v>47.02849471496535</v>
      </c>
      <c r="AE843" s="15" t="n">
        <v>85.9561110859793</v>
      </c>
      <c r="AF843" s="15" t="n">
        <v>118.5782013884928</v>
      </c>
      <c r="AH843" s="29">
        <f>HIPERLINK($A$1 &amp; "\Dados\Magnet_fields.txt_843.txt.txt", "Magnet_fields.txt_843.txt")</f>
        <v/>
      </c>
      <c r="AI843" t="n">
        <v>9462</v>
      </c>
      <c r="AJ843" t="n">
        <v>30</v>
      </c>
      <c r="AK843" s="29">
        <f>HIPERLINK($A$1 &amp; "\Dados\Magnet_3D_results.txt_843.txt.txt", "Magnet_3D_results.txt_843.txt")</f>
        <v/>
      </c>
      <c r="AL843" s="29">
        <f>HIPERLINK($A$1 &amp; "\Dados\Magnet_fields_2D.txt_843.txt.txt", "Magnet_fields_2D.txt_843.txt")</f>
        <v/>
      </c>
    </row>
    <row customHeight="1" ht="15.75" r="844" s="34">
      <c r="D844" s="31" t="n"/>
      <c r="E844" s="15" t="n"/>
      <c r="F844" s="15" t="n"/>
      <c r="G844" s="15" t="n"/>
      <c r="H844" s="15" t="n"/>
      <c r="I844" s="15" t="n"/>
      <c r="J844" s="13" t="n"/>
      <c r="L844" s="13" t="n"/>
      <c r="M844" s="12" t="n"/>
      <c r="N844" s="8" t="n"/>
      <c r="O844" s="15" t="n"/>
      <c r="P844" s="15" t="n"/>
      <c r="Q844" s="15" t="n"/>
      <c r="R844" s="15" t="n"/>
      <c r="S844" s="15" t="n"/>
      <c r="T844" s="29" t="n"/>
      <c r="U844" s="29" t="n"/>
      <c r="V844" s="19" t="n"/>
      <c r="W844" s="15" t="n"/>
      <c r="X844" s="15" t="n"/>
      <c r="Y844" s="15" t="n"/>
      <c r="Z844" s="15" t="n"/>
      <c r="AA844" s="15" t="n"/>
      <c r="AB844" s="15" t="n"/>
      <c r="AC844" s="15" t="n"/>
      <c r="AD844" s="15" t="n"/>
      <c r="AE844" s="15" t="n"/>
      <c r="AF844" s="15" t="n"/>
      <c r="AH844" s="29" t="n"/>
      <c r="AK844" s="29" t="n"/>
      <c r="AL844" s="29" t="n"/>
    </row>
    <row customHeight="1" ht="15.75" r="845" s="34">
      <c r="D845" s="31" t="n"/>
      <c r="E845" s="15" t="n"/>
      <c r="F845" s="15" t="n"/>
      <c r="G845" s="15" t="n"/>
      <c r="H845" s="15" t="n"/>
      <c r="I845" s="15" t="n"/>
      <c r="J845" s="13" t="n"/>
      <c r="L845" s="13" t="n"/>
      <c r="M845" s="12" t="n"/>
      <c r="N845" s="8" t="n"/>
      <c r="O845" s="15" t="n"/>
      <c r="P845" s="15" t="n"/>
      <c r="Q845" s="15" t="n"/>
      <c r="R845" s="15" t="n"/>
      <c r="S845" s="15" t="n"/>
      <c r="T845" s="29" t="n"/>
      <c r="U845" s="29" t="n"/>
      <c r="V845" s="19" t="n"/>
      <c r="W845" s="15" t="n"/>
      <c r="X845" s="15" t="n"/>
      <c r="Y845" s="15" t="n"/>
      <c r="Z845" s="15" t="n"/>
      <c r="AA845" s="15" t="n"/>
      <c r="AB845" s="15" t="n"/>
      <c r="AC845" s="15" t="n"/>
      <c r="AD845" s="15" t="n"/>
      <c r="AE845" s="15" t="n"/>
      <c r="AF845" s="15" t="n"/>
      <c r="AH845" s="29" t="n"/>
      <c r="AK845" s="29" t="n"/>
      <c r="AL845" s="29" t="n"/>
    </row>
    <row customHeight="1" ht="15.75" r="846" s="34">
      <c r="D846" s="31" t="n"/>
      <c r="E846" s="15" t="n"/>
      <c r="F846" s="15" t="n"/>
      <c r="G846" s="15" t="n"/>
      <c r="H846" s="15" t="n"/>
      <c r="I846" s="15" t="n"/>
      <c r="J846" s="13" t="n"/>
      <c r="L846" s="13" t="n"/>
      <c r="M846" s="12" t="n"/>
      <c r="N846" s="8" t="n"/>
      <c r="O846" s="15" t="n"/>
      <c r="P846" s="15" t="n"/>
      <c r="Q846" s="15" t="n"/>
      <c r="R846" s="15" t="n"/>
      <c r="S846" s="15" t="n"/>
      <c r="T846" s="29" t="n"/>
      <c r="U846" s="29" t="n"/>
      <c r="V846" s="19" t="n"/>
      <c r="W846" s="15" t="n"/>
      <c r="X846" s="15" t="n"/>
      <c r="Y846" s="15" t="n"/>
      <c r="Z846" s="15" t="n"/>
      <c r="AA846" s="15" t="n"/>
      <c r="AB846" s="15" t="n"/>
      <c r="AC846" s="15" t="n"/>
      <c r="AD846" s="15" t="n"/>
      <c r="AE846" s="15" t="n"/>
      <c r="AF846" s="15" t="n"/>
      <c r="AH846" s="29" t="n"/>
      <c r="AK846" s="29" t="n"/>
      <c r="AL846" s="29" t="n"/>
    </row>
    <row customHeight="1" ht="15.75" r="847" s="34">
      <c r="D847" s="31" t="n"/>
      <c r="E847" s="15" t="n"/>
      <c r="F847" s="15" t="n"/>
      <c r="G847" s="15" t="n"/>
      <c r="H847" s="15" t="n"/>
      <c r="I847" s="15" t="n"/>
      <c r="J847" s="13" t="n"/>
      <c r="L847" s="13" t="n"/>
      <c r="M847" s="12" t="n"/>
      <c r="N847" s="8" t="n"/>
      <c r="O847" s="15" t="n"/>
      <c r="P847" s="15" t="n"/>
      <c r="Q847" s="15" t="n"/>
      <c r="R847" s="15" t="n"/>
      <c r="S847" s="15" t="n"/>
      <c r="T847" s="29" t="n"/>
      <c r="U847" s="29" t="n"/>
      <c r="V847" s="19" t="n"/>
      <c r="W847" s="15" t="n"/>
      <c r="X847" s="15" t="n"/>
      <c r="Y847" s="15" t="n"/>
      <c r="Z847" s="15" t="n"/>
      <c r="AA847" s="15" t="n"/>
      <c r="AB847" s="15" t="n"/>
      <c r="AC847" s="15" t="n"/>
      <c r="AD847" s="15" t="n"/>
      <c r="AE847" s="15" t="n"/>
      <c r="AF847" s="15" t="n"/>
      <c r="AH847" s="29" t="n"/>
      <c r="AK847" s="29" t="n"/>
      <c r="AL847" s="29" t="n"/>
    </row>
    <row customHeight="1" ht="15.75" r="848" s="34">
      <c r="D848" s="31" t="n"/>
      <c r="E848" s="15" t="n"/>
      <c r="F848" s="15" t="n"/>
      <c r="G848" s="15" t="n"/>
      <c r="H848" s="15" t="n"/>
      <c r="I848" s="15" t="n"/>
      <c r="J848" s="13" t="n"/>
      <c r="L848" s="13" t="n"/>
      <c r="M848" s="12" t="n"/>
      <c r="N848" s="8" t="n"/>
      <c r="O848" s="15" t="n"/>
      <c r="P848" s="15" t="n"/>
      <c r="Q848" s="15" t="n"/>
      <c r="R848" s="15" t="n"/>
      <c r="S848" s="15" t="n"/>
      <c r="T848" s="29" t="n"/>
      <c r="U848" s="29" t="n"/>
      <c r="V848" s="19" t="n"/>
      <c r="W848" s="15" t="n"/>
      <c r="X848" s="15" t="n"/>
      <c r="Y848" s="15" t="n"/>
      <c r="Z848" s="15" t="n"/>
      <c r="AA848" s="15" t="n"/>
      <c r="AB848" s="15" t="n"/>
      <c r="AC848" s="15" t="n"/>
      <c r="AD848" s="15" t="n"/>
      <c r="AE848" s="15" t="n"/>
      <c r="AF848" s="15" t="n"/>
      <c r="AH848" s="29" t="n"/>
      <c r="AK848" s="29" t="n"/>
      <c r="AL848" s="29" t="n"/>
    </row>
    <row customHeight="1" ht="15.75" r="849" s="34">
      <c r="D849" s="31" t="n"/>
      <c r="E849" s="15" t="n"/>
      <c r="F849" s="15" t="n"/>
      <c r="G849" s="15" t="n"/>
      <c r="H849" s="15" t="n"/>
      <c r="I849" s="15" t="n"/>
      <c r="J849" s="13" t="n"/>
      <c r="L849" s="13" t="n"/>
      <c r="M849" s="12" t="n"/>
      <c r="N849" s="8" t="n"/>
      <c r="O849" s="15" t="n"/>
      <c r="P849" s="15" t="n"/>
      <c r="Q849" s="15" t="n"/>
      <c r="R849" s="15" t="n"/>
      <c r="S849" s="15" t="n"/>
      <c r="T849" s="29" t="n"/>
      <c r="U849" s="29" t="n"/>
      <c r="V849" s="19" t="n"/>
      <c r="W849" s="15" t="n"/>
      <c r="X849" s="15" t="n"/>
      <c r="Y849" s="15" t="n"/>
      <c r="Z849" s="15" t="n"/>
      <c r="AA849" s="15" t="n"/>
      <c r="AB849" s="15" t="n"/>
      <c r="AC849" s="15" t="n"/>
      <c r="AD849" s="15" t="n"/>
      <c r="AE849" s="15" t="n"/>
      <c r="AF849" s="15" t="n"/>
      <c r="AH849" s="29" t="n"/>
      <c r="AK849" s="29" t="n"/>
      <c r="AL849" s="29" t="n"/>
    </row>
    <row customHeight="1" ht="15.75" r="850" s="34">
      <c r="D850" s="31" t="n"/>
      <c r="E850" s="15" t="n"/>
      <c r="F850" s="15" t="n"/>
      <c r="G850" s="15" t="n"/>
      <c r="H850" s="15" t="n"/>
      <c r="I850" s="15" t="n"/>
      <c r="J850" s="13" t="n"/>
      <c r="L850" s="13" t="n"/>
      <c r="M850" s="12" t="n"/>
      <c r="N850" s="8" t="n"/>
      <c r="O850" s="15" t="n"/>
      <c r="P850" s="15" t="n"/>
      <c r="Q850" s="15" t="n"/>
      <c r="R850" s="15" t="n"/>
      <c r="S850" s="15" t="n"/>
      <c r="T850" s="29" t="n"/>
      <c r="U850" s="29" t="n"/>
      <c r="V850" s="19" t="n"/>
      <c r="W850" s="15" t="n"/>
      <c r="X850" s="15" t="n"/>
      <c r="Y850" s="15" t="n"/>
      <c r="Z850" s="15" t="n"/>
      <c r="AA850" s="15" t="n"/>
      <c r="AB850" s="15" t="n"/>
      <c r="AC850" s="15" t="n"/>
      <c r="AD850" s="15" t="n"/>
      <c r="AE850" s="15" t="n"/>
      <c r="AF850" s="15" t="n"/>
      <c r="AH850" s="29" t="n"/>
      <c r="AK850" s="29" t="n"/>
      <c r="AL850" s="29" t="n"/>
    </row>
    <row customHeight="1" ht="15.75" r="851" s="34">
      <c r="D851" s="31" t="n"/>
      <c r="E851" s="15" t="n"/>
      <c r="F851" s="15" t="n"/>
      <c r="G851" s="15" t="n"/>
      <c r="H851" s="15" t="n"/>
      <c r="I851" s="15" t="n"/>
      <c r="J851" s="13" t="n"/>
      <c r="L851" s="13" t="n"/>
      <c r="M851" s="12" t="n"/>
      <c r="N851" s="8" t="n"/>
      <c r="O851" s="15" t="n"/>
      <c r="P851" s="15" t="n"/>
      <c r="Q851" s="15" t="n"/>
      <c r="R851" s="15" t="n"/>
      <c r="S851" s="15" t="n"/>
      <c r="T851" s="29" t="n"/>
      <c r="U851" s="29" t="n"/>
      <c r="V851" s="19" t="n"/>
      <c r="W851" s="15" t="n"/>
      <c r="X851" s="15" t="n"/>
      <c r="Y851" s="15" t="n"/>
      <c r="Z851" s="15" t="n"/>
      <c r="AA851" s="15" t="n"/>
      <c r="AB851" s="15" t="n"/>
      <c r="AC851" s="15" t="n"/>
      <c r="AD851" s="15" t="n"/>
      <c r="AE851" s="15" t="n"/>
      <c r="AF851" s="15" t="n"/>
      <c r="AH851" s="29" t="n"/>
      <c r="AK851" s="29" t="n"/>
      <c r="AL851" s="29" t="n"/>
    </row>
    <row customHeight="1" ht="15.75" r="852" s="34">
      <c r="D852" s="31" t="n"/>
      <c r="E852" s="15" t="n"/>
      <c r="F852" s="15" t="n"/>
      <c r="G852" s="15" t="n"/>
      <c r="H852" s="15" t="n"/>
      <c r="I852" s="15" t="n"/>
      <c r="J852" s="13" t="n"/>
      <c r="L852" s="13" t="n"/>
      <c r="M852" s="12" t="n"/>
      <c r="N852" s="8" t="n"/>
      <c r="O852" s="15" t="n"/>
      <c r="P852" s="15" t="n"/>
      <c r="Q852" s="15" t="n"/>
      <c r="R852" s="15" t="n"/>
      <c r="S852" s="15" t="n"/>
      <c r="T852" s="29" t="n"/>
      <c r="U852" s="29" t="n"/>
      <c r="V852" s="19" t="n"/>
      <c r="W852" s="15" t="n"/>
      <c r="X852" s="15" t="n"/>
      <c r="Y852" s="15" t="n"/>
      <c r="Z852" s="15" t="n"/>
      <c r="AA852" s="15" t="n"/>
      <c r="AB852" s="15" t="n"/>
      <c r="AC852" s="15" t="n"/>
      <c r="AD852" s="15" t="n"/>
      <c r="AE852" s="15" t="n"/>
      <c r="AF852" s="15" t="n"/>
      <c r="AH852" s="29" t="n"/>
      <c r="AK852" s="29" t="n"/>
      <c r="AL852" s="29" t="n"/>
    </row>
    <row customHeight="1" ht="15.75" r="853" s="34">
      <c r="D853" s="31" t="n"/>
      <c r="E853" s="15" t="n"/>
      <c r="F853" s="15" t="n"/>
      <c r="G853" s="15" t="n"/>
      <c r="H853" s="15" t="n"/>
      <c r="I853" s="15" t="n"/>
      <c r="J853" s="13" t="n"/>
      <c r="L853" s="13" t="n"/>
      <c r="M853" s="12" t="n"/>
      <c r="N853" s="8" t="n"/>
      <c r="O853" s="15" t="n"/>
      <c r="P853" s="15" t="n"/>
      <c r="Q853" s="15" t="n"/>
      <c r="R853" s="15" t="n"/>
      <c r="S853" s="15" t="n"/>
      <c r="T853" s="29" t="n"/>
      <c r="U853" s="29" t="n"/>
      <c r="V853" s="19" t="n"/>
      <c r="W853" s="15" t="n"/>
      <c r="X853" s="15" t="n"/>
      <c r="Y853" s="15" t="n"/>
      <c r="Z853" s="15" t="n"/>
      <c r="AA853" s="15" t="n"/>
      <c r="AB853" s="15" t="n"/>
      <c r="AC853" s="15" t="n"/>
      <c r="AD853" s="15" t="n"/>
      <c r="AE853" s="15" t="n"/>
      <c r="AF853" s="15" t="n"/>
      <c r="AH853" s="29" t="n"/>
      <c r="AK853" s="29" t="n"/>
      <c r="AL853" s="29" t="n"/>
    </row>
    <row customHeight="1" ht="15.75" r="854" s="34">
      <c r="D854" s="31" t="n"/>
      <c r="E854" s="15" t="n"/>
      <c r="F854" s="15" t="n"/>
      <c r="G854" s="15" t="n"/>
      <c r="H854" s="15" t="n"/>
      <c r="I854" s="15" t="n"/>
      <c r="J854" s="13" t="n"/>
      <c r="L854" s="13" t="n"/>
      <c r="M854" s="12" t="n"/>
      <c r="N854" s="8" t="n"/>
      <c r="O854" s="15" t="n"/>
      <c r="P854" s="15" t="n"/>
      <c r="Q854" s="15" t="n"/>
      <c r="R854" s="15" t="n"/>
      <c r="S854" s="15" t="n"/>
      <c r="T854" s="29" t="n"/>
      <c r="U854" s="29" t="n"/>
      <c r="V854" s="19" t="n"/>
      <c r="W854" s="15" t="n"/>
      <c r="X854" s="15" t="n"/>
      <c r="Y854" s="15" t="n"/>
      <c r="Z854" s="15" t="n"/>
      <c r="AA854" s="15" t="n"/>
      <c r="AB854" s="15" t="n"/>
      <c r="AC854" s="15" t="n"/>
      <c r="AD854" s="15" t="n"/>
      <c r="AE854" s="15" t="n"/>
      <c r="AF854" s="15" t="n"/>
      <c r="AH854" s="29" t="n"/>
      <c r="AK854" s="29" t="n"/>
      <c r="AL854" s="29" t="n"/>
    </row>
    <row customHeight="1" ht="15.75" r="855" s="34">
      <c r="D855" s="31" t="n"/>
      <c r="E855" s="15" t="n"/>
      <c r="F855" s="15" t="n"/>
      <c r="G855" s="15" t="n"/>
      <c r="H855" s="15" t="n"/>
      <c r="I855" s="15" t="n"/>
      <c r="J855" s="13" t="n"/>
      <c r="L855" s="13" t="n"/>
      <c r="M855" s="12" t="n"/>
      <c r="N855" s="8" t="n"/>
      <c r="O855" s="15" t="n"/>
      <c r="P855" s="15" t="n"/>
      <c r="Q855" s="15" t="n"/>
      <c r="R855" s="15" t="n"/>
      <c r="S855" s="15" t="n"/>
      <c r="T855" s="29" t="n"/>
      <c r="U855" s="29" t="n"/>
      <c r="V855" s="19" t="n"/>
      <c r="W855" s="15" t="n"/>
      <c r="X855" s="15" t="n"/>
      <c r="Y855" s="15" t="n"/>
      <c r="Z855" s="15" t="n"/>
      <c r="AA855" s="15" t="n"/>
      <c r="AB855" s="15" t="n"/>
      <c r="AC855" s="15" t="n"/>
      <c r="AD855" s="15" t="n"/>
      <c r="AE855" s="15" t="n"/>
      <c r="AF855" s="15" t="n"/>
      <c r="AH855" s="29" t="n"/>
      <c r="AK855" s="29" t="n"/>
      <c r="AL855" s="29" t="n"/>
    </row>
    <row customHeight="1" ht="15.75" r="856" s="34">
      <c r="D856" s="31" t="n"/>
      <c r="E856" s="15" t="n"/>
      <c r="F856" s="15" t="n"/>
      <c r="G856" s="15" t="n"/>
      <c r="H856" s="15" t="n"/>
      <c r="I856" s="15" t="n"/>
      <c r="J856" s="13" t="n"/>
      <c r="L856" s="13" t="n"/>
      <c r="M856" s="12" t="n"/>
      <c r="N856" s="8" t="n"/>
      <c r="O856" s="15" t="n"/>
      <c r="P856" s="15" t="n"/>
      <c r="Q856" s="15" t="n"/>
      <c r="R856" s="15" t="n"/>
      <c r="S856" s="15" t="n"/>
      <c r="T856" s="29" t="n"/>
      <c r="U856" s="29" t="n"/>
      <c r="V856" s="19" t="n"/>
      <c r="W856" s="15" t="n"/>
      <c r="X856" s="15" t="n"/>
      <c r="Y856" s="15" t="n"/>
      <c r="Z856" s="15" t="n"/>
      <c r="AA856" s="15" t="n"/>
      <c r="AB856" s="15" t="n"/>
      <c r="AC856" s="15" t="n"/>
      <c r="AD856" s="15" t="n"/>
      <c r="AE856" s="15" t="n"/>
      <c r="AF856" s="15" t="n"/>
      <c r="AH856" s="29" t="n"/>
      <c r="AK856" s="29" t="n"/>
      <c r="AL856" s="29" t="n"/>
    </row>
    <row customHeight="1" ht="15.75" r="857" s="34">
      <c r="D857" s="31" t="n"/>
      <c r="E857" s="15" t="n"/>
      <c r="F857" s="15" t="n"/>
      <c r="G857" s="15" t="n"/>
      <c r="H857" s="15" t="n"/>
      <c r="I857" s="15" t="n"/>
      <c r="J857" s="13" t="n"/>
      <c r="L857" s="13" t="n"/>
      <c r="M857" s="12" t="n"/>
      <c r="N857" s="8" t="n"/>
      <c r="O857" s="15" t="n"/>
      <c r="P857" s="15" t="n"/>
      <c r="Q857" s="15" t="n"/>
      <c r="R857" s="15" t="n"/>
      <c r="S857" s="15" t="n"/>
      <c r="T857" s="29" t="n"/>
      <c r="U857" s="29" t="n"/>
      <c r="V857" s="19" t="n"/>
      <c r="W857" s="15" t="n"/>
      <c r="X857" s="15" t="n"/>
      <c r="Y857" s="15" t="n"/>
      <c r="Z857" s="15" t="n"/>
      <c r="AA857" s="15" t="n"/>
      <c r="AB857" s="15" t="n"/>
      <c r="AC857" s="15" t="n"/>
      <c r="AD857" s="15" t="n"/>
      <c r="AE857" s="15" t="n"/>
      <c r="AF857" s="15" t="n"/>
      <c r="AH857" s="29" t="n"/>
      <c r="AK857" s="29" t="n"/>
      <c r="AL857" s="29" t="n"/>
    </row>
    <row customHeight="1" ht="15.75" r="858" s="34">
      <c r="D858" s="31" t="n"/>
      <c r="E858" s="15" t="n"/>
      <c r="F858" s="15" t="n"/>
      <c r="G858" s="15" t="n"/>
      <c r="H858" s="15" t="n"/>
      <c r="I858" s="15" t="n"/>
      <c r="J858" s="13" t="n"/>
      <c r="L858" s="13" t="n"/>
      <c r="M858" s="12" t="n"/>
      <c r="N858" s="8" t="n"/>
      <c r="O858" s="15" t="n"/>
      <c r="P858" s="15" t="n"/>
      <c r="Q858" s="15" t="n"/>
      <c r="R858" s="15" t="n"/>
      <c r="S858" s="15" t="n"/>
      <c r="T858" s="29" t="n"/>
      <c r="U858" s="29" t="n"/>
      <c r="V858" s="19" t="n"/>
      <c r="W858" s="15" t="n"/>
      <c r="X858" s="15" t="n"/>
      <c r="Y858" s="15" t="n"/>
      <c r="Z858" s="15" t="n"/>
      <c r="AA858" s="15" t="n"/>
      <c r="AB858" s="15" t="n"/>
      <c r="AC858" s="15" t="n"/>
      <c r="AD858" s="15" t="n"/>
      <c r="AE858" s="15" t="n"/>
      <c r="AF858" s="15" t="n"/>
      <c r="AH858" s="29" t="n"/>
      <c r="AK858" s="29" t="n"/>
      <c r="AL858" s="29" t="n"/>
    </row>
    <row customHeight="1" ht="15.75" r="859" s="34">
      <c r="D859" s="30" t="n"/>
      <c r="E859" s="15" t="n">
        <v>150</v>
      </c>
      <c r="F859" s="15" t="n">
        <v>180</v>
      </c>
      <c r="G859" s="15" t="n">
        <v>350</v>
      </c>
      <c r="H859" s="15" t="n">
        <v>25</v>
      </c>
      <c r="I859" s="15" t="n">
        <v>140</v>
      </c>
      <c r="J859" s="13" t="n">
        <v>25</v>
      </c>
      <c r="K859" t="n">
        <v>45</v>
      </c>
      <c r="L859" s="13" t="n">
        <v>1.4</v>
      </c>
      <c r="M859" s="12" t="n"/>
      <c r="N859" s="8" t="n">
        <v>1.008136854161069</v>
      </c>
      <c r="O859" s="15" t="n">
        <v>0.7316505985430388</v>
      </c>
      <c r="P859" s="15" t="n">
        <v>0.9291103378179113</v>
      </c>
      <c r="Q859" s="15" t="n">
        <v>0.0006956531363063037</v>
      </c>
      <c r="R859" s="15" t="n">
        <v>0.01977332275384282</v>
      </c>
      <c r="S859" s="15" t="n">
        <v>0.0007170279250269128</v>
      </c>
      <c r="T859" s="29">
        <f>HIPERLINK($A$1 &amp; "\Dados\Imagem_perfil_859.png", "Imagem_perfil_859")</f>
        <v/>
      </c>
      <c r="U859" s="29">
        <f>HIPERLINK($A$1 &amp; "\Dados\Results_airgap859.txt", "Results_airgap859")</f>
        <v/>
      </c>
      <c r="V859" s="19" t="n"/>
      <c r="W859" s="43" t="n">
        <v>1.395440652173913</v>
      </c>
      <c r="X859" s="15" t="n">
        <v>0.5942680114074803</v>
      </c>
      <c r="Y859" s="15" t="n">
        <v>3.117154595280004e-05</v>
      </c>
      <c r="Z859" s="15" t="n">
        <v>0</v>
      </c>
      <c r="AA859" s="15" t="n">
        <v>7.762208389172727</v>
      </c>
      <c r="AB859" s="15" t="n">
        <v>4.154443984420435</v>
      </c>
      <c r="AC859" s="15" t="n">
        <v>1.171176447697808</v>
      </c>
      <c r="AD859" s="15" t="n">
        <v>10.27960870501655</v>
      </c>
      <c r="AE859" s="15" t="n">
        <v>40.0080487755389</v>
      </c>
      <c r="AF859" s="15" t="n">
        <v>30.71025367936949</v>
      </c>
      <c r="AH859" s="29">
        <f>HIPERLINK($A$1 &amp; "\Dados\Magnet_fields.txt_859.txt.txt", "Magnet_fields.txt_859.txt")</f>
        <v/>
      </c>
      <c r="AI859" t="n">
        <v>8601</v>
      </c>
      <c r="AJ859" t="n">
        <v>30</v>
      </c>
      <c r="AK859" s="29">
        <f>HIPERLINK($A$1 &amp; "\Dados\Magnet_3D_results.txt_859.txt.txt", "Magnet_3D_results.txt_859.txt")</f>
        <v/>
      </c>
      <c r="AL859" s="29">
        <f>HIPERLINK($A$1 &amp; "\Dados\Magnet_fields_2D.txt_859.txt.txt", "Magnet_fields_2D.txt_859.txt")</f>
        <v/>
      </c>
    </row>
    <row customHeight="1" ht="15.75" r="860" s="34">
      <c r="D860" s="30" t="n"/>
      <c r="E860" s="15" t="n">
        <v>150</v>
      </c>
      <c r="F860" s="15" t="n">
        <v>180</v>
      </c>
      <c r="G860" s="15" t="n">
        <v>350</v>
      </c>
      <c r="H860" s="15" t="n">
        <v>25</v>
      </c>
      <c r="I860" s="15" t="n">
        <v>140</v>
      </c>
      <c r="J860" s="13" t="n">
        <v>25</v>
      </c>
      <c r="K860" t="n">
        <v>45</v>
      </c>
      <c r="L860" s="13" t="n">
        <v>1.6</v>
      </c>
      <c r="M860" s="12" t="n"/>
      <c r="N860" s="8" t="n">
        <v>1.190986095504166</v>
      </c>
      <c r="O860" s="15" t="n">
        <v>0.8794780442726767</v>
      </c>
      <c r="P860" s="15" t="n">
        <v>1.102733469657656</v>
      </c>
      <c r="Q860" s="15" t="n">
        <v>0.001097458010669566</v>
      </c>
      <c r="R860" s="15" t="n">
        <v>0.008348710061030518</v>
      </c>
      <c r="S860" s="15" t="n">
        <v>0.001118081839155675</v>
      </c>
      <c r="T860" s="29">
        <f>HIPERLINK($A$1 &amp; "\Dados\Imagem_perfil_860.png", "Imagem_perfil_860")</f>
        <v/>
      </c>
      <c r="U860" s="29">
        <f>HIPERLINK($A$1 &amp; "\Dados\Results_airgap860.txt", "Results_airgap860")</f>
        <v/>
      </c>
      <c r="V860" s="19" t="n"/>
      <c r="W860" s="43" t="n">
        <v>1.59692347826087</v>
      </c>
      <c r="X860" s="15" t="n">
        <v>0.7214627843483812</v>
      </c>
      <c r="Y860" s="15" t="n">
        <v>9.043107593891392e-05</v>
      </c>
      <c r="Z860" s="15" t="n">
        <v>0</v>
      </c>
      <c r="AA860" s="15" t="n">
        <v>5.249366483754233</v>
      </c>
      <c r="AB860" s="15" t="n">
        <v>9.831467487983673</v>
      </c>
      <c r="AC860" s="15" t="n">
        <v>1.649796123438609</v>
      </c>
      <c r="AD860" s="15" t="n">
        <v>25.75772009727851</v>
      </c>
      <c r="AE860" s="15" t="n">
        <v>58.33006836093934</v>
      </c>
      <c r="AF860" s="15" t="n">
        <v>49.10566747119034</v>
      </c>
      <c r="AH860" s="29">
        <f>HIPERLINK($A$1 &amp; "\Dados\Magnet_fields.txt_860.txt.txt", "Magnet_fields.txt_860.txt")</f>
        <v/>
      </c>
      <c r="AI860" t="n">
        <v>8601</v>
      </c>
      <c r="AJ860" t="n">
        <v>29</v>
      </c>
      <c r="AK860" s="29">
        <f>HIPERLINK($A$1 &amp; "\Dados\Magnet_3D_results.txt_860.txt.txt", "Magnet_3D_results.txt_860.txt")</f>
        <v/>
      </c>
      <c r="AL860" s="29">
        <f>HIPERLINK($A$1 &amp; "\Dados\Magnet_fields_2D.txt_860.txt.txt", "Magnet_fields_2D.txt_860.txt")</f>
        <v/>
      </c>
    </row>
    <row customHeight="1" ht="15.75" r="861" s="34">
      <c r="D861" s="30" t="n"/>
      <c r="E861" s="15" t="n">
        <v>150</v>
      </c>
      <c r="F861" s="15" t="n">
        <v>180</v>
      </c>
      <c r="G861" s="15" t="n">
        <v>350</v>
      </c>
      <c r="H861" s="15" t="n">
        <v>25</v>
      </c>
      <c r="I861" s="15" t="n">
        <v>140</v>
      </c>
      <c r="J861" s="13" t="n">
        <v>25</v>
      </c>
      <c r="K861" t="n">
        <v>45</v>
      </c>
      <c r="L861" s="13" t="n">
        <v>1.8</v>
      </c>
      <c r="M861" s="12" t="n"/>
      <c r="N861" s="8" t="n">
        <v>1.404348913687865</v>
      </c>
      <c r="O861" s="15" t="n">
        <v>1.060199429696499</v>
      </c>
      <c r="P861" s="15" t="n">
        <v>1.307976101244289</v>
      </c>
      <c r="Q861" s="15" t="n">
        <v>0.002551003409385851</v>
      </c>
      <c r="R861" s="15" t="n">
        <v>0.01392197854908326</v>
      </c>
      <c r="S861" s="15" t="n">
        <v>0.002703058650666057</v>
      </c>
      <c r="T861" s="29">
        <f>HIPERLINK($A$1 &amp; "\Dados\Imagem_perfil_861.png", "Imagem_perfil_861")</f>
        <v/>
      </c>
      <c r="U861" s="29">
        <f>HIPERLINK($A$1 &amp; "\Dados\Results_airgap861.txt", "Results_airgap861")</f>
        <v/>
      </c>
      <c r="V861" s="19" t="n"/>
      <c r="W861" s="43" t="n">
        <v>1.797812826086956</v>
      </c>
      <c r="X861" s="15" t="n">
        <v>0.8780554575874917</v>
      </c>
      <c r="Y861" s="15" t="n">
        <v>0.0001555427411651006</v>
      </c>
      <c r="Z861" s="15" t="n">
        <v>0</v>
      </c>
      <c r="AA861" s="15" t="n">
        <v>5.066244110164076</v>
      </c>
      <c r="AB861" s="15" t="n">
        <v>9.382576174170643</v>
      </c>
      <c r="AC861" s="15" t="n">
        <v>3.806954109638379</v>
      </c>
      <c r="AD861" s="15" t="n">
        <v>37.05889364604968</v>
      </c>
      <c r="AE861" s="15" t="n">
        <v>81.41222870050321</v>
      </c>
      <c r="AF861" s="15" t="n">
        <v>94.90012133025921</v>
      </c>
      <c r="AH861" s="29">
        <f>HIPERLINK($A$1 &amp; "\Dados\Magnet_fields.txt_861.txt.txt", "Magnet_fields.txt_861.txt")</f>
        <v/>
      </c>
      <c r="AI861" t="n">
        <v>8601</v>
      </c>
      <c r="AJ861" t="n">
        <v>29</v>
      </c>
      <c r="AK861" s="29">
        <f>HIPERLINK($A$1 &amp; "\Dados\Magnet_3D_results.txt_861.txt.txt", "Magnet_3D_results.txt_861.txt")</f>
        <v/>
      </c>
      <c r="AL861" s="29">
        <f>HIPERLINK($A$1 &amp; "\Dados\Magnet_fields_2D.txt_861.txt.txt", "Magnet_fields_2D.txt_861.txt")</f>
        <v/>
      </c>
    </row>
    <row customHeight="1" ht="15.75" r="862" s="34">
      <c r="D862" s="30" t="n"/>
      <c r="E862" s="15" t="n">
        <v>150</v>
      </c>
      <c r="F862" s="15" t="n">
        <v>180</v>
      </c>
      <c r="G862" s="15" t="n">
        <v>350</v>
      </c>
      <c r="H862" s="15" t="n">
        <v>25</v>
      </c>
      <c r="I862" s="15" t="n">
        <v>140</v>
      </c>
      <c r="J862" s="13" t="n">
        <v>25</v>
      </c>
      <c r="K862" t="n">
        <v>45</v>
      </c>
      <c r="L862" s="13" t="n">
        <v>2</v>
      </c>
      <c r="M862" s="12" t="n"/>
      <c r="N862" s="8" t="n">
        <v>1.445077692723614</v>
      </c>
      <c r="O862" s="15" t="n">
        <v>1.099528031166134</v>
      </c>
      <c r="P862" s="15" t="n">
        <v>1.350474595338666</v>
      </c>
      <c r="Q862" s="15" t="n">
        <v>0.002807180852800171</v>
      </c>
      <c r="R862" s="15" t="n">
        <v>0.02017493601465239</v>
      </c>
      <c r="S862" s="15" t="n">
        <v>0.002998971057080839</v>
      </c>
      <c r="T862" s="29">
        <f>HIPERLINK($A$1 &amp; "\Dados\Imagem_perfil_862.png", "Imagem_perfil_862")</f>
        <v/>
      </c>
      <c r="U862" s="29">
        <f>HIPERLINK($A$1 &amp; "\Dados\Results_airgap862.txt", "Results_airgap862")</f>
        <v/>
      </c>
      <c r="V862" s="19" t="n"/>
      <c r="W862" s="15" t="n">
        <v>1.827250652173914</v>
      </c>
      <c r="X862" s="15" t="n">
        <v>0.911091418070345</v>
      </c>
      <c r="Y862" s="15" t="n">
        <v>0.02961886076738776</v>
      </c>
      <c r="Z862" s="15" t="n">
        <v>0</v>
      </c>
      <c r="AA862" s="15" t="n">
        <v>4.73983627099189</v>
      </c>
      <c r="AB862" s="15" t="n">
        <v>0</v>
      </c>
      <c r="AC862" s="15" t="n">
        <v>3.672735473224479</v>
      </c>
      <c r="AD862" s="15" t="n">
        <v>43.61536763327182</v>
      </c>
      <c r="AE862" s="15" t="n">
        <v>87.04495281772506</v>
      </c>
      <c r="AF862" s="15" t="n">
        <v>117.9088039707864</v>
      </c>
      <c r="AH862" s="29">
        <f>HIPERLINK($A$1 &amp; "\Dados\Magnet_fields.txt_862.txt.txt", "Magnet_fields.txt_862.txt")</f>
        <v/>
      </c>
      <c r="AI862" t="n">
        <v>8601</v>
      </c>
      <c r="AJ862" t="n">
        <v>29</v>
      </c>
      <c r="AK862" s="29">
        <f>HIPERLINK($A$1 &amp; "\Dados\Magnet_3D_results.txt_862.txt.txt", "Magnet_3D_results.txt_862.txt")</f>
        <v/>
      </c>
      <c r="AL862" s="29">
        <f>HIPERLINK($A$1 &amp; "\Dados\Magnet_fields_2D.txt_862.txt.txt", "Magnet_fields_2D.txt_862.txt")</f>
        <v/>
      </c>
    </row>
    <row customHeight="1" ht="15.75" r="863" s="34">
      <c r="D863" s="30" t="n"/>
      <c r="E863" s="15" t="n">
        <v>150</v>
      </c>
      <c r="F863" s="15" t="n">
        <v>180</v>
      </c>
      <c r="G863" s="15" t="n">
        <v>350</v>
      </c>
      <c r="H863" s="15" t="n">
        <v>25</v>
      </c>
      <c r="I863" s="15" t="n">
        <v>140</v>
      </c>
      <c r="J863" s="13" t="n">
        <v>25</v>
      </c>
      <c r="K863" t="n">
        <v>45</v>
      </c>
      <c r="L863" s="13" t="n">
        <v>2.2</v>
      </c>
      <c r="M863" s="12" t="n"/>
      <c r="N863" s="8" t="n">
        <v>1.444472627683209</v>
      </c>
      <c r="O863" s="15" t="n">
        <v>1.099048510828097</v>
      </c>
      <c r="P863" s="15" t="n">
        <v>1.349915595746074</v>
      </c>
      <c r="Q863" s="15" t="n">
        <v>0.00281045320204283</v>
      </c>
      <c r="R863" s="15" t="n">
        <v>0.02013757442049051</v>
      </c>
      <c r="S863" s="15" t="n">
        <v>0.003002145443093048</v>
      </c>
      <c r="T863" s="29">
        <f>HIPERLINK($A$1 &amp; "\Dados\Imagem_perfil_863.png", "Imagem_perfil_863")</f>
        <v/>
      </c>
      <c r="U863" s="29">
        <f>HIPERLINK($A$1 &amp; "\Dados\Results_airgap863.txt", "Results_airgap863")</f>
        <v/>
      </c>
      <c r="V863" s="19" t="n"/>
      <c r="W863" s="15" t="n">
        <v>1.826051956521739</v>
      </c>
      <c r="X863" s="15" t="n">
        <v>0.9106833355867967</v>
      </c>
      <c r="Y863" s="15" t="n">
        <v>0.1140027569626824</v>
      </c>
      <c r="Z863" s="15" t="n">
        <v>0</v>
      </c>
      <c r="AA863" s="15" t="n">
        <v>4.749481488578102</v>
      </c>
      <c r="AB863" s="15" t="n">
        <v>0</v>
      </c>
      <c r="AC863" s="15" t="n">
        <v>3.363189190448778</v>
      </c>
      <c r="AD863" s="15" t="n">
        <v>43.69068291194377</v>
      </c>
      <c r="AE863" s="15" t="n">
        <v>86.99644821146691</v>
      </c>
      <c r="AF863" s="15" t="n">
        <v>118.0374668796484</v>
      </c>
      <c r="AH863" s="29">
        <f>HIPERLINK($A$1 &amp; "\Dados\Magnet_fields.txt_863.txt.txt", "Magnet_fields.txt_863.txt")</f>
        <v/>
      </c>
      <c r="AI863" t="n">
        <v>8601</v>
      </c>
      <c r="AJ863" t="n">
        <v>30</v>
      </c>
      <c r="AK863" s="29">
        <f>HIPERLINK($A$1 &amp; "\Dados\Magnet_3D_results.txt_863.txt.txt", "Magnet_3D_results.txt_863.txt")</f>
        <v/>
      </c>
      <c r="AL863" s="29">
        <f>HIPERLINK($A$1 &amp; "\Dados\Magnet_fields_2D.txt_863.txt.txt", "Magnet_fields_2D.txt_863.txt")</f>
        <v/>
      </c>
    </row>
    <row customHeight="1" ht="15.75" r="864" s="34">
      <c r="D864" s="31" t="n"/>
      <c r="E864" s="15" t="n"/>
      <c r="F864" s="15" t="n"/>
      <c r="G864" s="15" t="n"/>
      <c r="H864" s="15" t="n"/>
      <c r="I864" s="15" t="n"/>
      <c r="J864" s="13" t="n"/>
      <c r="L864" s="13" t="n"/>
      <c r="M864" s="12" t="n"/>
      <c r="N864" s="8" t="n"/>
      <c r="O864" s="15" t="n"/>
      <c r="P864" s="15" t="n"/>
      <c r="Q864" s="15" t="n"/>
      <c r="R864" s="15" t="n"/>
      <c r="S864" s="15" t="n"/>
      <c r="T864" s="29" t="n"/>
      <c r="U864" s="29" t="n"/>
      <c r="V864" s="19" t="n"/>
      <c r="W864" s="15" t="n"/>
      <c r="X864" s="15" t="n"/>
      <c r="Y864" s="15" t="n"/>
      <c r="Z864" s="15" t="n"/>
      <c r="AA864" s="15" t="n"/>
      <c r="AB864" s="15" t="n"/>
      <c r="AC864" s="15" t="n"/>
      <c r="AD864" s="15" t="n"/>
      <c r="AE864" s="15" t="n"/>
      <c r="AF864" s="15" t="n"/>
      <c r="AH864" s="29" t="n"/>
      <c r="AK864" s="29" t="n"/>
      <c r="AL864" s="29" t="n"/>
    </row>
    <row customHeight="1" ht="15.75" r="865" s="34">
      <c r="D865" s="31" t="n"/>
      <c r="E865" s="15" t="n"/>
      <c r="F865" s="15" t="n"/>
      <c r="G865" s="15" t="n"/>
      <c r="H865" s="15" t="n"/>
      <c r="I865" s="15" t="n"/>
      <c r="J865" s="13" t="n"/>
      <c r="L865" s="13" t="n"/>
      <c r="M865" s="12" t="n"/>
      <c r="N865" s="8" t="n"/>
      <c r="O865" s="15" t="n"/>
      <c r="P865" s="15" t="n"/>
      <c r="Q865" s="15" t="n"/>
      <c r="R865" s="15" t="n"/>
      <c r="S865" s="15" t="n"/>
      <c r="T865" s="29" t="n"/>
      <c r="U865" s="29" t="n"/>
      <c r="V865" s="19" t="n"/>
      <c r="W865" s="15" t="n"/>
      <c r="X865" s="15" t="n"/>
      <c r="Y865" s="15" t="n"/>
      <c r="Z865" s="15" t="n"/>
      <c r="AA865" s="15" t="n"/>
      <c r="AB865" s="15" t="n"/>
      <c r="AC865" s="15" t="n"/>
      <c r="AD865" s="15" t="n"/>
      <c r="AE865" s="15" t="n"/>
      <c r="AF865" s="15" t="n"/>
      <c r="AH865" s="29" t="n"/>
      <c r="AK865" s="29" t="n"/>
      <c r="AL865" s="29" t="n"/>
    </row>
    <row customHeight="1" ht="15.75" r="866" s="34">
      <c r="D866" s="31" t="n"/>
      <c r="E866" s="15" t="n"/>
      <c r="F866" s="15" t="n"/>
      <c r="G866" s="15" t="n"/>
      <c r="H866" s="15" t="n"/>
      <c r="I866" s="15" t="n"/>
      <c r="J866" s="13" t="n"/>
      <c r="L866" s="13" t="n"/>
      <c r="M866" s="12" t="n"/>
      <c r="N866" s="8" t="n"/>
      <c r="O866" s="15" t="n"/>
      <c r="P866" s="15" t="n"/>
      <c r="Q866" s="15" t="n"/>
      <c r="R866" s="15" t="n"/>
      <c r="S866" s="15" t="n"/>
      <c r="T866" s="29" t="n"/>
      <c r="U866" s="29" t="n"/>
      <c r="V866" s="19" t="n"/>
      <c r="W866" s="15" t="n"/>
      <c r="X866" s="15" t="n"/>
      <c r="Y866" s="15" t="n"/>
      <c r="Z866" s="15" t="n"/>
      <c r="AA866" s="15" t="n"/>
      <c r="AB866" s="15" t="n"/>
      <c r="AC866" s="15" t="n"/>
      <c r="AD866" s="15" t="n"/>
      <c r="AE866" s="15" t="n"/>
      <c r="AF866" s="15" t="n"/>
      <c r="AH866" s="29" t="n"/>
      <c r="AK866" s="29" t="n"/>
      <c r="AL866" s="29" t="n"/>
    </row>
    <row customHeight="1" ht="15.75" r="867" s="34">
      <c r="D867" s="31" t="n"/>
      <c r="E867" s="15" t="n"/>
      <c r="F867" s="15" t="n"/>
      <c r="G867" s="15" t="n"/>
      <c r="H867" s="15" t="n"/>
      <c r="I867" s="15" t="n"/>
      <c r="J867" s="13" t="n"/>
      <c r="L867" s="13" t="n"/>
      <c r="M867" s="12" t="n"/>
      <c r="N867" s="8" t="n"/>
      <c r="O867" s="15" t="n"/>
      <c r="P867" s="15" t="n"/>
      <c r="Q867" s="15" t="n"/>
      <c r="R867" s="15" t="n"/>
      <c r="S867" s="15" t="n"/>
      <c r="T867" s="29" t="n"/>
      <c r="U867" s="29" t="n"/>
      <c r="V867" s="19" t="n"/>
      <c r="W867" s="15" t="n"/>
      <c r="X867" s="15" t="n"/>
      <c r="Y867" s="15" t="n"/>
      <c r="Z867" s="15" t="n"/>
      <c r="AA867" s="15" t="n"/>
      <c r="AB867" s="15" t="n"/>
      <c r="AC867" s="15" t="n"/>
      <c r="AD867" s="15" t="n"/>
      <c r="AE867" s="15" t="n"/>
      <c r="AF867" s="15" t="n"/>
      <c r="AH867" s="29" t="n"/>
      <c r="AK867" s="29" t="n"/>
      <c r="AL867" s="29" t="n"/>
    </row>
    <row customHeight="1" ht="15.75" r="868" s="34">
      <c r="D868" s="31" t="n"/>
      <c r="E868" s="15" t="n"/>
      <c r="F868" s="15" t="n"/>
      <c r="G868" s="15" t="n"/>
      <c r="H868" s="15" t="n"/>
      <c r="I868" s="15" t="n"/>
      <c r="J868" s="13" t="n"/>
      <c r="L868" s="13" t="n"/>
      <c r="M868" s="12" t="n"/>
      <c r="N868" s="8" t="n"/>
      <c r="O868" s="15" t="n"/>
      <c r="P868" s="15" t="n"/>
      <c r="Q868" s="15" t="n"/>
      <c r="R868" s="15" t="n"/>
      <c r="S868" s="15" t="n"/>
      <c r="T868" s="29" t="n"/>
      <c r="U868" s="29" t="n"/>
      <c r="V868" s="19" t="n"/>
      <c r="W868" s="15" t="n"/>
      <c r="X868" s="15" t="n"/>
      <c r="Y868" s="15" t="n"/>
      <c r="Z868" s="15" t="n"/>
      <c r="AA868" s="15" t="n"/>
      <c r="AB868" s="15" t="n"/>
      <c r="AC868" s="15" t="n"/>
      <c r="AD868" s="15" t="n"/>
      <c r="AE868" s="15" t="n"/>
      <c r="AF868" s="15" t="n"/>
      <c r="AH868" s="29" t="n"/>
      <c r="AK868" s="29" t="n"/>
      <c r="AL868" s="29" t="n"/>
    </row>
    <row customHeight="1" ht="15.75" r="869" s="34">
      <c r="D869" s="31" t="n"/>
      <c r="E869" s="15" t="n"/>
      <c r="F869" s="15" t="n"/>
      <c r="G869" s="15" t="n"/>
      <c r="H869" s="15" t="n"/>
      <c r="I869" s="15" t="n"/>
      <c r="J869" s="13" t="n"/>
      <c r="L869" s="13" t="n"/>
      <c r="M869" s="12" t="n"/>
      <c r="N869" s="8" t="n"/>
      <c r="O869" s="15" t="n"/>
      <c r="P869" s="15" t="n"/>
      <c r="Q869" s="15" t="n"/>
      <c r="R869" s="15" t="n"/>
      <c r="S869" s="15" t="n"/>
      <c r="T869" s="29" t="n"/>
      <c r="U869" s="29" t="n"/>
      <c r="V869" s="19" t="n"/>
      <c r="W869" s="15" t="n"/>
      <c r="X869" s="15" t="n"/>
      <c r="Y869" s="15" t="n"/>
      <c r="Z869" s="15" t="n"/>
      <c r="AA869" s="15" t="n"/>
      <c r="AB869" s="15" t="n"/>
      <c r="AC869" s="15" t="n"/>
      <c r="AD869" s="15" t="n"/>
      <c r="AE869" s="15" t="n"/>
      <c r="AF869" s="15" t="n"/>
      <c r="AH869" s="29" t="n"/>
      <c r="AK869" s="29" t="n"/>
      <c r="AL869" s="29" t="n"/>
    </row>
    <row customHeight="1" ht="15.75" r="870" s="34">
      <c r="D870" s="31" t="n"/>
      <c r="E870" s="15" t="n"/>
      <c r="F870" s="15" t="n"/>
      <c r="G870" s="15" t="n"/>
      <c r="H870" s="15" t="n"/>
      <c r="I870" s="15" t="n"/>
      <c r="J870" s="13" t="n"/>
      <c r="L870" s="13" t="n"/>
      <c r="M870" s="12" t="n"/>
      <c r="N870" s="8" t="n"/>
      <c r="O870" s="15" t="n"/>
      <c r="P870" s="15" t="n"/>
      <c r="Q870" s="15" t="n"/>
      <c r="R870" s="15" t="n"/>
      <c r="S870" s="15" t="n"/>
      <c r="T870" s="29" t="n"/>
      <c r="U870" s="29" t="n"/>
      <c r="V870" s="19" t="n"/>
      <c r="W870" s="15" t="n"/>
      <c r="X870" s="15" t="n"/>
      <c r="Y870" s="15" t="n"/>
      <c r="Z870" s="15" t="n"/>
      <c r="AA870" s="15" t="n"/>
      <c r="AB870" s="15" t="n"/>
      <c r="AC870" s="15" t="n"/>
      <c r="AD870" s="15" t="n"/>
      <c r="AE870" s="15" t="n"/>
      <c r="AF870" s="15" t="n"/>
      <c r="AH870" s="29" t="n"/>
      <c r="AK870" s="29" t="n"/>
      <c r="AL870" s="29" t="n"/>
    </row>
    <row customHeight="1" ht="15.75" r="871" s="34">
      <c r="D871" s="31" t="n"/>
      <c r="E871" s="15" t="n"/>
      <c r="F871" s="15" t="n"/>
      <c r="G871" s="15" t="n"/>
      <c r="H871" s="15" t="n"/>
      <c r="I871" s="15" t="n"/>
      <c r="J871" s="13" t="n"/>
      <c r="L871" s="13" t="n"/>
      <c r="M871" s="12" t="n"/>
      <c r="N871" s="8" t="n"/>
      <c r="O871" s="15" t="n"/>
      <c r="P871" s="15" t="n"/>
      <c r="Q871" s="15" t="n"/>
      <c r="R871" s="15" t="n"/>
      <c r="S871" s="15" t="n"/>
      <c r="T871" s="29" t="n"/>
      <c r="U871" s="29" t="n"/>
      <c r="V871" s="19" t="n"/>
      <c r="W871" s="15" t="n"/>
      <c r="X871" s="15" t="n"/>
      <c r="Y871" s="15" t="n"/>
      <c r="Z871" s="15" t="n"/>
      <c r="AA871" s="15" t="n"/>
      <c r="AB871" s="15" t="n"/>
      <c r="AC871" s="15" t="n"/>
      <c r="AD871" s="15" t="n"/>
      <c r="AE871" s="15" t="n"/>
      <c r="AF871" s="15" t="n"/>
      <c r="AH871" s="29" t="n"/>
      <c r="AK871" s="29" t="n"/>
      <c r="AL871" s="29" t="n"/>
    </row>
    <row customHeight="1" ht="15.75" r="872" s="34">
      <c r="D872" s="31" t="n"/>
      <c r="E872" s="15" t="n"/>
      <c r="F872" s="15" t="n"/>
      <c r="G872" s="15" t="n"/>
      <c r="H872" s="15" t="n"/>
      <c r="I872" s="15" t="n"/>
      <c r="J872" s="13" t="n"/>
      <c r="L872" s="13" t="n"/>
      <c r="M872" s="12" t="n"/>
      <c r="N872" s="8" t="n"/>
      <c r="O872" s="15" t="n"/>
      <c r="P872" s="15" t="n"/>
      <c r="Q872" s="15" t="n"/>
      <c r="R872" s="15" t="n"/>
      <c r="S872" s="15" t="n"/>
      <c r="T872" s="29" t="n"/>
      <c r="U872" s="29" t="n"/>
      <c r="V872" s="19" t="n"/>
      <c r="W872" s="15" t="n"/>
      <c r="X872" s="15" t="n"/>
      <c r="Y872" s="15" t="n"/>
      <c r="Z872" s="15" t="n"/>
      <c r="AA872" s="15" t="n"/>
      <c r="AB872" s="15" t="n"/>
      <c r="AC872" s="15" t="n"/>
      <c r="AD872" s="15" t="n"/>
      <c r="AE872" s="15" t="n"/>
      <c r="AF872" s="15" t="n"/>
      <c r="AH872" s="29" t="n"/>
      <c r="AK872" s="29" t="n"/>
      <c r="AL872" s="29" t="n"/>
    </row>
    <row customHeight="1" ht="15.75" r="873" s="34">
      <c r="D873" s="31" t="n"/>
      <c r="E873" s="15" t="n"/>
      <c r="F873" s="15" t="n"/>
      <c r="G873" s="15" t="n"/>
      <c r="H873" s="15" t="n"/>
      <c r="I873" s="15" t="n"/>
      <c r="J873" s="13" t="n"/>
      <c r="L873" s="13" t="n"/>
      <c r="M873" s="12" t="n"/>
      <c r="N873" s="8" t="n"/>
      <c r="O873" s="15" t="n"/>
      <c r="P873" s="15" t="n"/>
      <c r="Q873" s="15" t="n"/>
      <c r="R873" s="15" t="n"/>
      <c r="S873" s="15" t="n"/>
      <c r="T873" s="29" t="n"/>
      <c r="U873" s="29" t="n"/>
      <c r="V873" s="19" t="n"/>
      <c r="W873" s="15" t="n"/>
      <c r="X873" s="15" t="n"/>
      <c r="Y873" s="15" t="n"/>
      <c r="Z873" s="15" t="n"/>
      <c r="AA873" s="15" t="n"/>
      <c r="AB873" s="15" t="n"/>
      <c r="AC873" s="15" t="n"/>
      <c r="AD873" s="15" t="n"/>
      <c r="AE873" s="15" t="n"/>
      <c r="AF873" s="15" t="n"/>
      <c r="AH873" s="29" t="n"/>
      <c r="AK873" s="29" t="n"/>
      <c r="AL873" s="29" t="n"/>
    </row>
    <row customHeight="1" ht="15.75" r="874" s="34">
      <c r="D874" s="31" t="n"/>
      <c r="E874" s="15" t="n"/>
      <c r="F874" s="15" t="n"/>
      <c r="G874" s="15" t="n"/>
      <c r="H874" s="15" t="n"/>
      <c r="I874" s="15" t="n"/>
      <c r="J874" s="13" t="n"/>
      <c r="L874" s="13" t="n"/>
      <c r="M874" s="12" t="n"/>
      <c r="N874" s="8" t="n"/>
      <c r="O874" s="15" t="n"/>
      <c r="P874" s="15" t="n"/>
      <c r="Q874" s="15" t="n"/>
      <c r="R874" s="15" t="n"/>
      <c r="S874" s="15" t="n"/>
      <c r="T874" s="29" t="n"/>
      <c r="U874" s="29" t="n"/>
      <c r="V874" s="19" t="n"/>
      <c r="W874" s="15" t="n"/>
      <c r="X874" s="15" t="n"/>
      <c r="Y874" s="15" t="n"/>
      <c r="Z874" s="15" t="n"/>
      <c r="AA874" s="15" t="n"/>
      <c r="AB874" s="15" t="n"/>
      <c r="AC874" s="15" t="n"/>
      <c r="AD874" s="15" t="n"/>
      <c r="AE874" s="15" t="n"/>
      <c r="AF874" s="15" t="n"/>
      <c r="AH874" s="29" t="n"/>
      <c r="AK874" s="29" t="n"/>
      <c r="AL874" s="29" t="n"/>
    </row>
    <row customHeight="1" ht="15.75" r="875" s="34">
      <c r="D875" s="31" t="n"/>
      <c r="E875" s="15" t="n"/>
      <c r="F875" s="15" t="n"/>
      <c r="G875" s="15" t="n"/>
      <c r="H875" s="15" t="n"/>
      <c r="I875" s="15" t="n"/>
      <c r="J875" s="13" t="n"/>
      <c r="L875" s="13" t="n"/>
      <c r="M875" s="12" t="n"/>
      <c r="N875" s="8" t="n"/>
      <c r="O875" s="15" t="n"/>
      <c r="P875" s="15" t="n"/>
      <c r="Q875" s="15" t="n"/>
      <c r="R875" s="15" t="n"/>
      <c r="S875" s="15" t="n"/>
      <c r="T875" s="29" t="n"/>
      <c r="U875" s="29" t="n"/>
      <c r="V875" s="19" t="n"/>
      <c r="W875" s="15" t="n"/>
      <c r="X875" s="15" t="n"/>
      <c r="Y875" s="15" t="n"/>
      <c r="Z875" s="15" t="n"/>
      <c r="AA875" s="15" t="n"/>
      <c r="AB875" s="15" t="n"/>
      <c r="AC875" s="15" t="n"/>
      <c r="AD875" s="15" t="n"/>
      <c r="AE875" s="15" t="n"/>
      <c r="AF875" s="15" t="n"/>
      <c r="AH875" s="29" t="n"/>
      <c r="AK875" s="29" t="n"/>
      <c r="AL875" s="29" t="n"/>
    </row>
    <row customHeight="1" ht="15.75" r="876" s="34">
      <c r="D876" s="31" t="n"/>
      <c r="E876" s="15" t="n"/>
      <c r="F876" s="15" t="n"/>
      <c r="G876" s="15" t="n"/>
      <c r="H876" s="15" t="n"/>
      <c r="I876" s="15" t="n"/>
      <c r="J876" s="13" t="n"/>
      <c r="L876" s="13" t="n"/>
      <c r="M876" s="12" t="n"/>
      <c r="N876" s="8" t="n"/>
      <c r="O876" s="15" t="n"/>
      <c r="P876" s="15" t="n"/>
      <c r="Q876" s="15" t="n"/>
      <c r="R876" s="15" t="n"/>
      <c r="S876" s="15" t="n"/>
      <c r="T876" s="29" t="n"/>
      <c r="U876" s="29" t="n"/>
      <c r="V876" s="19" t="n"/>
      <c r="W876" s="15" t="n"/>
      <c r="X876" s="15" t="n"/>
      <c r="Y876" s="15" t="n"/>
      <c r="Z876" s="15" t="n"/>
      <c r="AA876" s="15" t="n"/>
      <c r="AB876" s="15" t="n"/>
      <c r="AC876" s="15" t="n"/>
      <c r="AD876" s="15" t="n"/>
      <c r="AE876" s="15" t="n"/>
      <c r="AF876" s="15" t="n"/>
      <c r="AH876" s="29" t="n"/>
      <c r="AK876" s="29" t="n"/>
      <c r="AL876" s="29" t="n"/>
    </row>
    <row customHeight="1" ht="15.75" r="877" s="34">
      <c r="D877" s="31" t="n"/>
      <c r="E877" s="15" t="n"/>
      <c r="F877" s="15" t="n"/>
      <c r="G877" s="15" t="n"/>
      <c r="H877" s="15" t="n"/>
      <c r="I877" s="15" t="n"/>
      <c r="J877" s="13" t="n"/>
      <c r="L877" s="13" t="n"/>
      <c r="M877" s="12" t="n"/>
      <c r="N877" s="8" t="n"/>
      <c r="O877" s="15" t="n"/>
      <c r="P877" s="15" t="n"/>
      <c r="Q877" s="15" t="n"/>
      <c r="R877" s="15" t="n"/>
      <c r="S877" s="15" t="n"/>
      <c r="T877" s="29" t="n"/>
      <c r="U877" s="29" t="n"/>
      <c r="V877" s="19" t="n"/>
      <c r="W877" s="15" t="n"/>
      <c r="X877" s="15" t="n"/>
      <c r="Y877" s="15" t="n"/>
      <c r="Z877" s="15" t="n"/>
      <c r="AA877" s="15" t="n"/>
      <c r="AB877" s="15" t="n"/>
      <c r="AC877" s="15" t="n"/>
      <c r="AD877" s="15" t="n"/>
      <c r="AE877" s="15" t="n"/>
      <c r="AF877" s="15" t="n"/>
      <c r="AH877" s="29" t="n"/>
      <c r="AK877" s="29" t="n"/>
      <c r="AL877" s="29" t="n"/>
    </row>
    <row customHeight="1" ht="15.75" r="878" s="34">
      <c r="D878" s="31" t="n"/>
      <c r="E878" s="15" t="n"/>
      <c r="F878" s="15" t="n"/>
      <c r="G878" s="15" t="n"/>
      <c r="H878" s="15" t="n"/>
      <c r="I878" s="15" t="n"/>
      <c r="J878" s="13" t="n"/>
      <c r="L878" s="13" t="n"/>
      <c r="M878" s="12" t="n"/>
      <c r="N878" s="8" t="n"/>
      <c r="O878" s="15" t="n"/>
      <c r="P878" s="15" t="n"/>
      <c r="Q878" s="15" t="n"/>
      <c r="R878" s="15" t="n"/>
      <c r="S878" s="15" t="n"/>
      <c r="T878" s="29" t="n"/>
      <c r="U878" s="29" t="n"/>
      <c r="V878" s="19" t="n"/>
      <c r="W878" s="15" t="n"/>
      <c r="X878" s="15" t="n"/>
      <c r="Y878" s="15" t="n"/>
      <c r="Z878" s="15" t="n"/>
      <c r="AA878" s="15" t="n"/>
      <c r="AB878" s="15" t="n"/>
      <c r="AC878" s="15" t="n"/>
      <c r="AD878" s="15" t="n"/>
      <c r="AE878" s="15" t="n"/>
      <c r="AF878" s="15" t="n"/>
      <c r="AH878" s="29" t="n"/>
      <c r="AK878" s="29" t="n"/>
      <c r="AL878" s="29" t="n"/>
    </row>
    <row customHeight="1" ht="15.75" r="879" s="34">
      <c r="D879" s="30" t="n"/>
      <c r="E879" s="15" t="n">
        <v>150</v>
      </c>
      <c r="F879" s="15" t="n">
        <v>180</v>
      </c>
      <c r="G879" s="15" t="n">
        <v>430</v>
      </c>
      <c r="H879" s="15" t="n">
        <v>25</v>
      </c>
      <c r="I879" s="15" t="n">
        <v>140</v>
      </c>
      <c r="J879" s="13" t="n">
        <v>25</v>
      </c>
      <c r="K879" t="n">
        <v>45</v>
      </c>
      <c r="L879" s="13" t="n">
        <v>1.4</v>
      </c>
      <c r="M879" s="12" t="n"/>
      <c r="N879" s="8" t="n">
        <v>0.9877554379927682</v>
      </c>
      <c r="O879" s="15" t="n">
        <v>0.7269857042200931</v>
      </c>
      <c r="P879" s="15" t="n">
        <v>0.9115522016397402</v>
      </c>
      <c r="Q879" s="15" t="n">
        <v>0.0006020773765442978</v>
      </c>
      <c r="R879" s="15" t="n">
        <v>0.02013796771125179</v>
      </c>
      <c r="S879" s="15" t="n">
        <v>0.0006099447605939474</v>
      </c>
      <c r="T879" s="29">
        <f>HIPERLINK($A$1 &amp; "\Dados\Imagem_perfil_879.png", "Imagem_perfil_879")</f>
        <v/>
      </c>
      <c r="U879" s="29">
        <f>HIPERLINK($A$1 &amp; "\Dados\Results_airgap879.txt", "Results_airgap879")</f>
        <v/>
      </c>
      <c r="V879" s="19" t="n"/>
      <c r="W879" s="43" t="n">
        <v>1.395489782608696</v>
      </c>
      <c r="X879" s="15" t="n">
        <v>0.5883408928129542</v>
      </c>
      <c r="Y879" s="15" t="n">
        <v>2.506534345746226e-05</v>
      </c>
      <c r="Z879" s="15" t="n">
        <v>0</v>
      </c>
      <c r="AA879" s="15" t="n">
        <v>8.098108915167039</v>
      </c>
      <c r="AB879" s="15" t="n">
        <v>0</v>
      </c>
      <c r="AC879" s="15" t="n">
        <v>0</v>
      </c>
      <c r="AD879" s="15" t="n">
        <v>0.0398560367460068</v>
      </c>
      <c r="AE879" s="15" t="n">
        <v>34.17621151779239</v>
      </c>
      <c r="AF879" s="15" t="n">
        <v>27.39009101129756</v>
      </c>
      <c r="AH879" s="29">
        <f>HIPERLINK($A$1 &amp; "\Dados\Magnet_fields.txt_879.txt.txt", "Magnet_fields.txt_879.txt")</f>
        <v/>
      </c>
      <c r="AI879" t="n">
        <v>9795</v>
      </c>
      <c r="AJ879" t="n">
        <v>29</v>
      </c>
      <c r="AK879" s="29">
        <f>HIPERLINK($A$1 &amp; "\Dados\Magnet_3D_results.txt_879.txt.txt", "Magnet_3D_results.txt_879.txt")</f>
        <v/>
      </c>
      <c r="AL879" s="29">
        <f>HIPERLINK($A$1 &amp; "\Dados\Magnet_fields_2D.txt_879.txt.txt", "Magnet_fields_2D.txt_879.txt")</f>
        <v/>
      </c>
    </row>
    <row customHeight="1" ht="15.75" r="880" s="34">
      <c r="D880" s="30" t="n"/>
      <c r="E880" s="15" t="n">
        <v>150</v>
      </c>
      <c r="F880" s="15" t="n">
        <v>180</v>
      </c>
      <c r="G880" s="15" t="n">
        <v>430</v>
      </c>
      <c r="H880" s="15" t="n">
        <v>25</v>
      </c>
      <c r="I880" s="15" t="n">
        <v>140</v>
      </c>
      <c r="J880" s="13" t="n">
        <v>25</v>
      </c>
      <c r="K880" t="n">
        <v>45</v>
      </c>
      <c r="L880" s="13" t="n">
        <v>1.6</v>
      </c>
      <c r="M880" s="12" t="n"/>
      <c r="N880" s="8" t="n">
        <v>1.139373317960087</v>
      </c>
      <c r="O880" s="15" t="n">
        <v>0.8523085146272371</v>
      </c>
      <c r="P880" s="15" t="n">
        <v>1.055789175629346</v>
      </c>
      <c r="Q880" s="15" t="n">
        <v>0.0009097764221146888</v>
      </c>
      <c r="R880" s="15" t="n">
        <v>0.009815810545023559</v>
      </c>
      <c r="S880" s="15" t="n">
        <v>0.0009384131672809796</v>
      </c>
      <c r="T880" s="29">
        <f>HIPERLINK($A$1 &amp; "\Dados\Imagem_perfil_880.png", "Imagem_perfil_880")</f>
        <v/>
      </c>
      <c r="U880" s="29">
        <f>HIPERLINK($A$1 &amp; "\Dados\Results_airgap880.txt", "Results_airgap880")</f>
        <v/>
      </c>
      <c r="V880" s="19" t="n"/>
      <c r="W880" s="43" t="n">
        <v>1.594897608695652</v>
      </c>
      <c r="X880" s="15" t="n">
        <v>0.6965221350399289</v>
      </c>
      <c r="Y880" s="15" t="n">
        <v>2.591359707686183e-05</v>
      </c>
      <c r="Z880" s="15" t="n">
        <v>0</v>
      </c>
      <c r="AA880" s="15" t="n">
        <v>7.066691510537712</v>
      </c>
      <c r="AB880" s="15" t="n">
        <v>3.416597578186222</v>
      </c>
      <c r="AC880" s="15" t="n">
        <v>1.312303355166866</v>
      </c>
      <c r="AD880" s="15" t="n">
        <v>8.677513340094009</v>
      </c>
      <c r="AE880" s="15" t="n">
        <v>47.16541837864735</v>
      </c>
      <c r="AF880" s="15" t="n">
        <v>40.09825811546546</v>
      </c>
      <c r="AH880" s="29">
        <f>HIPERLINK($A$1 &amp; "\Dados\Magnet_fields.txt_880.txt.txt", "Magnet_fields.txt_880.txt")</f>
        <v/>
      </c>
      <c r="AI880" t="n">
        <v>9795</v>
      </c>
      <c r="AJ880" t="n">
        <v>31</v>
      </c>
      <c r="AK880" s="29">
        <f>HIPERLINK($A$1 &amp; "\Dados\Magnet_3D_results.txt_880.txt.txt", "Magnet_3D_results.txt_880.txt")</f>
        <v/>
      </c>
      <c r="AL880" s="29">
        <f>HIPERLINK($A$1 &amp; "\Dados\Magnet_fields_2D.txt_880.txt.txt", "Magnet_fields_2D.txt_880.txt")</f>
        <v/>
      </c>
    </row>
    <row customHeight="1" ht="15.75" r="881" s="34">
      <c r="D881" s="30" t="n"/>
      <c r="E881" s="15" t="n">
        <v>150</v>
      </c>
      <c r="F881" s="15" t="n">
        <v>180</v>
      </c>
      <c r="G881" s="15" t="n">
        <v>430</v>
      </c>
      <c r="H881" s="15" t="n">
        <v>25</v>
      </c>
      <c r="I881" s="15" t="n">
        <v>140</v>
      </c>
      <c r="J881" s="13" t="n">
        <v>25</v>
      </c>
      <c r="K881" t="n">
        <v>45</v>
      </c>
      <c r="L881" s="13" t="n">
        <v>1.8</v>
      </c>
      <c r="M881" s="12" t="n"/>
      <c r="N881" s="8" t="n">
        <v>1.301472318902742</v>
      </c>
      <c r="O881" s="15" t="n">
        <v>0.986540235139442</v>
      </c>
      <c r="P881" s="15" t="n">
        <v>1.210693445351184</v>
      </c>
      <c r="Q881" s="15" t="n">
        <v>0.001750405154824799</v>
      </c>
      <c r="R881" s="15" t="n">
        <v>0.00425571616082295</v>
      </c>
      <c r="S881" s="15" t="n">
        <v>0.001850487557652658</v>
      </c>
      <c r="T881" s="29">
        <f>HIPERLINK($A$1 &amp; "\Dados\Imagem_perfil_881.png", "Imagem_perfil_881")</f>
        <v/>
      </c>
      <c r="U881" s="29">
        <f>HIPERLINK($A$1 &amp; "\Dados\Results_airgap881.txt", "Results_airgap881")</f>
        <v/>
      </c>
      <c r="V881" s="19" t="n"/>
      <c r="W881" s="43" t="n">
        <v>1.798341304347826</v>
      </c>
      <c r="X881" s="15" t="n">
        <v>0.8142515892185084</v>
      </c>
      <c r="Y881" s="15" t="n">
        <v>7.53862037883092e-05</v>
      </c>
      <c r="Z881" s="15" t="n">
        <v>0</v>
      </c>
      <c r="AA881" s="15" t="n">
        <v>5.458959932694126</v>
      </c>
      <c r="AB881" s="15" t="n">
        <v>8.745862989348719</v>
      </c>
      <c r="AC881" s="15" t="n">
        <v>0</v>
      </c>
      <c r="AD881" s="15" t="n">
        <v>22.4016092829222</v>
      </c>
      <c r="AE881" s="15" t="n">
        <v>60.37380541146252</v>
      </c>
      <c r="AF881" s="15" t="n">
        <v>54.59314367149135</v>
      </c>
      <c r="AH881" s="29">
        <f>HIPERLINK($A$1 &amp; "\Dados\Magnet_fields.txt_881.txt.txt", "Magnet_fields.txt_881.txt")</f>
        <v/>
      </c>
      <c r="AI881" t="n">
        <v>9795</v>
      </c>
      <c r="AJ881" t="n">
        <v>31</v>
      </c>
      <c r="AK881" s="29">
        <f>HIPERLINK($A$1 &amp; "\Dados\Magnet_3D_results.txt_881.txt.txt", "Magnet_3D_results.txt_881.txt")</f>
        <v/>
      </c>
      <c r="AL881" s="29">
        <f>HIPERLINK($A$1 &amp; "\Dados\Magnet_fields_2D.txt_881.txt.txt", "Magnet_fields_2D.txt_881.txt")</f>
        <v/>
      </c>
    </row>
    <row customHeight="1" ht="15.75" r="882" s="34">
      <c r="D882" s="30" t="n"/>
      <c r="E882" s="15" t="n">
        <v>150</v>
      </c>
      <c r="F882" s="15" t="n">
        <v>180</v>
      </c>
      <c r="G882" s="15" t="n">
        <v>430</v>
      </c>
      <c r="H882" s="15" t="n">
        <v>25</v>
      </c>
      <c r="I882" s="15" t="n">
        <v>140</v>
      </c>
      <c r="J882" s="13" t="n">
        <v>25</v>
      </c>
      <c r="K882" t="n">
        <v>45</v>
      </c>
      <c r="L882" s="13" t="n">
        <v>2</v>
      </c>
      <c r="M882" s="12" t="n"/>
      <c r="N882" s="8" t="n">
        <v>1.470698907374108</v>
      </c>
      <c r="O882" s="15" t="n">
        <v>1.130152700178989</v>
      </c>
      <c r="P882" s="15" t="n">
        <v>1.373491775161224</v>
      </c>
      <c r="Q882" s="15" t="n">
        <v>0.003441221395849035</v>
      </c>
      <c r="R882" s="15" t="n">
        <v>0.02268325648467295</v>
      </c>
      <c r="S882" s="15" t="n">
        <v>0.003658380742961334</v>
      </c>
      <c r="T882" s="29">
        <f>HIPERLINK($A$1 &amp; "\Dados\Imagem_perfil_882.png", "Imagem_perfil_882")</f>
        <v/>
      </c>
      <c r="U882" s="29">
        <f>HIPERLINK($A$1 &amp; "\Dados\Results_airgap882.txt", "Results_airgap882")</f>
        <v/>
      </c>
      <c r="V882" s="19" t="n"/>
      <c r="W882" s="43" t="n">
        <v>1.998996304347826</v>
      </c>
      <c r="X882" s="15" t="n">
        <v>0.9386390305478655</v>
      </c>
      <c r="Y882" s="15" t="n">
        <v>0.0001137337821668004</v>
      </c>
      <c r="Z882" s="15" t="n">
        <v>0.0006977471682124996</v>
      </c>
      <c r="AA882" s="15" t="n">
        <v>5.609428369244698</v>
      </c>
      <c r="AB882" s="15" t="n">
        <v>10.62703602135496</v>
      </c>
      <c r="AC882" s="15" t="n">
        <v>0</v>
      </c>
      <c r="AD882" s="15" t="n">
        <v>30.94444070957795</v>
      </c>
      <c r="AE882" s="15" t="n">
        <v>78.79407131132606</v>
      </c>
      <c r="AF882" s="15" t="n">
        <v>84.11559598097357</v>
      </c>
      <c r="AH882" s="29">
        <f>HIPERLINK($A$1 &amp; "\Dados\Magnet_fields.txt_882.txt.txt", "Magnet_fields.txt_882.txt")</f>
        <v/>
      </c>
      <c r="AI882" t="n">
        <v>9795</v>
      </c>
      <c r="AJ882" t="n">
        <v>30</v>
      </c>
      <c r="AK882" s="29">
        <f>HIPERLINK($A$1 &amp; "\Dados\Magnet_3D_results.txt_882.txt.txt", "Magnet_3D_results.txt_882.txt")</f>
        <v/>
      </c>
      <c r="AL882" s="29">
        <f>HIPERLINK($A$1 &amp; "\Dados\Magnet_fields_2D.txt_882.txt.txt", "Magnet_fields_2D.txt_882.txt")</f>
        <v/>
      </c>
    </row>
    <row customHeight="1" ht="15.75" r="883" s="34">
      <c r="D883" s="30" t="n"/>
      <c r="E883" s="15" t="n">
        <v>150</v>
      </c>
      <c r="F883" s="15" t="n">
        <v>180</v>
      </c>
      <c r="G883" s="15" t="n">
        <v>430</v>
      </c>
      <c r="H883" s="15" t="n">
        <v>25</v>
      </c>
      <c r="I883" s="15" t="n">
        <v>140</v>
      </c>
      <c r="J883" s="13" t="n">
        <v>25</v>
      </c>
      <c r="K883" t="n">
        <v>45</v>
      </c>
      <c r="L883" s="13" t="n">
        <v>2.2</v>
      </c>
      <c r="M883" s="12" t="n"/>
      <c r="N883" s="8" t="n">
        <v>1.586767760897758</v>
      </c>
      <c r="O883" s="15" t="n">
        <v>1.230832216533248</v>
      </c>
      <c r="P883" s="15" t="n">
        <v>1.488418129173737</v>
      </c>
      <c r="Q883" s="15" t="n">
        <v>0.004516549318523205</v>
      </c>
      <c r="R883" s="15" t="n">
        <v>0.03679078959316316</v>
      </c>
      <c r="S883" s="15" t="n">
        <v>0.004811870944589083</v>
      </c>
      <c r="T883" s="29">
        <f>HIPERLINK($A$1 &amp; "\Dados\Imagem_perfil_883.png", "Imagem_perfil_883")</f>
        <v/>
      </c>
      <c r="U883" s="29">
        <f>HIPERLINK($A$1 &amp; "\Dados\Results_airgap883.txt", "Results_airgap883")</f>
        <v/>
      </c>
      <c r="V883" s="19" t="n"/>
      <c r="W883" s="43" t="n">
        <v>2.128203478260869</v>
      </c>
      <c r="X883" s="15" t="n">
        <v>1.021383051804442</v>
      </c>
      <c r="Y883" s="15" t="n">
        <v>0.009586603846883974</v>
      </c>
      <c r="Z883" s="15" t="n">
        <v>0.01154264653055806</v>
      </c>
      <c r="AA883" s="15" t="n">
        <v>3.8329536877363</v>
      </c>
      <c r="AB883" s="15" t="n">
        <v>0</v>
      </c>
      <c r="AC883" s="15" t="n">
        <v>3.415458908521679</v>
      </c>
      <c r="AD883" s="15" t="n">
        <v>45.0616628369127</v>
      </c>
      <c r="AE883" s="15" t="n">
        <v>89.35377681906797</v>
      </c>
      <c r="AF883" s="15" t="n">
        <v>118.9887609612856</v>
      </c>
      <c r="AH883" s="29">
        <f>HIPERLINK($A$1 &amp; "\Dados\Magnet_fields.txt_883.txt.txt", "Magnet_fields.txt_883.txt")</f>
        <v/>
      </c>
      <c r="AI883" t="n">
        <v>9795</v>
      </c>
      <c r="AJ883" t="n">
        <v>29</v>
      </c>
      <c r="AK883" s="29">
        <f>HIPERLINK($A$1 &amp; "\Dados\Magnet_3D_results.txt_883.txt.txt", "Magnet_3D_results.txt_883.txt")</f>
        <v/>
      </c>
      <c r="AL883" s="29">
        <f>HIPERLINK($A$1 &amp; "\Dados\Magnet_fields_2D.txt_883.txt.txt", "Magnet_fields_2D.txt_883.txt")</f>
        <v/>
      </c>
    </row>
    <row customHeight="1" ht="15.75" r="884" s="34">
      <c r="D884" s="30" t="n"/>
      <c r="E884" s="15" t="n">
        <v>150</v>
      </c>
      <c r="F884" s="15" t="n">
        <v>180</v>
      </c>
      <c r="G884" s="15" t="n">
        <v>430</v>
      </c>
      <c r="H884" s="15" t="n">
        <v>45</v>
      </c>
      <c r="I884" s="15" t="n">
        <v>140</v>
      </c>
      <c r="J884" s="13" t="n">
        <v>25</v>
      </c>
      <c r="K884" t="n">
        <v>45</v>
      </c>
      <c r="L884" s="13" t="n">
        <v>1.4</v>
      </c>
      <c r="M884" s="12" t="n"/>
      <c r="N884" s="8" t="n">
        <v>1.017544077678034</v>
      </c>
      <c r="O884" s="15" t="n">
        <v>0.7522789111261022</v>
      </c>
      <c r="P884" s="15" t="n">
        <v>0.9414098250784395</v>
      </c>
      <c r="Q884" s="15" t="n">
        <v>0.0006412095177978504</v>
      </c>
      <c r="R884" s="15" t="n">
        <v>0.01286143646063098</v>
      </c>
      <c r="S884" s="15" t="n">
        <v>0.0006475355194030033</v>
      </c>
      <c r="T884" s="29">
        <f>HIPERLINK($A$1 &amp; "\Dados\Imagem_perfil_884.png", "Imagem_perfil_884")</f>
        <v/>
      </c>
      <c r="U884" s="29">
        <f>HIPERLINK($A$1 &amp; "\Dados\Results_airgap884.txt", "Results_airgap884")</f>
        <v/>
      </c>
      <c r="V884" s="19" t="n"/>
      <c r="W884" s="43" t="n">
        <v>1.395595</v>
      </c>
      <c r="X884" s="15" t="n">
        <v>0.6150181267751886</v>
      </c>
      <c r="Y884" s="15" t="n">
        <v>2.552730796543511e-05</v>
      </c>
      <c r="Z884" s="15" t="n">
        <v>0</v>
      </c>
      <c r="AA884" s="15" t="n">
        <v>9.311127074093578</v>
      </c>
      <c r="AB884" s="15" t="n">
        <v>0</v>
      </c>
      <c r="AC884" s="15" t="n">
        <v>0</v>
      </c>
      <c r="AD884" s="15" t="n">
        <v>0.05609375605983824</v>
      </c>
      <c r="AE884" s="15" t="n">
        <v>33.9194427722337</v>
      </c>
      <c r="AF884" s="15" t="n">
        <v>27.51544192005757</v>
      </c>
      <c r="AH884" s="29">
        <f>HIPERLINK($A$1 &amp; "\Dados\Magnet_fields.txt_884.txt.txt", "Magnet_fields.txt_884.txt")</f>
        <v/>
      </c>
      <c r="AI884" t="n">
        <v>6877</v>
      </c>
      <c r="AJ884" t="n">
        <v>28</v>
      </c>
      <c r="AK884" s="29">
        <f>HIPERLINK($A$1 &amp; "\Dados\Magnet_3D_results.txt_884.txt.txt", "Magnet_3D_results.txt_884.txt")</f>
        <v/>
      </c>
      <c r="AL884" s="29">
        <f>HIPERLINK($A$1 &amp; "\Dados\Magnet_fields_2D.txt_884.txt.txt", "Magnet_fields_2D.txt_884.txt")</f>
        <v/>
      </c>
    </row>
    <row customHeight="1" ht="15.75" r="885" s="34">
      <c r="D885" s="30" t="n"/>
      <c r="E885" s="15" t="n">
        <v>150</v>
      </c>
      <c r="F885" s="15" t="n">
        <v>180</v>
      </c>
      <c r="G885" s="15" t="n">
        <v>430</v>
      </c>
      <c r="H885" s="15" t="n">
        <v>45</v>
      </c>
      <c r="I885" s="15" t="n">
        <v>140</v>
      </c>
      <c r="J885" s="13" t="n">
        <v>25</v>
      </c>
      <c r="K885" t="n">
        <v>45</v>
      </c>
      <c r="L885" s="13" t="n">
        <v>1.6</v>
      </c>
      <c r="M885" s="12" t="n"/>
      <c r="N885" s="8" t="n">
        <v>1.168081694040868</v>
      </c>
      <c r="O885" s="15" t="n">
        <v>0.8759164847207757</v>
      </c>
      <c r="P885" s="15" t="n">
        <v>1.084478446788902</v>
      </c>
      <c r="Q885" s="15" t="n">
        <v>0.001044379873126946</v>
      </c>
      <c r="R885" s="15" t="n">
        <v>0.00338537805451313</v>
      </c>
      <c r="S885" s="15" t="n">
        <v>0.001110772593488482</v>
      </c>
      <c r="T885" s="29">
        <f>HIPERLINK($A$1 &amp; "\Dados\Imagem_perfil_885.png", "Imagem_perfil_885")</f>
        <v/>
      </c>
      <c r="U885" s="29">
        <f>HIPERLINK($A$1 &amp; "\Dados\Results_airgap885.txt", "Results_airgap885")</f>
        <v/>
      </c>
      <c r="V885" s="19" t="n"/>
      <c r="W885" s="43" t="n">
        <v>1.594835</v>
      </c>
      <c r="X885" s="15" t="n">
        <v>0.7222564087227902</v>
      </c>
      <c r="Y885" s="15" t="n">
        <v>2.572880736554712e-05</v>
      </c>
      <c r="Z885" s="15" t="n">
        <v>0</v>
      </c>
      <c r="AA885" s="15" t="n">
        <v>7.16979644592793</v>
      </c>
      <c r="AB885" s="15" t="n">
        <v>3.379189132870166</v>
      </c>
      <c r="AC885" s="15" t="n">
        <v>1.323395436606697</v>
      </c>
      <c r="AD885" s="15" t="n">
        <v>8.630729882251375</v>
      </c>
      <c r="AE885" s="15" t="n">
        <v>46.9890494780045</v>
      </c>
      <c r="AF885" s="15" t="n">
        <v>40.18347318190858</v>
      </c>
      <c r="AH885" s="29">
        <f>HIPERLINK($A$1 &amp; "\Dados\Magnet_fields.txt_885.txt.txt", "Magnet_fields.txt_885.txt")</f>
        <v/>
      </c>
      <c r="AI885" t="n">
        <v>6877</v>
      </c>
      <c r="AJ885" t="n">
        <v>29</v>
      </c>
      <c r="AK885" s="29">
        <f>HIPERLINK($A$1 &amp; "\Dados\Magnet_3D_results.txt_885.txt.txt", "Magnet_3D_results.txt_885.txt")</f>
        <v/>
      </c>
      <c r="AL885" s="29">
        <f>HIPERLINK($A$1 &amp; "\Dados\Magnet_fields_2D.txt_885.txt.txt", "Magnet_fields_2D.txt_885.txt")</f>
        <v/>
      </c>
    </row>
    <row customHeight="1" ht="15.75" r="886" s="34">
      <c r="D886" s="30" t="n"/>
      <c r="E886" s="15" t="n">
        <v>150</v>
      </c>
      <c r="F886" s="15" t="n">
        <v>180</v>
      </c>
      <c r="G886" s="15" t="n">
        <v>430</v>
      </c>
      <c r="H886" s="15" t="n">
        <v>45</v>
      </c>
      <c r="I886" s="15" t="n">
        <v>140</v>
      </c>
      <c r="J886" s="13" t="n">
        <v>25</v>
      </c>
      <c r="K886" t="n">
        <v>45</v>
      </c>
      <c r="L886" s="13" t="n">
        <v>1.8</v>
      </c>
      <c r="M886" s="12" t="n"/>
      <c r="N886" s="8" t="n">
        <v>1.331267262755852</v>
      </c>
      <c r="O886" s="15" t="n">
        <v>1.009799607676059</v>
      </c>
      <c r="P886" s="15" t="n">
        <v>1.240175955096699</v>
      </c>
      <c r="Q886" s="15" t="n">
        <v>0.002031101631659299</v>
      </c>
      <c r="R886" s="15" t="n">
        <v>0.01030445682205586</v>
      </c>
      <c r="S886" s="15" t="n">
        <v>0.002169437470782867</v>
      </c>
      <c r="T886" s="29">
        <f>HIPERLINK($A$1 &amp; "\Dados\Imagem_perfil_886.png", "Imagem_perfil_886")</f>
        <v/>
      </c>
      <c r="U886" s="29">
        <f>HIPERLINK($A$1 &amp; "\Dados\Results_airgap886.txt", "Results_airgap886")</f>
        <v/>
      </c>
      <c r="V886" s="19" t="n"/>
      <c r="W886" s="43" t="n">
        <v>1.798591739130435</v>
      </c>
      <c r="X886" s="15" t="n">
        <v>0.8392923349504486</v>
      </c>
      <c r="Y886" s="15" t="n">
        <v>7.599637885756166e-05</v>
      </c>
      <c r="Z886" s="15" t="n">
        <v>0</v>
      </c>
      <c r="AA886" s="15" t="n">
        <v>6.042460535594668</v>
      </c>
      <c r="AB886" s="15" t="n">
        <v>8.780973862634944</v>
      </c>
      <c r="AC886" s="15" t="n">
        <v>0</v>
      </c>
      <c r="AD886" s="15" t="n">
        <v>22.42694934785927</v>
      </c>
      <c r="AE886" s="15" t="n">
        <v>60.1840098951352</v>
      </c>
      <c r="AF886" s="15" t="n">
        <v>54.63806093749363</v>
      </c>
      <c r="AH886" s="29">
        <f>HIPERLINK($A$1 &amp; "\Dados\Magnet_fields.txt_886.txt.txt", "Magnet_fields.txt_886.txt")</f>
        <v/>
      </c>
      <c r="AI886" t="n">
        <v>6877</v>
      </c>
      <c r="AJ886" t="n">
        <v>29</v>
      </c>
      <c r="AK886" s="29">
        <f>HIPERLINK($A$1 &amp; "\Dados\Magnet_3D_results.txt_886.txt.txt", "Magnet_3D_results.txt_886.txt")</f>
        <v/>
      </c>
      <c r="AL886" s="29">
        <f>HIPERLINK($A$1 &amp; "\Dados\Magnet_fields_2D.txt_886.txt.txt", "Magnet_fields_2D.txt_886.txt")</f>
        <v/>
      </c>
    </row>
    <row customHeight="1" ht="15.75" r="887" s="34">
      <c r="D887" s="30" t="n"/>
      <c r="E887" s="15" t="n">
        <v>150</v>
      </c>
      <c r="F887" s="15" t="n">
        <v>180</v>
      </c>
      <c r="G887" s="15" t="n">
        <v>430</v>
      </c>
      <c r="H887" s="15" t="n">
        <v>45</v>
      </c>
      <c r="I887" s="15" t="n">
        <v>140</v>
      </c>
      <c r="J887" s="13" t="n">
        <v>25</v>
      </c>
      <c r="K887" t="n">
        <v>45</v>
      </c>
      <c r="L887" s="13" t="n">
        <v>2</v>
      </c>
      <c r="M887" s="12" t="n"/>
      <c r="N887" s="8" t="n">
        <v>1.497797805070787</v>
      </c>
      <c r="O887" s="15" t="n">
        <v>1.150002704048905</v>
      </c>
      <c r="P887" s="15" t="n">
        <v>1.400174047424384</v>
      </c>
      <c r="Q887" s="15" t="n">
        <v>0.003922888624655152</v>
      </c>
      <c r="R887" s="15" t="n">
        <v>0.02913220983135951</v>
      </c>
      <c r="S887" s="15" t="n">
        <v>0.004172455535098986</v>
      </c>
      <c r="T887" s="29">
        <f>HIPERLINK($A$1 &amp; "\Dados\Imagem_perfil_887.png", "Imagem_perfil_887")</f>
        <v/>
      </c>
      <c r="U887" s="29">
        <f>HIPERLINK($A$1 &amp; "\Dados\Results_airgap887.txt", "Results_airgap887")</f>
        <v/>
      </c>
      <c r="V887" s="19" t="n"/>
      <c r="W887" s="43" t="n">
        <v>1.999015</v>
      </c>
      <c r="X887" s="15" t="n">
        <v>0.9604014979097927</v>
      </c>
      <c r="Y887" s="15" t="n">
        <v>0.000113601849856911</v>
      </c>
      <c r="Z887" s="15" t="n">
        <v>0</v>
      </c>
      <c r="AA887" s="15" t="n">
        <v>3.488013389468245</v>
      </c>
      <c r="AB887" s="15" t="n">
        <v>10.62347106901948</v>
      </c>
      <c r="AC887" s="15" t="n">
        <v>0</v>
      </c>
      <c r="AD887" s="15" t="n">
        <v>30.91662145319548</v>
      </c>
      <c r="AE887" s="15" t="n">
        <v>78.79423560336957</v>
      </c>
      <c r="AF887" s="15" t="n">
        <v>84.03833281660077</v>
      </c>
      <c r="AH887" s="29">
        <f>HIPERLINK($A$1 &amp; "\Dados\Magnet_fields.txt_887.txt.txt", "Magnet_fields.txt_887.txt")</f>
        <v/>
      </c>
      <c r="AI887" t="n">
        <v>6877</v>
      </c>
      <c r="AJ887" t="n">
        <v>28</v>
      </c>
      <c r="AK887" s="29">
        <f>HIPERLINK($A$1 &amp; "\Dados\Magnet_3D_results.txt_887.txt.txt", "Magnet_3D_results.txt_887.txt")</f>
        <v/>
      </c>
      <c r="AL887" s="29">
        <f>HIPERLINK($A$1 &amp; "\Dados\Magnet_fields_2D.txt_887.txt.txt", "Magnet_fields_2D.txt_887.txt")</f>
        <v/>
      </c>
    </row>
    <row customHeight="1" ht="15.75" r="888" s="34">
      <c r="D888" s="30" t="n"/>
      <c r="E888" s="15" t="n">
        <v>150</v>
      </c>
      <c r="F888" s="15" t="n">
        <v>180</v>
      </c>
      <c r="G888" s="15" t="n">
        <v>430</v>
      </c>
      <c r="H888" s="15" t="n">
        <v>45</v>
      </c>
      <c r="I888" s="15" t="n">
        <v>140</v>
      </c>
      <c r="J888" s="13" t="n">
        <v>25</v>
      </c>
      <c r="K888" t="n">
        <v>45</v>
      </c>
      <c r="L888" s="13" t="n">
        <v>2.2</v>
      </c>
      <c r="M888" s="12" t="n"/>
      <c r="N888" s="8" t="n">
        <v>1.60616556398755</v>
      </c>
      <c r="O888" s="15" t="n">
        <v>1.243190591354547</v>
      </c>
      <c r="P888" s="15" t="n">
        <v>1.507366041175858</v>
      </c>
      <c r="Q888" s="15" t="n">
        <v>0.004916738759362044</v>
      </c>
      <c r="R888" s="15" t="n">
        <v>0.04131358033225604</v>
      </c>
      <c r="S888" s="15" t="n">
        <v>0.005232048922786473</v>
      </c>
      <c r="T888" s="29">
        <f>HIPERLINK($A$1 &amp; "\Dados\Imagem_perfil_888.png", "Imagem_perfil_888")</f>
        <v/>
      </c>
      <c r="U888" s="29">
        <f>HIPERLINK($A$1 &amp; "\Dados\Results_airgap888.txt", "Results_airgap888")</f>
        <v/>
      </c>
      <c r="V888" s="19" t="n"/>
      <c r="W888" s="43" t="n">
        <v>2.128735434782608</v>
      </c>
      <c r="X888" s="15" t="n">
        <v>1.037522419795553</v>
      </c>
      <c r="Y888" s="15" t="n">
        <v>0.009552393835197695</v>
      </c>
      <c r="Z888" s="15" t="n">
        <v>0</v>
      </c>
      <c r="AA888" s="15" t="n">
        <v>0</v>
      </c>
      <c r="AB888" s="15" t="n">
        <v>0</v>
      </c>
      <c r="AC888" s="15" t="n">
        <v>3.49212817181066</v>
      </c>
      <c r="AD888" s="15" t="n">
        <v>45.03958907874836</v>
      </c>
      <c r="AE888" s="15" t="n">
        <v>89.30265594678806</v>
      </c>
      <c r="AF888" s="15" t="n">
        <v>118.9257392499075</v>
      </c>
      <c r="AH888" s="29">
        <f>HIPERLINK($A$1 &amp; "\Dados\Magnet_fields.txt_888.txt.txt", "Magnet_fields.txt_888.txt")</f>
        <v/>
      </c>
      <c r="AI888" t="n">
        <v>6877</v>
      </c>
      <c r="AJ888" t="n">
        <v>28</v>
      </c>
      <c r="AK888" s="29">
        <f>HIPERLINK($A$1 &amp; "\Dados\Magnet_3D_results.txt_888.txt.txt", "Magnet_3D_results.txt_888.txt")</f>
        <v/>
      </c>
      <c r="AL888" s="29">
        <f>HIPERLINK($A$1 &amp; "\Dados\Magnet_fields_2D.txt_888.txt.txt", "Magnet_fields_2D.txt_888.txt")</f>
        <v/>
      </c>
    </row>
    <row customHeight="1" ht="15.75" r="889" s="34">
      <c r="D889" s="30" t="n"/>
      <c r="E889" s="15" t="n">
        <v>150</v>
      </c>
      <c r="F889" s="15" t="n">
        <v>180</v>
      </c>
      <c r="G889" s="15" t="n">
        <v>430</v>
      </c>
      <c r="H889" s="15" t="n">
        <v>25</v>
      </c>
      <c r="I889" s="15" t="n">
        <v>180</v>
      </c>
      <c r="J889" s="13" t="n">
        <v>25</v>
      </c>
      <c r="K889" t="n">
        <v>45</v>
      </c>
      <c r="L889" s="13" t="n">
        <v>1.4</v>
      </c>
      <c r="M889" s="12" t="n"/>
      <c r="N889" s="8" t="n">
        <v>1.036094403962137</v>
      </c>
      <c r="O889" s="15" t="n">
        <v>0.9022160770381737</v>
      </c>
      <c r="P889" s="15" t="n">
        <v>0.9929982880684393</v>
      </c>
      <c r="Q889" s="15" t="n">
        <v>0.0006318407580122665</v>
      </c>
      <c r="R889" s="15" t="n">
        <v>0.0247718071609863</v>
      </c>
      <c r="S889" s="15" t="n">
        <v>0.0006285321517672939</v>
      </c>
      <c r="T889" s="29">
        <f>HIPERLINK($A$1 &amp; "\Dados\Imagem_perfil_889.png", "Imagem_perfil_889")</f>
        <v/>
      </c>
      <c r="U889" s="29">
        <f>HIPERLINK($A$1 &amp; "\Dados\Results_airgap889.txt", "Results_airgap889")</f>
        <v/>
      </c>
      <c r="V889" s="19" t="n"/>
      <c r="W889" s="43" t="n">
        <v>1.395667173913044</v>
      </c>
      <c r="X889" s="15" t="n">
        <v>0.5880496599719032</v>
      </c>
      <c r="Y889" s="15" t="n">
        <v>2.476451948134175e-05</v>
      </c>
      <c r="Z889" s="15" t="n">
        <v>0.002778398678502676</v>
      </c>
      <c r="AA889" s="15" t="n">
        <v>8.780414594302744</v>
      </c>
      <c r="AB889" s="15" t="n">
        <v>0</v>
      </c>
      <c r="AC889" s="15" t="n">
        <v>0</v>
      </c>
      <c r="AD889" s="15" t="n">
        <v>0</v>
      </c>
      <c r="AE889" s="15" t="n">
        <v>34.22802139071298</v>
      </c>
      <c r="AF889" s="15" t="n">
        <v>27.43578423077779</v>
      </c>
      <c r="AH889" s="29">
        <f>HIPERLINK($A$1 &amp; "\Dados\Magnet_fields.txt_889.txt.txt", "Magnet_fields.txt_889.txt")</f>
        <v/>
      </c>
      <c r="AI889" t="n">
        <v>11105</v>
      </c>
      <c r="AJ889" t="n">
        <v>30</v>
      </c>
      <c r="AK889" s="29">
        <f>HIPERLINK($A$1 &amp; "\Dados\Magnet_3D_results.txt_889.txt.txt", "Magnet_3D_results.txt_889.txt")</f>
        <v/>
      </c>
      <c r="AL889" s="29">
        <f>HIPERLINK($A$1 &amp; "\Dados\Magnet_fields_2D.txt_889.txt.txt", "Magnet_fields_2D.txt_889.txt")</f>
        <v/>
      </c>
    </row>
    <row customHeight="1" ht="15.75" r="890" s="34">
      <c r="D890" s="30" t="n"/>
      <c r="E890" s="15" t="n">
        <v>150</v>
      </c>
      <c r="F890" s="15" t="n">
        <v>180</v>
      </c>
      <c r="G890" s="15" t="n">
        <v>430</v>
      </c>
      <c r="H890" s="15" t="n">
        <v>25</v>
      </c>
      <c r="I890" s="15" t="n">
        <v>180</v>
      </c>
      <c r="J890" s="13" t="n">
        <v>25</v>
      </c>
      <c r="K890" t="n">
        <v>45</v>
      </c>
      <c r="L890" s="13" t="n">
        <v>1.6</v>
      </c>
      <c r="M890" s="12" t="n"/>
      <c r="N890" s="8" t="n">
        <v>1.204767365773008</v>
      </c>
      <c r="O890" s="15" t="n">
        <v>1.057962127169289</v>
      </c>
      <c r="P890" s="15" t="n">
        <v>1.158096106362633</v>
      </c>
      <c r="Q890" s="15" t="n">
        <v>0.0009663617523200305</v>
      </c>
      <c r="R890" s="15" t="n">
        <v>0.01314528120340365</v>
      </c>
      <c r="S890" s="15" t="n">
        <v>0.00097588633280244</v>
      </c>
      <c r="T890" s="29">
        <f>HIPERLINK($A$1 &amp; "\Dados\Imagem_perfil_890.png", "Imagem_perfil_890")</f>
        <v/>
      </c>
      <c r="U890" s="29">
        <f>HIPERLINK($A$1 &amp; "\Dados\Results_airgap890.txt", "Results_airgap890")</f>
        <v/>
      </c>
      <c r="V890" s="19" t="n"/>
      <c r="W890" s="43" t="n">
        <v>1.594796304347826</v>
      </c>
      <c r="X890" s="15" t="n">
        <v>0.7041320611707242</v>
      </c>
      <c r="Y890" s="15" t="n">
        <v>2.579823151775543e-05</v>
      </c>
      <c r="Z890" s="15" t="n">
        <v>0</v>
      </c>
      <c r="AA890" s="15" t="n">
        <v>7.892275832186646</v>
      </c>
      <c r="AB890" s="15" t="n">
        <v>3.388239282456071</v>
      </c>
      <c r="AC890" s="15" t="n">
        <v>1.320936211200452</v>
      </c>
      <c r="AD890" s="15" t="n">
        <v>8.64959093743987</v>
      </c>
      <c r="AE890" s="15" t="n">
        <v>47.27268493601592</v>
      </c>
      <c r="AF890" s="15" t="n">
        <v>40.01564445811897</v>
      </c>
      <c r="AH890" s="29">
        <f>HIPERLINK($A$1 &amp; "\Dados\Magnet_fields.txt_890.txt.txt", "Magnet_fields.txt_890.txt")</f>
        <v/>
      </c>
      <c r="AI890" t="n">
        <v>11105</v>
      </c>
      <c r="AJ890" t="n">
        <v>30</v>
      </c>
      <c r="AK890" s="29">
        <f>HIPERLINK($A$1 &amp; "\Dados\Magnet_3D_results.txt_890.txt.txt", "Magnet_3D_results.txt_890.txt")</f>
        <v/>
      </c>
      <c r="AL890" s="29">
        <f>HIPERLINK($A$1 &amp; "\Dados\Magnet_fields_2D.txt_890.txt.txt", "Magnet_fields_2D.txt_890.txt")</f>
        <v/>
      </c>
    </row>
    <row customHeight="1" ht="15.75" r="891" s="34">
      <c r="D891" s="30" t="n"/>
      <c r="E891" s="15" t="n">
        <v>150</v>
      </c>
      <c r="F891" s="15" t="n">
        <v>180</v>
      </c>
      <c r="G891" s="15" t="n">
        <v>430</v>
      </c>
      <c r="H891" s="15" t="n">
        <v>25</v>
      </c>
      <c r="I891" s="15" t="n">
        <v>180</v>
      </c>
      <c r="J891" s="13" t="n">
        <v>25</v>
      </c>
      <c r="K891" t="n">
        <v>45</v>
      </c>
      <c r="L891" s="13" t="n">
        <v>1.8</v>
      </c>
      <c r="M891" s="12" t="n"/>
      <c r="N891" s="8" t="n">
        <v>1.38470125008872</v>
      </c>
      <c r="O891" s="15" t="n">
        <v>1.22770614271066</v>
      </c>
      <c r="P891" s="15" t="n">
        <v>1.336163319453842</v>
      </c>
      <c r="Q891" s="15" t="n">
        <v>0.001905027608769132</v>
      </c>
      <c r="R891" s="15" t="n">
        <v>0.00335117993207412</v>
      </c>
      <c r="S891" s="15" t="n">
        <v>0.001932049079546297</v>
      </c>
      <c r="T891" s="29">
        <f>HIPERLINK($A$1 &amp; "\Dados\Imagem_perfil_891.png", "Imagem_perfil_891")</f>
        <v/>
      </c>
      <c r="U891" s="29">
        <f>HIPERLINK($A$1 &amp; "\Dados\Results_airgap891.txt", "Results_airgap891")</f>
        <v/>
      </c>
      <c r="V891" s="19" t="n"/>
      <c r="W891" s="43" t="n">
        <v>1.798188695652174</v>
      </c>
      <c r="X891" s="15" t="n">
        <v>0.8306636849269436</v>
      </c>
      <c r="Y891" s="15" t="n">
        <v>7.482965073479401e-05</v>
      </c>
      <c r="Z891" s="15" t="n">
        <v>0</v>
      </c>
      <c r="AA891" s="15" t="n">
        <v>6.421651539138046</v>
      </c>
      <c r="AB891" s="15" t="n">
        <v>8.718649174351802</v>
      </c>
      <c r="AC891" s="15" t="n">
        <v>0</v>
      </c>
      <c r="AD891" s="15" t="n">
        <v>22.3703634181555</v>
      </c>
      <c r="AE891" s="15" t="n">
        <v>60.34362140254999</v>
      </c>
      <c r="AF891" s="15" t="n">
        <v>54.62708653855262</v>
      </c>
      <c r="AH891" s="29">
        <f>HIPERLINK($A$1 &amp; "\Dados\Magnet_fields.txt_891.txt.txt", "Magnet_fields.txt_891.txt")</f>
        <v/>
      </c>
      <c r="AI891" t="n">
        <v>11105</v>
      </c>
      <c r="AJ891" t="n">
        <v>30</v>
      </c>
      <c r="AK891" s="29">
        <f>HIPERLINK($A$1 &amp; "\Dados\Magnet_3D_results.txt_891.txt.txt", "Magnet_3D_results.txt_891.txt")</f>
        <v/>
      </c>
      <c r="AL891" s="29">
        <f>HIPERLINK($A$1 &amp; "\Dados\Magnet_fields_2D.txt_891.txt.txt", "Magnet_fields_2D.txt_891.txt")</f>
        <v/>
      </c>
    </row>
    <row customHeight="1" ht="15.75" r="892" s="34">
      <c r="D892" s="30" t="n"/>
      <c r="E892" s="15" t="n">
        <v>150</v>
      </c>
      <c r="F892" s="15" t="n">
        <v>180</v>
      </c>
      <c r="G892" s="15" t="n">
        <v>430</v>
      </c>
      <c r="H892" s="15" t="n">
        <v>25</v>
      </c>
      <c r="I892" s="15" t="n">
        <v>180</v>
      </c>
      <c r="J892" s="13" t="n">
        <v>25</v>
      </c>
      <c r="K892" t="n">
        <v>45</v>
      </c>
      <c r="L892" s="13" t="n">
        <v>2</v>
      </c>
      <c r="M892" s="12" t="n"/>
      <c r="N892" s="8" t="n">
        <v>1.576800469716149</v>
      </c>
      <c r="O892" s="15" t="n">
        <v>1.407336645253168</v>
      </c>
      <c r="P892" s="15" t="n">
        <v>1.524212491667915</v>
      </c>
      <c r="Q892" s="15" t="n">
        <v>0.003906834135048818</v>
      </c>
      <c r="R892" s="15" t="n">
        <v>0.02493870251471393</v>
      </c>
      <c r="S892" s="15" t="n">
        <v>0.003962526238705253</v>
      </c>
      <c r="T892" s="29">
        <f>HIPERLINK($A$1 &amp; "\Dados\Imagem_perfil_892.png", "Imagem_perfil_892")</f>
        <v/>
      </c>
      <c r="U892" s="29">
        <f>HIPERLINK($A$1 &amp; "\Dados\Results_airgap892.txt", "Results_airgap892")</f>
        <v/>
      </c>
      <c r="V892" s="19" t="n"/>
      <c r="W892" s="43" t="n">
        <v>1.994918478260869</v>
      </c>
      <c r="X892" s="15" t="n">
        <v>0.9690152787299396</v>
      </c>
      <c r="Y892" s="15" t="n">
        <v>7.940971704642217e-05</v>
      </c>
      <c r="Z892" s="15" t="n">
        <v>0.01185341873608279</v>
      </c>
      <c r="AA892" s="15" t="n">
        <v>6.314760810896222</v>
      </c>
      <c r="AB892" s="15" t="n">
        <v>11.08777626710838</v>
      </c>
      <c r="AC892" s="15" t="n">
        <v>1.018144544576732</v>
      </c>
      <c r="AD892" s="15" t="n">
        <v>26.44663058786823</v>
      </c>
      <c r="AE892" s="15" t="n">
        <v>80.10146019635548</v>
      </c>
      <c r="AF892" s="15" t="n">
        <v>88.21904055615546</v>
      </c>
      <c r="AH892" s="29">
        <f>HIPERLINK($A$1 &amp; "\Dados\Magnet_fields.txt_892.txt.txt", "Magnet_fields.txt_892.txt")</f>
        <v/>
      </c>
      <c r="AI892" t="n">
        <v>11105</v>
      </c>
      <c r="AJ892" t="n">
        <v>30</v>
      </c>
      <c r="AK892" s="29">
        <f>HIPERLINK($A$1 &amp; "\Dados\Magnet_3D_results.txt_892.txt.txt", "Magnet_3D_results.txt_892.txt")</f>
        <v/>
      </c>
      <c r="AL892" s="29">
        <f>HIPERLINK($A$1 &amp; "\Dados\Magnet_fields_2D.txt_892.txt.txt", "Magnet_fields_2D.txt_892.txt")</f>
        <v/>
      </c>
    </row>
    <row customHeight="1" ht="15.75" r="893" s="34">
      <c r="D893" s="30" t="n"/>
      <c r="E893" s="15" t="n">
        <v>150</v>
      </c>
      <c r="F893" s="15" t="n">
        <v>180</v>
      </c>
      <c r="G893" s="15" t="n">
        <v>430</v>
      </c>
      <c r="H893" s="15" t="n">
        <v>25</v>
      </c>
      <c r="I893" s="15" t="n">
        <v>180</v>
      </c>
      <c r="J893" s="13" t="n">
        <v>25</v>
      </c>
      <c r="K893" t="n">
        <v>45</v>
      </c>
      <c r="L893" s="13" t="n">
        <v>2.2</v>
      </c>
      <c r="M893" s="12" t="n"/>
      <c r="N893" s="8" t="n">
        <v>1.703979958436482</v>
      </c>
      <c r="O893" s="15" t="n">
        <v>1.53370516504615</v>
      </c>
      <c r="P893" s="15" t="n">
        <v>1.653270556707051</v>
      </c>
      <c r="Q893" s="15" t="n">
        <v>0.004970492778714706</v>
      </c>
      <c r="R893" s="15" t="n">
        <v>0.03932289218660977</v>
      </c>
      <c r="S893" s="15" t="n">
        <v>0.005040283686544786</v>
      </c>
      <c r="T893" s="29">
        <f>HIPERLINK($A$1 &amp; "\Dados\Imagem_perfil_893.png", "Imagem_perfil_893")</f>
        <v/>
      </c>
      <c r="U893" s="29">
        <f>HIPERLINK($A$1 &amp; "\Dados\Results_airgap893.txt", "Results_airgap893")</f>
        <v/>
      </c>
      <c r="V893" s="19" t="n"/>
      <c r="W893" s="43" t="n">
        <v>2.128347608695652</v>
      </c>
      <c r="X893" s="15" t="n">
        <v>1.055721525357892</v>
      </c>
      <c r="Y893" s="15" t="n">
        <v>0.00958660457042969</v>
      </c>
      <c r="Z893" s="15" t="n">
        <v>0.0094321764820287</v>
      </c>
      <c r="AA893" s="15" t="n">
        <v>4.05593356700704</v>
      </c>
      <c r="AB893" s="15" t="n">
        <v>0</v>
      </c>
      <c r="AC893" s="15" t="n">
        <v>3.443828512758888</v>
      </c>
      <c r="AD893" s="15" t="n">
        <v>45.05929114240521</v>
      </c>
      <c r="AE893" s="15" t="n">
        <v>89.35399305126995</v>
      </c>
      <c r="AF893" s="15" t="n">
        <v>118.9925289364524</v>
      </c>
      <c r="AH893" s="29">
        <f>HIPERLINK($A$1 &amp; "\Dados\Magnet_fields.txt_893.txt.txt", "Magnet_fields.txt_893.txt")</f>
        <v/>
      </c>
      <c r="AI893" t="n">
        <v>11105</v>
      </c>
      <c r="AJ893" t="n">
        <v>30</v>
      </c>
      <c r="AK893" s="29">
        <f>HIPERLINK($A$1 &amp; "\Dados\Magnet_3D_results.txt_893.txt.txt", "Magnet_3D_results.txt_893.txt")</f>
        <v/>
      </c>
      <c r="AL893" s="29">
        <f>HIPERLINK($A$1 &amp; "\Dados\Magnet_fields_2D.txt_893.txt.txt", "Magnet_fields_2D.txt_893.txt")</f>
        <v/>
      </c>
    </row>
    <row customHeight="1" ht="15.75" r="894" s="34">
      <c r="D894" s="30" t="n"/>
      <c r="E894" s="15" t="n">
        <v>150</v>
      </c>
      <c r="F894" s="15" t="n">
        <v>180</v>
      </c>
      <c r="G894" s="15" t="n">
        <v>430</v>
      </c>
      <c r="H894" s="15" t="n">
        <v>45</v>
      </c>
      <c r="I894" s="15" t="n">
        <v>180</v>
      </c>
      <c r="J894" s="13" t="n">
        <v>25</v>
      </c>
      <c r="K894" t="n">
        <v>45</v>
      </c>
      <c r="L894" s="13" t="n">
        <v>1.4</v>
      </c>
      <c r="M894" s="12" t="n"/>
      <c r="N894" s="8" t="n">
        <v>1.075204493354051</v>
      </c>
      <c r="O894" s="15" t="n">
        <v>0.9418789585847648</v>
      </c>
      <c r="P894" s="15" t="n">
        <v>1.032092598396994</v>
      </c>
      <c r="Q894" s="15" t="n">
        <v>0.0006863622063944469</v>
      </c>
      <c r="R894" s="15" t="n">
        <v>0.01647791851390591</v>
      </c>
      <c r="S894" s="15" t="n">
        <v>0.0006879628508905994</v>
      </c>
      <c r="T894" s="29">
        <f>HIPERLINK($A$1 &amp; "\Dados\Imagem_perfil_894.png", "Imagem_perfil_894")</f>
        <v/>
      </c>
      <c r="U894" s="29">
        <f>HIPERLINK($A$1 &amp; "\Dados\Results_airgap894.txt", "Results_airgap894")</f>
        <v/>
      </c>
      <c r="V894" s="19" t="n"/>
      <c r="W894" s="43" t="n">
        <v>1.396312173913044</v>
      </c>
      <c r="X894" s="15" t="n">
        <v>0.6222361467649197</v>
      </c>
      <c r="Y894" s="15" t="n">
        <v>2.615422076491455e-05</v>
      </c>
      <c r="Z894" s="15" t="n">
        <v>0</v>
      </c>
      <c r="AA894" s="15" t="n">
        <v>10.62073794833745</v>
      </c>
      <c r="AB894" s="15" t="n">
        <v>0</v>
      </c>
      <c r="AC894" s="15" t="n">
        <v>0</v>
      </c>
      <c r="AD894" s="15" t="n">
        <v>0.2261460215002232</v>
      </c>
      <c r="AE894" s="15" t="n">
        <v>34.11668479983551</v>
      </c>
      <c r="AF894" s="15" t="n">
        <v>27.1720722039691</v>
      </c>
      <c r="AH894" s="29">
        <f>HIPERLINK($A$1 &amp; "\Dados\Magnet_fields.txt_894.txt.txt", "Magnet_fields.txt_894.txt")</f>
        <v/>
      </c>
      <c r="AI894" t="n">
        <v>7046</v>
      </c>
      <c r="AJ894" t="n">
        <v>28</v>
      </c>
      <c r="AK894" s="29">
        <f>HIPERLINK($A$1 &amp; "\Dados\Magnet_3D_results.txt_894.txt.txt", "Magnet_3D_results.txt_894.txt")</f>
        <v/>
      </c>
      <c r="AL894" s="29">
        <f>HIPERLINK($A$1 &amp; "\Dados\Magnet_fields_2D.txt_894.txt.txt", "Magnet_fields_2D.txt_894.txt")</f>
        <v/>
      </c>
    </row>
    <row customHeight="1" ht="15.75" r="895" s="34">
      <c r="D895" s="30" t="n"/>
      <c r="E895" s="15" t="n">
        <v>150</v>
      </c>
      <c r="F895" s="15" t="n">
        <v>180</v>
      </c>
      <c r="G895" s="15" t="n">
        <v>430</v>
      </c>
      <c r="H895" s="15" t="n">
        <v>45</v>
      </c>
      <c r="I895" s="15" t="n">
        <v>180</v>
      </c>
      <c r="J895" s="13" t="n">
        <v>25</v>
      </c>
      <c r="K895" t="n">
        <v>45</v>
      </c>
      <c r="L895" s="13" t="n">
        <v>1.6</v>
      </c>
      <c r="M895" s="12" t="n"/>
      <c r="N895" s="8" t="n">
        <v>1.238080642459116</v>
      </c>
      <c r="O895" s="15" t="n">
        <v>1.092097793711515</v>
      </c>
      <c r="P895" s="15" t="n">
        <v>1.191414473886862</v>
      </c>
      <c r="Q895" s="15" t="n">
        <v>0.001151630563029442</v>
      </c>
      <c r="R895" s="15" t="n">
        <v>0.005796857145006681</v>
      </c>
      <c r="S895" s="15" t="n">
        <v>0.00116980354074653</v>
      </c>
      <c r="T895" s="29">
        <f>HIPERLINK($A$1 &amp; "\Dados\Imagem_perfil_895.png", "Imagem_perfil_895")</f>
        <v/>
      </c>
      <c r="U895" s="29">
        <f>HIPERLINK($A$1 &amp; "\Dados\Results_airgap895.txt", "Results_airgap895")</f>
        <v/>
      </c>
      <c r="V895" s="19" t="n"/>
      <c r="W895" s="43" t="n">
        <v>1.594959565217392</v>
      </c>
      <c r="X895" s="15" t="n">
        <v>0.7361756956752561</v>
      </c>
      <c r="Y895" s="15" t="n">
        <v>2.60227968382521e-05</v>
      </c>
      <c r="Z895" s="15" t="n">
        <v>0</v>
      </c>
      <c r="AA895" s="15" t="n">
        <v>7.948869590667678</v>
      </c>
      <c r="AB895" s="15" t="n">
        <v>3.374955281694183</v>
      </c>
      <c r="AC895" s="15" t="n">
        <v>1.29703596699706</v>
      </c>
      <c r="AD895" s="15" t="n">
        <v>8.762220184243454</v>
      </c>
      <c r="AE895" s="15" t="n">
        <v>46.95270566839704</v>
      </c>
      <c r="AF895" s="15" t="n">
        <v>40.07730953061789</v>
      </c>
      <c r="AH895" s="29">
        <f>HIPERLINK($A$1 &amp; "\Dados\Magnet_fields.txt_895.txt.txt", "Magnet_fields.txt_895.txt")</f>
        <v/>
      </c>
      <c r="AI895" t="n">
        <v>7046</v>
      </c>
      <c r="AJ895" t="n">
        <v>28</v>
      </c>
      <c r="AK895" s="29">
        <f>HIPERLINK($A$1 &amp; "\Dados\Magnet_3D_results.txt_895.txt.txt", "Magnet_3D_results.txt_895.txt")</f>
        <v/>
      </c>
      <c r="AL895" s="29">
        <f>HIPERLINK($A$1 &amp; "\Dados\Magnet_fields_2D.txt_895.txt.txt", "Magnet_fields_2D.txt_895.txt")</f>
        <v/>
      </c>
    </row>
    <row customHeight="1" ht="15.75" r="896" s="34">
      <c r="D896" s="30" t="n"/>
      <c r="E896" s="15" t="n">
        <v>150</v>
      </c>
      <c r="F896" s="15" t="n">
        <v>180</v>
      </c>
      <c r="G896" s="15" t="n">
        <v>430</v>
      </c>
      <c r="H896" s="15" t="n">
        <v>45</v>
      </c>
      <c r="I896" s="15" t="n">
        <v>180</v>
      </c>
      <c r="J896" s="13" t="n">
        <v>25</v>
      </c>
      <c r="K896" t="n">
        <v>45</v>
      </c>
      <c r="L896" s="13" t="n">
        <v>1.8</v>
      </c>
      <c r="M896" s="12" t="n"/>
      <c r="N896" s="8" t="n">
        <v>1.419151282658606</v>
      </c>
      <c r="O896" s="15" t="n">
        <v>1.262331561155598</v>
      </c>
      <c r="P896" s="15" t="n">
        <v>1.370292973450604</v>
      </c>
      <c r="Q896" s="15" t="n">
        <v>0.002232305213140854</v>
      </c>
      <c r="R896" s="15" t="n">
        <v>0.009232280782987632</v>
      </c>
      <c r="S896" s="15" t="n">
        <v>0.002269241267562783</v>
      </c>
      <c r="T896" s="29">
        <f>HIPERLINK($A$1 &amp; "\Dados\Imagem_perfil_896.png", "Imagem_perfil_896")</f>
        <v/>
      </c>
      <c r="U896" s="29">
        <f>HIPERLINK($A$1 &amp; "\Dados\Results_airgap896.txt", "Results_airgap896")</f>
        <v/>
      </c>
      <c r="V896" s="19" t="n"/>
      <c r="W896" s="43" t="n">
        <v>1.798093913043479</v>
      </c>
      <c r="X896" s="15" t="n">
        <v>0.8643262865146455</v>
      </c>
      <c r="Y896" s="15" t="n">
        <v>7.369058069599355e-05</v>
      </c>
      <c r="Z896" s="15" t="n">
        <v>0</v>
      </c>
      <c r="AA896" s="15" t="n">
        <v>6.317312221796913</v>
      </c>
      <c r="AB896" s="15" t="n">
        <v>8.627618128256231</v>
      </c>
      <c r="AC896" s="15" t="n">
        <v>0</v>
      </c>
      <c r="AD896" s="15" t="n">
        <v>22.30274391469406</v>
      </c>
      <c r="AE896" s="15" t="n">
        <v>60.26332777882725</v>
      </c>
      <c r="AF896" s="15" t="n">
        <v>54.64581485358109</v>
      </c>
      <c r="AH896" s="29">
        <f>HIPERLINK($A$1 &amp; "\Dados\Magnet_fields.txt_896.txt.txt", "Magnet_fields.txt_896.txt")</f>
        <v/>
      </c>
      <c r="AI896" t="n">
        <v>7046</v>
      </c>
      <c r="AJ896" t="n">
        <v>28</v>
      </c>
      <c r="AK896" s="29">
        <f>HIPERLINK($A$1 &amp; "\Dados\Magnet_3D_results.txt_896.txt.txt", "Magnet_3D_results.txt_896.txt")</f>
        <v/>
      </c>
      <c r="AL896" s="29">
        <f>HIPERLINK($A$1 &amp; "\Dados\Magnet_fields_2D.txt_896.txt.txt", "Magnet_fields_2D.txt_896.txt")</f>
        <v/>
      </c>
    </row>
    <row customHeight="1" ht="15.75" r="897" s="34">
      <c r="D897" s="30" t="n"/>
      <c r="E897" s="15" t="n">
        <v>150</v>
      </c>
      <c r="F897" s="15" t="n">
        <v>180</v>
      </c>
      <c r="G897" s="15" t="n">
        <v>430</v>
      </c>
      <c r="H897" s="15" t="n">
        <v>45</v>
      </c>
      <c r="I897" s="15" t="n">
        <v>180</v>
      </c>
      <c r="J897" s="13" t="n">
        <v>25</v>
      </c>
      <c r="K897" t="n">
        <v>45</v>
      </c>
      <c r="L897" s="13" t="n">
        <v>2</v>
      </c>
      <c r="M897" s="12" t="n"/>
      <c r="N897" s="8" t="n">
        <v>1.601988324551905</v>
      </c>
      <c r="O897" s="15" t="n">
        <v>1.434442632194507</v>
      </c>
      <c r="P897" s="15" t="n">
        <v>1.550264041513431</v>
      </c>
      <c r="Q897" s="15" t="n">
        <v>0.004272848848675004</v>
      </c>
      <c r="R897" s="15" t="n">
        <v>0.02975276711905556</v>
      </c>
      <c r="S897" s="15" t="n">
        <v>0.004337588138577112</v>
      </c>
      <c r="T897" s="29">
        <f>HIPERLINK($A$1 &amp; "\Dados\Imagem_perfil_897.png", "Imagem_perfil_897")</f>
        <v/>
      </c>
      <c r="U897" s="29">
        <f>HIPERLINK($A$1 &amp; "\Dados\Results_airgap897.txt", "Results_airgap897")</f>
        <v/>
      </c>
      <c r="V897" s="19" t="n"/>
      <c r="W897" s="43" t="n">
        <v>1.999183478260869</v>
      </c>
      <c r="X897" s="15" t="n">
        <v>0.9934223377129611</v>
      </c>
      <c r="Y897" s="15" t="n">
        <v>0.0001143430803562226</v>
      </c>
      <c r="Z897" s="15" t="n">
        <v>0</v>
      </c>
      <c r="AA897" s="15" t="n">
        <v>3.976185422566341</v>
      </c>
      <c r="AB897" s="15" t="n">
        <v>10.63070394268826</v>
      </c>
      <c r="AC897" s="15" t="n">
        <v>0</v>
      </c>
      <c r="AD897" s="15" t="n">
        <v>30.96196042815036</v>
      </c>
      <c r="AE897" s="15" t="n">
        <v>78.8588655709427</v>
      </c>
      <c r="AF897" s="15" t="n">
        <v>83.98137607508365</v>
      </c>
      <c r="AH897" s="29">
        <f>HIPERLINK($A$1 &amp; "\Dados\Magnet_fields.txt_897.txt.txt", "Magnet_fields.txt_897.txt")</f>
        <v/>
      </c>
      <c r="AI897" t="n">
        <v>7046</v>
      </c>
      <c r="AJ897" t="n">
        <v>29</v>
      </c>
      <c r="AK897" s="29">
        <f>HIPERLINK($A$1 &amp; "\Dados\Magnet_3D_results.txt_897.txt.txt", "Magnet_3D_results.txt_897.txt")</f>
        <v/>
      </c>
      <c r="AL897" s="29">
        <f>HIPERLINK($A$1 &amp; "\Dados\Magnet_fields_2D.txt_897.txt.txt", "Magnet_fields_2D.txt_897.txt")</f>
        <v/>
      </c>
    </row>
    <row customHeight="1" ht="15.75" r="898" s="34">
      <c r="D898" s="30" t="n"/>
      <c r="E898" s="15" t="n">
        <v>150</v>
      </c>
      <c r="F898" s="15" t="n">
        <v>180</v>
      </c>
      <c r="G898" s="15" t="n">
        <v>430</v>
      </c>
      <c r="H898" s="15" t="n">
        <v>45</v>
      </c>
      <c r="I898" s="15" t="n">
        <v>180</v>
      </c>
      <c r="J898" s="13" t="n">
        <v>25</v>
      </c>
      <c r="K898" t="n">
        <v>45</v>
      </c>
      <c r="L898" s="13" t="n">
        <v>2.2</v>
      </c>
      <c r="M898" s="12" t="n"/>
      <c r="N898" s="8" t="n">
        <v>1.725802773607659</v>
      </c>
      <c r="O898" s="15" t="n">
        <v>1.554571553775547</v>
      </c>
      <c r="P898" s="15" t="n">
        <v>1.67422039607824</v>
      </c>
      <c r="Q898" s="15" t="n">
        <v>0.005410299934895083</v>
      </c>
      <c r="R898" s="15" t="n">
        <v>0.04379622825345352</v>
      </c>
      <c r="S898" s="15" t="n">
        <v>0.00549006683361737</v>
      </c>
      <c r="T898" s="29">
        <f>HIPERLINK($A$1 &amp; "\Dados\Imagem_perfil_898.png", "Imagem_perfil_898")</f>
        <v/>
      </c>
      <c r="U898" s="29">
        <f>HIPERLINK($A$1 &amp; "\Dados\Results_airgap898.txt", "Results_airgap898")</f>
        <v/>
      </c>
      <c r="V898" s="19" t="n"/>
      <c r="W898" s="43" t="n">
        <v>2.128891304347826</v>
      </c>
      <c r="X898" s="15" t="n">
        <v>1.077134440205124</v>
      </c>
      <c r="Y898" s="15" t="n">
        <v>0.00955251494567089</v>
      </c>
      <c r="Z898" s="15" t="n">
        <v>0</v>
      </c>
      <c r="AA898" s="15" t="n">
        <v>0</v>
      </c>
      <c r="AB898" s="15" t="n">
        <v>0</v>
      </c>
      <c r="AC898" s="15" t="n">
        <v>3.519514088898132</v>
      </c>
      <c r="AD898" s="15" t="n">
        <v>45.04239275005454</v>
      </c>
      <c r="AE898" s="15" t="n">
        <v>89.3039291267238</v>
      </c>
      <c r="AF898" s="15" t="n">
        <v>118.9267307125219</v>
      </c>
      <c r="AH898" s="29">
        <f>HIPERLINK($A$1 &amp; "\Dados\Magnet_fields.txt_898.txt.txt", "Magnet_fields.txt_898.txt")</f>
        <v/>
      </c>
      <c r="AI898" t="n">
        <v>7046</v>
      </c>
      <c r="AJ898" t="n">
        <v>28</v>
      </c>
      <c r="AK898" s="29">
        <f>HIPERLINK($A$1 &amp; "\Dados\Magnet_3D_results.txt_898.txt.txt", "Magnet_3D_results.txt_898.txt")</f>
        <v/>
      </c>
      <c r="AL898" s="29">
        <f>HIPERLINK($A$1 &amp; "\Dados\Magnet_fields_2D.txt_898.txt.txt", "Magnet_fields_2D.txt_898.txt")</f>
        <v/>
      </c>
    </row>
    <row customHeight="1" ht="15.75" r="899" s="34">
      <c r="D899" s="31" t="n"/>
      <c r="E899" s="15" t="n"/>
      <c r="F899" s="15" t="n"/>
      <c r="G899" s="15" t="n"/>
      <c r="H899" s="15" t="n"/>
      <c r="I899" s="15" t="n"/>
      <c r="J899" s="13" t="n"/>
      <c r="L899" s="13" t="n"/>
      <c r="M899" s="12" t="n"/>
      <c r="N899" s="8" t="n"/>
      <c r="O899" s="15" t="n"/>
      <c r="P899" s="15" t="n"/>
      <c r="Q899" s="15" t="n"/>
      <c r="R899" s="15" t="n"/>
      <c r="S899" s="15" t="n"/>
      <c r="T899" s="29" t="n"/>
      <c r="U899" s="29" t="n"/>
      <c r="V899" s="19" t="n"/>
      <c r="W899" s="15" t="n"/>
      <c r="X899" s="15" t="n"/>
      <c r="Y899" s="15" t="n"/>
      <c r="Z899" s="15" t="n"/>
      <c r="AA899" s="15" t="n"/>
      <c r="AB899" s="15" t="n"/>
      <c r="AC899" s="15" t="n"/>
      <c r="AD899" s="15" t="n"/>
      <c r="AE899" s="15" t="n"/>
      <c r="AF899" s="15" t="n"/>
      <c r="AH899" s="29" t="n"/>
      <c r="AK899" s="29" t="n"/>
      <c r="AL899" s="29" t="n"/>
    </row>
    <row customHeight="1" ht="15.75" r="900" s="34">
      <c r="D900" s="31" t="n"/>
      <c r="E900" s="15" t="n"/>
      <c r="F900" s="15" t="n"/>
      <c r="G900" s="15" t="n"/>
      <c r="H900" s="15" t="n"/>
      <c r="I900" s="15" t="n"/>
      <c r="J900" s="13" t="n"/>
      <c r="L900" s="13" t="n"/>
      <c r="M900" s="12" t="n"/>
      <c r="N900" s="8" t="n"/>
      <c r="O900" s="15" t="n"/>
      <c r="P900" s="15" t="n"/>
      <c r="Q900" s="15" t="n"/>
      <c r="R900" s="15" t="n"/>
      <c r="S900" s="15" t="n"/>
      <c r="T900" s="29" t="n"/>
      <c r="U900" s="29" t="n"/>
      <c r="V900" s="19" t="n"/>
      <c r="W900" s="15" t="n"/>
      <c r="X900" s="15" t="n"/>
      <c r="Y900" s="15" t="n"/>
      <c r="Z900" s="15" t="n"/>
      <c r="AA900" s="15" t="n"/>
      <c r="AB900" s="15" t="n"/>
      <c r="AC900" s="15" t="n"/>
      <c r="AD900" s="15" t="n"/>
      <c r="AE900" s="15" t="n"/>
      <c r="AF900" s="15" t="n"/>
      <c r="AH900" s="29" t="n"/>
      <c r="AK900" s="29" t="n"/>
      <c r="AL900" s="29" t="n"/>
    </row>
    <row customHeight="1" ht="15.75" r="901" s="34">
      <c r="D901" s="31" t="n"/>
      <c r="E901" s="15" t="n"/>
      <c r="F901" s="15" t="n"/>
      <c r="G901" s="15" t="n"/>
      <c r="H901" s="15" t="n"/>
      <c r="I901" s="15" t="n"/>
      <c r="J901" s="13" t="n"/>
      <c r="L901" s="13" t="n"/>
      <c r="M901" s="12" t="n"/>
      <c r="N901" s="8" t="n"/>
      <c r="O901" s="15" t="n"/>
      <c r="P901" s="15" t="n"/>
      <c r="Q901" s="15" t="n"/>
      <c r="R901" s="15" t="n"/>
      <c r="S901" s="15" t="n"/>
      <c r="T901" s="29" t="n"/>
      <c r="U901" s="29" t="n"/>
      <c r="V901" s="19" t="n"/>
      <c r="W901" s="15" t="n"/>
      <c r="X901" s="15" t="n"/>
      <c r="Y901" s="15" t="n"/>
      <c r="Z901" s="15" t="n"/>
      <c r="AA901" s="15" t="n"/>
      <c r="AB901" s="15" t="n"/>
      <c r="AC901" s="15" t="n"/>
      <c r="AD901" s="15" t="n"/>
      <c r="AE901" s="15" t="n"/>
      <c r="AF901" s="15" t="n"/>
      <c r="AH901" s="29" t="n"/>
      <c r="AK901" s="29" t="n"/>
      <c r="AL901" s="29" t="n"/>
    </row>
    <row customHeight="1" ht="15.75" r="902" s="34">
      <c r="D902" s="31" t="n"/>
      <c r="E902" s="15" t="n"/>
      <c r="F902" s="15" t="n"/>
      <c r="G902" s="15" t="n"/>
      <c r="H902" s="15" t="n"/>
      <c r="I902" s="15" t="n"/>
      <c r="J902" s="13" t="n"/>
      <c r="L902" s="13" t="n"/>
      <c r="M902" s="12" t="n"/>
      <c r="N902" s="8" t="n"/>
      <c r="O902" s="15" t="n"/>
      <c r="P902" s="15" t="n"/>
      <c r="Q902" s="15" t="n"/>
      <c r="R902" s="15" t="n"/>
      <c r="S902" s="15" t="n"/>
      <c r="T902" s="29" t="n"/>
      <c r="U902" s="29" t="n"/>
      <c r="V902" s="19" t="n"/>
      <c r="W902" s="15" t="n"/>
      <c r="X902" s="15" t="n"/>
      <c r="Y902" s="15" t="n"/>
      <c r="Z902" s="15" t="n"/>
      <c r="AA902" s="15" t="n"/>
      <c r="AB902" s="15" t="n"/>
      <c r="AC902" s="15" t="n"/>
      <c r="AD902" s="15" t="n"/>
      <c r="AE902" s="15" t="n"/>
      <c r="AF902" s="15" t="n"/>
      <c r="AH902" s="29" t="n"/>
      <c r="AK902" s="29" t="n"/>
      <c r="AL902" s="29" t="n"/>
    </row>
    <row customHeight="1" ht="15.75" r="903" s="34">
      <c r="D903" s="31" t="n"/>
      <c r="E903" s="15" t="n"/>
      <c r="F903" s="15" t="n"/>
      <c r="G903" s="15" t="n"/>
      <c r="H903" s="15" t="n"/>
      <c r="I903" s="15" t="n"/>
      <c r="J903" s="13" t="n"/>
      <c r="L903" s="13" t="n"/>
      <c r="M903" s="12" t="n"/>
      <c r="N903" s="8" t="n"/>
      <c r="O903" s="15" t="n"/>
      <c r="P903" s="15" t="n"/>
      <c r="Q903" s="15" t="n"/>
      <c r="R903" s="15" t="n"/>
      <c r="S903" s="15" t="n"/>
      <c r="T903" s="29" t="n"/>
      <c r="U903" s="29" t="n"/>
      <c r="V903" s="19" t="n"/>
      <c r="W903" s="15" t="n"/>
      <c r="X903" s="15" t="n"/>
      <c r="Y903" s="15" t="n"/>
      <c r="Z903" s="15" t="n"/>
      <c r="AA903" s="15" t="n"/>
      <c r="AB903" s="15" t="n"/>
      <c r="AC903" s="15" t="n"/>
      <c r="AD903" s="15" t="n"/>
      <c r="AE903" s="15" t="n"/>
      <c r="AF903" s="15" t="n"/>
      <c r="AH903" s="29" t="n"/>
      <c r="AK903" s="29" t="n"/>
      <c r="AL903" s="29" t="n"/>
    </row>
    <row customHeight="1" ht="15.75" r="904" s="34">
      <c r="D904" s="31" t="n"/>
      <c r="E904" s="15" t="n"/>
      <c r="F904" s="15" t="n"/>
      <c r="G904" s="15" t="n"/>
      <c r="H904" s="15" t="n"/>
      <c r="I904" s="15" t="n"/>
      <c r="J904" s="13" t="n"/>
      <c r="L904" s="13" t="n"/>
      <c r="M904" s="12" t="n"/>
      <c r="N904" s="8" t="n"/>
      <c r="O904" s="15" t="n"/>
      <c r="P904" s="15" t="n"/>
      <c r="Q904" s="15" t="n"/>
      <c r="R904" s="15" t="n"/>
      <c r="S904" s="15" t="n"/>
      <c r="T904" s="29" t="n"/>
      <c r="U904" s="29" t="n"/>
      <c r="V904" s="19" t="n"/>
      <c r="W904" s="15" t="n"/>
      <c r="X904" s="15" t="n"/>
      <c r="Y904" s="15" t="n"/>
      <c r="Z904" s="15" t="n"/>
      <c r="AA904" s="15" t="n"/>
      <c r="AB904" s="15" t="n"/>
      <c r="AC904" s="15" t="n"/>
      <c r="AD904" s="15" t="n"/>
      <c r="AE904" s="15" t="n"/>
      <c r="AF904" s="15" t="n"/>
      <c r="AH904" s="29" t="n"/>
      <c r="AK904" s="29" t="n"/>
      <c r="AL904" s="29" t="n"/>
    </row>
    <row customHeight="1" ht="15.75" r="905" s="34">
      <c r="D905" s="31" t="n"/>
      <c r="E905" s="15" t="n"/>
      <c r="F905" s="15" t="n"/>
      <c r="G905" s="15" t="n"/>
      <c r="H905" s="15" t="n"/>
      <c r="I905" s="15" t="n"/>
      <c r="J905" s="13" t="n"/>
      <c r="L905" s="13" t="n"/>
      <c r="M905" s="12" t="n"/>
      <c r="N905" s="8" t="n"/>
      <c r="O905" s="15" t="n"/>
      <c r="P905" s="15" t="n"/>
      <c r="Q905" s="15" t="n"/>
      <c r="R905" s="15" t="n"/>
      <c r="S905" s="15" t="n"/>
      <c r="T905" s="29" t="n"/>
      <c r="U905" s="29" t="n"/>
      <c r="V905" s="19" t="n"/>
      <c r="W905" s="15" t="n"/>
      <c r="X905" s="15" t="n"/>
      <c r="Y905" s="15" t="n"/>
      <c r="Z905" s="15" t="n"/>
      <c r="AA905" s="15" t="n"/>
      <c r="AB905" s="15" t="n"/>
      <c r="AC905" s="15" t="n"/>
      <c r="AD905" s="15" t="n"/>
      <c r="AE905" s="15" t="n"/>
      <c r="AF905" s="15" t="n"/>
      <c r="AH905" s="29" t="n"/>
      <c r="AK905" s="29" t="n"/>
      <c r="AL905" s="29" t="n"/>
    </row>
    <row customHeight="1" ht="15.75" r="906" s="34">
      <c r="D906" s="31" t="n"/>
      <c r="E906" s="15" t="n"/>
      <c r="F906" s="15" t="n"/>
      <c r="G906" s="15" t="n"/>
      <c r="H906" s="15" t="n"/>
      <c r="I906" s="15" t="n"/>
      <c r="J906" s="13" t="n"/>
      <c r="L906" s="13" t="n"/>
      <c r="M906" s="12" t="n"/>
      <c r="N906" s="8" t="n"/>
      <c r="O906" s="15" t="n"/>
      <c r="P906" s="15" t="n"/>
      <c r="Q906" s="15" t="n"/>
      <c r="R906" s="15" t="n"/>
      <c r="S906" s="15" t="n"/>
      <c r="T906" s="29" t="n"/>
      <c r="U906" s="29" t="n"/>
      <c r="V906" s="19" t="n"/>
      <c r="W906" s="15" t="n"/>
      <c r="X906" s="15" t="n"/>
      <c r="Y906" s="15" t="n"/>
      <c r="Z906" s="15" t="n"/>
      <c r="AA906" s="15" t="n"/>
      <c r="AB906" s="15" t="n"/>
      <c r="AC906" s="15" t="n"/>
      <c r="AD906" s="15" t="n"/>
      <c r="AE906" s="15" t="n"/>
      <c r="AF906" s="15" t="n"/>
      <c r="AH906" s="29" t="n"/>
      <c r="AK906" s="29" t="n"/>
      <c r="AL906" s="29" t="n"/>
    </row>
    <row customHeight="1" ht="15.75" r="907" s="34">
      <c r="D907" s="31" t="n"/>
      <c r="E907" s="15" t="n"/>
      <c r="F907" s="15" t="n"/>
      <c r="G907" s="15" t="n"/>
      <c r="H907" s="15" t="n"/>
      <c r="I907" s="15" t="n"/>
      <c r="J907" s="13" t="n"/>
      <c r="L907" s="13" t="n"/>
      <c r="M907" s="12" t="n"/>
      <c r="N907" s="8" t="n"/>
      <c r="O907" s="15" t="n"/>
      <c r="P907" s="15" t="n"/>
      <c r="Q907" s="15" t="n"/>
      <c r="R907" s="15" t="n"/>
      <c r="S907" s="15" t="n"/>
      <c r="T907" s="29" t="n"/>
      <c r="U907" s="29" t="n"/>
      <c r="V907" s="19" t="n"/>
      <c r="W907" s="15" t="n"/>
      <c r="X907" s="15" t="n"/>
      <c r="Y907" s="15" t="n"/>
      <c r="Z907" s="15" t="n"/>
      <c r="AA907" s="15" t="n"/>
      <c r="AB907" s="15" t="n"/>
      <c r="AC907" s="15" t="n"/>
      <c r="AD907" s="15" t="n"/>
      <c r="AE907" s="15" t="n"/>
      <c r="AF907" s="15" t="n"/>
      <c r="AH907" s="29" t="n"/>
      <c r="AK907" s="29" t="n"/>
      <c r="AL907" s="29" t="n"/>
    </row>
    <row customHeight="1" ht="15.75" r="908" s="34">
      <c r="D908" s="31" t="n"/>
      <c r="E908" s="15" t="n"/>
      <c r="F908" s="15" t="n"/>
      <c r="G908" s="15" t="n"/>
      <c r="H908" s="15" t="n"/>
      <c r="I908" s="15" t="n"/>
      <c r="J908" s="13" t="n"/>
      <c r="L908" s="13" t="n"/>
      <c r="M908" s="12" t="n"/>
      <c r="N908" s="8" t="n"/>
      <c r="O908" s="15" t="n"/>
      <c r="P908" s="15" t="n"/>
      <c r="Q908" s="15" t="n"/>
      <c r="R908" s="15" t="n"/>
      <c r="S908" s="15" t="n"/>
      <c r="T908" s="29" t="n"/>
      <c r="U908" s="29" t="n"/>
      <c r="V908" s="19" t="n"/>
      <c r="W908" s="15" t="n"/>
      <c r="X908" s="15" t="n"/>
      <c r="Y908" s="15" t="n"/>
      <c r="Z908" s="15" t="n"/>
      <c r="AA908" s="15" t="n"/>
      <c r="AB908" s="15" t="n"/>
      <c r="AC908" s="15" t="n"/>
      <c r="AD908" s="15" t="n"/>
      <c r="AE908" s="15" t="n"/>
      <c r="AF908" s="15" t="n"/>
      <c r="AH908" s="29" t="n"/>
      <c r="AK908" s="29" t="n"/>
      <c r="AL908" s="29" t="n"/>
    </row>
    <row customHeight="1" ht="15.75" r="909" s="34">
      <c r="D909" s="31" t="n"/>
      <c r="E909" s="15" t="n"/>
      <c r="F909" s="15" t="n"/>
      <c r="G909" s="15" t="n"/>
      <c r="H909" s="15" t="n"/>
      <c r="I909" s="15" t="n"/>
      <c r="J909" s="13" t="n"/>
      <c r="L909" s="13" t="n"/>
      <c r="M909" s="12" t="n"/>
      <c r="N909" s="8" t="n"/>
      <c r="O909" s="15" t="n"/>
      <c r="P909" s="15" t="n"/>
      <c r="Q909" s="15" t="n"/>
      <c r="R909" s="15" t="n"/>
      <c r="S909" s="15" t="n"/>
      <c r="T909" s="29" t="n"/>
      <c r="U909" s="29" t="n"/>
      <c r="V909" s="19" t="n"/>
      <c r="W909" s="15" t="n"/>
      <c r="X909" s="15" t="n"/>
      <c r="Y909" s="15" t="n"/>
      <c r="Z909" s="15" t="n"/>
      <c r="AA909" s="15" t="n"/>
      <c r="AB909" s="15" t="n"/>
      <c r="AC909" s="15" t="n"/>
      <c r="AD909" s="15" t="n"/>
      <c r="AE909" s="15" t="n"/>
      <c r="AF909" s="15" t="n"/>
      <c r="AH909" s="29" t="n"/>
      <c r="AK909" s="29" t="n"/>
      <c r="AL909" s="29" t="n"/>
    </row>
    <row customHeight="1" ht="15.75" r="910" s="34">
      <c r="D910" s="31" t="n"/>
      <c r="E910" s="15" t="n"/>
      <c r="F910" s="15" t="n"/>
      <c r="G910" s="15" t="n"/>
      <c r="H910" s="15" t="n"/>
      <c r="I910" s="15" t="n"/>
      <c r="J910" s="13" t="n"/>
      <c r="L910" s="13" t="n"/>
      <c r="M910" s="12" t="n"/>
      <c r="N910" s="8" t="n"/>
      <c r="O910" s="15" t="n"/>
      <c r="P910" s="15" t="n"/>
      <c r="Q910" s="15" t="n"/>
      <c r="R910" s="15" t="n"/>
      <c r="S910" s="15" t="n"/>
      <c r="T910" s="29" t="n"/>
      <c r="U910" s="29" t="n"/>
      <c r="V910" s="19" t="n"/>
      <c r="W910" s="15" t="n"/>
      <c r="X910" s="15" t="n"/>
      <c r="Y910" s="15" t="n"/>
      <c r="Z910" s="15" t="n"/>
      <c r="AA910" s="15" t="n"/>
      <c r="AB910" s="15" t="n"/>
      <c r="AC910" s="15" t="n"/>
      <c r="AD910" s="15" t="n"/>
      <c r="AE910" s="15" t="n"/>
      <c r="AF910" s="15" t="n"/>
      <c r="AH910" s="29" t="n"/>
      <c r="AK910" s="29" t="n"/>
      <c r="AL910" s="29" t="n"/>
    </row>
    <row customHeight="1" ht="15.75" r="911" s="34">
      <c r="D911" s="31" t="n"/>
      <c r="E911" s="15" t="n"/>
      <c r="F911" s="15" t="n"/>
      <c r="G911" s="15" t="n"/>
      <c r="H911" s="15" t="n"/>
      <c r="I911" s="15" t="n"/>
      <c r="J911" s="13" t="n"/>
      <c r="L911" s="13" t="n"/>
      <c r="M911" s="12" t="n"/>
      <c r="N911" s="8" t="n"/>
      <c r="O911" s="15" t="n"/>
      <c r="P911" s="15" t="n"/>
      <c r="Q911" s="15" t="n"/>
      <c r="R911" s="15" t="n"/>
      <c r="S911" s="15" t="n"/>
      <c r="T911" s="29" t="n"/>
      <c r="U911" s="29" t="n"/>
      <c r="V911" s="19" t="n"/>
      <c r="W911" s="15" t="n"/>
      <c r="X911" s="15" t="n"/>
      <c r="Y911" s="15" t="n"/>
      <c r="Z911" s="15" t="n"/>
      <c r="AA911" s="15" t="n"/>
      <c r="AB911" s="15" t="n"/>
      <c r="AC911" s="15" t="n"/>
      <c r="AD911" s="15" t="n"/>
      <c r="AE911" s="15" t="n"/>
      <c r="AF911" s="15" t="n"/>
      <c r="AH911" s="29" t="n"/>
      <c r="AK911" s="29" t="n"/>
      <c r="AL911" s="29" t="n"/>
    </row>
    <row customHeight="1" ht="15.75" r="912" s="34">
      <c r="D912" s="31" t="n"/>
      <c r="E912" s="15" t="n"/>
      <c r="F912" s="15" t="n"/>
      <c r="G912" s="15" t="n"/>
      <c r="H912" s="15" t="n"/>
      <c r="I912" s="15" t="n"/>
      <c r="J912" s="13" t="n"/>
      <c r="L912" s="13" t="n"/>
      <c r="M912" s="12" t="n"/>
      <c r="N912" s="8" t="n"/>
      <c r="O912" s="15" t="n"/>
      <c r="P912" s="15" t="n"/>
      <c r="Q912" s="15" t="n"/>
      <c r="R912" s="15" t="n"/>
      <c r="S912" s="15" t="n"/>
      <c r="T912" s="29" t="n"/>
      <c r="U912" s="29" t="n"/>
      <c r="V912" s="19" t="n"/>
      <c r="W912" s="15" t="n"/>
      <c r="X912" s="15" t="n"/>
      <c r="Y912" s="15" t="n"/>
      <c r="Z912" s="15" t="n"/>
      <c r="AA912" s="15" t="n"/>
      <c r="AB912" s="15" t="n"/>
      <c r="AC912" s="15" t="n"/>
      <c r="AD912" s="15" t="n"/>
      <c r="AE912" s="15" t="n"/>
      <c r="AF912" s="15" t="n"/>
      <c r="AH912" s="29" t="n"/>
      <c r="AK912" s="29" t="n"/>
      <c r="AL912" s="29" t="n"/>
    </row>
    <row customHeight="1" ht="15.75" r="913" s="34">
      <c r="D913" s="31" t="n"/>
      <c r="E913" s="15" t="n"/>
      <c r="F913" s="15" t="n"/>
      <c r="G913" s="15" t="n"/>
      <c r="H913" s="15" t="n"/>
      <c r="I913" s="15" t="n"/>
      <c r="J913" s="13" t="n"/>
      <c r="L913" s="13" t="n"/>
      <c r="M913" s="12" t="n"/>
      <c r="N913" s="8" t="n"/>
      <c r="O913" s="15" t="n"/>
      <c r="P913" s="15" t="n"/>
      <c r="Q913" s="15" t="n"/>
      <c r="R913" s="15" t="n"/>
      <c r="S913" s="15" t="n"/>
      <c r="T913" s="29" t="n"/>
      <c r="U913" s="29" t="n"/>
      <c r="V913" s="19" t="n"/>
      <c r="W913" s="15" t="n"/>
      <c r="X913" s="15" t="n"/>
      <c r="Y913" s="15" t="n"/>
      <c r="Z913" s="15" t="n"/>
      <c r="AA913" s="15" t="n"/>
      <c r="AB913" s="15" t="n"/>
      <c r="AC913" s="15" t="n"/>
      <c r="AD913" s="15" t="n"/>
      <c r="AE913" s="15" t="n"/>
      <c r="AF913" s="15" t="n"/>
      <c r="AH913" s="29" t="n"/>
      <c r="AK913" s="29" t="n"/>
      <c r="AL913" s="29" t="n"/>
    </row>
    <row customHeight="1" ht="15.75" r="914" s="34">
      <c r="D914" s="31" t="n"/>
      <c r="E914" s="15" t="n"/>
      <c r="F914" s="15" t="n"/>
      <c r="G914" s="15" t="n"/>
      <c r="H914" s="15" t="n"/>
      <c r="I914" s="15" t="n"/>
      <c r="J914" s="13" t="n"/>
      <c r="L914" s="13" t="n"/>
      <c r="M914" s="12" t="n"/>
      <c r="N914" s="8" t="n"/>
      <c r="O914" s="15" t="n"/>
      <c r="P914" s="15" t="n"/>
      <c r="Q914" s="15" t="n"/>
      <c r="R914" s="15" t="n"/>
      <c r="S914" s="15" t="n"/>
      <c r="T914" s="29" t="n"/>
      <c r="U914" s="29" t="n"/>
      <c r="V914" s="19" t="n"/>
      <c r="W914" s="15" t="n"/>
      <c r="X914" s="15" t="n"/>
      <c r="Y914" s="15" t="n"/>
      <c r="Z914" s="15" t="n"/>
      <c r="AA914" s="15" t="n"/>
      <c r="AB914" s="15" t="n"/>
      <c r="AC914" s="15" t="n"/>
      <c r="AD914" s="15" t="n"/>
      <c r="AE914" s="15" t="n"/>
      <c r="AF914" s="15" t="n"/>
      <c r="AH914" s="29" t="n"/>
      <c r="AK914" s="29" t="n"/>
      <c r="AL914" s="29" t="n"/>
    </row>
    <row customHeight="1" ht="15.75" r="915" s="34">
      <c r="D915" s="31" t="n"/>
      <c r="E915" s="15" t="n"/>
      <c r="F915" s="15" t="n"/>
      <c r="G915" s="15" t="n"/>
      <c r="H915" s="15" t="n"/>
      <c r="I915" s="15" t="n"/>
      <c r="J915" s="13" t="n"/>
      <c r="L915" s="13" t="n"/>
      <c r="M915" s="12" t="n"/>
      <c r="N915" s="8" t="n"/>
      <c r="O915" s="15" t="n"/>
      <c r="P915" s="15" t="n"/>
      <c r="Q915" s="15" t="n"/>
      <c r="R915" s="15" t="n"/>
      <c r="S915" s="15" t="n"/>
      <c r="T915" s="29" t="n"/>
      <c r="U915" s="29" t="n"/>
      <c r="V915" s="19" t="n"/>
      <c r="W915" s="15" t="n"/>
      <c r="X915" s="15" t="n"/>
      <c r="Y915" s="15" t="n"/>
      <c r="Z915" s="15" t="n"/>
      <c r="AA915" s="15" t="n"/>
      <c r="AB915" s="15" t="n"/>
      <c r="AC915" s="15" t="n"/>
      <c r="AD915" s="15" t="n"/>
      <c r="AE915" s="15" t="n"/>
      <c r="AF915" s="15" t="n"/>
      <c r="AH915" s="29" t="n"/>
      <c r="AK915" s="29" t="n"/>
      <c r="AL915" s="29" t="n"/>
    </row>
    <row customHeight="1" ht="15.75" r="916" s="34">
      <c r="D916" s="31" t="n"/>
      <c r="E916" s="15" t="n"/>
      <c r="F916" s="15" t="n"/>
      <c r="G916" s="15" t="n"/>
      <c r="H916" s="15" t="n"/>
      <c r="I916" s="15" t="n"/>
      <c r="J916" s="13" t="n"/>
      <c r="L916" s="13" t="n"/>
      <c r="M916" s="12" t="n"/>
      <c r="N916" s="8" t="n"/>
      <c r="O916" s="15" t="n"/>
      <c r="P916" s="15" t="n"/>
      <c r="Q916" s="15" t="n"/>
      <c r="R916" s="15" t="n"/>
      <c r="S916" s="15" t="n"/>
      <c r="T916" s="29" t="n"/>
      <c r="U916" s="29" t="n"/>
      <c r="V916" s="19" t="n"/>
      <c r="W916" s="15" t="n"/>
      <c r="X916" s="15" t="n"/>
      <c r="Y916" s="15" t="n"/>
      <c r="Z916" s="15" t="n"/>
      <c r="AA916" s="15" t="n"/>
      <c r="AB916" s="15" t="n"/>
      <c r="AC916" s="15" t="n"/>
      <c r="AD916" s="15" t="n"/>
      <c r="AE916" s="15" t="n"/>
      <c r="AF916" s="15" t="n"/>
      <c r="AH916" s="29" t="n"/>
      <c r="AK916" s="29" t="n"/>
      <c r="AL916" s="29" t="n"/>
    </row>
    <row customHeight="1" ht="15.75" r="917" s="34">
      <c r="D917" s="31" t="n"/>
      <c r="E917" s="15" t="n"/>
      <c r="F917" s="15" t="n"/>
      <c r="G917" s="15" t="n"/>
      <c r="H917" s="15" t="n"/>
      <c r="I917" s="15" t="n"/>
      <c r="J917" s="13" t="n"/>
      <c r="L917" s="13" t="n"/>
      <c r="M917" s="12" t="n"/>
      <c r="N917" s="8" t="n"/>
      <c r="O917" s="15" t="n"/>
      <c r="P917" s="15" t="n"/>
      <c r="Q917" s="15" t="n"/>
      <c r="R917" s="15" t="n"/>
      <c r="S917" s="15" t="n"/>
      <c r="T917" s="29" t="n"/>
      <c r="U917" s="29" t="n"/>
      <c r="V917" s="19" t="n"/>
      <c r="W917" s="15" t="n"/>
      <c r="X917" s="15" t="n"/>
      <c r="Y917" s="15" t="n"/>
      <c r="Z917" s="15" t="n"/>
      <c r="AA917" s="15" t="n"/>
      <c r="AB917" s="15" t="n"/>
      <c r="AC917" s="15" t="n"/>
      <c r="AD917" s="15" t="n"/>
      <c r="AE917" s="15" t="n"/>
      <c r="AF917" s="15" t="n"/>
      <c r="AH917" s="29" t="n"/>
      <c r="AK917" s="29" t="n"/>
      <c r="AL917" s="29" t="n"/>
    </row>
    <row customHeight="1" ht="15.75" r="918" s="34">
      <c r="D918" s="31" t="n"/>
      <c r="E918" s="15" t="n"/>
      <c r="F918" s="15" t="n"/>
      <c r="G918" s="15" t="n"/>
      <c r="H918" s="15" t="n"/>
      <c r="I918" s="15" t="n"/>
      <c r="J918" s="13" t="n"/>
      <c r="L918" s="13" t="n"/>
      <c r="M918" s="12" t="n"/>
      <c r="N918" s="8" t="n"/>
      <c r="O918" s="15" t="n"/>
      <c r="P918" s="15" t="n"/>
      <c r="Q918" s="15" t="n"/>
      <c r="R918" s="15" t="n"/>
      <c r="S918" s="15" t="n"/>
      <c r="T918" s="29" t="n"/>
      <c r="U918" s="29" t="n"/>
      <c r="V918" s="19" t="n"/>
      <c r="W918" s="15" t="n"/>
      <c r="X918" s="15" t="n"/>
      <c r="Y918" s="15" t="n"/>
      <c r="Z918" s="15" t="n"/>
      <c r="AA918" s="15" t="n"/>
      <c r="AB918" s="15" t="n"/>
      <c r="AC918" s="15" t="n"/>
      <c r="AD918" s="15" t="n"/>
      <c r="AE918" s="15" t="n"/>
      <c r="AF918" s="15" t="n"/>
      <c r="AH918" s="29" t="n"/>
      <c r="AK918" s="29" t="n"/>
      <c r="AL918" s="29" t="n"/>
    </row>
    <row customHeight="1" ht="15.75" r="919" s="34">
      <c r="D919" s="31" t="n"/>
      <c r="E919" s="15" t="n"/>
      <c r="F919" s="15" t="n"/>
      <c r="G919" s="15" t="n"/>
      <c r="H919" s="15" t="n"/>
      <c r="I919" s="15" t="n"/>
      <c r="J919" s="13" t="n"/>
      <c r="L919" s="13" t="n"/>
      <c r="M919" s="12" t="n"/>
      <c r="N919" s="8" t="n"/>
      <c r="O919" s="15" t="n"/>
      <c r="P919" s="15" t="n"/>
      <c r="Q919" s="15" t="n"/>
      <c r="R919" s="15" t="n"/>
      <c r="S919" s="15" t="n"/>
      <c r="T919" s="29" t="n"/>
      <c r="U919" s="29" t="n"/>
      <c r="V919" s="19" t="n"/>
      <c r="W919" s="15" t="n"/>
      <c r="X919" s="15" t="n"/>
      <c r="Y919" s="15" t="n"/>
      <c r="Z919" s="15" t="n"/>
      <c r="AA919" s="15" t="n"/>
      <c r="AB919" s="15" t="n"/>
      <c r="AC919" s="15" t="n"/>
      <c r="AD919" s="15" t="n"/>
      <c r="AE919" s="15" t="n"/>
      <c r="AF919" s="15" t="n"/>
      <c r="AH919" s="29" t="n"/>
      <c r="AK919" s="29" t="n"/>
      <c r="AL919" s="29" t="n"/>
    </row>
    <row customHeight="1" ht="15.75" r="920" s="34">
      <c r="D920" s="31" t="n"/>
      <c r="E920" s="15" t="n"/>
      <c r="F920" s="15" t="n"/>
      <c r="G920" s="15" t="n"/>
      <c r="H920" s="15" t="n"/>
      <c r="I920" s="15" t="n"/>
      <c r="J920" s="13" t="n"/>
      <c r="L920" s="13" t="n"/>
      <c r="M920" s="12" t="n"/>
      <c r="N920" s="8" t="n"/>
      <c r="O920" s="15" t="n"/>
      <c r="P920" s="15" t="n"/>
      <c r="Q920" s="15" t="n"/>
      <c r="R920" s="15" t="n"/>
      <c r="S920" s="15" t="n"/>
      <c r="T920" s="29" t="n"/>
      <c r="U920" s="29" t="n"/>
      <c r="V920" s="19" t="n"/>
      <c r="W920" s="15" t="n"/>
      <c r="X920" s="15" t="n"/>
      <c r="Y920" s="15" t="n"/>
      <c r="Z920" s="15" t="n"/>
      <c r="AA920" s="15" t="n"/>
      <c r="AB920" s="15" t="n"/>
      <c r="AC920" s="15" t="n"/>
      <c r="AD920" s="15" t="n"/>
      <c r="AE920" s="15" t="n"/>
      <c r="AF920" s="15" t="n"/>
      <c r="AH920" s="29" t="n"/>
      <c r="AK920" s="29" t="n"/>
      <c r="AL920" s="29" t="n"/>
    </row>
    <row customHeight="1" ht="15.75" r="921" s="34">
      <c r="D921" s="31" t="n"/>
      <c r="E921" s="15" t="n"/>
      <c r="F921" s="15" t="n"/>
      <c r="G921" s="15" t="n"/>
      <c r="H921" s="15" t="n"/>
      <c r="I921" s="15" t="n"/>
      <c r="J921" s="13" t="n"/>
      <c r="L921" s="13" t="n"/>
      <c r="M921" s="12" t="n"/>
      <c r="N921" s="8" t="n"/>
      <c r="O921" s="15" t="n"/>
      <c r="P921" s="15" t="n"/>
      <c r="Q921" s="15" t="n"/>
      <c r="R921" s="15" t="n"/>
      <c r="S921" s="15" t="n"/>
      <c r="T921" s="29" t="n"/>
      <c r="U921" s="29" t="n"/>
      <c r="V921" s="19" t="n"/>
      <c r="W921" s="15" t="n"/>
      <c r="X921" s="15" t="n"/>
      <c r="Y921" s="15" t="n"/>
      <c r="Z921" s="15" t="n"/>
      <c r="AA921" s="15" t="n"/>
      <c r="AB921" s="15" t="n"/>
      <c r="AC921" s="15" t="n"/>
      <c r="AD921" s="15" t="n"/>
      <c r="AE921" s="15" t="n"/>
      <c r="AF921" s="15" t="n"/>
      <c r="AH921" s="29" t="n"/>
      <c r="AK921" s="29" t="n"/>
      <c r="AL921" s="29" t="n"/>
    </row>
    <row customHeight="1" ht="15.75" r="922" s="34">
      <c r="D922" s="31" t="n"/>
      <c r="E922" s="15" t="n"/>
      <c r="F922" s="15" t="n"/>
      <c r="G922" s="15" t="n"/>
      <c r="H922" s="15" t="n"/>
      <c r="I922" s="15" t="n"/>
      <c r="J922" s="13" t="n"/>
      <c r="L922" s="13" t="n"/>
      <c r="M922" s="12" t="n"/>
      <c r="N922" s="8" t="n"/>
      <c r="O922" s="15" t="n"/>
      <c r="P922" s="15" t="n"/>
      <c r="Q922" s="15" t="n"/>
      <c r="R922" s="15" t="n"/>
      <c r="S922" s="15" t="n"/>
      <c r="T922" s="29" t="n"/>
      <c r="U922" s="29" t="n"/>
      <c r="V922" s="19" t="n"/>
      <c r="W922" s="15" t="n"/>
      <c r="X922" s="15" t="n"/>
      <c r="Y922" s="15" t="n"/>
      <c r="Z922" s="15" t="n"/>
      <c r="AA922" s="15" t="n"/>
      <c r="AB922" s="15" t="n"/>
      <c r="AC922" s="15" t="n"/>
      <c r="AD922" s="15" t="n"/>
      <c r="AE922" s="15" t="n"/>
      <c r="AF922" s="15" t="n"/>
      <c r="AH922" s="29" t="n"/>
      <c r="AK922" s="29" t="n"/>
      <c r="AL922" s="29" t="n"/>
    </row>
    <row customHeight="1" ht="15.75" r="923" s="34">
      <c r="D923" s="31" t="n"/>
      <c r="E923" s="15" t="n"/>
      <c r="F923" s="15" t="n"/>
      <c r="G923" s="15" t="n"/>
      <c r="H923" s="15" t="n"/>
      <c r="I923" s="15" t="n"/>
      <c r="J923" s="13" t="n"/>
      <c r="L923" s="13" t="n"/>
      <c r="M923" s="12" t="n"/>
      <c r="N923" s="8" t="n"/>
      <c r="O923" s="15" t="n"/>
      <c r="P923" s="15" t="n"/>
      <c r="Q923" s="15" t="n"/>
      <c r="R923" s="15" t="n"/>
      <c r="S923" s="15" t="n"/>
      <c r="T923" s="29" t="n"/>
      <c r="U923" s="29" t="n"/>
      <c r="V923" s="19" t="n"/>
      <c r="W923" s="15" t="n"/>
      <c r="X923" s="15" t="n"/>
      <c r="Y923" s="15" t="n"/>
      <c r="Z923" s="15" t="n"/>
      <c r="AA923" s="15" t="n"/>
      <c r="AB923" s="15" t="n"/>
      <c r="AC923" s="15" t="n"/>
      <c r="AD923" s="15" t="n"/>
      <c r="AE923" s="15" t="n"/>
      <c r="AF923" s="15" t="n"/>
      <c r="AH923" s="29" t="n"/>
      <c r="AK923" s="29" t="n"/>
      <c r="AL923" s="29" t="n"/>
    </row>
    <row customHeight="1" ht="15.75" r="924" s="34">
      <c r="D924" s="31" t="n"/>
      <c r="E924" s="15" t="n"/>
      <c r="F924" s="15" t="n"/>
      <c r="G924" s="15" t="n"/>
      <c r="H924" s="15" t="n"/>
      <c r="I924" s="15" t="n"/>
      <c r="J924" s="13" t="n"/>
      <c r="L924" s="13" t="n"/>
      <c r="M924" s="12" t="n"/>
      <c r="N924" s="8" t="n"/>
      <c r="O924" s="15" t="n"/>
      <c r="P924" s="15" t="n"/>
      <c r="Q924" s="15" t="n"/>
      <c r="R924" s="15" t="n"/>
      <c r="S924" s="15" t="n"/>
      <c r="T924" s="29" t="n"/>
      <c r="U924" s="29" t="n"/>
      <c r="V924" s="19" t="n"/>
      <c r="W924" s="15" t="n"/>
      <c r="X924" s="15" t="n"/>
      <c r="Y924" s="15" t="n"/>
      <c r="Z924" s="15" t="n"/>
      <c r="AA924" s="15" t="n"/>
      <c r="AB924" s="15" t="n"/>
      <c r="AC924" s="15" t="n"/>
      <c r="AD924" s="15" t="n"/>
      <c r="AE924" s="15" t="n"/>
      <c r="AF924" s="15" t="n"/>
      <c r="AH924" s="29" t="n"/>
      <c r="AK924" s="29" t="n"/>
      <c r="AL924" s="29" t="n"/>
    </row>
    <row customHeight="1" ht="15.75" r="925" s="34">
      <c r="D925" s="31" t="n"/>
      <c r="E925" s="15" t="n"/>
      <c r="F925" s="15" t="n"/>
      <c r="G925" s="15" t="n"/>
      <c r="H925" s="15" t="n"/>
      <c r="I925" s="15" t="n"/>
      <c r="J925" s="13" t="n"/>
      <c r="L925" s="13" t="n"/>
      <c r="M925" s="12" t="n"/>
      <c r="N925" s="8" t="n"/>
      <c r="O925" s="15" t="n"/>
      <c r="P925" s="15" t="n"/>
      <c r="Q925" s="15" t="n"/>
      <c r="R925" s="15" t="n"/>
      <c r="S925" s="15" t="n"/>
      <c r="T925" s="29" t="n"/>
      <c r="U925" s="29" t="n"/>
      <c r="V925" s="19" t="n"/>
      <c r="W925" s="15" t="n"/>
      <c r="X925" s="15" t="n"/>
      <c r="Y925" s="15" t="n"/>
      <c r="Z925" s="15" t="n"/>
      <c r="AA925" s="15" t="n"/>
      <c r="AB925" s="15" t="n"/>
      <c r="AC925" s="15" t="n"/>
      <c r="AD925" s="15" t="n"/>
      <c r="AE925" s="15" t="n"/>
      <c r="AF925" s="15" t="n"/>
      <c r="AH925" s="29" t="n"/>
      <c r="AK925" s="29" t="n"/>
      <c r="AL925" s="29" t="n"/>
    </row>
    <row customHeight="1" ht="15.75" r="926" s="34">
      <c r="D926" s="31" t="n"/>
      <c r="E926" s="15" t="n"/>
      <c r="F926" s="15" t="n"/>
      <c r="G926" s="15" t="n"/>
      <c r="H926" s="15" t="n"/>
      <c r="I926" s="15" t="n"/>
      <c r="J926" s="13" t="n"/>
      <c r="L926" s="13" t="n"/>
      <c r="M926" s="12" t="n"/>
      <c r="N926" s="8" t="n"/>
      <c r="O926" s="15" t="n"/>
      <c r="P926" s="15" t="n"/>
      <c r="Q926" s="15" t="n"/>
      <c r="R926" s="15" t="n"/>
      <c r="S926" s="15" t="n"/>
      <c r="T926" s="29" t="n"/>
      <c r="U926" s="29" t="n"/>
      <c r="V926" s="19" t="n"/>
      <c r="W926" s="15" t="n"/>
      <c r="X926" s="15" t="n"/>
      <c r="Y926" s="15" t="n"/>
      <c r="Z926" s="15" t="n"/>
      <c r="AA926" s="15" t="n"/>
      <c r="AB926" s="15" t="n"/>
      <c r="AC926" s="15" t="n"/>
      <c r="AD926" s="15" t="n"/>
      <c r="AE926" s="15" t="n"/>
      <c r="AF926" s="15" t="n"/>
      <c r="AH926" s="29" t="n"/>
      <c r="AK926" s="29" t="n"/>
      <c r="AL926" s="29" t="n"/>
    </row>
    <row customHeight="1" ht="15.75" r="927" s="34">
      <c r="D927" s="31" t="n"/>
      <c r="E927" s="15" t="n"/>
      <c r="F927" s="15" t="n"/>
      <c r="G927" s="15" t="n"/>
      <c r="H927" s="15" t="n"/>
      <c r="I927" s="15" t="n"/>
      <c r="J927" s="13" t="n"/>
      <c r="L927" s="13" t="n"/>
      <c r="M927" s="12" t="n"/>
      <c r="N927" s="8" t="n"/>
      <c r="O927" s="15" t="n"/>
      <c r="P927" s="15" t="n"/>
      <c r="Q927" s="15" t="n"/>
      <c r="R927" s="15" t="n"/>
      <c r="S927" s="15" t="n"/>
      <c r="T927" s="29" t="n"/>
      <c r="U927" s="29" t="n"/>
      <c r="V927" s="19" t="n"/>
      <c r="W927" s="15" t="n"/>
      <c r="X927" s="15" t="n"/>
      <c r="Y927" s="15" t="n"/>
      <c r="Z927" s="15" t="n"/>
      <c r="AA927" s="15" t="n"/>
      <c r="AB927" s="15" t="n"/>
      <c r="AC927" s="15" t="n"/>
      <c r="AD927" s="15" t="n"/>
      <c r="AE927" s="15" t="n"/>
      <c r="AF927" s="15" t="n"/>
      <c r="AH927" s="29" t="n"/>
      <c r="AK927" s="29" t="n"/>
      <c r="AL927" s="29" t="n"/>
    </row>
    <row customHeight="1" ht="15.75" r="928" s="34">
      <c r="D928" s="31" t="n"/>
      <c r="E928" s="15" t="n"/>
      <c r="F928" s="15" t="n"/>
      <c r="G928" s="15" t="n"/>
      <c r="H928" s="15" t="n"/>
      <c r="I928" s="15" t="n"/>
      <c r="J928" s="13" t="n"/>
      <c r="L928" s="13" t="n"/>
      <c r="M928" s="12" t="n"/>
      <c r="N928" s="8" t="n"/>
      <c r="O928" s="15" t="n"/>
      <c r="P928" s="15" t="n"/>
      <c r="Q928" s="15" t="n"/>
      <c r="R928" s="15" t="n"/>
      <c r="S928" s="15" t="n"/>
      <c r="T928" s="29" t="n"/>
      <c r="U928" s="29" t="n"/>
      <c r="V928" s="19" t="n"/>
      <c r="W928" s="15" t="n"/>
      <c r="X928" s="15" t="n"/>
      <c r="Y928" s="15" t="n"/>
      <c r="Z928" s="15" t="n"/>
      <c r="AA928" s="15" t="n"/>
      <c r="AB928" s="15" t="n"/>
      <c r="AC928" s="15" t="n"/>
      <c r="AD928" s="15" t="n"/>
      <c r="AE928" s="15" t="n"/>
      <c r="AF928" s="15" t="n"/>
      <c r="AH928" s="29" t="n"/>
      <c r="AK928" s="29" t="n"/>
      <c r="AL928" s="29" t="n"/>
    </row>
    <row customHeight="1" ht="15.75" r="929" s="34">
      <c r="D929" s="31" t="n"/>
      <c r="E929" s="15" t="n"/>
      <c r="F929" s="15" t="n"/>
      <c r="G929" s="15" t="n"/>
      <c r="H929" s="15" t="n"/>
      <c r="I929" s="15" t="n"/>
      <c r="J929" s="13" t="n"/>
      <c r="L929" s="13" t="n"/>
      <c r="M929" s="12" t="n"/>
      <c r="N929" s="8" t="n"/>
      <c r="O929" s="15" t="n"/>
      <c r="P929" s="15" t="n"/>
      <c r="Q929" s="15" t="n"/>
      <c r="R929" s="15" t="n"/>
      <c r="S929" s="15" t="n"/>
      <c r="T929" s="29" t="n"/>
      <c r="U929" s="29" t="n"/>
      <c r="V929" s="19" t="n"/>
      <c r="W929" s="15" t="n"/>
      <c r="X929" s="15" t="n"/>
      <c r="Y929" s="15" t="n"/>
      <c r="Z929" s="15" t="n"/>
      <c r="AA929" s="15" t="n"/>
      <c r="AB929" s="15" t="n"/>
      <c r="AC929" s="15" t="n"/>
      <c r="AD929" s="15" t="n"/>
      <c r="AE929" s="15" t="n"/>
      <c r="AF929" s="15" t="n"/>
      <c r="AH929" s="29" t="n"/>
      <c r="AK929" s="29" t="n"/>
      <c r="AL929" s="29" t="n"/>
    </row>
    <row customHeight="1" ht="15.75" r="930" s="34">
      <c r="D930" s="31" t="n"/>
      <c r="E930" s="15" t="n"/>
      <c r="F930" s="15" t="n"/>
      <c r="G930" s="15" t="n"/>
      <c r="H930" s="15" t="n"/>
      <c r="I930" s="15" t="n"/>
      <c r="J930" s="13" t="n"/>
      <c r="L930" s="13" t="n"/>
      <c r="M930" s="12" t="n"/>
      <c r="N930" s="8" t="n"/>
      <c r="O930" s="15" t="n"/>
      <c r="P930" s="15" t="n"/>
      <c r="Q930" s="15" t="n"/>
      <c r="R930" s="15" t="n"/>
      <c r="S930" s="15" t="n"/>
      <c r="T930" s="29" t="n"/>
      <c r="U930" s="29" t="n"/>
      <c r="V930" s="19" t="n"/>
      <c r="W930" s="15" t="n"/>
      <c r="X930" s="15" t="n"/>
      <c r="Y930" s="15" t="n"/>
      <c r="Z930" s="15" t="n"/>
      <c r="AA930" s="15" t="n"/>
      <c r="AB930" s="15" t="n"/>
      <c r="AC930" s="15" t="n"/>
      <c r="AD930" s="15" t="n"/>
      <c r="AE930" s="15" t="n"/>
      <c r="AF930" s="15" t="n"/>
      <c r="AH930" s="29" t="n"/>
      <c r="AK930" s="29" t="n"/>
      <c r="AL930" s="29" t="n"/>
    </row>
    <row customHeight="1" ht="15.75" r="931" s="34">
      <c r="D931" s="31" t="n"/>
      <c r="E931" s="15" t="n"/>
      <c r="F931" s="15" t="n"/>
      <c r="G931" s="15" t="n"/>
      <c r="H931" s="15" t="n"/>
      <c r="I931" s="15" t="n"/>
      <c r="J931" s="13" t="n"/>
      <c r="L931" s="13" t="n"/>
      <c r="M931" s="12" t="n"/>
      <c r="N931" s="8" t="n"/>
      <c r="O931" s="15" t="n"/>
      <c r="P931" s="15" t="n"/>
      <c r="Q931" s="15" t="n"/>
      <c r="R931" s="15" t="n"/>
      <c r="S931" s="15" t="n"/>
      <c r="T931" s="29" t="n"/>
      <c r="U931" s="29" t="n"/>
      <c r="V931" s="19" t="n"/>
      <c r="W931" s="15" t="n"/>
      <c r="X931" s="15" t="n"/>
      <c r="Y931" s="15" t="n"/>
      <c r="Z931" s="15" t="n"/>
      <c r="AA931" s="15" t="n"/>
      <c r="AB931" s="15" t="n"/>
      <c r="AC931" s="15" t="n"/>
      <c r="AD931" s="15" t="n"/>
      <c r="AE931" s="15" t="n"/>
      <c r="AF931" s="15" t="n"/>
      <c r="AH931" s="29" t="n"/>
      <c r="AK931" s="29" t="n"/>
      <c r="AL931" s="29" t="n"/>
    </row>
    <row customHeight="1" ht="15.75" r="932" s="34">
      <c r="D932" s="31" t="n"/>
      <c r="E932" s="15" t="n"/>
      <c r="F932" s="15" t="n"/>
      <c r="G932" s="15" t="n"/>
      <c r="H932" s="15" t="n"/>
      <c r="I932" s="15" t="n"/>
      <c r="J932" s="13" t="n"/>
      <c r="L932" s="13" t="n"/>
      <c r="M932" s="12" t="n"/>
      <c r="N932" s="8" t="n"/>
      <c r="O932" s="15" t="n"/>
      <c r="P932" s="15" t="n"/>
      <c r="Q932" s="15" t="n"/>
      <c r="R932" s="15" t="n"/>
      <c r="S932" s="15" t="n"/>
      <c r="T932" s="29" t="n"/>
      <c r="U932" s="29" t="n"/>
      <c r="V932" s="19" t="n"/>
      <c r="W932" s="15" t="n"/>
      <c r="X932" s="15" t="n"/>
      <c r="Y932" s="15" t="n"/>
      <c r="Z932" s="15" t="n"/>
      <c r="AA932" s="15" t="n"/>
      <c r="AB932" s="15" t="n"/>
      <c r="AC932" s="15" t="n"/>
      <c r="AD932" s="15" t="n"/>
      <c r="AE932" s="15" t="n"/>
      <c r="AF932" s="15" t="n"/>
      <c r="AH932" s="29" t="n"/>
      <c r="AK932" s="29" t="n"/>
      <c r="AL932" s="29" t="n"/>
    </row>
    <row customHeight="1" ht="15.75" r="933" s="34">
      <c r="D933" s="31" t="n"/>
      <c r="E933" s="15" t="n"/>
      <c r="F933" s="15" t="n"/>
      <c r="G933" s="15" t="n"/>
      <c r="H933" s="15" t="n"/>
      <c r="I933" s="15" t="n"/>
      <c r="J933" s="13" t="n"/>
      <c r="L933" s="13" t="n"/>
      <c r="M933" s="12" t="n"/>
      <c r="N933" s="8" t="n"/>
      <c r="O933" s="15" t="n"/>
      <c r="P933" s="15" t="n"/>
      <c r="Q933" s="15" t="n"/>
      <c r="R933" s="15" t="n"/>
      <c r="S933" s="15" t="n"/>
      <c r="T933" s="29" t="n"/>
      <c r="U933" s="29" t="n"/>
      <c r="V933" s="19" t="n"/>
      <c r="W933" s="15" t="n"/>
      <c r="X933" s="15" t="n"/>
      <c r="Y933" s="15" t="n"/>
      <c r="Z933" s="15" t="n"/>
      <c r="AA933" s="15" t="n"/>
      <c r="AB933" s="15" t="n"/>
      <c r="AC933" s="15" t="n"/>
      <c r="AD933" s="15" t="n"/>
      <c r="AE933" s="15" t="n"/>
      <c r="AF933" s="15" t="n"/>
      <c r="AH933" s="29" t="n"/>
      <c r="AK933" s="29" t="n"/>
      <c r="AL933" s="29" t="n"/>
    </row>
    <row customHeight="1" ht="15.75" r="934" s="34">
      <c r="D934" s="31" t="n"/>
      <c r="E934" s="15" t="n"/>
      <c r="F934" s="15" t="n"/>
      <c r="G934" s="15" t="n"/>
      <c r="H934" s="15" t="n"/>
      <c r="I934" s="15" t="n"/>
      <c r="J934" s="13" t="n"/>
      <c r="L934" s="13" t="n"/>
      <c r="M934" s="12" t="n"/>
      <c r="N934" s="8" t="n"/>
      <c r="O934" s="15" t="n"/>
      <c r="P934" s="15" t="n"/>
      <c r="Q934" s="15" t="n"/>
      <c r="R934" s="15" t="n"/>
      <c r="S934" s="15" t="n"/>
      <c r="T934" s="29" t="n"/>
      <c r="U934" s="29" t="n"/>
      <c r="V934" s="19" t="n"/>
      <c r="W934" s="15" t="n"/>
      <c r="X934" s="15" t="n"/>
      <c r="Y934" s="15" t="n"/>
      <c r="Z934" s="15" t="n"/>
      <c r="AA934" s="15" t="n"/>
      <c r="AB934" s="15" t="n"/>
      <c r="AC934" s="15" t="n"/>
      <c r="AD934" s="15" t="n"/>
      <c r="AE934" s="15" t="n"/>
      <c r="AF934" s="15" t="n"/>
      <c r="AH934" s="29" t="n"/>
      <c r="AK934" s="29" t="n"/>
      <c r="AL934" s="29" t="n"/>
    </row>
    <row customHeight="1" ht="15.75" r="935" s="34">
      <c r="D935" s="31" t="n"/>
      <c r="E935" s="15" t="n"/>
      <c r="F935" s="15" t="n"/>
      <c r="G935" s="15" t="n"/>
      <c r="H935" s="15" t="n"/>
      <c r="I935" s="15" t="n"/>
      <c r="J935" s="13" t="n"/>
      <c r="L935" s="13" t="n"/>
      <c r="M935" s="12" t="n"/>
      <c r="N935" s="8" t="n"/>
      <c r="O935" s="15" t="n"/>
      <c r="P935" s="15" t="n"/>
      <c r="Q935" s="15" t="n"/>
      <c r="R935" s="15" t="n"/>
      <c r="S935" s="15" t="n"/>
      <c r="T935" s="29" t="n"/>
      <c r="U935" s="29" t="n"/>
      <c r="V935" s="19" t="n"/>
      <c r="W935" s="15" t="n"/>
      <c r="X935" s="15" t="n"/>
      <c r="Y935" s="15" t="n"/>
      <c r="Z935" s="15" t="n"/>
      <c r="AA935" s="15" t="n"/>
      <c r="AB935" s="15" t="n"/>
      <c r="AC935" s="15" t="n"/>
      <c r="AD935" s="15" t="n"/>
      <c r="AE935" s="15" t="n"/>
      <c r="AF935" s="15" t="n"/>
      <c r="AH935" s="29" t="n"/>
      <c r="AK935" s="29" t="n"/>
      <c r="AL935" s="29" t="n"/>
    </row>
    <row customHeight="1" ht="15.75" r="936" s="34">
      <c r="D936" s="31" t="n"/>
      <c r="E936" s="15" t="n"/>
      <c r="F936" s="15" t="n"/>
      <c r="G936" s="15" t="n"/>
      <c r="H936" s="15" t="n"/>
      <c r="I936" s="15" t="n"/>
      <c r="J936" s="13" t="n"/>
      <c r="L936" s="13" t="n"/>
      <c r="M936" s="12" t="n"/>
      <c r="N936" s="8" t="n"/>
      <c r="O936" s="15" t="n"/>
      <c r="P936" s="15" t="n"/>
      <c r="Q936" s="15" t="n"/>
      <c r="R936" s="15" t="n"/>
      <c r="S936" s="15" t="n"/>
      <c r="T936" s="29" t="n"/>
      <c r="U936" s="29" t="n"/>
      <c r="V936" s="19" t="n"/>
      <c r="W936" s="15" t="n"/>
      <c r="X936" s="15" t="n"/>
      <c r="Y936" s="15" t="n"/>
      <c r="Z936" s="15" t="n"/>
      <c r="AA936" s="15" t="n"/>
      <c r="AB936" s="15" t="n"/>
      <c r="AC936" s="15" t="n"/>
      <c r="AD936" s="15" t="n"/>
      <c r="AE936" s="15" t="n"/>
      <c r="AF936" s="15" t="n"/>
      <c r="AH936" s="29" t="n"/>
      <c r="AK936" s="29" t="n"/>
      <c r="AL936" s="29" t="n"/>
    </row>
    <row customHeight="1" ht="15.75" r="937" s="34">
      <c r="D937" s="31" t="n"/>
      <c r="E937" s="15" t="n"/>
      <c r="F937" s="15" t="n"/>
      <c r="G937" s="15" t="n"/>
      <c r="H937" s="15" t="n"/>
      <c r="I937" s="15" t="n"/>
      <c r="J937" s="13" t="n"/>
      <c r="L937" s="13" t="n"/>
      <c r="M937" s="12" t="n"/>
      <c r="N937" s="8" t="n"/>
      <c r="O937" s="15" t="n"/>
      <c r="P937" s="15" t="n"/>
      <c r="Q937" s="15" t="n"/>
      <c r="R937" s="15" t="n"/>
      <c r="S937" s="15" t="n"/>
      <c r="T937" s="29" t="n"/>
      <c r="U937" s="29" t="n"/>
      <c r="V937" s="19" t="n"/>
      <c r="W937" s="15" t="n"/>
      <c r="X937" s="15" t="n"/>
      <c r="Y937" s="15" t="n"/>
      <c r="Z937" s="15" t="n"/>
      <c r="AA937" s="15" t="n"/>
      <c r="AB937" s="15" t="n"/>
      <c r="AC937" s="15" t="n"/>
      <c r="AD937" s="15" t="n"/>
      <c r="AE937" s="15" t="n"/>
      <c r="AF937" s="15" t="n"/>
      <c r="AH937" s="29" t="n"/>
      <c r="AK937" s="29" t="n"/>
      <c r="AL937" s="29" t="n"/>
    </row>
    <row customHeight="1" ht="15.75" r="938" s="34">
      <c r="D938" s="31" t="n"/>
      <c r="E938" s="15" t="n"/>
      <c r="F938" s="15" t="n"/>
      <c r="G938" s="15" t="n"/>
      <c r="H938" s="15" t="n"/>
      <c r="I938" s="15" t="n"/>
      <c r="J938" s="13" t="n"/>
      <c r="L938" s="13" t="n"/>
      <c r="M938" s="12" t="n"/>
      <c r="N938" s="8" t="n"/>
      <c r="O938" s="15" t="n"/>
      <c r="P938" s="15" t="n"/>
      <c r="Q938" s="15" t="n"/>
      <c r="R938" s="15" t="n"/>
      <c r="S938" s="15" t="n"/>
      <c r="T938" s="29" t="n"/>
      <c r="U938" s="29" t="n"/>
      <c r="V938" s="19" t="n"/>
      <c r="W938" s="15" t="n"/>
      <c r="X938" s="15" t="n"/>
      <c r="Y938" s="15" t="n"/>
      <c r="Z938" s="15" t="n"/>
      <c r="AA938" s="15" t="n"/>
      <c r="AB938" s="15" t="n"/>
      <c r="AC938" s="15" t="n"/>
      <c r="AD938" s="15" t="n"/>
      <c r="AE938" s="15" t="n"/>
      <c r="AF938" s="15" t="n"/>
      <c r="AH938" s="29" t="n"/>
      <c r="AK938" s="29" t="n"/>
      <c r="AL938" s="29" t="n"/>
    </row>
    <row customHeight="1" ht="15.75" r="939" s="34">
      <c r="E939" s="15" t="n">
        <v>149</v>
      </c>
      <c r="F939" s="15" t="n">
        <v>194</v>
      </c>
      <c r="G939" s="15" t="n">
        <v>424</v>
      </c>
      <c r="H939" s="15" t="n">
        <v>45</v>
      </c>
      <c r="I939" s="15" t="n">
        <v>144</v>
      </c>
      <c r="J939" s="13" t="n">
        <v>25</v>
      </c>
      <c r="K939" t="n">
        <v>45</v>
      </c>
      <c r="L939" s="13" t="n">
        <v>1.3</v>
      </c>
      <c r="M939" s="12" t="n"/>
      <c r="N939" s="8" t="n">
        <v>0.9179201095885289</v>
      </c>
      <c r="O939" s="15" t="n">
        <v>0.7246071871261457</v>
      </c>
      <c r="P939" s="15" t="n">
        <v>0.8586562032057357</v>
      </c>
      <c r="Q939" s="15" t="n">
        <v>0.001307226182343734</v>
      </c>
      <c r="R939" s="15" t="n">
        <v>0.003150056986122645</v>
      </c>
      <c r="S939" s="15" t="n">
        <v>0.001292073079894045</v>
      </c>
      <c r="T939" s="29">
        <f>HIPERLINK($A$1 &amp; "\Dados\Imagem_perfil_939.png", "Imagem_perfil_939")</f>
        <v/>
      </c>
      <c r="U939" s="29">
        <f>HIPERLINK($A$1 &amp; "\Dados\Results_airgap939.txt", "Results_airgap939")</f>
        <v/>
      </c>
      <c r="V939" s="19" t="n"/>
      <c r="W939" s="43" t="n">
        <v>1.313534782608696</v>
      </c>
      <c r="X939" s="15" t="n">
        <v>0.5750510420834771</v>
      </c>
      <c r="Y939" s="15" t="n">
        <v>0.0001958800163101079</v>
      </c>
      <c r="Z939" s="15" t="n">
        <v>0</v>
      </c>
      <c r="AA939" s="15" t="n">
        <v>7.894198139716289</v>
      </c>
      <c r="AB939" s="15" t="n">
        <v>0</v>
      </c>
      <c r="AC939" s="15" t="n">
        <v>0</v>
      </c>
      <c r="AD939" s="15" t="n">
        <v>0</v>
      </c>
      <c r="AE939" s="15" t="n">
        <v>46.20962362599137</v>
      </c>
      <c r="AF939" s="15" t="n">
        <v>37.048410719899</v>
      </c>
      <c r="AH939" s="29">
        <f>HIPERLINK($A$1 &amp; "\Dados\Magnet_fields.txt_939.txt.txt", "Magnet_fields.txt_939.txt")</f>
        <v/>
      </c>
      <c r="AI939" t="n">
        <v>6614</v>
      </c>
      <c r="AJ939" t="n">
        <v>28</v>
      </c>
      <c r="AK939" s="29">
        <f>HIPERLINK($A$1 &amp; "\Dados\Magnet_3D_results.txt_939.txt.txt", "Magnet_3D_results.txt_939.txt")</f>
        <v/>
      </c>
      <c r="AL939" s="29">
        <f>HIPERLINK($A$1 &amp; "\Dados\Magnet_fields_2D.txt_939.txt.txt", "Magnet_fields_2D.txt_939.txt")</f>
        <v/>
      </c>
    </row>
    <row customHeight="1" ht="15.75" r="940" s="34">
      <c r="E940" s="15" t="n">
        <v>149</v>
      </c>
      <c r="F940" s="15" t="n">
        <v>194</v>
      </c>
      <c r="G940" s="15" t="n">
        <v>424</v>
      </c>
      <c r="H940" s="15" t="n">
        <v>45</v>
      </c>
      <c r="I940" s="15" t="n">
        <v>144</v>
      </c>
      <c r="J940" s="13" t="n">
        <v>25</v>
      </c>
      <c r="K940" t="n">
        <v>45</v>
      </c>
      <c r="L940" s="13" t="n">
        <v>1.5</v>
      </c>
      <c r="M940" s="12" t="n"/>
      <c r="N940" s="8" t="n">
        <v>1.067833174789393</v>
      </c>
      <c r="O940" s="15" t="n">
        <v>0.8572467014517801</v>
      </c>
      <c r="P940" s="15" t="n">
        <v>1.005665053107218</v>
      </c>
      <c r="Q940" s="15" t="n">
        <v>0.001519476947482099</v>
      </c>
      <c r="R940" s="15" t="n">
        <v>0.01423904899724931</v>
      </c>
      <c r="S940" s="15" t="n">
        <v>0.001831775877364567</v>
      </c>
      <c r="T940" s="29">
        <f>HIPERLINK($A$1 &amp; "\Dados\Imagem_perfil_940.png", "Imagem_perfil_940")</f>
        <v/>
      </c>
      <c r="U940" s="29">
        <f>HIPERLINK($A$1 &amp; "\Dados\Results_airgap940.txt", "Results_airgap940")</f>
        <v/>
      </c>
      <c r="V940" s="19" t="n"/>
      <c r="W940" s="43" t="n">
        <v>1.510719782608695</v>
      </c>
      <c r="X940" s="15" t="n">
        <v>0.6849648132981189</v>
      </c>
      <c r="Y940" s="15" t="n">
        <v>0.000191355897876433</v>
      </c>
      <c r="Z940" s="15" t="n">
        <v>0</v>
      </c>
      <c r="AA940" s="15" t="n">
        <v>6.355131218161077</v>
      </c>
      <c r="AB940" s="15" t="n">
        <v>0.9224859823092684</v>
      </c>
      <c r="AC940" s="15" t="n">
        <v>0.7379063174398326</v>
      </c>
      <c r="AD940" s="15" t="n">
        <v>9.739408414288178</v>
      </c>
      <c r="AE940" s="15" t="n">
        <v>64.71202513360466</v>
      </c>
      <c r="AF940" s="15" t="n">
        <v>59.14794118385043</v>
      </c>
      <c r="AH940" s="29">
        <f>HIPERLINK($A$1 &amp; "\Dados\Magnet_fields.txt_940.txt.txt", "Magnet_fields.txt_940.txt")</f>
        <v/>
      </c>
      <c r="AI940" t="n">
        <v>6614</v>
      </c>
      <c r="AJ940" t="n">
        <v>29</v>
      </c>
      <c r="AK940" s="29">
        <f>HIPERLINK($A$1 &amp; "\Dados\Magnet_3D_results.txt_940.txt.txt", "Magnet_3D_results.txt_940.txt")</f>
        <v/>
      </c>
      <c r="AL940" s="29">
        <f>HIPERLINK($A$1 &amp; "\Dados\Magnet_fields_2D.txt_940.txt.txt", "Magnet_fields_2D.txt_940.txt")</f>
        <v/>
      </c>
    </row>
    <row customHeight="1" ht="15.75" r="941" s="34">
      <c r="E941" s="15" t="n">
        <v>149</v>
      </c>
      <c r="F941" s="15" t="n">
        <v>194</v>
      </c>
      <c r="G941" s="15" t="n">
        <v>424</v>
      </c>
      <c r="H941" s="15" t="n">
        <v>45</v>
      </c>
      <c r="I941" s="15" t="n">
        <v>144</v>
      </c>
      <c r="J941" s="13" t="n">
        <v>25</v>
      </c>
      <c r="K941" t="n">
        <v>45</v>
      </c>
      <c r="L941" s="13" t="n">
        <v>1.7</v>
      </c>
      <c r="M941" s="12" t="n"/>
      <c r="N941" s="8" t="n">
        <v>1.253211744732908</v>
      </c>
      <c r="O941" s="15" t="n">
        <v>1.024726967115016</v>
      </c>
      <c r="P941" s="15" t="n">
        <v>1.188875077078925</v>
      </c>
      <c r="Q941" s="15" t="n">
        <v>0.002194390898145185</v>
      </c>
      <c r="R941" s="15" t="n">
        <v>0.03803466635092318</v>
      </c>
      <c r="S941" s="15" t="n">
        <v>0.002986645550278481</v>
      </c>
      <c r="T941" s="29">
        <f>HIPERLINK($A$1 &amp; "\Dados\Imagem_perfil_941.png", "Imagem_perfil_941")</f>
        <v/>
      </c>
      <c r="U941" s="29">
        <f>HIPERLINK($A$1 &amp; "\Dados\Results_airgap941.txt", "Results_airgap941")</f>
        <v/>
      </c>
      <c r="V941" s="19" t="n"/>
      <c r="W941" s="43" t="n">
        <v>1.716932173913044</v>
      </c>
      <c r="X941" s="15" t="n">
        <v>0.8262065125109411</v>
      </c>
      <c r="Y941" s="15" t="n">
        <v>0.0003180935150745092</v>
      </c>
      <c r="Z941" s="15" t="n">
        <v>0.006590711643831101</v>
      </c>
      <c r="AA941" s="15" t="n">
        <v>2.191887840562665</v>
      </c>
      <c r="AB941" s="15" t="n">
        <v>3.877143030318306</v>
      </c>
      <c r="AC941" s="15" t="n">
        <v>0</v>
      </c>
      <c r="AD941" s="15" t="n">
        <v>22.65529547115728</v>
      </c>
      <c r="AE941" s="15" t="n">
        <v>84.60265589284887</v>
      </c>
      <c r="AF941" s="15" t="n">
        <v>117.2036543561118</v>
      </c>
      <c r="AH941" s="29">
        <f>HIPERLINK($A$1 &amp; "\Dados\Magnet_fields.txt_941.txt.txt", "Magnet_fields.txt_941.txt")</f>
        <v/>
      </c>
      <c r="AI941" t="n">
        <v>6614</v>
      </c>
      <c r="AJ941" t="n">
        <v>28</v>
      </c>
      <c r="AK941" s="29">
        <f>HIPERLINK($A$1 &amp; "\Dados\Magnet_3D_results.txt_941.txt.txt", "Magnet_3D_results.txt_941.txt")</f>
        <v/>
      </c>
      <c r="AL941" s="29">
        <f>HIPERLINK($A$1 &amp; "\Dados\Magnet_fields_2D.txt_941.txt.txt", "Magnet_fields_2D.txt_941.txt")</f>
        <v/>
      </c>
    </row>
    <row customHeight="1" ht="15.75" r="942" s="34">
      <c r="E942" s="15" t="n">
        <v>149</v>
      </c>
      <c r="F942" s="15" t="n">
        <v>194</v>
      </c>
      <c r="G942" s="15" t="n">
        <v>424</v>
      </c>
      <c r="H942" s="15" t="n">
        <v>45</v>
      </c>
      <c r="I942" s="15" t="n">
        <v>144</v>
      </c>
      <c r="J942" s="13" t="n">
        <v>25</v>
      </c>
      <c r="K942" t="n">
        <v>45</v>
      </c>
      <c r="L942" s="13" t="n">
        <v>1.9</v>
      </c>
      <c r="M942" s="12" t="n"/>
      <c r="N942" s="8" t="n">
        <v>1.309608411030496</v>
      </c>
      <c r="O942" s="15" t="n">
        <v>1.075389080607437</v>
      </c>
      <c r="P942" s="15" t="n">
        <v>1.24718322512863</v>
      </c>
      <c r="Q942" s="15" t="n">
        <v>0.002339258925196072</v>
      </c>
      <c r="R942" s="15" t="n">
        <v>0.04037076575234586</v>
      </c>
      <c r="S942" s="15" t="n">
        <v>0.003147864226088337</v>
      </c>
      <c r="T942" s="29">
        <f>HIPERLINK($A$1 &amp; "\Dados\Imagem_perfil_942.png", "Imagem_perfil_942")</f>
        <v/>
      </c>
      <c r="U942" s="29">
        <f>HIPERLINK($A$1 &amp; "\Dados\Results_airgap942.txt", "Results_airgap942")</f>
        <v/>
      </c>
      <c r="V942" s="19" t="n"/>
      <c r="W942" s="43" t="n">
        <v>1.793678695652174</v>
      </c>
      <c r="X942" s="15" t="n">
        <v>0.8666588707958094</v>
      </c>
      <c r="Y942" s="15" t="n">
        <v>0.03666332958734116</v>
      </c>
      <c r="Z942" s="15" t="n">
        <v>0</v>
      </c>
      <c r="AA942" s="15" t="n">
        <v>0</v>
      </c>
      <c r="AB942" s="15" t="n">
        <v>0</v>
      </c>
      <c r="AC942" s="15" t="n">
        <v>4.003667805609069</v>
      </c>
      <c r="AD942" s="15" t="n">
        <v>39.4900261172527</v>
      </c>
      <c r="AE942" s="15" t="n">
        <v>86.62157835581434</v>
      </c>
      <c r="AF942" s="15" t="n">
        <v>118.5702348464109</v>
      </c>
      <c r="AH942" s="29">
        <f>HIPERLINK($A$1 &amp; "\Dados\Magnet_fields.txt_942.txt.txt", "Magnet_fields.txt_942.txt")</f>
        <v/>
      </c>
      <c r="AI942" t="n">
        <v>6614</v>
      </c>
      <c r="AJ942" t="n">
        <v>29</v>
      </c>
      <c r="AK942" s="29">
        <f>HIPERLINK($A$1 &amp; "\Dados\Magnet_3D_results.txt_942.txt.txt", "Magnet_3D_results.txt_942.txt")</f>
        <v/>
      </c>
      <c r="AL942" s="29">
        <f>HIPERLINK($A$1 &amp; "\Dados\Magnet_fields_2D.txt_942.txt.txt", "Magnet_fields_2D.txt_942.txt")</f>
        <v/>
      </c>
    </row>
    <row customHeight="1" ht="15.75" r="943" s="34">
      <c r="E943" s="15" t="n">
        <v>149</v>
      </c>
      <c r="F943" s="15" t="n">
        <v>194</v>
      </c>
      <c r="G943" s="15" t="n">
        <v>424</v>
      </c>
      <c r="H943" s="15" t="n">
        <v>45</v>
      </c>
      <c r="I943" s="15" t="n">
        <v>144</v>
      </c>
      <c r="J943" s="13" t="n">
        <v>25</v>
      </c>
      <c r="K943" t="n">
        <v>45</v>
      </c>
      <c r="L943" s="13" t="n">
        <v>2.1</v>
      </c>
      <c r="M943" s="12" t="n"/>
      <c r="N943" s="8" t="n">
        <v>1.318098594941115</v>
      </c>
      <c r="O943" s="15" t="n">
        <v>1.082051438108255</v>
      </c>
      <c r="P943" s="15" t="n">
        <v>1.254966738692976</v>
      </c>
      <c r="Q943" s="15" t="n">
        <v>0.002361109576244493</v>
      </c>
      <c r="R943" s="15" t="n">
        <v>0.04055371517062788</v>
      </c>
      <c r="S943" s="15" t="n">
        <v>0.003169538812444285</v>
      </c>
      <c r="T943" s="29">
        <f>HIPERLINK($A$1 &amp; "\Dados\Imagem_perfil_943.png", "Imagem_perfil_943")</f>
        <v/>
      </c>
      <c r="U943" s="29">
        <f>HIPERLINK($A$1 &amp; "\Dados\Results_airgap943.txt", "Results_airgap943")</f>
        <v/>
      </c>
      <c r="V943" s="19" t="n"/>
      <c r="W943" s="15" t="n">
        <v>1.806459565217391</v>
      </c>
      <c r="X943" s="15" t="n">
        <v>0.872246298381991</v>
      </c>
      <c r="Y943" s="15" t="n">
        <v>0.1303724770573718</v>
      </c>
      <c r="Z943" s="15" t="n">
        <v>0</v>
      </c>
      <c r="AA943" s="15" t="n">
        <v>0</v>
      </c>
      <c r="AB943" s="15" t="n">
        <v>0.2330717860789924</v>
      </c>
      <c r="AC943" s="15" t="n">
        <v>6.182418346294392</v>
      </c>
      <c r="AD943" s="15" t="n">
        <v>40.62283122797321</v>
      </c>
      <c r="AE943" s="15" t="n">
        <v>86.80780842939132</v>
      </c>
      <c r="AF943" s="15" t="n">
        <v>118.6948957021056</v>
      </c>
      <c r="AH943" s="29">
        <f>HIPERLINK($A$1 &amp; "\Dados\Magnet_fields.txt_943.txt.txt", "Magnet_fields.txt_943.txt")</f>
        <v/>
      </c>
      <c r="AI943" t="n">
        <v>6614</v>
      </c>
      <c r="AJ943" t="n">
        <v>29</v>
      </c>
      <c r="AK943" s="29">
        <f>HIPERLINK($A$1 &amp; "\Dados\Magnet_3D_results.txt_943.txt.txt", "Magnet_3D_results.txt_943.txt")</f>
        <v/>
      </c>
      <c r="AL943" s="29">
        <f>HIPERLINK($A$1 &amp; "\Dados\Magnet_fields_2D.txt_943.txt.txt", "Magnet_fields_2D.txt_943.txt")</f>
        <v/>
      </c>
    </row>
    <row customHeight="1" ht="15.75" r="944" s="34">
      <c r="E944" s="15" t="n">
        <v>147</v>
      </c>
      <c r="F944" s="15" t="n">
        <v>182</v>
      </c>
      <c r="G944" s="15" t="n">
        <v>382</v>
      </c>
      <c r="H944" s="15" t="n">
        <v>42</v>
      </c>
      <c r="I944" s="15" t="n">
        <v>142</v>
      </c>
      <c r="J944" s="13" t="n">
        <v>25</v>
      </c>
      <c r="K944" t="n">
        <v>50</v>
      </c>
      <c r="L944" s="13" t="n">
        <v>1.3</v>
      </c>
      <c r="M944" s="12" t="n"/>
      <c r="N944" s="8" t="n">
        <v>0.9073439973371503</v>
      </c>
      <c r="O944" s="15" t="n">
        <v>0.6757450308033478</v>
      </c>
      <c r="P944" s="15" t="n">
        <v>0.8372133356143329</v>
      </c>
      <c r="Q944" s="15" t="n">
        <v>0.001236669996835161</v>
      </c>
      <c r="R944" s="15" t="n">
        <v>0.01999473476358294</v>
      </c>
      <c r="S944" s="15" t="n">
        <v>0.001146472892767022</v>
      </c>
      <c r="T944" s="29">
        <f>HIPERLINK($A$1 &amp; "\Dados\Imagem_perfil_944.png", "Imagem_perfil_944")</f>
        <v/>
      </c>
      <c r="U944" s="29">
        <f>HIPERLINK($A$1 &amp; "\Dados\Results_airgap944.txt", "Results_airgap944")</f>
        <v/>
      </c>
      <c r="V944" s="19" t="n"/>
      <c r="W944" s="43" t="n">
        <v>1.304267826086957</v>
      </c>
      <c r="X944" s="15" t="n">
        <v>0.5404715997196313</v>
      </c>
      <c r="Y944" s="15" t="n">
        <v>0.000217415357229463</v>
      </c>
      <c r="Z944" s="15" t="n">
        <v>0</v>
      </c>
      <c r="AA944" s="15" t="n">
        <v>10.05470037490771</v>
      </c>
      <c r="AB944" s="15" t="n">
        <v>0</v>
      </c>
      <c r="AC944" s="15" t="n">
        <v>0</v>
      </c>
      <c r="AD944" s="15" t="n">
        <v>0</v>
      </c>
      <c r="AE944" s="15" t="n">
        <v>40.26440030953751</v>
      </c>
      <c r="AF944" s="15" t="n">
        <v>26.67470690519864</v>
      </c>
      <c r="AH944" s="29">
        <f>HIPERLINK($A$1 &amp; "\Dados\Magnet_fields.txt_944.txt.txt", "Magnet_fields.txt_944.txt")</f>
        <v/>
      </c>
      <c r="AI944" t="n">
        <v>7257</v>
      </c>
      <c r="AJ944" t="n">
        <v>29</v>
      </c>
      <c r="AK944" s="29">
        <f>HIPERLINK($A$1 &amp; "\Dados\Magnet_3D_results.txt_944.txt.txt", "Magnet_3D_results.txt_944.txt")</f>
        <v/>
      </c>
      <c r="AL944" s="29">
        <f>HIPERLINK($A$1 &amp; "\Dados\Magnet_fields_2D.txt_944.txt.txt", "Magnet_fields_2D.txt_944.txt")</f>
        <v/>
      </c>
    </row>
    <row customHeight="1" ht="15.75" r="945" s="34">
      <c r="E945" s="15" t="n">
        <v>147</v>
      </c>
      <c r="F945" s="15" t="n">
        <v>182</v>
      </c>
      <c r="G945" s="15" t="n">
        <v>382</v>
      </c>
      <c r="H945" s="15" t="n">
        <v>42</v>
      </c>
      <c r="I945" s="15" t="n">
        <v>142</v>
      </c>
      <c r="J945" s="13" t="n">
        <v>25</v>
      </c>
      <c r="K945" t="n">
        <v>50</v>
      </c>
      <c r="L945" s="13" t="n">
        <v>1.5</v>
      </c>
      <c r="M945" s="12" t="n"/>
      <c r="N945" s="8" t="n">
        <v>1.058469424158397</v>
      </c>
      <c r="O945" s="15" t="n">
        <v>0.7980810741238994</v>
      </c>
      <c r="P945" s="15" t="n">
        <v>0.9803151741716067</v>
      </c>
      <c r="Q945" s="15" t="n">
        <v>0.001416224602171361</v>
      </c>
      <c r="R945" s="15" t="n">
        <v>0.01422645762557869</v>
      </c>
      <c r="S945" s="15" t="n">
        <v>0.001342387133130661</v>
      </c>
      <c r="T945" s="29">
        <f>HIPERLINK($A$1 &amp; "\Dados\Imagem_perfil_945.png", "Imagem_perfil_945")</f>
        <v/>
      </c>
      <c r="U945" s="29">
        <f>HIPERLINK($A$1 &amp; "\Dados\Results_airgap945.txt", "Results_airgap945")</f>
        <v/>
      </c>
      <c r="V945" s="19" t="n"/>
      <c r="W945" s="43" t="n">
        <v>1.499454565217392</v>
      </c>
      <c r="X945" s="15" t="n">
        <v>0.637422912107647</v>
      </c>
      <c r="Y945" s="15" t="n">
        <v>0.0001728068459071444</v>
      </c>
      <c r="Z945" s="15" t="n">
        <v>0</v>
      </c>
      <c r="AA945" s="15" t="n">
        <v>8.620704565127991</v>
      </c>
      <c r="AB945" s="15" t="n">
        <v>3.431472165399926</v>
      </c>
      <c r="AC945" s="15" t="n">
        <v>0</v>
      </c>
      <c r="AD945" s="15" t="n">
        <v>24.59295052840172</v>
      </c>
      <c r="AE945" s="15" t="n">
        <v>46.39159388068904</v>
      </c>
      <c r="AF945" s="15" t="n">
        <v>32.1238553615241</v>
      </c>
      <c r="AH945" s="29">
        <f>HIPERLINK($A$1 &amp; "\Dados\Magnet_fields.txt_945.txt.txt", "Magnet_fields.txt_945.txt")</f>
        <v/>
      </c>
      <c r="AI945" t="n">
        <v>7257</v>
      </c>
      <c r="AJ945" t="n">
        <v>29</v>
      </c>
      <c r="AK945" s="29">
        <f>HIPERLINK($A$1 &amp; "\Dados\Magnet_3D_results.txt_945.txt.txt", "Magnet_3D_results.txt_945.txt")</f>
        <v/>
      </c>
      <c r="AL945" s="29">
        <f>HIPERLINK($A$1 &amp; "\Dados\Magnet_fields_2D.txt_945.txt.txt", "Magnet_fields_2D.txt_945.txt")</f>
        <v/>
      </c>
    </row>
    <row customHeight="1" ht="15.75" r="946" s="34">
      <c r="E946" s="15" t="n">
        <v>147</v>
      </c>
      <c r="F946" s="15" t="n">
        <v>182</v>
      </c>
      <c r="G946" s="15" t="n">
        <v>382</v>
      </c>
      <c r="H946" s="15" t="n">
        <v>42</v>
      </c>
      <c r="I946" s="15" t="n">
        <v>142</v>
      </c>
      <c r="J946" s="13" t="n">
        <v>25</v>
      </c>
      <c r="K946" t="n">
        <v>50</v>
      </c>
      <c r="L946" s="13" t="n">
        <v>1.7</v>
      </c>
      <c r="M946" s="12" t="n"/>
      <c r="N946" s="8" t="n">
        <v>1.232836041772835</v>
      </c>
      <c r="O946" s="15" t="n">
        <v>0.9479490130549163</v>
      </c>
      <c r="P946" s="15" t="n">
        <v>1.147693688357444</v>
      </c>
      <c r="Q946" s="15" t="n">
        <v>0.002399777647671928</v>
      </c>
      <c r="R946" s="15" t="n">
        <v>0.004345288269595055</v>
      </c>
      <c r="S946" s="15" t="n">
        <v>0.002429387423174332</v>
      </c>
      <c r="T946" s="29">
        <f>HIPERLINK($A$1 &amp; "\Dados\Imagem_perfil_946.png", "Imagem_perfil_946")</f>
        <v/>
      </c>
      <c r="U946" s="29">
        <f>HIPERLINK($A$1 &amp; "\Dados\Results_airgap946.txt", "Results_airgap946")</f>
        <v/>
      </c>
      <c r="V946" s="19" t="n"/>
      <c r="W946" s="43" t="n">
        <v>1.699668260869565</v>
      </c>
      <c r="X946" s="15" t="n">
        <v>0.7594201320644396</v>
      </c>
      <c r="Y946" s="15" t="n">
        <v>0.000199345624703189</v>
      </c>
      <c r="Z946" s="15" t="n">
        <v>0</v>
      </c>
      <c r="AA946" s="15" t="n">
        <v>6.808248524647011</v>
      </c>
      <c r="AB946" s="15" t="n">
        <v>6.870201475108809</v>
      </c>
      <c r="AC946" s="15" t="n">
        <v>0.1031748523631941</v>
      </c>
      <c r="AD946" s="15" t="n">
        <v>41.81478831706892</v>
      </c>
      <c r="AE946" s="15" t="n">
        <v>65.62426668541164</v>
      </c>
      <c r="AF946" s="15" t="n">
        <v>52.64338789278916</v>
      </c>
      <c r="AH946" s="29">
        <f>HIPERLINK($A$1 &amp; "\Dados\Magnet_fields.txt_946.txt.txt", "Magnet_fields.txt_946.txt")</f>
        <v/>
      </c>
      <c r="AI946" t="n">
        <v>7257</v>
      </c>
      <c r="AJ946" t="n">
        <v>29</v>
      </c>
      <c r="AK946" s="29">
        <f>HIPERLINK($A$1 &amp; "\Dados\Magnet_3D_results.txt_946.txt.txt", "Magnet_3D_results.txt_946.txt")</f>
        <v/>
      </c>
      <c r="AL946" s="29">
        <f>HIPERLINK($A$1 &amp; "\Dados\Magnet_fields_2D.txt_946.txt.txt", "Magnet_fields_2D.txt_946.txt")</f>
        <v/>
      </c>
    </row>
    <row customHeight="1" ht="15.75" r="947" s="34">
      <c r="E947" s="15" t="n">
        <v>147</v>
      </c>
      <c r="F947" s="15" t="n">
        <v>182</v>
      </c>
      <c r="G947" s="15" t="n">
        <v>382</v>
      </c>
      <c r="H947" s="15" t="n">
        <v>42</v>
      </c>
      <c r="I947" s="15" t="n">
        <v>142</v>
      </c>
      <c r="J947" s="13" t="n">
        <v>25</v>
      </c>
      <c r="K947" t="n">
        <v>50</v>
      </c>
      <c r="L947" s="13" t="n">
        <v>1.9</v>
      </c>
      <c r="M947" s="12" t="n"/>
      <c r="N947" s="8" t="n">
        <v>1.446622396828681</v>
      </c>
      <c r="O947" s="15" t="n">
        <v>1.13561123095056</v>
      </c>
      <c r="P947" s="15" t="n">
        <v>1.354132653794341</v>
      </c>
      <c r="Q947" s="15" t="n">
        <v>0.005034011000905273</v>
      </c>
      <c r="R947" s="15" t="n">
        <v>0.03519258560847265</v>
      </c>
      <c r="S947" s="15" t="n">
        <v>0.005319147972456036</v>
      </c>
      <c r="T947" s="29">
        <f>HIPERLINK($A$1 &amp; "\Dados\Imagem_perfil_947.png", "Imagem_perfil_947")</f>
        <v/>
      </c>
      <c r="U947" s="29">
        <f>HIPERLINK($A$1 &amp; "\Dados\Results_airgap947.txt", "Results_airgap947")</f>
        <v/>
      </c>
      <c r="V947" s="19" t="n"/>
      <c r="W947" s="43" t="n">
        <v>1.898501739130435</v>
      </c>
      <c r="X947" s="15" t="n">
        <v>0.9148643845164942</v>
      </c>
      <c r="Y947" s="15" t="n">
        <v>0.000221219785797461</v>
      </c>
      <c r="Z947" s="15" t="n">
        <v>0</v>
      </c>
      <c r="AA947" s="15" t="n">
        <v>1.082210225896945</v>
      </c>
      <c r="AB947" s="15" t="n">
        <v>6.641189315704783</v>
      </c>
      <c r="AC947" s="15" t="n">
        <v>2.736885782481774</v>
      </c>
      <c r="AD947" s="15" t="n">
        <v>51.54566172024161</v>
      </c>
      <c r="AE947" s="15" t="n">
        <v>91.43068155677314</v>
      </c>
      <c r="AF947" s="15" t="n">
        <v>111.3324682382488</v>
      </c>
      <c r="AH947" s="29">
        <f>HIPERLINK($A$1 &amp; "\Dados\Magnet_fields.txt_947.txt.txt", "Magnet_fields.txt_947.txt")</f>
        <v/>
      </c>
      <c r="AI947" t="n">
        <v>7257</v>
      </c>
      <c r="AJ947" t="n">
        <v>29</v>
      </c>
      <c r="AK947" s="29">
        <f>HIPERLINK($A$1 &amp; "\Dados\Magnet_3D_results.txt_947.txt.txt", "Magnet_3D_results.txt_947.txt")</f>
        <v/>
      </c>
      <c r="AL947" s="29">
        <f>HIPERLINK($A$1 &amp; "\Dados\Magnet_fields_2D.txt_947.txt.txt", "Magnet_fields_2D.txt_947.txt")</f>
        <v/>
      </c>
    </row>
    <row customHeight="1" ht="15.75" r="948" s="34">
      <c r="E948" s="15" t="n">
        <v>147</v>
      </c>
      <c r="F948" s="15" t="n">
        <v>182</v>
      </c>
      <c r="G948" s="15" t="n">
        <v>382</v>
      </c>
      <c r="H948" s="15" t="n">
        <v>42</v>
      </c>
      <c r="I948" s="15" t="n">
        <v>142</v>
      </c>
      <c r="J948" s="13" t="n">
        <v>25</v>
      </c>
      <c r="K948" t="n">
        <v>50</v>
      </c>
      <c r="L948" s="13" t="n">
        <v>2.1</v>
      </c>
      <c r="M948" s="12" t="n"/>
      <c r="N948" s="8" t="n">
        <v>1.466182076545253</v>
      </c>
      <c r="O948" s="15" t="n">
        <v>1.149462206710576</v>
      </c>
      <c r="P948" s="15" t="n">
        <v>1.371338859166629</v>
      </c>
      <c r="Q948" s="15" t="n">
        <v>0.004985304956096836</v>
      </c>
      <c r="R948" s="15" t="n">
        <v>0.03734300871589844</v>
      </c>
      <c r="S948" s="15" t="n">
        <v>0.005296231086380263</v>
      </c>
      <c r="T948" s="29">
        <f>HIPERLINK($A$1 &amp; "\Dados\Imagem_perfil_948.png", "Imagem_perfil_948")</f>
        <v/>
      </c>
      <c r="U948" s="29">
        <f>HIPERLINK($A$1 &amp; "\Dados\Results_airgap948.txt", "Results_airgap948")</f>
        <v/>
      </c>
      <c r="V948" s="19" t="n"/>
      <c r="W948" s="15" t="n">
        <v>1.91297847826087</v>
      </c>
      <c r="X948" s="15" t="n">
        <v>0.9249290454733206</v>
      </c>
      <c r="Y948" s="15" t="n">
        <v>0.03400879460077522</v>
      </c>
      <c r="Z948" s="15" t="n">
        <v>0</v>
      </c>
      <c r="AA948" s="15" t="n">
        <v>0</v>
      </c>
      <c r="AB948" s="15" t="n">
        <v>0</v>
      </c>
      <c r="AC948" s="15" t="n">
        <v>5.630315507548073</v>
      </c>
      <c r="AD948" s="15" t="n">
        <v>53.56359510643564</v>
      </c>
      <c r="AE948" s="15" t="n">
        <v>93.89696774928105</v>
      </c>
      <c r="AF948" s="15" t="n">
        <v>123.1602411041145</v>
      </c>
      <c r="AH948" s="29">
        <f>HIPERLINK($A$1 &amp; "\Dados\Magnet_fields.txt_948.txt.txt", "Magnet_fields.txt_948.txt")</f>
        <v/>
      </c>
      <c r="AI948" t="n">
        <v>7257</v>
      </c>
      <c r="AJ948" t="n">
        <v>28</v>
      </c>
      <c r="AK948" s="29">
        <f>HIPERLINK($A$1 &amp; "\Dados\Magnet_3D_results.txt_948.txt.txt", "Magnet_3D_results.txt_948.txt")</f>
        <v/>
      </c>
      <c r="AL948" s="29">
        <f>HIPERLINK($A$1 &amp; "\Dados\Magnet_fields_2D.txt_948.txt.txt", "Magnet_fields_2D.txt_948.txt")</f>
        <v/>
      </c>
    </row>
    <row customHeight="1" ht="15.75" r="949" s="34">
      <c r="E949" s="15" t="n">
        <v>140</v>
      </c>
      <c r="F949" s="15" t="n">
        <v>184</v>
      </c>
      <c r="G949" s="15" t="n">
        <v>365</v>
      </c>
      <c r="H949" s="15" t="n">
        <v>35</v>
      </c>
      <c r="I949" s="15" t="n">
        <v>172</v>
      </c>
      <c r="J949" s="13" t="n">
        <v>25</v>
      </c>
      <c r="K949" t="n">
        <v>60</v>
      </c>
      <c r="L949" s="13" t="n">
        <v>1.3</v>
      </c>
      <c r="M949" s="12" t="n"/>
      <c r="N949" s="8" t="n">
        <v>0.8458453004332717</v>
      </c>
      <c r="O949" s="15" t="n">
        <v>0.6926211454472692</v>
      </c>
      <c r="P949" s="15" t="n">
        <v>0.8024722999348975</v>
      </c>
      <c r="Q949" s="15" t="n">
        <v>0.008409922859969457</v>
      </c>
      <c r="R949" s="15" t="n">
        <v>0.05189737621695288</v>
      </c>
      <c r="S949" s="15" t="n">
        <v>0.007669090142181577</v>
      </c>
      <c r="T949" s="29">
        <f>HIPERLINK($A$1 &amp; "\Dados\Imagem_perfil_949.png", "Imagem_perfil_949")</f>
        <v/>
      </c>
      <c r="U949" s="29">
        <f>HIPERLINK($A$1 &amp; "\Dados\Results_airgap949.txt", "Results_airgap949")</f>
        <v/>
      </c>
      <c r="V949" s="19" t="n"/>
      <c r="W949" s="43" t="n">
        <v>1.314627826086956</v>
      </c>
      <c r="X949" s="15" t="n">
        <v>0.4926659824278803</v>
      </c>
      <c r="Y949" s="15" t="n">
        <v>0.002663595822845847</v>
      </c>
      <c r="Z949" s="15" t="n">
        <v>0.0449599690336607</v>
      </c>
      <c r="AA949" s="15" t="n">
        <v>12.46475359953329</v>
      </c>
      <c r="AB949" s="15" t="n">
        <v>0</v>
      </c>
      <c r="AC949" s="15" t="n">
        <v>0</v>
      </c>
      <c r="AD949" s="15" t="n">
        <v>60.3746549643965</v>
      </c>
      <c r="AE949" s="15" t="n">
        <v>20.0403212152766</v>
      </c>
      <c r="AF949" s="15" t="n">
        <v>0</v>
      </c>
      <c r="AH949" s="29">
        <f>HIPERLINK($A$1 &amp; "\Dados\Magnet_fields.txt_949.txt.txt", "Magnet_fields.txt_949.txt")</f>
        <v/>
      </c>
      <c r="AI949" t="n">
        <v>8345</v>
      </c>
      <c r="AJ949" t="n">
        <v>34</v>
      </c>
      <c r="AK949" s="29">
        <f>HIPERLINK($A$1 &amp; "\Dados\Magnet_3D_results.txt_949.txt.txt", "Magnet_3D_results.txt_949.txt")</f>
        <v/>
      </c>
      <c r="AL949" s="29">
        <f>HIPERLINK($A$1 &amp; "\Dados\Magnet_fields_2D.txt_949.txt.txt", "Magnet_fields_2D.txt_949.txt")</f>
        <v/>
      </c>
    </row>
    <row customHeight="1" ht="15.75" r="950" s="34">
      <c r="E950" s="15" t="n">
        <v>140</v>
      </c>
      <c r="F950" s="15" t="n">
        <v>184</v>
      </c>
      <c r="G950" s="15" t="n">
        <v>365</v>
      </c>
      <c r="H950" s="15" t="n">
        <v>35</v>
      </c>
      <c r="I950" s="15" t="n">
        <v>172</v>
      </c>
      <c r="J950" s="13" t="n">
        <v>25</v>
      </c>
      <c r="K950" t="n">
        <v>60</v>
      </c>
      <c r="L950" s="13" t="n">
        <v>1.5</v>
      </c>
      <c r="M950" s="12" t="n"/>
      <c r="N950" s="8" t="n">
        <v>1.065509563439364</v>
      </c>
      <c r="O950" s="15" t="n">
        <v>0.8927164671883875</v>
      </c>
      <c r="P950" s="15" t="n">
        <v>1.015748798954515</v>
      </c>
      <c r="Q950" s="15" t="n">
        <v>0.001392438232142102</v>
      </c>
      <c r="R950" s="15" t="n">
        <v>0.02539321513214218</v>
      </c>
      <c r="S950" s="15" t="n">
        <v>0.0013358861420271</v>
      </c>
      <c r="T950" s="29">
        <f>HIPERLINK($A$1 &amp; "\Dados\Imagem_perfil_950.png", "Imagem_perfil_950")</f>
        <v/>
      </c>
      <c r="U950" s="29">
        <f>HIPERLINK($A$1 &amp; "\Dados\Results_airgap950.txt", "Results_airgap950")</f>
        <v/>
      </c>
      <c r="V950" s="19" t="n"/>
      <c r="W950" s="43" t="n">
        <v>1.501902826086956</v>
      </c>
      <c r="X950" s="15" t="n">
        <v>0.647229693116332</v>
      </c>
      <c r="Y950" s="15" t="n">
        <v>0.0004066901352221125</v>
      </c>
      <c r="Z950" s="15" t="n">
        <v>0.4092966287454164</v>
      </c>
      <c r="AA950" s="15" t="n">
        <v>8.134159997362669</v>
      </c>
      <c r="AB950" s="15" t="n">
        <v>0</v>
      </c>
      <c r="AC950" s="15" t="n">
        <v>3.951709254101628</v>
      </c>
      <c r="AD950" s="15" t="n">
        <v>70.90173680104819</v>
      </c>
      <c r="AE950" s="15" t="n">
        <v>110.5483892258407</v>
      </c>
      <c r="AF950" s="15" t="n">
        <v>0.7785365063267294</v>
      </c>
      <c r="AH950" s="29">
        <f>HIPERLINK($A$1 &amp; "\Dados\Magnet_fields.txt_950.txt.txt", "Magnet_fields.txt_950.txt")</f>
        <v/>
      </c>
      <c r="AI950" t="n">
        <v>8345</v>
      </c>
      <c r="AJ950" t="n">
        <v>30</v>
      </c>
      <c r="AK950" s="29">
        <f>HIPERLINK($A$1 &amp; "\Dados\Magnet_3D_results.txt_950.txt.txt", "Magnet_3D_results.txt_950.txt")</f>
        <v/>
      </c>
      <c r="AL950" s="29">
        <f>HIPERLINK($A$1 &amp; "\Dados\Magnet_fields_2D.txt_950.txt.txt", "Magnet_fields_2D.txt_950.txt")</f>
        <v/>
      </c>
    </row>
    <row customHeight="1" ht="15.75" r="951" s="34">
      <c r="E951" s="15" t="n">
        <v>140</v>
      </c>
      <c r="F951" s="15" t="n">
        <v>184</v>
      </c>
      <c r="G951" s="15" t="n">
        <v>365</v>
      </c>
      <c r="H951" s="15" t="n">
        <v>35</v>
      </c>
      <c r="I951" s="15" t="n">
        <v>172</v>
      </c>
      <c r="J951" s="13" t="n">
        <v>25</v>
      </c>
      <c r="K951" t="n">
        <v>60</v>
      </c>
      <c r="L951" s="13" t="n">
        <v>1.7</v>
      </c>
      <c r="M951" s="12" t="n"/>
      <c r="N951" s="8" t="n">
        <v>1.347294688747394</v>
      </c>
      <c r="O951" s="15" t="n">
        <v>1.157025722360727</v>
      </c>
      <c r="P951" s="15" t="n">
        <v>1.291079921943723</v>
      </c>
      <c r="Q951" s="15" t="n">
        <v>0.005422250932816481</v>
      </c>
      <c r="R951" s="15" t="n">
        <v>0.04004911154812809</v>
      </c>
      <c r="S951" s="15" t="n">
        <v>0.005596834878943624</v>
      </c>
      <c r="T951" s="29">
        <f>HIPERLINK($A$1 &amp; "\Dados\Imagem_perfil_951.png", "Imagem_perfil_951")</f>
        <v/>
      </c>
      <c r="U951" s="29">
        <f>HIPERLINK($A$1 &amp; "\Dados\Results_airgap951.txt", "Results_airgap951")</f>
        <v/>
      </c>
      <c r="V951" s="19" t="n"/>
      <c r="W951" s="43" t="n">
        <v>1.697202173913043</v>
      </c>
      <c r="X951" s="15" t="n">
        <v>0.8621139062871199</v>
      </c>
      <c r="Y951" s="15" t="n">
        <v>0.0004656895125469894</v>
      </c>
      <c r="Z951" s="15" t="n">
        <v>0.05020632306902884</v>
      </c>
      <c r="AA951" s="15" t="n">
        <v>2.594102324004665</v>
      </c>
      <c r="AB951" s="15" t="n">
        <v>3.431080221584398</v>
      </c>
      <c r="AC951" s="15" t="n">
        <v>10.50503953790557</v>
      </c>
      <c r="AD951" s="15" t="n">
        <v>69.05105434362886</v>
      </c>
      <c r="AE951" s="15" t="n">
        <v>116.1503626634323</v>
      </c>
      <c r="AF951" s="15" t="n">
        <v>175.9331417147676</v>
      </c>
      <c r="AH951" s="29">
        <f>HIPERLINK($A$1 &amp; "\Dados\Magnet_fields.txt_951.txt.txt", "Magnet_fields.txt_951.txt")</f>
        <v/>
      </c>
      <c r="AI951" t="n">
        <v>8345</v>
      </c>
      <c r="AJ951" t="n">
        <v>29</v>
      </c>
      <c r="AK951" s="29">
        <f>HIPERLINK($A$1 &amp; "\Dados\Magnet_3D_results.txt_951.txt.txt", "Magnet_3D_results.txt_951.txt")</f>
        <v/>
      </c>
      <c r="AL951" s="29">
        <f>HIPERLINK($A$1 &amp; "\Dados\Magnet_fields_2D.txt_951.txt.txt", "Magnet_fields_2D.txt_951.txt")</f>
        <v/>
      </c>
    </row>
    <row customHeight="1" ht="15.75" r="952" s="34">
      <c r="E952" s="15" t="n">
        <v>140</v>
      </c>
      <c r="F952" s="15" t="n">
        <v>184</v>
      </c>
      <c r="G952" s="15" t="n">
        <v>365</v>
      </c>
      <c r="H952" s="15" t="n">
        <v>35</v>
      </c>
      <c r="I952" s="15" t="n">
        <v>172</v>
      </c>
      <c r="J952" s="13" t="n">
        <v>25</v>
      </c>
      <c r="K952" t="n">
        <v>60</v>
      </c>
      <c r="L952" s="13" t="n">
        <v>1.9</v>
      </c>
      <c r="M952" s="12" t="n"/>
      <c r="N952" s="8" t="n">
        <v>1.376290133984779</v>
      </c>
      <c r="O952" s="15" t="n">
        <v>1.18410835102923</v>
      </c>
      <c r="P952" s="15" t="n">
        <v>1.320406515968123</v>
      </c>
      <c r="Q952" s="15" t="n">
        <v>0.01826664240997389</v>
      </c>
      <c r="R952" s="15" t="n">
        <v>0.04423427958382901</v>
      </c>
      <c r="S952" s="15" t="n">
        <v>0.01786815148932426</v>
      </c>
      <c r="T952" s="29">
        <f>HIPERLINK($A$1 &amp; "\Dados\Imagem_perfil_952.png", "Imagem_perfil_952")</f>
        <v/>
      </c>
      <c r="U952" s="29">
        <f>HIPERLINK($A$1 &amp; "\Dados\Results_airgap952.txt", "Results_airgap952")</f>
        <v/>
      </c>
      <c r="V952" s="19" t="n"/>
      <c r="W952" s="43" t="n">
        <v>1.756568695652174</v>
      </c>
      <c r="X952" s="15" t="n">
        <v>0.8794918644817858</v>
      </c>
      <c r="Y952" s="15" t="n">
        <v>0.02583442872888349</v>
      </c>
      <c r="Z952" s="15" t="n">
        <v>0.03270171476997839</v>
      </c>
      <c r="AA952" s="15" t="n">
        <v>0.2587678930816162</v>
      </c>
      <c r="AB952" s="15" t="n">
        <v>0.3246640917358663</v>
      </c>
      <c r="AC952" s="15" t="n">
        <v>15.55906051945274</v>
      </c>
      <c r="AD952" s="15" t="n">
        <v>66.3503974848244</v>
      </c>
      <c r="AE952" s="15" t="n">
        <v>99.82775050241544</v>
      </c>
      <c r="AF952" s="15" t="n">
        <v>132.4310644658121</v>
      </c>
      <c r="AH952" s="29">
        <f>HIPERLINK($A$1 &amp; "\Dados\Magnet_fields.txt_952.txt.txt", "Magnet_fields.txt_952.txt")</f>
        <v/>
      </c>
      <c r="AI952" t="n">
        <v>8345</v>
      </c>
      <c r="AJ952" t="n">
        <v>30</v>
      </c>
      <c r="AK952" s="29">
        <f>HIPERLINK($A$1 &amp; "\Dados\Magnet_3D_results.txt_952.txt.txt", "Magnet_3D_results.txt_952.txt")</f>
        <v/>
      </c>
      <c r="AL952" s="29">
        <f>HIPERLINK($A$1 &amp; "\Dados\Magnet_fields_2D.txt_952.txt.txt", "Magnet_fields_2D.txt_952.txt")</f>
        <v/>
      </c>
    </row>
    <row customHeight="1" ht="15.75" r="953" s="34">
      <c r="E953" s="15" t="n">
        <v>140</v>
      </c>
      <c r="F953" s="15" t="n">
        <v>184</v>
      </c>
      <c r="G953" s="15" t="n">
        <v>365</v>
      </c>
      <c r="H953" s="15" t="n">
        <v>35</v>
      </c>
      <c r="I953" s="15" t="n">
        <v>172</v>
      </c>
      <c r="J953" s="13" t="n">
        <v>25</v>
      </c>
      <c r="K953" t="n">
        <v>60</v>
      </c>
      <c r="L953" s="13" t="n">
        <v>2.1</v>
      </c>
      <c r="M953" s="12" t="n"/>
      <c r="N953" s="8" t="n">
        <v>1.374318838339006</v>
      </c>
      <c r="O953" s="15" t="n">
        <v>1.182181429524207</v>
      </c>
      <c r="P953" s="15" t="n">
        <v>1.318450518505043</v>
      </c>
      <c r="Q953" s="15" t="n">
        <v>0.01870441211374545</v>
      </c>
      <c r="R953" s="15" t="n">
        <v>0.04367312087939745</v>
      </c>
      <c r="S953" s="15" t="n">
        <v>0.01827637991757732</v>
      </c>
      <c r="T953" s="29">
        <f>HIPERLINK($A$1 &amp; "\Dados\Imagem_perfil_953.png", "Imagem_perfil_953")</f>
        <v/>
      </c>
      <c r="U953" s="29">
        <f>HIPERLINK($A$1 &amp; "\Dados\Results_airgap953.txt", "Results_airgap953")</f>
        <v/>
      </c>
      <c r="V953" s="19" t="n"/>
      <c r="W953" s="15" t="n">
        <v>1.754829782608696</v>
      </c>
      <c r="X953" s="15" t="n">
        <v>0.8778655440681074</v>
      </c>
      <c r="Y953" s="15" t="n">
        <v>0.110026662913937</v>
      </c>
      <c r="Z953" s="15" t="n">
        <v>0.03270171476997839</v>
      </c>
      <c r="AA953" s="15" t="n">
        <v>0.7591128376379077</v>
      </c>
      <c r="AB953" s="15" t="n">
        <v>0.08791047711391659</v>
      </c>
      <c r="AC953" s="15" t="n">
        <v>15.32686233910968</v>
      </c>
      <c r="AD953" s="15" t="n">
        <v>66.18382402023838</v>
      </c>
      <c r="AE953" s="15" t="n">
        <v>98.65704662968649</v>
      </c>
      <c r="AF953" s="15" t="n">
        <v>130.6578348398544</v>
      </c>
      <c r="AH953" s="29">
        <f>HIPERLINK($A$1 &amp; "\Dados\Magnet_fields.txt_953.txt.txt", "Magnet_fields.txt_953.txt")</f>
        <v/>
      </c>
      <c r="AI953" t="n">
        <v>8345</v>
      </c>
      <c r="AJ953" t="n">
        <v>29</v>
      </c>
      <c r="AK953" s="29">
        <f>HIPERLINK($A$1 &amp; "\Dados\Magnet_3D_results.txt_953.txt.txt", "Magnet_3D_results.txt_953.txt")</f>
        <v/>
      </c>
      <c r="AL953" s="29">
        <f>HIPERLINK($A$1 &amp; "\Dados\Magnet_fields_2D.txt_953.txt.txt", "Magnet_fields_2D.txt_953.txt")</f>
        <v/>
      </c>
    </row>
    <row r="954">
      <c r="E954" s="15" t="n">
        <v>150</v>
      </c>
      <c r="F954" s="15" t="n">
        <v>181</v>
      </c>
      <c r="G954" s="15" t="n">
        <v>414</v>
      </c>
      <c r="H954" s="15" t="n">
        <v>25</v>
      </c>
      <c r="I954" s="15" t="n">
        <v>170</v>
      </c>
      <c r="J954" s="13" t="n">
        <v>25</v>
      </c>
      <c r="K954" t="n">
        <v>45</v>
      </c>
      <c r="L954" s="13" t="n">
        <v>2</v>
      </c>
      <c r="M954" s="12" t="n"/>
      <c r="N954" s="8" t="n">
        <v>1.582094253292381</v>
      </c>
      <c r="O954" s="15" t="n">
        <v>1.395429860637138</v>
      </c>
      <c r="P954" s="15" t="n">
        <v>1.523332919142429</v>
      </c>
      <c r="Q954" s="15" t="n">
        <v>0.003972460517964785</v>
      </c>
      <c r="R954" s="15" t="n">
        <v>0.03213898052464845</v>
      </c>
      <c r="S954" s="15" t="n">
        <v>0.004010022589736636</v>
      </c>
      <c r="T954" s="42">
        <f>HIPERLINK($A$1 &amp; "\Dados\Imagem_perfil_954.png", "Imagem_perfil_954")</f>
        <v/>
      </c>
      <c r="U954" s="42">
        <f>HIPERLINK($A$1 &amp; "\Dados\Results_airgap954.txt", "Results_airgap954")</f>
        <v/>
      </c>
      <c r="V954" s="19" t="n"/>
      <c r="W954" s="43" t="n">
        <v>1.994440652173913</v>
      </c>
      <c r="X954" s="15" t="n">
        <v>0.9919288042176762</v>
      </c>
      <c r="Y954" s="15" t="n">
        <v>0.001265765026221823</v>
      </c>
      <c r="Z954" s="15" t="n">
        <v>0</v>
      </c>
      <c r="AA954" s="15" t="n">
        <v>5.97866297603884</v>
      </c>
      <c r="AB954" s="15" t="n">
        <v>1.719044711638474</v>
      </c>
      <c r="AC954" s="15" t="n">
        <v>0.4726100776228304</v>
      </c>
      <c r="AD954" s="15" t="n">
        <v>33.09540366320039</v>
      </c>
      <c r="AE954" s="15" t="n">
        <v>85.07261166420713</v>
      </c>
      <c r="AF954" s="15" t="n">
        <v>117.5247830222871</v>
      </c>
      <c r="AH954" s="42">
        <f>HIPERLINK($A$1 &amp; "\Dados\Magnet_fields_954.txt.txt", "Magnet_fields_954.txt")</f>
        <v/>
      </c>
      <c r="AI954" t="n">
        <v>10505</v>
      </c>
      <c r="AJ954" t="n">
        <v>29</v>
      </c>
      <c r="AK954" s="42">
        <f>HIPERLINK($A$1 &amp; "\Dados\Magnet_3D_results_954.txt.txt", "Magnet_3D_results_954.txt")</f>
        <v/>
      </c>
      <c r="AL954" s="42">
        <f>HIPERLINK($A$1 &amp; "\Dados\Magnet_fields_2D_954.txt.txt", "Magnet_fields_2D_954.txt")</f>
        <v/>
      </c>
    </row>
    <row r="955">
      <c r="E955" s="15" t="n">
        <v>136</v>
      </c>
      <c r="F955" s="15" t="n">
        <v>181</v>
      </c>
      <c r="G955" s="15" t="n">
        <v>390</v>
      </c>
      <c r="H955" s="15" t="n">
        <v>35</v>
      </c>
      <c r="I955" s="15" t="n">
        <v>171</v>
      </c>
      <c r="J955" s="13" t="n">
        <v>25</v>
      </c>
      <c r="K955" t="n">
        <v>50</v>
      </c>
      <c r="L955" s="13" t="n">
        <v>2</v>
      </c>
      <c r="M955" s="12" t="n"/>
      <c r="N955" s="8" t="n">
        <v>1.412301400751813</v>
      </c>
      <c r="O955" s="15" t="n">
        <v>1.215824277817475</v>
      </c>
      <c r="P955" s="15" t="n">
        <v>1.353547489520035</v>
      </c>
      <c r="Q955" s="15" t="n">
        <v>0.005826136323501188</v>
      </c>
      <c r="R955" s="15" t="n">
        <v>0.04455524586488817</v>
      </c>
      <c r="S955" s="15" t="n">
        <v>0.006024511761122445</v>
      </c>
      <c r="T955" s="42">
        <f>HIPERLINK($A$1 &amp; "\Dados\Imagem_perfil_955.png", "Imagem_perfil_955")</f>
        <v/>
      </c>
      <c r="U955" s="42">
        <f>HIPERLINK($A$1 &amp; "\Dados\Results_airgap955.txt", "Results_airgap955")</f>
        <v/>
      </c>
      <c r="V955" s="19" t="n"/>
      <c r="W955" s="15" t="n">
        <v>1.821839347826087</v>
      </c>
      <c r="X955" s="15" t="n">
        <v>0.8956585993099674</v>
      </c>
      <c r="Y955" s="15" t="n">
        <v>0.0594510639081605</v>
      </c>
      <c r="Z955" s="15" t="n">
        <v>0.001094986083990318</v>
      </c>
      <c r="AA955" s="15" t="n">
        <v>0.6260430208650273</v>
      </c>
      <c r="AB955" s="15" t="n">
        <v>1.219172536653729</v>
      </c>
      <c r="AC955" s="15" t="n">
        <v>13.10703103325321</v>
      </c>
      <c r="AD955" s="15" t="n">
        <v>48.83915246724146</v>
      </c>
      <c r="AE955" s="15" t="n">
        <v>87.13966917284506</v>
      </c>
      <c r="AF955" s="15" t="n">
        <v>121.0489983112427</v>
      </c>
      <c r="AH955" s="42">
        <f>HIPERLINK($A$1 &amp; "\Dados\Magnet_fields_955.txt.txt", "Magnet_fields_955.txt")</f>
        <v/>
      </c>
      <c r="AI955" t="n">
        <v>7357</v>
      </c>
      <c r="AJ955" t="n">
        <v>29</v>
      </c>
      <c r="AK955" s="42">
        <f>HIPERLINK($A$1 &amp; "\Dados\Magnet_3D_results_955.txt.txt", "Magnet_3D_results_955.txt")</f>
        <v/>
      </c>
      <c r="AL955" s="42">
        <f>HIPERLINK($A$1 &amp; "\Dados\Magnet_fields_2D_955.txt.txt", "Magnet_fields_2D_955.txt")</f>
        <v/>
      </c>
    </row>
    <row r="956">
      <c r="E956" s="15" t="n">
        <v>136</v>
      </c>
      <c r="F956" s="15" t="n">
        <v>181</v>
      </c>
      <c r="G956" s="15" t="n">
        <v>390</v>
      </c>
      <c r="H956" s="15" t="n">
        <v>35</v>
      </c>
      <c r="I956" s="15" t="n">
        <v>171</v>
      </c>
      <c r="J956" s="13" t="n">
        <v>25</v>
      </c>
      <c r="K956" t="n">
        <v>50</v>
      </c>
      <c r="L956" s="13" t="n">
        <v>3</v>
      </c>
      <c r="M956" s="12" t="n"/>
      <c r="N956" s="8" t="n">
        <v>1.418843153790152</v>
      </c>
      <c r="O956" s="15" t="n">
        <v>1.221654245342708</v>
      </c>
      <c r="P956" s="15" t="n">
        <v>1.359804805676797</v>
      </c>
      <c r="Q956" s="15" t="n">
        <v>0.005838148257306036</v>
      </c>
      <c r="R956" s="15" t="n">
        <v>0.04478156702664605</v>
      </c>
      <c r="S956" s="15" t="n">
        <v>0.006037328998132678</v>
      </c>
      <c r="T956" s="42">
        <f>HIPERLINK($A$1 &amp; "\Dados\Imagem_perfil_956.png", "Imagem_perfil_956")</f>
        <v/>
      </c>
      <c r="U956" s="42">
        <f>HIPERLINK($A$1 &amp; "\Dados\Results_airgap956.txt", "Results_airgap956")</f>
        <v/>
      </c>
      <c r="V956" s="19" t="n"/>
      <c r="W956" s="15" t="n">
        <v>1.832697173913044</v>
      </c>
      <c r="X956" s="15" t="n">
        <v>0.8998705288535276</v>
      </c>
      <c r="Y956" s="15" t="n">
        <v>0.6845410274999013</v>
      </c>
      <c r="Z956" s="15" t="n">
        <v>0.001094986083990318</v>
      </c>
      <c r="AA956" s="15" t="n">
        <v>0.4868883701912636</v>
      </c>
      <c r="AB956" s="15" t="n">
        <v>2.280975347961599</v>
      </c>
      <c r="AC956" s="15" t="n">
        <v>14.97117522101046</v>
      </c>
      <c r="AD956" s="15" t="n">
        <v>49.88375178434703</v>
      </c>
      <c r="AE956" s="15" t="n">
        <v>87.40484140365369</v>
      </c>
      <c r="AF956" s="15" t="n">
        <v>121.1041209082099</v>
      </c>
      <c r="AH956" s="42">
        <f>HIPERLINK($A$1 &amp; "\Dados\Magnet_fields_956.txt.txt", "Magnet_fields_956.txt")</f>
        <v/>
      </c>
      <c r="AI956" t="n">
        <v>7357</v>
      </c>
      <c r="AJ956" t="n">
        <v>29</v>
      </c>
      <c r="AK956" s="42">
        <f>HIPERLINK($A$1 &amp; "\Dados\Magnet_3D_results_956.txt.txt", "Magnet_3D_results_956.txt")</f>
        <v/>
      </c>
      <c r="AL956" s="42">
        <f>HIPERLINK($A$1 &amp; "\Dados\Magnet_fields_2D_956.txt.txt", "Magnet_fields_2D_956.txt")</f>
        <v/>
      </c>
    </row>
    <row r="957">
      <c r="E957" s="15" t="n">
        <v>149</v>
      </c>
      <c r="F957" s="15" t="n">
        <v>190</v>
      </c>
      <c r="G957" s="15" t="n">
        <v>411</v>
      </c>
      <c r="H957" s="15" t="n">
        <v>45</v>
      </c>
      <c r="I957" s="15" t="n">
        <v>174</v>
      </c>
      <c r="J957" s="13" t="n">
        <v>25</v>
      </c>
      <c r="K957" t="n">
        <v>45</v>
      </c>
      <c r="L957" s="13" t="n">
        <v>2</v>
      </c>
      <c r="M957" s="12" t="n"/>
      <c r="N957" s="8" t="n">
        <v>1.453390228464698</v>
      </c>
      <c r="O957" s="15" t="n">
        <v>1.276717029540547</v>
      </c>
      <c r="P957" s="15" t="n">
        <v>1.406347190634305</v>
      </c>
      <c r="Q957" s="15" t="n">
        <v>0.002589523447291773</v>
      </c>
      <c r="R957" s="15" t="n">
        <v>0.03944233942176657</v>
      </c>
      <c r="S957" s="15" t="n">
        <v>0.002794310605844267</v>
      </c>
      <c r="T957" s="42">
        <f>HIPERLINK($A$1 &amp; "\Dados\Imagem_perfil_957.png", "Imagem_perfil_957")</f>
        <v/>
      </c>
      <c r="U957" s="42">
        <f>HIPERLINK($A$1 &amp; "\Dados\Results_airgap957.txt", "Results_airgap957")</f>
        <v/>
      </c>
      <c r="V957" s="19" t="n"/>
      <c r="W957" s="15" t="n">
        <v>1.824590869565217</v>
      </c>
      <c r="X957" s="15" t="n">
        <v>0.9181479658571959</v>
      </c>
      <c r="Y957" s="15" t="n">
        <v>0.05343333666072275</v>
      </c>
      <c r="Z957" s="15" t="n">
        <v>0</v>
      </c>
      <c r="AA957" s="15" t="n">
        <v>0</v>
      </c>
      <c r="AB957" s="15" t="n">
        <v>0</v>
      </c>
      <c r="AC957" s="15" t="n">
        <v>2.918122560828877</v>
      </c>
      <c r="AD957" s="15" t="n">
        <v>40.26012866695369</v>
      </c>
      <c r="AE957" s="15" t="n">
        <v>88.65371439490005</v>
      </c>
      <c r="AF957" s="15" t="n">
        <v>119.0579944522135</v>
      </c>
      <c r="AH957" s="42">
        <f>HIPERLINK($A$1 &amp; "\Dados\Magnet_fields_957.txt.txt", "Magnet_fields_957.txt")</f>
        <v/>
      </c>
      <c r="AI957" t="n">
        <v>6445</v>
      </c>
      <c r="AJ957" t="n">
        <v>29</v>
      </c>
      <c r="AK957" s="42">
        <f>HIPERLINK($A$1 &amp; "\Dados\Magnet_3D_results_957.txt.txt", "Magnet_3D_results_957.txt")</f>
        <v/>
      </c>
      <c r="AL957" s="42">
        <f>HIPERLINK($A$1 &amp; "\Dados\Magnet_fields_2D_957.txt.txt", "Magnet_fields_2D_957.txt")</f>
        <v/>
      </c>
    </row>
    <row r="958">
      <c r="E958" s="15" t="n">
        <v>149</v>
      </c>
      <c r="F958" s="15" t="n">
        <v>190</v>
      </c>
      <c r="G958" s="15" t="n">
        <v>411</v>
      </c>
      <c r="H958" s="15" t="n">
        <v>45</v>
      </c>
      <c r="I958" s="15" t="n">
        <v>174</v>
      </c>
      <c r="J958" s="13" t="n">
        <v>25</v>
      </c>
      <c r="K958" t="n">
        <v>45</v>
      </c>
      <c r="L958" s="13" t="n">
        <v>3</v>
      </c>
      <c r="M958" s="12" t="n"/>
      <c r="N958" s="8" t="n">
        <v>1.466222026355305</v>
      </c>
      <c r="O958" s="15" t="n">
        <v>1.287752627814052</v>
      </c>
      <c r="P958" s="15" t="n">
        <v>1.418785694659509</v>
      </c>
      <c r="Q958" s="15" t="n">
        <v>0.002632497302543052</v>
      </c>
      <c r="R958" s="15" t="n">
        <v>0.03967806331326352</v>
      </c>
      <c r="S958" s="15" t="n">
        <v>0.002836625044332154</v>
      </c>
      <c r="T958" s="42">
        <f>HIPERLINK($A$1 &amp; "\Dados\Imagem_perfil_958.png", "Imagem_perfil_958")</f>
        <v/>
      </c>
      <c r="U958" s="42">
        <f>HIPERLINK($A$1 &amp; "\Dados\Results_airgap958.txt", "Results_airgap958")</f>
        <v/>
      </c>
      <c r="V958" s="19" t="n"/>
      <c r="W958" s="15" t="n">
        <v>1.840504130434783</v>
      </c>
      <c r="X958" s="15" t="n">
        <v>0.9259275287580901</v>
      </c>
      <c r="Y958" s="15" t="n">
        <v>0.6705953785449934</v>
      </c>
      <c r="Z958" s="15" t="n">
        <v>0</v>
      </c>
      <c r="AA958" s="15" t="n">
        <v>0</v>
      </c>
      <c r="AB958" s="15" t="n">
        <v>0.5033066943033544</v>
      </c>
      <c r="AC958" s="15" t="n">
        <v>5.526325772747821</v>
      </c>
      <c r="AD958" s="15" t="n">
        <v>41.53568446204865</v>
      </c>
      <c r="AE958" s="15" t="n">
        <v>88.81345761506401</v>
      </c>
      <c r="AF958" s="15" t="n">
        <v>119.0586017609298</v>
      </c>
      <c r="AH958" s="42">
        <f>HIPERLINK($A$1 &amp; "\Dados\Magnet_fields_958.txt.txt", "Magnet_fields_958.txt")</f>
        <v/>
      </c>
      <c r="AI958" t="n">
        <v>6445</v>
      </c>
      <c r="AJ958" t="n">
        <v>28</v>
      </c>
      <c r="AK958" s="42">
        <f>HIPERLINK($A$1 &amp; "\Dados\Magnet_3D_results_958.txt.txt", "Magnet_3D_results_958.txt")</f>
        <v/>
      </c>
      <c r="AL958" s="42">
        <f>HIPERLINK($A$1 &amp; "\Dados\Magnet_fields_2D_958.txt.txt", "Magnet_fields_2D_958.txt")</f>
        <v/>
      </c>
    </row>
    <row r="959">
      <c r="E959" s="15" t="n">
        <v>129</v>
      </c>
      <c r="F959" s="15" t="n">
        <v>177</v>
      </c>
      <c r="G959" s="15" t="n">
        <v>361</v>
      </c>
      <c r="H959" s="15" t="n">
        <v>27</v>
      </c>
      <c r="I959" s="15" t="n">
        <v>142</v>
      </c>
      <c r="J959" s="13" t="n">
        <v>25</v>
      </c>
      <c r="K959" t="n">
        <v>55</v>
      </c>
      <c r="L959" s="13" t="n">
        <v>2</v>
      </c>
      <c r="M959" s="12" t="n"/>
      <c r="N959" s="8" t="n">
        <v>1.244260970872534</v>
      </c>
      <c r="O959" s="15" t="n">
        <v>0.9682535298935109</v>
      </c>
      <c r="P959" s="15" t="n">
        <v>1.159081148059225</v>
      </c>
      <c r="Q959" s="15" t="n">
        <v>0.01175496274316229</v>
      </c>
      <c r="R959" s="15" t="n">
        <v>0.04027156681879669</v>
      </c>
      <c r="S959" s="15" t="n">
        <v>0.01290871362109526</v>
      </c>
      <c r="T959" s="42">
        <f>HIPERLINK($A$1 &amp; "\Dados\Imagem_perfil_959.png", "Imagem_perfil_959")</f>
        <v/>
      </c>
      <c r="U959" s="42">
        <f>HIPERLINK($A$1 &amp; "\Dados\Results_airgap959.txt", "Results_airgap959")</f>
        <v/>
      </c>
      <c r="V959" s="19" t="n"/>
      <c r="W959" s="15" t="n">
        <v>1.711996739130435</v>
      </c>
      <c r="X959" s="15" t="n">
        <v>0.8034276983008549</v>
      </c>
      <c r="Y959" s="15" t="n">
        <v>0.1098229280365684</v>
      </c>
      <c r="Z959" s="15" t="n">
        <v>0.003190396410274158</v>
      </c>
      <c r="AA959" s="15" t="n">
        <v>4.632760036449328</v>
      </c>
      <c r="AB959" s="15" t="n">
        <v>1.528921843358564</v>
      </c>
      <c r="AC959" s="15" t="n">
        <v>14.21744229601087</v>
      </c>
      <c r="AD959" s="15" t="n">
        <v>54.19859865433244</v>
      </c>
      <c r="AE959" s="15" t="n">
        <v>92.04838407669554</v>
      </c>
      <c r="AF959" s="15" t="n">
        <v>125.1825814739763</v>
      </c>
      <c r="AH959" s="42">
        <f>HIPERLINK($A$1 &amp; "\Dados\Magnet_fields_959.txt.txt", "Magnet_fields_959.txt")</f>
        <v/>
      </c>
      <c r="AI959" t="n">
        <v>12363</v>
      </c>
      <c r="AJ959" t="n">
        <v>30</v>
      </c>
      <c r="AK959" s="42">
        <f>HIPERLINK($A$1 &amp; "\Dados\Magnet_3D_results_959.txt.txt", "Magnet_3D_results_959.txt")</f>
        <v/>
      </c>
      <c r="AL959" s="42">
        <f>HIPERLINK($A$1 &amp; "\Dados\Magnet_fields_2D_959.txt.txt", "Magnet_fields_2D_959.txt")</f>
        <v/>
      </c>
    </row>
    <row r="960">
      <c r="E960" s="15" t="n">
        <v>129</v>
      </c>
      <c r="F960" s="15" t="n">
        <v>177</v>
      </c>
      <c r="G960" s="15" t="n">
        <v>361</v>
      </c>
      <c r="H960" s="15" t="n">
        <v>27</v>
      </c>
      <c r="I960" s="15" t="n">
        <v>142</v>
      </c>
      <c r="J960" s="13" t="n">
        <v>25</v>
      </c>
      <c r="K960" t="n">
        <v>55</v>
      </c>
      <c r="L960" s="13" t="n">
        <v>3</v>
      </c>
      <c r="M960" s="12" t="n"/>
      <c r="N960" s="8" t="n">
        <v>1.243745729044835</v>
      </c>
      <c r="O960" s="15" t="n">
        <v>0.9677751543398844</v>
      </c>
      <c r="P960" s="15" t="n">
        <v>1.158573018938147</v>
      </c>
      <c r="Q960" s="15" t="n">
        <v>0.01182061809734123</v>
      </c>
      <c r="R960" s="15" t="n">
        <v>0.04008404108372903</v>
      </c>
      <c r="S960" s="15" t="n">
        <v>0.01296487973898422</v>
      </c>
      <c r="T960" s="42">
        <f>HIPERLINK($A$1 &amp; "\Dados\Imagem_perfil_960.png", "Imagem_perfil_960")</f>
        <v/>
      </c>
      <c r="U960" s="42">
        <f>HIPERLINK($A$1 &amp; "\Dados\Results_airgap960.txt", "Results_airgap960")</f>
        <v/>
      </c>
      <c r="V960" s="19" t="n"/>
      <c r="W960" s="15" t="n">
        <v>1.716215434782609</v>
      </c>
      <c r="X960" s="15" t="n">
        <v>0.8030048899371545</v>
      </c>
      <c r="Y960" s="15" t="n">
        <v>0.7858222727404507</v>
      </c>
      <c r="Z960" s="15" t="n">
        <v>0.004120465514779168</v>
      </c>
      <c r="AA960" s="15" t="n">
        <v>4.661196467911955</v>
      </c>
      <c r="AB960" s="15" t="n">
        <v>1.963179741454325</v>
      </c>
      <c r="AC960" s="15" t="n">
        <v>14.95129524366151</v>
      </c>
      <c r="AD960" s="15" t="n">
        <v>54.56809849531771</v>
      </c>
      <c r="AE960" s="15" t="n">
        <v>92.06137287877742</v>
      </c>
      <c r="AF960" s="15" t="n">
        <v>124.9802608115419</v>
      </c>
      <c r="AH960" s="42">
        <f>HIPERLINK($A$1 &amp; "\Dados\Magnet_fields_960.txt.txt", "Magnet_fields_960.txt")</f>
        <v/>
      </c>
      <c r="AI960" t="n">
        <v>12363</v>
      </c>
      <c r="AJ960" t="n">
        <v>31</v>
      </c>
      <c r="AK960" s="42">
        <f>HIPERLINK($A$1 &amp; "\Dados\Magnet_3D_results_960.txt.txt", "Magnet_3D_results_960.txt")</f>
        <v/>
      </c>
      <c r="AL960" s="42">
        <f>HIPERLINK($A$1 &amp; "\Dados\Magnet_fields_2D_960.txt.txt", "Magnet_fields_2D_960.txt")</f>
        <v/>
      </c>
    </row>
    <row r="961">
      <c r="E961" s="15" t="n">
        <v>135</v>
      </c>
      <c r="F961" s="15" t="n">
        <v>175</v>
      </c>
      <c r="G961" s="15" t="n">
        <v>363</v>
      </c>
      <c r="H961" s="15" t="n">
        <v>39</v>
      </c>
      <c r="I961" s="15" t="n">
        <v>168</v>
      </c>
      <c r="J961" s="13" t="n">
        <v>25</v>
      </c>
      <c r="K961" t="n">
        <v>50</v>
      </c>
      <c r="L961" s="13" t="n">
        <v>2</v>
      </c>
      <c r="M961" s="12" t="n"/>
      <c r="N961" s="8" t="n">
        <v>1.434748545753719</v>
      </c>
      <c r="O961" s="15" t="n">
        <v>1.20485422261804</v>
      </c>
      <c r="P961" s="15" t="n">
        <v>1.371683555159644</v>
      </c>
      <c r="Q961" s="15" t="n">
        <v>0.005157876014718833</v>
      </c>
      <c r="R961" s="15" t="n">
        <v>0.03815946443140439</v>
      </c>
      <c r="S961" s="15" t="n">
        <v>0.005253591648508395</v>
      </c>
      <c r="T961" s="42">
        <f>HIPERLINK($A$1 &amp; "\Dados\Imagem_perfil_961.png", "Imagem_perfil_961")</f>
        <v/>
      </c>
      <c r="U961" s="42">
        <f>HIPERLINK($A$1 &amp; "\Dados\Results_airgap961.txt", "Results_airgap961")</f>
        <v/>
      </c>
      <c r="V961" s="19" t="n"/>
      <c r="W961" s="15" t="n">
        <v>1.797545869565218</v>
      </c>
      <c r="X961" s="15" t="n">
        <v>0.9276467899223505</v>
      </c>
      <c r="Y961" s="15" t="n">
        <v>0.0593033515451544</v>
      </c>
      <c r="Z961" s="15" t="n">
        <v>0.001342011630250439</v>
      </c>
      <c r="AA961" s="15" t="n">
        <v>0.006483065771120265</v>
      </c>
      <c r="AB961" s="15" t="n">
        <v>0.6075701375459482</v>
      </c>
      <c r="AC961" s="15" t="n">
        <v>9.950426647846459</v>
      </c>
      <c r="AD961" s="15" t="n">
        <v>46.63168882069245</v>
      </c>
      <c r="AE961" s="15" t="n">
        <v>86.72391060450101</v>
      </c>
      <c r="AF961" s="15" t="n">
        <v>120.8413739591133</v>
      </c>
      <c r="AH961" s="42">
        <f>HIPERLINK($A$1 &amp; "\Dados\Magnet_fields_961.txt.txt", "Magnet_fields_961.txt")</f>
        <v/>
      </c>
      <c r="AI961" t="n">
        <v>6699</v>
      </c>
      <c r="AJ961" t="n">
        <v>28</v>
      </c>
      <c r="AK961" s="42">
        <f>HIPERLINK($A$1 &amp; "\Dados\Magnet_3D_results_961.txt.txt", "Magnet_3D_results_961.txt")</f>
        <v/>
      </c>
      <c r="AL961" s="42">
        <f>HIPERLINK($A$1 &amp; "\Dados\Magnet_fields_2D_961.txt.txt", "Magnet_fields_2D_961.txt")</f>
        <v/>
      </c>
    </row>
    <row r="962">
      <c r="E962" s="15" t="n">
        <v>135</v>
      </c>
      <c r="F962" s="15" t="n">
        <v>175</v>
      </c>
      <c r="G962" s="15" t="n">
        <v>363</v>
      </c>
      <c r="H962" s="15" t="n">
        <v>39</v>
      </c>
      <c r="I962" s="15" t="n">
        <v>168</v>
      </c>
      <c r="J962" s="13" t="n">
        <v>25</v>
      </c>
      <c r="K962" t="n">
        <v>50</v>
      </c>
      <c r="L962" s="13" t="n">
        <v>3</v>
      </c>
      <c r="M962" s="12" t="n"/>
      <c r="N962" s="8" t="n">
        <v>1.445714594320136</v>
      </c>
      <c r="O962" s="15" t="n">
        <v>1.214351640061963</v>
      </c>
      <c r="P962" s="15" t="n">
        <v>1.38216202223628</v>
      </c>
      <c r="Q962" s="15" t="n">
        <v>0.00519426742805522</v>
      </c>
      <c r="R962" s="15" t="n">
        <v>0.03838987246946751</v>
      </c>
      <c r="S962" s="15" t="n">
        <v>0.005290645553151495</v>
      </c>
      <c r="T962" s="42">
        <f>HIPERLINK($A$1 &amp; "\Dados\Imagem_perfil_962.png", "Imagem_perfil_962")</f>
        <v/>
      </c>
      <c r="U962" s="42">
        <f>HIPERLINK($A$1 &amp; "\Dados\Results_airgap962.txt", "Results_airgap962")</f>
        <v/>
      </c>
      <c r="V962" s="19" t="n"/>
      <c r="W962" s="15" t="n">
        <v>1.807023695652174</v>
      </c>
      <c r="X962" s="15" t="n">
        <v>0.9345247969337741</v>
      </c>
      <c r="Y962" s="15" t="n">
        <v>0.6852963567360428</v>
      </c>
      <c r="Z962" s="15" t="n">
        <v>0.0005091551662507948</v>
      </c>
      <c r="AA962" s="15" t="n">
        <v>0.005991578956115446</v>
      </c>
      <c r="AB962" s="15" t="n">
        <v>1.282787968277784</v>
      </c>
      <c r="AC962" s="15" t="n">
        <v>11.44785407697132</v>
      </c>
      <c r="AD962" s="15" t="n">
        <v>47.50241507911444</v>
      </c>
      <c r="AE962" s="15" t="n">
        <v>86.94777239507835</v>
      </c>
      <c r="AF962" s="15" t="n">
        <v>120.884990245283</v>
      </c>
      <c r="AH962" s="42">
        <f>HIPERLINK($A$1 &amp; "\Dados\Magnet_fields_962.txt.txt", "Magnet_fields_962.txt")</f>
        <v/>
      </c>
      <c r="AI962" t="n">
        <v>6699</v>
      </c>
      <c r="AJ962" t="n">
        <v>28</v>
      </c>
      <c r="AK962" s="42">
        <f>HIPERLINK($A$1 &amp; "\Dados\Magnet_3D_results_962.txt.txt", "Magnet_3D_results_962.txt")</f>
        <v/>
      </c>
      <c r="AL962" s="42">
        <f>HIPERLINK($A$1 &amp; "\Dados\Magnet_fields_2D_962.txt.txt", "Magnet_fields_2D_962.txt")</f>
        <v/>
      </c>
    </row>
    <row r="963">
      <c r="E963" s="15" t="n">
        <v>144</v>
      </c>
      <c r="F963" s="15" t="n">
        <v>183</v>
      </c>
      <c r="G963" s="15" t="n">
        <v>403</v>
      </c>
      <c r="H963" s="15" t="n">
        <v>32</v>
      </c>
      <c r="I963" s="15" t="n">
        <v>148</v>
      </c>
      <c r="J963" s="13" t="n">
        <v>25</v>
      </c>
      <c r="K963" t="n">
        <v>60</v>
      </c>
      <c r="L963" s="13" t="n">
        <v>2</v>
      </c>
      <c r="M963" s="12" t="n"/>
      <c r="N963" s="8" t="n">
        <v>1.480712483828669</v>
      </c>
      <c r="O963" s="15" t="n">
        <v>1.200794166804885</v>
      </c>
      <c r="P963" s="15" t="n">
        <v>1.38748664047873</v>
      </c>
      <c r="Q963" s="15" t="n">
        <v>0.008935143976626345</v>
      </c>
      <c r="R963" s="15" t="n">
        <v>0.05095688276420868</v>
      </c>
      <c r="S963" s="15" t="n">
        <v>0.009662234905930062</v>
      </c>
      <c r="T963" s="42">
        <f>HIPERLINK($A$1 &amp; "\Dados\Imagem_perfil_963.png", "Imagem_perfil_963")</f>
        <v/>
      </c>
      <c r="U963" s="42">
        <f>HIPERLINK($A$1 &amp; "\Dados\Results_airgap963.txt", "Results_airgap963")</f>
        <v/>
      </c>
      <c r="V963" s="19" t="n"/>
      <c r="W963" s="43" t="n">
        <v>1.99718152173913</v>
      </c>
      <c r="X963" s="15" t="n">
        <v>0.9622461036661614</v>
      </c>
      <c r="Y963" s="15" t="n">
        <v>0.000296302365703329</v>
      </c>
      <c r="Z963" s="15" t="n">
        <v>0.01790978428506891</v>
      </c>
      <c r="AA963" s="15" t="n">
        <v>3.275617971641565</v>
      </c>
      <c r="AB963" s="15" t="n">
        <v>5.085846854245506</v>
      </c>
      <c r="AC963" s="15" t="n">
        <v>16.30672127083654</v>
      </c>
      <c r="AD963" s="15" t="n">
        <v>71.31139704663555</v>
      </c>
      <c r="AE963" s="15" t="n">
        <v>115.0071787542506</v>
      </c>
      <c r="AF963" s="15" t="n">
        <v>163.1723516616424</v>
      </c>
      <c r="AH963" s="42">
        <f>HIPERLINK($A$1 &amp; "\Dados\Magnet_fields_963.txt.txt", "Magnet_fields_963.txt")</f>
        <v/>
      </c>
      <c r="AI963" t="n">
        <v>9455</v>
      </c>
      <c r="AJ963" t="n">
        <v>29</v>
      </c>
      <c r="AK963" s="42">
        <f>HIPERLINK($A$1 &amp; "\Dados\Magnet_3D_results_963.txt.txt", "Magnet_3D_results_963.txt")</f>
        <v/>
      </c>
      <c r="AL963" s="42">
        <f>HIPERLINK($A$1 &amp; "\Dados\Magnet_fields_2D_963.txt.txt", "Magnet_fields_2D_963.txt")</f>
        <v/>
      </c>
    </row>
    <row r="964">
      <c r="E964" s="15" t="n">
        <v>144</v>
      </c>
      <c r="F964" s="15" t="n">
        <v>183</v>
      </c>
      <c r="G964" s="15" t="n">
        <v>403</v>
      </c>
      <c r="H964" s="15" t="n">
        <v>32</v>
      </c>
      <c r="I964" s="15" t="n">
        <v>148</v>
      </c>
      <c r="J964" s="13" t="n">
        <v>25</v>
      </c>
      <c r="K964" t="n">
        <v>60</v>
      </c>
      <c r="L964" s="13" t="n">
        <v>3</v>
      </c>
      <c r="M964" s="12" t="n"/>
      <c r="N964" s="8" t="n">
        <v>1.504015314169139</v>
      </c>
      <c r="O964" s="15" t="n">
        <v>1.217249923967305</v>
      </c>
      <c r="P964" s="15" t="n">
        <v>1.408959587102958</v>
      </c>
      <c r="Q964" s="15" t="n">
        <v>0.01770482758112193</v>
      </c>
      <c r="R964" s="15" t="n">
        <v>0.05302577297568283</v>
      </c>
      <c r="S964" s="15" t="n">
        <v>0.01841308975504224</v>
      </c>
      <c r="T964" s="42">
        <f>HIPERLINK($A$1 &amp; "\Dados\Imagem_perfil_964.png", "Imagem_perfil_964")</f>
        <v/>
      </c>
      <c r="U964" s="42">
        <f>HIPERLINK($A$1 &amp; "\Dados\Results_airgap964.txt", "Results_airgap964")</f>
        <v/>
      </c>
      <c r="V964" s="19" t="n"/>
      <c r="W964" s="15" t="n">
        <v>2.053889565217391</v>
      </c>
      <c r="X964" s="15" t="n">
        <v>0.9747640105935722</v>
      </c>
      <c r="Y964" s="15" t="n">
        <v>0.4085738653792521</v>
      </c>
      <c r="Z964" s="15" t="n">
        <v>0</v>
      </c>
      <c r="AA964" s="15" t="n">
        <v>1.311613028484787</v>
      </c>
      <c r="AB964" s="15" t="n">
        <v>1.593859641419712</v>
      </c>
      <c r="AC964" s="15" t="n">
        <v>24.55331985289784</v>
      </c>
      <c r="AD964" s="15" t="n">
        <v>70.92772564955867</v>
      </c>
      <c r="AE964" s="15" t="n">
        <v>100.2451593043142</v>
      </c>
      <c r="AF964" s="15" t="n">
        <v>131.2798051230307</v>
      </c>
      <c r="AH964" s="42">
        <f>HIPERLINK($A$1 &amp; "\Dados\Magnet_fields_964.txt.txt", "Magnet_fields_964.txt")</f>
        <v/>
      </c>
      <c r="AI964" t="n">
        <v>9455</v>
      </c>
      <c r="AJ964" t="n">
        <v>30</v>
      </c>
      <c r="AK964" s="42">
        <f>HIPERLINK($A$1 &amp; "\Dados\Magnet_3D_results_964.txt.txt", "Magnet_3D_results_964.txt")</f>
        <v/>
      </c>
      <c r="AL964" s="42">
        <f>HIPERLINK($A$1 &amp; "\Dados\Magnet_fields_2D_964.txt.txt", "Magnet_fields_2D_964.txt")</f>
        <v/>
      </c>
    </row>
    <row r="965">
      <c r="E965" s="15" t="n">
        <v>130</v>
      </c>
      <c r="F965" s="15" t="n">
        <v>180</v>
      </c>
      <c r="G965" s="15" t="n">
        <v>402</v>
      </c>
      <c r="H965" s="15" t="n">
        <v>43</v>
      </c>
      <c r="I965" s="15" t="n">
        <v>146</v>
      </c>
      <c r="J965" s="13" t="n">
        <v>25</v>
      </c>
      <c r="K965" t="n">
        <v>55</v>
      </c>
      <c r="L965" s="13" t="n">
        <v>3</v>
      </c>
      <c r="M965" s="12" t="n"/>
      <c r="N965" s="8" t="n">
        <v>1.358023883721151</v>
      </c>
      <c r="O965" s="15" t="n">
        <v>1.089961147961263</v>
      </c>
      <c r="P965" s="15" t="n">
        <v>1.272371646339387</v>
      </c>
      <c r="Q965" s="15" t="n">
        <v>0.01432333902407741</v>
      </c>
      <c r="R965" s="15" t="n">
        <v>0.05997775484670824</v>
      </c>
      <c r="S965" s="15" t="n">
        <v>0.01576172470915539</v>
      </c>
      <c r="T965" s="42">
        <f>HIPERLINK($A$1 &amp; "\Dados\Imagem_perfil_965.png", "Imagem_perfil_965")</f>
        <v/>
      </c>
      <c r="U965" s="42">
        <f>HIPERLINK($A$1 &amp; "\Dados\Results_airgap965.txt", "Results_airgap965")</f>
        <v/>
      </c>
      <c r="V965" s="19" t="n"/>
      <c r="W965" s="15" t="n">
        <v>1.890467608695652</v>
      </c>
      <c r="X965" s="15" t="n">
        <v>0.8850999273671094</v>
      </c>
      <c r="Y965" s="15" t="n">
        <v>0.6012390069097764</v>
      </c>
      <c r="Z965" s="15" t="n">
        <v>0.0007620969639161445</v>
      </c>
      <c r="AA965" s="15" t="n">
        <v>0.004424969435888344</v>
      </c>
      <c r="AB965" s="15" t="n">
        <v>3.349381601087431</v>
      </c>
      <c r="AC965" s="15" t="n">
        <v>23.35525376524094</v>
      </c>
      <c r="AD965" s="15" t="n">
        <v>64.09157022971999</v>
      </c>
      <c r="AE965" s="15" t="n">
        <v>95.09087986049339</v>
      </c>
      <c r="AF965" s="15" t="n">
        <v>126.4120252273111</v>
      </c>
      <c r="AH965" s="42">
        <f>HIPERLINK($A$1 &amp; "\Dados\Magnet_fields_965.txt.txt", "Magnet_fields_965.txt")</f>
        <v/>
      </c>
      <c r="AI965" t="n">
        <v>10864</v>
      </c>
      <c r="AJ965" t="n">
        <v>30</v>
      </c>
      <c r="AK965" s="42">
        <f>HIPERLINK($A$1 &amp; "\Dados\Magnet_3D_results_965.txt.txt", "Magnet_3D_results_965.txt")</f>
        <v/>
      </c>
      <c r="AL965" s="42">
        <f>HIPERLINK($A$1 &amp; "\Dados\Magnet_fields_2D_965.txt.txt", "Magnet_fields_2D_965.txt")</f>
        <v/>
      </c>
    </row>
    <row r="966">
      <c r="E966" s="15" t="n">
        <v>135</v>
      </c>
      <c r="F966" s="15" t="n">
        <v>170</v>
      </c>
      <c r="G966" s="15" t="n">
        <v>389</v>
      </c>
      <c r="H966" s="15" t="n">
        <v>41</v>
      </c>
      <c r="I966" s="15" t="n">
        <v>171</v>
      </c>
      <c r="J966" s="13" t="n">
        <v>25</v>
      </c>
      <c r="K966" t="n">
        <v>50</v>
      </c>
      <c r="L966" s="13" t="n">
        <v>3</v>
      </c>
      <c r="M966" s="12" t="n"/>
      <c r="N966" s="8" t="n">
        <v>1.623425115529246</v>
      </c>
      <c r="O966" s="15" t="n">
        <v>1.4460194188337</v>
      </c>
      <c r="P966" s="15" t="n">
        <v>1.579316957315785</v>
      </c>
      <c r="Q966" s="15" t="n">
        <v>0.007602402160286899</v>
      </c>
      <c r="R966" s="15" t="n">
        <v>0.04791943014801171</v>
      </c>
      <c r="S966" s="15" t="n">
        <v>0.007613583275039897</v>
      </c>
      <c r="T966" s="42">
        <f>HIPERLINK($A$1 &amp; "\Dados\Imagem_perfil_966.png", "Imagem_perfil_966")</f>
        <v/>
      </c>
      <c r="U966" s="42">
        <f>HIPERLINK($A$1 &amp; "\Dados\Results_airgap966.txt", "Results_airgap966")</f>
        <v/>
      </c>
      <c r="V966" s="19" t="n"/>
      <c r="W966" s="15" t="n">
        <v>2.04935152173913</v>
      </c>
      <c r="X966" s="15" t="n">
        <v>1.071904408260679</v>
      </c>
      <c r="Y966" s="15" t="n">
        <v>0.4477572196691595</v>
      </c>
      <c r="Z966" s="15" t="n">
        <v>0</v>
      </c>
      <c r="AA966" s="15" t="n">
        <v>0.006869289334678334</v>
      </c>
      <c r="AB966" s="15" t="n">
        <v>1.219348511167616</v>
      </c>
      <c r="AC966" s="15" t="n">
        <v>14.15045974937619</v>
      </c>
      <c r="AD966" s="15" t="n">
        <v>53.67355350451937</v>
      </c>
      <c r="AE966" s="15" t="n">
        <v>91.14882317008593</v>
      </c>
      <c r="AF966" s="15" t="n">
        <v>122.672670264191</v>
      </c>
      <c r="AH966" s="42">
        <f>HIPERLINK($A$1 &amp; "\Dados\Magnet_fields_966.txt.txt", "Magnet_fields_966.txt")</f>
        <v/>
      </c>
      <c r="AI966" t="n">
        <v>7078</v>
      </c>
      <c r="AJ966" t="n">
        <v>29</v>
      </c>
      <c r="AK966" s="42">
        <f>HIPERLINK($A$1 &amp; "\Dados\Magnet_3D_results_966.txt.txt", "Magnet_3D_results_966.txt")</f>
        <v/>
      </c>
      <c r="AL966" s="42">
        <f>HIPERLINK($A$1 &amp; "\Dados\Magnet_fields_2D_966.txt.txt", "Magnet_fields_2D_966.txt")</f>
        <v/>
      </c>
    </row>
    <row r="967">
      <c r="E967" s="15" t="n">
        <v>141</v>
      </c>
      <c r="F967" s="15" t="n">
        <v>185</v>
      </c>
      <c r="G967" s="15" t="n">
        <v>370</v>
      </c>
      <c r="H967" s="15" t="n">
        <v>28</v>
      </c>
      <c r="I967" s="15" t="n">
        <v>141</v>
      </c>
      <c r="J967" s="13" t="n">
        <v>25</v>
      </c>
      <c r="K967" t="n">
        <v>60</v>
      </c>
      <c r="L967" s="13" t="n">
        <v>3</v>
      </c>
      <c r="M967" s="12" t="n"/>
      <c r="N967" s="8" t="n">
        <v>1.298135345291842</v>
      </c>
      <c r="O967" s="15" t="n">
        <v>1.013712276461423</v>
      </c>
      <c r="P967" s="15" t="n">
        <v>1.214292197428034</v>
      </c>
      <c r="Q967" s="15" t="n">
        <v>0.01638419339325466</v>
      </c>
      <c r="R967" s="15" t="n">
        <v>0.03974514082561447</v>
      </c>
      <c r="S967" s="15" t="n">
        <v>0.0169898566152414</v>
      </c>
      <c r="T967" s="42">
        <f>HIPERLINK($A$1 &amp; "\Dados\Imagem_perfil_967.png", "Imagem_perfil_967")</f>
        <v/>
      </c>
      <c r="U967" s="42">
        <f>HIPERLINK($A$1 &amp; "\Dados\Results_airgap967.txt", "Results_airgap967")</f>
        <v/>
      </c>
      <c r="V967" s="19" t="n"/>
      <c r="W967" s="15" t="n">
        <v>1.797415217391304</v>
      </c>
      <c r="X967" s="15" t="n">
        <v>0.8628026564656192</v>
      </c>
      <c r="Y967" s="15" t="n">
        <v>0.6515499283427464</v>
      </c>
      <c r="Z967" s="15" t="n">
        <v>0.01537551377863046</v>
      </c>
      <c r="AA967" s="15" t="n">
        <v>4.437842664746437</v>
      </c>
      <c r="AB967" s="15" t="n">
        <v>0.4934049306175774</v>
      </c>
      <c r="AC967" s="15" t="n">
        <v>20.63019998674326</v>
      </c>
      <c r="AD967" s="15" t="n">
        <v>67.81149147556475</v>
      </c>
      <c r="AE967" s="15" t="n">
        <v>97.96264691177255</v>
      </c>
      <c r="AF967" s="15" t="n">
        <v>129.7361783784957</v>
      </c>
      <c r="AH967" s="42">
        <f>HIPERLINK($A$1 &amp; "\Dados\Magnet_fields_967.txt.txt", "Magnet_fields_967.txt")</f>
        <v/>
      </c>
      <c r="AI967" t="n">
        <v>9008</v>
      </c>
      <c r="AJ967" t="n">
        <v>29</v>
      </c>
      <c r="AK967" s="42">
        <f>HIPERLINK($A$1 &amp; "\Dados\Magnet_3D_results_967.txt.txt", "Magnet_3D_results_967.txt")</f>
        <v/>
      </c>
      <c r="AL967" s="42">
        <f>HIPERLINK($A$1 &amp; "\Dados\Magnet_fields_2D_967.txt.txt", "Magnet_fields_2D_967.txt")</f>
        <v/>
      </c>
    </row>
    <row r="968">
      <c r="E968" s="15" t="n">
        <v>148</v>
      </c>
      <c r="F968" s="15" t="n">
        <v>198</v>
      </c>
      <c r="G968" s="15" t="n">
        <v>367</v>
      </c>
      <c r="H968" s="15" t="n">
        <v>35</v>
      </c>
      <c r="I968" s="15" t="n">
        <v>174</v>
      </c>
      <c r="J968" s="13" t="n">
        <v>25</v>
      </c>
      <c r="K968" t="n">
        <v>45</v>
      </c>
      <c r="L968" s="13" t="n">
        <v>3</v>
      </c>
      <c r="M968" s="12" t="n"/>
      <c r="N968" s="8" t="n">
        <v>1.218334205134987</v>
      </c>
      <c r="O968" s="15" t="n">
        <v>1.045384389617557</v>
      </c>
      <c r="P968" s="15" t="n">
        <v>1.170477652650666</v>
      </c>
      <c r="Q968" s="15" t="n">
        <v>0.001848439030735027</v>
      </c>
      <c r="R968" s="15" t="n">
        <v>0.02817229724582721</v>
      </c>
      <c r="S968" s="15" t="n">
        <v>0.002106890791169235</v>
      </c>
      <c r="T968" s="42">
        <f>HIPERLINK($A$1 &amp; "\Dados\Imagem_perfil_968.png", "Imagem_perfil_968")</f>
        <v/>
      </c>
      <c r="U968" s="42">
        <f>HIPERLINK($A$1 &amp; "\Dados\Results_airgap968.txt", "Results_airgap968")</f>
        <v/>
      </c>
      <c r="V968" s="19" t="n"/>
      <c r="W968" s="15" t="n">
        <v>1.516027391304348</v>
      </c>
      <c r="X968" s="15" t="n">
        <v>0.7681916238908255</v>
      </c>
      <c r="Y968" s="15" t="n">
        <v>1.057290938234167</v>
      </c>
      <c r="Z968" s="15" t="n">
        <v>0</v>
      </c>
      <c r="AA968" s="15" t="n">
        <v>0.3582066233699915</v>
      </c>
      <c r="AB968" s="15" t="n">
        <v>0.1967606377893861</v>
      </c>
      <c r="AC968" s="15" t="n">
        <v>6.922538318073817</v>
      </c>
      <c r="AD968" s="15" t="n">
        <v>39.02976913650967</v>
      </c>
      <c r="AE968" s="15" t="n">
        <v>82.12402361800993</v>
      </c>
      <c r="AF968" s="15" t="n">
        <v>116.192869388191</v>
      </c>
      <c r="AH968" s="42">
        <f>HIPERLINK($A$1 &amp; "\Dados\Magnet_fields_968.txt.txt", "Magnet_fields_968.txt")</f>
        <v/>
      </c>
      <c r="AI968" t="n">
        <v>7098</v>
      </c>
      <c r="AJ968" t="n">
        <v>29</v>
      </c>
      <c r="AK968" s="42">
        <f>HIPERLINK($A$1 &amp; "\Dados\Magnet_3D_results_968.txt.txt", "Magnet_3D_results_968.txt")</f>
        <v/>
      </c>
      <c r="AL968" s="42">
        <f>HIPERLINK($A$1 &amp; "\Dados\Magnet_fields_2D_968.txt.txt", "Magnet_fields_2D_968.txt")</f>
        <v/>
      </c>
    </row>
    <row r="969">
      <c r="E969" s="15" t="n">
        <v>142</v>
      </c>
      <c r="F969" s="15" t="n">
        <v>183</v>
      </c>
      <c r="G969" s="15" t="n">
        <v>395</v>
      </c>
      <c r="H969" s="15" t="n">
        <v>37</v>
      </c>
      <c r="I969" s="15" t="n">
        <v>156</v>
      </c>
      <c r="J969" s="13" t="n">
        <v>25</v>
      </c>
      <c r="K969" t="n">
        <v>45</v>
      </c>
      <c r="L969" s="13" t="n">
        <v>3</v>
      </c>
      <c r="M969" s="12" t="n"/>
      <c r="N969" s="8" t="n">
        <v>1.411177131766834</v>
      </c>
      <c r="O969" s="15" t="n">
        <v>1.214708929974378</v>
      </c>
      <c r="P969" s="15" t="n">
        <v>1.36870194600707</v>
      </c>
      <c r="Q969" s="15" t="n">
        <v>0.002660190751728796</v>
      </c>
      <c r="R969" s="15" t="n">
        <v>0.03803189794449866</v>
      </c>
      <c r="S969" s="15" t="n">
        <v>0.00295661856378285</v>
      </c>
      <c r="T969" s="42">
        <f>HIPERLINK($A$1 &amp; "\Dados\Imagem_perfil_969.png", "Imagem_perfil_969")</f>
        <v/>
      </c>
      <c r="U969" s="42">
        <f>HIPERLINK($A$1 &amp; "\Dados\Results_airgap969.txt", "Results_airgap969")</f>
        <v/>
      </c>
      <c r="V969" s="19" t="n"/>
      <c r="W969" s="15" t="n">
        <v>1.851794347826087</v>
      </c>
      <c r="X969" s="15" t="n">
        <v>0.9536578686024362</v>
      </c>
      <c r="Y969" s="15" t="n">
        <v>0.6712169024316131</v>
      </c>
      <c r="Z969" s="15" t="n">
        <v>0</v>
      </c>
      <c r="AA969" s="15" t="n">
        <v>0</v>
      </c>
      <c r="AB969" s="15" t="n">
        <v>1.714106438979515</v>
      </c>
      <c r="AC969" s="15" t="n">
        <v>12.24465414814231</v>
      </c>
      <c r="AD969" s="15" t="n">
        <v>46.98611508135959</v>
      </c>
      <c r="AE969" s="15" t="n">
        <v>85.67325919106293</v>
      </c>
      <c r="AF969" s="15" t="n">
        <v>117.7005155643134</v>
      </c>
      <c r="AH969" s="42">
        <f>HIPERLINK($A$1 &amp; "\Dados\Magnet_fields_969.txt.txt", "Magnet_fields_969.txt")</f>
        <v/>
      </c>
      <c r="AI969" t="n">
        <v>7138</v>
      </c>
      <c r="AJ969" t="n">
        <v>28</v>
      </c>
      <c r="AK969" s="42">
        <f>HIPERLINK($A$1 &amp; "\Dados\Magnet_3D_results_969.txt.txt", "Magnet_3D_results_969.txt")</f>
        <v/>
      </c>
      <c r="AL969" s="42">
        <f>HIPERLINK($A$1 &amp; "\Dados\Magnet_fields_2D_969.txt.txt", "Magnet_fields_2D_969.txt")</f>
        <v/>
      </c>
    </row>
    <row r="970">
      <c r="E970" s="15" t="n">
        <v>142</v>
      </c>
      <c r="F970" s="15" t="n">
        <v>183</v>
      </c>
      <c r="G970" s="15" t="n">
        <v>377</v>
      </c>
      <c r="H970" s="15" t="n">
        <v>39</v>
      </c>
      <c r="I970" s="15" t="n">
        <v>176</v>
      </c>
      <c r="J970" s="13" t="n">
        <v>25</v>
      </c>
      <c r="K970" t="n">
        <v>40</v>
      </c>
      <c r="L970" s="13" t="n">
        <v>3</v>
      </c>
      <c r="M970" s="12" t="n"/>
      <c r="N970" s="8" t="n">
        <v>1.379124173597404</v>
      </c>
      <c r="O970" s="15" t="n">
        <v>1.215083600984052</v>
      </c>
      <c r="P970" s="15" t="n">
        <v>1.33501906659578</v>
      </c>
      <c r="Q970" s="15" t="n">
        <v>0.001287300086949006</v>
      </c>
      <c r="R970" s="15" t="n">
        <v>0.02904324290484432</v>
      </c>
      <c r="S970" s="15" t="n">
        <v>0.001409171135760456</v>
      </c>
      <c r="T970" s="42">
        <f>HIPERLINK($A$1 &amp; "\Dados\Imagem_perfil_970.png", "Imagem_perfil_970")</f>
        <v/>
      </c>
      <c r="U970" s="42">
        <f>HIPERLINK($A$1 &amp; "\Dados\Results_airgap970.txt", "Results_airgap970")</f>
        <v/>
      </c>
      <c r="V970" s="19" t="n"/>
      <c r="W970" s="15" t="n">
        <v>1.671006521739131</v>
      </c>
      <c r="X970" s="15" t="n">
        <v>0.8534343118305301</v>
      </c>
      <c r="Y970" s="15" t="n">
        <v>0.9086652568859351</v>
      </c>
      <c r="Z970" s="15" t="n">
        <v>0.007791006548977771</v>
      </c>
      <c r="AA970" s="15" t="n">
        <v>0.04470604290813245</v>
      </c>
      <c r="AB970" s="15" t="n">
        <v>0.9119181371906051</v>
      </c>
      <c r="AC970" s="15" t="n">
        <v>5.735063536950256</v>
      </c>
      <c r="AD970" s="15" t="n">
        <v>30.9554076173477</v>
      </c>
      <c r="AE970" s="15" t="n">
        <v>79.53550841759214</v>
      </c>
      <c r="AF970" s="15" t="n">
        <v>114.1960453503526</v>
      </c>
      <c r="AH970" s="42">
        <f>HIPERLINK($A$1 &amp; "\Dados\Magnet_fields_970.txt.txt", "Magnet_fields_970.txt")</f>
        <v/>
      </c>
      <c r="AI970" t="n">
        <v>7816</v>
      </c>
      <c r="AJ970" t="n">
        <v>29</v>
      </c>
      <c r="AK970" s="42">
        <f>HIPERLINK($A$1 &amp; "\Dados\Magnet_3D_results_970.txt.txt", "Magnet_3D_results_970.txt")</f>
        <v/>
      </c>
      <c r="AL970" s="42">
        <f>HIPERLINK($A$1 &amp; "\Dados\Magnet_fields_2D_970.txt.txt", "Magnet_fields_2D_970.txt")</f>
        <v/>
      </c>
    </row>
    <row r="971">
      <c r="E971" s="15" t="n">
        <v>128</v>
      </c>
      <c r="F971" s="15" t="n">
        <v>172</v>
      </c>
      <c r="G971" s="15" t="n">
        <v>383</v>
      </c>
      <c r="H971" s="15" t="n">
        <v>33</v>
      </c>
      <c r="I971" s="15" t="n">
        <v>166</v>
      </c>
      <c r="J971" s="13" t="n">
        <v>25</v>
      </c>
      <c r="K971" t="n">
        <v>45</v>
      </c>
      <c r="L971" s="13" t="n">
        <v>3</v>
      </c>
      <c r="M971" s="12" t="n"/>
      <c r="N971" s="8" t="n">
        <v>1.413658256223253</v>
      </c>
      <c r="O971" s="15" t="n">
        <v>1.223076583539516</v>
      </c>
      <c r="P971" s="15" t="n">
        <v>1.342017612832372</v>
      </c>
      <c r="Q971" s="15" t="n">
        <v>0.003308977899415695</v>
      </c>
      <c r="R971" s="15" t="n">
        <v>0.04138681452183221</v>
      </c>
      <c r="S971" s="15" t="n">
        <v>0.003589725917570158</v>
      </c>
      <c r="T971" s="42">
        <f>HIPERLINK($A$1 &amp; "\Dados\Imagem_perfil_971.png", "Imagem_perfil_971")</f>
        <v/>
      </c>
      <c r="U971" s="42">
        <f>HIPERLINK($A$1 &amp; "\Dados\Results_airgap971.txt", "Results_airgap971")</f>
        <v/>
      </c>
      <c r="V971" s="19" t="n"/>
      <c r="W971" s="15" t="n">
        <v>1.802425869565218</v>
      </c>
      <c r="X971" s="15" t="n">
        <v>0.8810715768301199</v>
      </c>
      <c r="Y971" s="15" t="n">
        <v>0.7807866678046632</v>
      </c>
      <c r="Z971" s="15" t="n">
        <v>0</v>
      </c>
      <c r="AA971" s="15" t="n">
        <v>0.1936600516869384</v>
      </c>
      <c r="AB971" s="15" t="n">
        <v>2.939972834800859</v>
      </c>
      <c r="AC971" s="15" t="n">
        <v>14.50626566573106</v>
      </c>
      <c r="AD971" s="15" t="n">
        <v>44.50113950784826</v>
      </c>
      <c r="AE971" s="15" t="n">
        <v>82.77994366673177</v>
      </c>
      <c r="AF971" s="15" t="n">
        <v>116.902504419369</v>
      </c>
      <c r="AH971" s="42">
        <f>HIPERLINK($A$1 &amp; "\Dados\Magnet_fields_971.txt.txt", "Magnet_fields_971.txt")</f>
        <v/>
      </c>
      <c r="AI971" t="n">
        <v>7868</v>
      </c>
      <c r="AJ971" t="n">
        <v>28</v>
      </c>
      <c r="AK971" s="42">
        <f>HIPERLINK($A$1 &amp; "\Dados\Magnet_3D_results_971.txt.txt", "Magnet_3D_results_971.txt")</f>
        <v/>
      </c>
      <c r="AL971" s="42">
        <f>HIPERLINK($A$1 &amp; "\Dados\Magnet_fields_2D_971.txt.txt", "Magnet_fields_2D_971.txt")</f>
        <v/>
      </c>
    </row>
    <row r="972">
      <c r="E972" s="15" t="n">
        <v>148</v>
      </c>
      <c r="F972" s="15" t="n">
        <v>189</v>
      </c>
      <c r="G972" s="15" t="n">
        <v>398</v>
      </c>
      <c r="H972" s="15" t="n">
        <v>36</v>
      </c>
      <c r="I972" s="15" t="n">
        <v>175</v>
      </c>
      <c r="J972" s="13" t="n">
        <v>25</v>
      </c>
      <c r="K972" t="n">
        <v>55</v>
      </c>
      <c r="L972" s="13" t="n">
        <v>3</v>
      </c>
      <c r="M972" s="12" t="n"/>
      <c r="N972" s="8" t="n">
        <v>1.493764305390355</v>
      </c>
      <c r="O972" s="15" t="n">
        <v>1.32034263134442</v>
      </c>
      <c r="P972" s="15" t="n">
        <v>1.442263346401183</v>
      </c>
      <c r="Q972" s="15" t="n">
        <v>0.00898488316021861</v>
      </c>
      <c r="R972" s="15" t="n">
        <v>0.04646946257088189</v>
      </c>
      <c r="S972" s="15" t="n">
        <v>0.009142134725698366</v>
      </c>
      <c r="T972" s="42">
        <f>HIPERLINK($A$1 &amp; "\Dados\Imagem_perfil_972.png", "Imagem_perfil_972")</f>
        <v/>
      </c>
      <c r="U972" s="42">
        <f>HIPERLINK($A$1 &amp; "\Dados\Results_airgap972.txt", "Results_airgap972")</f>
        <v/>
      </c>
      <c r="V972" s="19" t="n"/>
      <c r="W972" s="15" t="n">
        <v>1.906792826086956</v>
      </c>
      <c r="X972" s="15" t="n">
        <v>0.9573247686303504</v>
      </c>
      <c r="Y972" s="15" t="n">
        <v>0.5443330020353058</v>
      </c>
      <c r="Z972" s="15" t="n">
        <v>0.009624312639209239</v>
      </c>
      <c r="AA972" s="15" t="n">
        <v>0.1271872673425067</v>
      </c>
      <c r="AB972" s="15" t="n">
        <v>0.1129124798717835</v>
      </c>
      <c r="AC972" s="15" t="n">
        <v>13.48193255304698</v>
      </c>
      <c r="AD972" s="15" t="n">
        <v>62.75441998872423</v>
      </c>
      <c r="AE972" s="15" t="n">
        <v>96.46289170811562</v>
      </c>
      <c r="AF972" s="15" t="n">
        <v>126.6672054520726</v>
      </c>
      <c r="AH972" s="42">
        <f>HIPERLINK($A$1 &amp; "\Dados\Magnet_fields_972.txt.txt", "Magnet_fields_972.txt")</f>
        <v/>
      </c>
      <c r="AI972" t="n">
        <v>11408</v>
      </c>
      <c r="AJ972" t="n">
        <v>30</v>
      </c>
      <c r="AK972" s="42">
        <f>HIPERLINK($A$1 &amp; "\Dados\Magnet_3D_results_972.txt.txt", "Magnet_3D_results_972.txt")</f>
        <v/>
      </c>
      <c r="AL972" s="42">
        <f>HIPERLINK($A$1 &amp; "\Dados\Magnet_fields_2D_972.txt.txt", "Magnet_fields_2D_972.txt")</f>
        <v/>
      </c>
    </row>
    <row r="973">
      <c r="E973" s="15" t="n">
        <v>129</v>
      </c>
      <c r="F973" s="15" t="n">
        <v>174</v>
      </c>
      <c r="G973" s="15" t="n">
        <v>419</v>
      </c>
      <c r="H973" s="15" t="n">
        <v>43</v>
      </c>
      <c r="I973" s="15" t="n">
        <v>156</v>
      </c>
      <c r="J973" s="13" t="n">
        <v>25</v>
      </c>
      <c r="K973" t="n">
        <v>55</v>
      </c>
      <c r="L973" s="13" t="n">
        <v>3</v>
      </c>
      <c r="M973" s="12" t="n"/>
      <c r="N973" s="8" t="n">
        <v>1.476064200727379</v>
      </c>
      <c r="O973" s="15" t="n">
        <v>1.233141463291585</v>
      </c>
      <c r="P973" s="15" t="n">
        <v>1.403691668117496</v>
      </c>
      <c r="Q973" s="15" t="n">
        <v>0.01668020188211399</v>
      </c>
      <c r="R973" s="15" t="n">
        <v>0.06682761062874713</v>
      </c>
      <c r="S973" s="15" t="n">
        <v>0.01705696885418404</v>
      </c>
      <c r="T973" s="42">
        <f>HIPERLINK($A$1 &amp; "\Dados\Imagem_perfil_973.png", "Imagem_perfil_973")</f>
        <v/>
      </c>
      <c r="U973" s="42">
        <f>HIPERLINK($A$1 &amp; "\Dados\Results_airgap973.txt", "Results_airgap973")</f>
        <v/>
      </c>
      <c r="V973" s="19" t="n"/>
      <c r="W973" s="15" t="n">
        <v>2.034217608695652</v>
      </c>
      <c r="X973" s="15" t="n">
        <v>0.952882208466023</v>
      </c>
      <c r="Y973" s="15" t="n">
        <v>0.4855165758883578</v>
      </c>
      <c r="Z973" s="15" t="n">
        <v>0.0005584584414302806</v>
      </c>
      <c r="AA973" s="15" t="n">
        <v>0.0008561091331603173</v>
      </c>
      <c r="AB973" s="15" t="n">
        <v>3.199414677180747</v>
      </c>
      <c r="AC973" s="15" t="n">
        <v>18.70168779189065</v>
      </c>
      <c r="AD973" s="15" t="n">
        <v>56.90501565076429</v>
      </c>
      <c r="AE973" s="15" t="n">
        <v>93.31375681332591</v>
      </c>
      <c r="AF973" s="15" t="n">
        <v>126.3975282385686</v>
      </c>
      <c r="AH973" s="42">
        <f>HIPERLINK($A$1 &amp; "\Dados\Magnet_fields_973.txt.txt", "Magnet_fields_973.txt")</f>
        <v/>
      </c>
      <c r="AI973" t="n">
        <v>11140</v>
      </c>
      <c r="AJ973" t="n">
        <v>30</v>
      </c>
      <c r="AK973" s="42">
        <f>HIPERLINK($A$1 &amp; "\Dados\Magnet_3D_results_973.txt.txt", "Magnet_3D_results_973.txt")</f>
        <v/>
      </c>
      <c r="AL973" s="42">
        <f>HIPERLINK($A$1 &amp; "\Dados\Magnet_fields_2D_973.txt.txt", "Magnet_fields_2D_973.txt")</f>
        <v/>
      </c>
    </row>
    <row r="974">
      <c r="E974" s="15" t="n">
        <v>126</v>
      </c>
      <c r="F974" s="15" t="n">
        <v>174</v>
      </c>
      <c r="G974" s="15" t="n">
        <v>358</v>
      </c>
      <c r="H974" s="15" t="n">
        <v>33</v>
      </c>
      <c r="I974" s="15" t="n">
        <v>157</v>
      </c>
      <c r="J974" s="13" t="n">
        <v>25</v>
      </c>
      <c r="K974" t="n">
        <v>45</v>
      </c>
      <c r="L974" s="13" t="n">
        <v>3</v>
      </c>
      <c r="M974" s="12" t="n"/>
      <c r="N974" s="8" t="n">
        <v>1.262243888022769</v>
      </c>
      <c r="O974" s="15" t="n">
        <v>1.050364608105749</v>
      </c>
      <c r="P974" s="15" t="n">
        <v>1.198002315578148</v>
      </c>
      <c r="Q974" s="15" t="n">
        <v>0.003130472945366418</v>
      </c>
      <c r="R974" s="15" t="n">
        <v>0.03601497358341978</v>
      </c>
      <c r="S974" s="15" t="n">
        <v>0.003699364495914201</v>
      </c>
      <c r="T974" s="42">
        <f>HIPERLINK($A$1 &amp; "\Dados\Imagem_perfil_974.png", "Imagem_perfil_974")</f>
        <v/>
      </c>
      <c r="U974" s="42">
        <f>HIPERLINK($A$1 &amp; "\Dados\Results_airgap974.txt", "Results_airgap974")</f>
        <v/>
      </c>
      <c r="V974" s="19" t="n"/>
      <c r="W974" s="15" t="n">
        <v>1.623496739130435</v>
      </c>
      <c r="X974" s="15" t="n">
        <v>0.7835691120221377</v>
      </c>
      <c r="Y974" s="15" t="n">
        <v>0.9702329036516706</v>
      </c>
      <c r="Z974" s="15" t="n">
        <v>0.0014042700413775</v>
      </c>
      <c r="AA974" s="15" t="n">
        <v>0.1421950504221029</v>
      </c>
      <c r="AB974" s="15" t="n">
        <v>1.89291760967218</v>
      </c>
      <c r="AC974" s="15" t="n">
        <v>10.49381432649787</v>
      </c>
      <c r="AD974" s="15" t="n">
        <v>41.21218759830808</v>
      </c>
      <c r="AE974" s="15" t="n">
        <v>84.08584432782578</v>
      </c>
      <c r="AF974" s="15" t="n">
        <v>117.6468841145179</v>
      </c>
      <c r="AH974" s="42">
        <f>HIPERLINK($A$1 &amp; "\Dados\Magnet_fields_974.txt.txt", "Magnet_fields_974.txt")</f>
        <v/>
      </c>
      <c r="AI974" t="n">
        <v>6919</v>
      </c>
      <c r="AJ974" t="n">
        <v>28</v>
      </c>
      <c r="AK974" s="42">
        <f>HIPERLINK($A$1 &amp; "\Dados\Magnet_3D_results_974.txt.txt", "Magnet_3D_results_974.txt")</f>
        <v/>
      </c>
      <c r="AL974" s="42">
        <f>HIPERLINK($A$1 &amp; "\Dados\Magnet_fields_2D_974.txt.txt", "Magnet_fields_2D_974.txt")</f>
        <v/>
      </c>
    </row>
    <row r="975">
      <c r="E975" s="15" t="n">
        <v>132</v>
      </c>
      <c r="F975" s="15" t="n">
        <v>170</v>
      </c>
      <c r="G975" s="15" t="n">
        <v>407</v>
      </c>
      <c r="H975" s="15" t="n">
        <v>34</v>
      </c>
      <c r="I975" s="15" t="n">
        <v>148</v>
      </c>
      <c r="J975" s="13" t="n">
        <v>25</v>
      </c>
      <c r="K975" t="n">
        <v>40</v>
      </c>
      <c r="L975" s="13" t="n">
        <v>3</v>
      </c>
      <c r="M975" s="12" t="n"/>
      <c r="N975" s="8" t="n">
        <v>1.42949119168383</v>
      </c>
      <c r="O975" s="15" t="n">
        <v>1.151622671405372</v>
      </c>
      <c r="P975" s="15" t="n">
        <v>1.343846452475349</v>
      </c>
      <c r="Q975" s="15" t="n">
        <v>0.001809173094830848</v>
      </c>
      <c r="R975" s="15" t="n">
        <v>0.03626633665514063</v>
      </c>
      <c r="S975" s="15" t="n">
        <v>0.002176467204642342</v>
      </c>
      <c r="T975" s="42">
        <f>HIPERLINK($A$1 &amp; "\Dados\Imagem_perfil_975.png", "Imagem_perfil_975")</f>
        <v/>
      </c>
      <c r="U975" s="42">
        <f>HIPERLINK($A$1 &amp; "\Dados\Results_airgap975.txt", "Results_airgap975")</f>
        <v/>
      </c>
      <c r="V975" s="19" t="n"/>
      <c r="W975" s="15" t="n">
        <v>1.850331304347826</v>
      </c>
      <c r="X975" s="15" t="n">
        <v>0.9070199346046023</v>
      </c>
      <c r="Y975" s="15" t="n">
        <v>0.8129683418989972</v>
      </c>
      <c r="Z975" s="15" t="n">
        <v>0.003460872378349362</v>
      </c>
      <c r="AA975" s="15" t="n">
        <v>1.551976879810328</v>
      </c>
      <c r="AB975" s="15" t="n">
        <v>2.20837843276747</v>
      </c>
      <c r="AC975" s="15" t="n">
        <v>9.517896742675282</v>
      </c>
      <c r="AD975" s="15" t="n">
        <v>31.52378447593416</v>
      </c>
      <c r="AE975" s="15" t="n">
        <v>76.63420283358923</v>
      </c>
      <c r="AF975" s="15" t="n">
        <v>113.7727733110276</v>
      </c>
      <c r="AH975" s="42">
        <f>HIPERLINK($A$1 &amp; "\Dados\Magnet_fields_975.txt.txt", "Magnet_fields_975.txt")</f>
        <v/>
      </c>
      <c r="AI975" t="n">
        <v>8310</v>
      </c>
      <c r="AJ975" t="n">
        <v>29</v>
      </c>
      <c r="AK975" s="42">
        <f>HIPERLINK($A$1 &amp; "\Dados\Magnet_3D_results_975.txt.txt", "Magnet_3D_results_975.txt")</f>
        <v/>
      </c>
      <c r="AL975" s="42">
        <f>HIPERLINK($A$1 &amp; "\Dados\Magnet_fields_2D_975.txt.txt", "Magnet_fields_2D_975.txt")</f>
        <v/>
      </c>
    </row>
    <row r="976">
      <c r="E976" s="15" t="n">
        <v>138</v>
      </c>
      <c r="F976" s="15" t="n">
        <v>172</v>
      </c>
      <c r="G976" s="15" t="n">
        <v>361</v>
      </c>
      <c r="H976" s="15" t="n">
        <v>32</v>
      </c>
      <c r="I976" s="15" t="n">
        <v>150</v>
      </c>
      <c r="J976" s="13" t="n">
        <v>25</v>
      </c>
      <c r="K976" t="n">
        <v>40</v>
      </c>
      <c r="L976" s="13" t="n">
        <v>3</v>
      </c>
      <c r="M976" s="12" t="n"/>
      <c r="N976" s="8" t="n">
        <v>1.428237181263656</v>
      </c>
      <c r="O976" s="15" t="n">
        <v>1.168185770325052</v>
      </c>
      <c r="P976" s="15" t="n">
        <v>1.34947792732816</v>
      </c>
      <c r="Q976" s="15" t="n">
        <v>0.001682726373702186</v>
      </c>
      <c r="R976" s="15" t="n">
        <v>0.02513054593936127</v>
      </c>
      <c r="S976" s="15" t="n">
        <v>0.001811975012595354</v>
      </c>
      <c r="T976" s="42">
        <f>HIPERLINK($A$1 &amp; "\Dados\Imagem_perfil_976.png", "Imagem_perfil_976")</f>
        <v/>
      </c>
      <c r="U976" s="42">
        <f>HIPERLINK($A$1 &amp; "\Dados\Results_airgap976.txt", "Results_airgap976")</f>
        <v/>
      </c>
      <c r="V976" s="19" t="n"/>
      <c r="W976" s="15" t="n">
        <v>1.771316304347826</v>
      </c>
      <c r="X976" s="15" t="n">
        <v>0.9088603660093243</v>
      </c>
      <c r="Y976" s="15" t="n">
        <v>0.8132827390299535</v>
      </c>
      <c r="Z976" s="15" t="n">
        <v>0</v>
      </c>
      <c r="AA976" s="15" t="n">
        <v>1.546781147901316</v>
      </c>
      <c r="AB976" s="15" t="n">
        <v>0.6602243385462621</v>
      </c>
      <c r="AC976" s="15" t="n">
        <v>5.95626812696341</v>
      </c>
      <c r="AD976" s="15" t="n">
        <v>30.78728769363778</v>
      </c>
      <c r="AE976" s="15" t="n">
        <v>76.02901221573774</v>
      </c>
      <c r="AF976" s="15" t="n">
        <v>112.533157057492</v>
      </c>
      <c r="AH976" s="42">
        <f>HIPERLINK($A$1 &amp; "\Dados\Magnet_fields_976.txt.txt", "Magnet_fields_976.txt")</f>
        <v/>
      </c>
      <c r="AI976" t="n">
        <v>8265</v>
      </c>
      <c r="AJ976" t="n">
        <v>29</v>
      </c>
      <c r="AK976" s="42">
        <f>HIPERLINK($A$1 &amp; "\Dados\Magnet_3D_results_976.txt.txt", "Magnet_3D_results_976.txt")</f>
        <v/>
      </c>
      <c r="AL976" s="42">
        <f>HIPERLINK($A$1 &amp; "\Dados\Magnet_fields_2D_976.txt.txt", "Magnet_fields_2D_976.txt")</f>
        <v/>
      </c>
    </row>
    <row r="977">
      <c r="E977" s="15" t="n">
        <v>137</v>
      </c>
      <c r="F977" s="15" t="n">
        <v>180</v>
      </c>
      <c r="G977" s="15" t="n">
        <v>351</v>
      </c>
      <c r="H977" s="15" t="n">
        <v>37</v>
      </c>
      <c r="I977" s="15" t="n">
        <v>173</v>
      </c>
      <c r="J977" s="13" t="n">
        <v>25</v>
      </c>
      <c r="K977" t="n">
        <v>60</v>
      </c>
      <c r="L977" s="13" t="n">
        <v>3</v>
      </c>
      <c r="M977" s="12" t="n"/>
      <c r="N977" s="8" t="n">
        <v>1.371667825391413</v>
      </c>
      <c r="O977" s="15" t="n">
        <v>1.188342838498485</v>
      </c>
      <c r="P977" s="15" t="n">
        <v>1.319372573093408</v>
      </c>
      <c r="Q977" s="15" t="n">
        <v>0.01887882133155494</v>
      </c>
      <c r="R977" s="15" t="n">
        <v>0.04149740176192571</v>
      </c>
      <c r="S977" s="15" t="n">
        <v>0.01830841915232523</v>
      </c>
      <c r="T977" s="42">
        <f>HIPERLINK($A$1 &amp; "\Dados\Imagem_perfil_977.png", "Imagem_perfil_977")</f>
        <v/>
      </c>
      <c r="U977" s="42">
        <f>HIPERLINK($A$1 &amp; "\Dados\Results_airgap977.txt", "Results_airgap977")</f>
        <v/>
      </c>
      <c r="V977" s="19" t="n"/>
      <c r="W977" s="15" t="n">
        <v>1.722500217391305</v>
      </c>
      <c r="X977" s="15" t="n">
        <v>0.8664406456481027</v>
      </c>
      <c r="Y977" s="15" t="n">
        <v>0.7230861233466471</v>
      </c>
      <c r="Z977" s="15" t="n">
        <v>0.008276606562130157</v>
      </c>
      <c r="AA977" s="15" t="n">
        <v>0.764594069535008</v>
      </c>
      <c r="AB977" s="15" t="n">
        <v>0</v>
      </c>
      <c r="AC977" s="15" t="n">
        <v>15.06543790406367</v>
      </c>
      <c r="AD977" s="15" t="n">
        <v>65.23925039635422</v>
      </c>
      <c r="AE977" s="15" t="n">
        <v>97.79668306548638</v>
      </c>
      <c r="AF977" s="15" t="n">
        <v>129.3825598495828</v>
      </c>
      <c r="AH977" s="42">
        <f>HIPERLINK($A$1 &amp; "\Dados\Magnet_fields_977.txt.txt", "Magnet_fields_977.txt")</f>
        <v/>
      </c>
      <c r="AI977" t="n">
        <v>8088</v>
      </c>
      <c r="AJ977" t="n">
        <v>29</v>
      </c>
      <c r="AK977" s="42">
        <f>HIPERLINK($A$1 &amp; "\Dados\Magnet_3D_results_977.txt.txt", "Magnet_3D_results_977.txt")</f>
        <v/>
      </c>
      <c r="AL977" s="42">
        <f>HIPERLINK($A$1 &amp; "\Dados\Magnet_fields_2D_977.txt.txt", "Magnet_fields_2D_977.txt")</f>
        <v/>
      </c>
    </row>
    <row r="978">
      <c r="E978" s="15" t="n">
        <v>142</v>
      </c>
      <c r="F978" s="15" t="n">
        <v>190</v>
      </c>
      <c r="G978" s="15" t="n">
        <v>414</v>
      </c>
      <c r="H978" s="15" t="n">
        <v>34</v>
      </c>
      <c r="I978" s="15" t="n">
        <v>179</v>
      </c>
      <c r="J978" s="13" t="n">
        <v>25</v>
      </c>
      <c r="K978" t="n">
        <v>50</v>
      </c>
      <c r="L978" s="13" t="n">
        <v>3</v>
      </c>
      <c r="M978" s="12" t="n"/>
      <c r="N978" s="8" t="n">
        <v>1.424163927729481</v>
      </c>
      <c r="O978" s="15" t="n">
        <v>1.24942571453733</v>
      </c>
      <c r="P978" s="15" t="n">
        <v>1.367579157887774</v>
      </c>
      <c r="Q978" s="15" t="n">
        <v>0.005805856810882195</v>
      </c>
      <c r="R978" s="15" t="n">
        <v>0.04886047747414021</v>
      </c>
      <c r="S978" s="15" t="n">
        <v>0.006038634789294944</v>
      </c>
      <c r="T978" s="42">
        <f>HIPERLINK($A$1 &amp; "\Dados\Imagem_perfil_978.png", "Imagem_perfil_978")</f>
        <v/>
      </c>
      <c r="U978" s="42">
        <f>HIPERLINK($A$1 &amp; "\Dados\Results_airgap978.txt", "Results_airgap978")</f>
        <v/>
      </c>
      <c r="V978" s="19" t="n"/>
      <c r="W978" s="15" t="n">
        <v>1.847664782608695</v>
      </c>
      <c r="X978" s="15" t="n">
        <v>0.911055945260776</v>
      </c>
      <c r="Y978" s="15" t="n">
        <v>0.6647176041931433</v>
      </c>
      <c r="Z978" s="15" t="n">
        <v>0.0009274074426671158</v>
      </c>
      <c r="AA978" s="15" t="n">
        <v>0.274336798543641</v>
      </c>
      <c r="AB978" s="15" t="n">
        <v>2.076674172649191</v>
      </c>
      <c r="AC978" s="15" t="n">
        <v>15.37062620295494</v>
      </c>
      <c r="AD978" s="15" t="n">
        <v>53.76625854021745</v>
      </c>
      <c r="AE978" s="15" t="n">
        <v>90.32905933864217</v>
      </c>
      <c r="AF978" s="15" t="n">
        <v>121.9806672559047</v>
      </c>
      <c r="AH978" s="42">
        <f>HIPERLINK($A$1 &amp; "\Dados\Magnet_fields_978.txt.txt", "Magnet_fields_978.txt")</f>
        <v/>
      </c>
      <c r="AI978" t="n">
        <v>7337</v>
      </c>
      <c r="AJ978" t="n">
        <v>29</v>
      </c>
      <c r="AK978" s="42">
        <f>HIPERLINK($A$1 &amp; "\Dados\Magnet_3D_results_978.txt.txt", "Magnet_3D_results_978.txt")</f>
        <v/>
      </c>
      <c r="AL978" s="42">
        <f>HIPERLINK($A$1 &amp; "\Dados\Magnet_fields_2D_978.txt.txt", "Magnet_fields_2D_978.txt")</f>
        <v/>
      </c>
    </row>
    <row r="979">
      <c r="E979" s="15" t="n">
        <v>148</v>
      </c>
      <c r="F979" s="15" t="n">
        <v>191</v>
      </c>
      <c r="G979" s="15" t="n">
        <v>384</v>
      </c>
      <c r="H979" s="15" t="n">
        <v>30</v>
      </c>
      <c r="I979" s="15" t="n">
        <v>171</v>
      </c>
      <c r="J979" s="13" t="n">
        <v>25</v>
      </c>
      <c r="K979" t="n">
        <v>60</v>
      </c>
      <c r="L979" s="13" t="n">
        <v>3</v>
      </c>
      <c r="M979" s="12" t="n"/>
      <c r="N979" s="8" t="n">
        <v>1.392202617011308</v>
      </c>
      <c r="O979" s="15" t="n">
        <v>1.207136656458355</v>
      </c>
      <c r="P979" s="15" t="n">
        <v>1.336400161384662</v>
      </c>
      <c r="Q979" s="15" t="n">
        <v>0.01569005415538792</v>
      </c>
      <c r="R979" s="15" t="n">
        <v>0.04252873203914462</v>
      </c>
      <c r="S979" s="15" t="n">
        <v>0.01544266340804402</v>
      </c>
      <c r="T979" s="42">
        <f>HIPERLINK($A$1 &amp; "\Dados\Imagem_perfil_979.png", "Imagem_perfil_979")</f>
        <v/>
      </c>
      <c r="U979" s="42">
        <f>HIPERLINK($A$1 &amp; "\Dados\Results_airgap979.txt", "Results_airgap979")</f>
        <v/>
      </c>
      <c r="V979" s="19" t="n"/>
      <c r="W979" s="15" t="n">
        <v>1.811697608695652</v>
      </c>
      <c r="X979" s="15" t="n">
        <v>0.8882300745367396</v>
      </c>
      <c r="Y979" s="15" t="n">
        <v>0.6203221445355114</v>
      </c>
      <c r="Z979" s="15" t="n">
        <v>0.03630415591126589</v>
      </c>
      <c r="AA979" s="15" t="n">
        <v>5.418376284067055</v>
      </c>
      <c r="AB979" s="15" t="n">
        <v>0</v>
      </c>
      <c r="AC979" s="15" t="n">
        <v>14.93440526164862</v>
      </c>
      <c r="AD979" s="15" t="n">
        <v>68.46063535872381</v>
      </c>
      <c r="AE979" s="15" t="n">
        <v>99.52006105924463</v>
      </c>
      <c r="AF979" s="15" t="n">
        <v>130.2416917402155</v>
      </c>
      <c r="AH979" s="42">
        <f>HIPERLINK($A$1 &amp; "\Dados\Magnet_fields_979.txt.txt", "Magnet_fields_979.txt")</f>
        <v/>
      </c>
      <c r="AI979" t="n">
        <v>10073</v>
      </c>
      <c r="AJ979" t="n">
        <v>30</v>
      </c>
      <c r="AK979" s="42">
        <f>HIPERLINK($A$1 &amp; "\Dados\Magnet_3D_results_979.txt.txt", "Magnet_3D_results_979.txt")</f>
        <v/>
      </c>
      <c r="AL979" s="42">
        <f>HIPERLINK($A$1 &amp; "\Dados\Magnet_fields_2D_979.txt.txt", "Magnet_fields_2D_979.txt")</f>
        <v/>
      </c>
    </row>
    <row r="980">
      <c r="E980" s="15" t="n">
        <v>143</v>
      </c>
      <c r="F980" s="15" t="n">
        <v>188</v>
      </c>
      <c r="G980" s="15" t="n">
        <v>419</v>
      </c>
      <c r="H980" s="15" t="n">
        <v>27</v>
      </c>
      <c r="I980" s="15" t="n">
        <v>177</v>
      </c>
      <c r="J980" s="13" t="n">
        <v>25</v>
      </c>
      <c r="K980" t="n">
        <v>40</v>
      </c>
      <c r="L980" s="13" t="n">
        <v>3</v>
      </c>
      <c r="M980" s="12" t="n"/>
      <c r="N980" s="8" t="n">
        <v>1.394196932256775</v>
      </c>
      <c r="O980" s="15" t="n">
        <v>1.221099819548865</v>
      </c>
      <c r="P980" s="15" t="n">
        <v>1.347297630662294</v>
      </c>
      <c r="Q980" s="15" t="n">
        <v>0.001311881867977455</v>
      </c>
      <c r="R980" s="15" t="n">
        <v>0.03539891505579872</v>
      </c>
      <c r="S980" s="15" t="n">
        <v>0.001427777786131686</v>
      </c>
      <c r="T980" s="42">
        <f>HIPERLINK($A$1 &amp; "\Dados\Imagem_perfil_980.png", "Imagem_perfil_980")</f>
        <v/>
      </c>
      <c r="U980" s="42">
        <f>HIPERLINK($A$1 &amp; "\Dados\Results_airgap980.txt", "Results_airgap980")</f>
        <v/>
      </c>
      <c r="V980" s="19" t="n"/>
      <c r="W980" s="15" t="n">
        <v>1.755108913043478</v>
      </c>
      <c r="X980" s="15" t="n">
        <v>0.861362823219092</v>
      </c>
      <c r="Y980" s="15" t="n">
        <v>0.8323523240397516</v>
      </c>
      <c r="Z980" s="15" t="n">
        <v>0.006516023588813401</v>
      </c>
      <c r="AA980" s="15" t="n">
        <v>1.604411253998294</v>
      </c>
      <c r="AB980" s="15" t="n">
        <v>1.97683719489758</v>
      </c>
      <c r="AC980" s="15" t="n">
        <v>9.918923388448304</v>
      </c>
      <c r="AD980" s="15" t="n">
        <v>39.48193542988915</v>
      </c>
      <c r="AE980" s="15" t="n">
        <v>82.9987010800359</v>
      </c>
      <c r="AF980" s="15" t="n">
        <v>114.7521565532615</v>
      </c>
      <c r="AH980" s="42">
        <f>HIPERLINK($A$1 &amp; "\Dados\Magnet_fields_980.txt.txt", "Magnet_fields_980.txt")</f>
        <v/>
      </c>
      <c r="AI980" t="n">
        <v>10464</v>
      </c>
      <c r="AJ980" t="n">
        <v>30</v>
      </c>
      <c r="AK980" s="42">
        <f>HIPERLINK($A$1 &amp; "\Dados\Magnet_3D_results_980.txt.txt", "Magnet_3D_results_980.txt")</f>
        <v/>
      </c>
      <c r="AL980" s="42">
        <f>HIPERLINK($A$1 &amp; "\Dados\Magnet_fields_2D_980.txt.txt", "Magnet_fields_2D_980.txt")</f>
        <v/>
      </c>
    </row>
    <row r="981">
      <c r="E981" s="15" t="n">
        <v>140</v>
      </c>
      <c r="F981" s="15" t="n">
        <v>188</v>
      </c>
      <c r="G981" s="15" t="n">
        <v>385</v>
      </c>
      <c r="H981" s="15" t="n">
        <v>39</v>
      </c>
      <c r="I981" s="15" t="n">
        <v>163</v>
      </c>
      <c r="J981" s="13" t="n">
        <v>25</v>
      </c>
      <c r="K981" t="n">
        <v>40</v>
      </c>
      <c r="L981" s="13" t="n">
        <v>3</v>
      </c>
      <c r="M981" s="12" t="n"/>
      <c r="N981" s="8" t="n">
        <v>1.274018192529366</v>
      </c>
      <c r="O981" s="15" t="n">
        <v>1.085259150692537</v>
      </c>
      <c r="P981" s="15" t="n">
        <v>1.218120663672065</v>
      </c>
      <c r="Q981" s="15" t="n">
        <v>0.001271360429592862</v>
      </c>
      <c r="R981" s="15" t="n">
        <v>0.03150515693176804</v>
      </c>
      <c r="S981" s="15" t="n">
        <v>0.001540032313457264</v>
      </c>
      <c r="T981" s="42">
        <f>HIPERLINK($A$1 &amp; "\Dados\Imagem_perfil_981.png", "Imagem_perfil_981")</f>
        <v/>
      </c>
      <c r="U981" s="42">
        <f>HIPERLINK($A$1 &amp; "\Dados\Results_airgap981.txt", "Results_airgap981")</f>
        <v/>
      </c>
      <c r="V981" s="19" t="n"/>
      <c r="W981" s="15" t="n">
        <v>1.609139130434782</v>
      </c>
      <c r="X981" s="15" t="n">
        <v>0.7972746278137575</v>
      </c>
      <c r="Y981" s="15" t="n">
        <v>1.055209340146329</v>
      </c>
      <c r="Z981" s="15" t="n">
        <v>0.01755110372270237</v>
      </c>
      <c r="AA981" s="15" t="n">
        <v>0.01147298002369384</v>
      </c>
      <c r="AB981" s="15" t="n">
        <v>2.533660924482386</v>
      </c>
      <c r="AC981" s="15" t="n">
        <v>12.59152521831705</v>
      </c>
      <c r="AD981" s="15" t="n">
        <v>37.94871253267564</v>
      </c>
      <c r="AE981" s="15" t="n">
        <v>75.69618540395146</v>
      </c>
      <c r="AF981" s="15" t="n">
        <v>111.4724029812392</v>
      </c>
      <c r="AH981" s="42">
        <f>HIPERLINK($A$1 &amp; "\Dados\Magnet_fields_981.txt.txt", "Magnet_fields_981.txt")</f>
        <v/>
      </c>
      <c r="AI981" t="n">
        <v>7462</v>
      </c>
      <c r="AJ981" t="n">
        <v>28</v>
      </c>
      <c r="AK981" s="42">
        <f>HIPERLINK($A$1 &amp; "\Dados\Magnet_3D_results_981.txt.txt", "Magnet_3D_results_981.txt")</f>
        <v/>
      </c>
      <c r="AL981" s="42">
        <f>HIPERLINK($A$1 &amp; "\Dados\Magnet_fields_2D_981.txt.txt", "Magnet_fields_2D_981.txt")</f>
        <v/>
      </c>
    </row>
    <row r="982">
      <c r="E982" s="15" t="n">
        <v>139</v>
      </c>
      <c r="F982" s="15" t="n">
        <v>177</v>
      </c>
      <c r="G982" s="15" t="n">
        <v>415</v>
      </c>
      <c r="H982" s="15" t="n">
        <v>44</v>
      </c>
      <c r="I982" s="15" t="n">
        <v>146</v>
      </c>
      <c r="J982" s="13" t="n">
        <v>25</v>
      </c>
      <c r="K982" t="n">
        <v>50</v>
      </c>
      <c r="L982" s="13" t="n">
        <v>3</v>
      </c>
      <c r="M982" s="12" t="n"/>
      <c r="N982" s="8" t="n">
        <v>1.51160627607992</v>
      </c>
      <c r="O982" s="15" t="n">
        <v>1.209453389760935</v>
      </c>
      <c r="P982" s="15" t="n">
        <v>1.420408118822308</v>
      </c>
      <c r="Q982" s="15" t="n">
        <v>0.006582380327850893</v>
      </c>
      <c r="R982" s="15" t="n">
        <v>0.05119771809898614</v>
      </c>
      <c r="S982" s="15" t="n">
        <v>0.007048513801526214</v>
      </c>
      <c r="T982" s="42">
        <f>HIPERLINK($A$1 &amp; "\Dados\Imagem_perfil_982.png", "Imagem_perfil_982")</f>
        <v/>
      </c>
      <c r="U982" s="42">
        <f>HIPERLINK($A$1 &amp; "\Dados\Results_airgap982.txt", "Results_airgap982")</f>
        <v/>
      </c>
      <c r="V982" s="19" t="n"/>
      <c r="W982" s="15" t="n">
        <v>2.038609565217392</v>
      </c>
      <c r="X982" s="15" t="n">
        <v>0.9738826764859394</v>
      </c>
      <c r="Y982" s="15" t="n">
        <v>0.4714813306209136</v>
      </c>
      <c r="Z982" s="15" t="n">
        <v>0</v>
      </c>
      <c r="AA982" s="15" t="n">
        <v>0</v>
      </c>
      <c r="AB982" s="15" t="n">
        <v>1.204134287442399</v>
      </c>
      <c r="AC982" s="15" t="n">
        <v>10.08480160859964</v>
      </c>
      <c r="AD982" s="15" t="n">
        <v>51.91306461456195</v>
      </c>
      <c r="AE982" s="15" t="n">
        <v>93.47926857861489</v>
      </c>
      <c r="AF982" s="15" t="n">
        <v>123.4313271174145</v>
      </c>
      <c r="AH982" s="42">
        <f>HIPERLINK($A$1 &amp; "\Dados\Magnet_fields_982.txt.txt", "Magnet_fields_982.txt")</f>
        <v/>
      </c>
      <c r="AI982" t="n">
        <v>7091</v>
      </c>
      <c r="AJ982" t="n">
        <v>28</v>
      </c>
      <c r="AK982" s="42">
        <f>HIPERLINK($A$1 &amp; "\Dados\Magnet_3D_results_982.txt.txt", "Magnet_3D_results_982.txt")</f>
        <v/>
      </c>
      <c r="AL982" s="42">
        <f>HIPERLINK($A$1 &amp; "\Dados\Magnet_fields_2D_982.txt.txt", "Magnet_fields_2D_982.txt")</f>
        <v/>
      </c>
    </row>
    <row r="983">
      <c r="E983" s="15" t="n">
        <v>148</v>
      </c>
      <c r="F983" s="15" t="n">
        <v>180</v>
      </c>
      <c r="G983" s="15" t="n">
        <v>396</v>
      </c>
      <c r="H983" s="15" t="n">
        <v>25</v>
      </c>
      <c r="I983" s="15" t="n">
        <v>166</v>
      </c>
      <c r="J983" s="13" t="n">
        <v>25</v>
      </c>
      <c r="K983" t="n">
        <v>60</v>
      </c>
      <c r="L983" s="13" t="n">
        <v>3</v>
      </c>
      <c r="M983" s="12" t="n"/>
      <c r="N983" s="8" t="n">
        <v>1.616684322716336</v>
      </c>
      <c r="O983" s="15" t="n">
        <v>1.382178078459182</v>
      </c>
      <c r="P983" s="15" t="n">
        <v>1.54224075718846</v>
      </c>
      <c r="Q983" s="15" t="n">
        <v>0.01833288923517664</v>
      </c>
      <c r="R983" s="15" t="n">
        <v>0.04438592349072424</v>
      </c>
      <c r="S983" s="15" t="n">
        <v>0.01841015560347823</v>
      </c>
      <c r="T983" s="42">
        <f>HIPERLINK($A$1 &amp; "\Dados\Imagem_perfil_983.png", "Imagem_perfil_983")</f>
        <v/>
      </c>
      <c r="U983" s="42">
        <f>HIPERLINK($A$1 &amp; "\Dados\Results_airgap983.txt", "Results_airgap983")</f>
        <v/>
      </c>
      <c r="V983" s="19" t="n"/>
      <c r="W983" s="15" t="n">
        <v>2.113150217391305</v>
      </c>
      <c r="X983" s="15" t="n">
        <v>0.9845513603510421</v>
      </c>
      <c r="Y983" s="15" t="n">
        <v>0.3288350463358885</v>
      </c>
      <c r="Z983" s="15" t="n">
        <v>0.02156943210598179</v>
      </c>
      <c r="AA983" s="15" t="n">
        <v>6.982235824656237</v>
      </c>
      <c r="AB983" s="15" t="n">
        <v>0.5201321985768104</v>
      </c>
      <c r="AC983" s="15" t="n">
        <v>18.87291968903253</v>
      </c>
      <c r="AD983" s="15" t="n">
        <v>68.02560108440611</v>
      </c>
      <c r="AE983" s="15" t="n">
        <v>100.6466759759703</v>
      </c>
      <c r="AF983" s="15" t="n">
        <v>131.6399061546456</v>
      </c>
      <c r="AH983" s="42">
        <f>HIPERLINK($A$1 &amp; "\Dados\Magnet_fields_983.txt.txt", "Magnet_fields_983.txt")</f>
        <v/>
      </c>
      <c r="AI983" t="n">
        <v>11152</v>
      </c>
      <c r="AJ983" t="n">
        <v>30</v>
      </c>
      <c r="AK983" s="42">
        <f>HIPERLINK($A$1 &amp; "\Dados\Magnet_3D_results_983.txt.txt", "Magnet_3D_results_983.txt")</f>
        <v/>
      </c>
      <c r="AL983" s="42">
        <f>HIPERLINK($A$1 &amp; "\Dados\Magnet_fields_2D_983.txt.txt", "Magnet_fields_2D_983.txt")</f>
        <v/>
      </c>
    </row>
    <row r="984">
      <c r="E984" s="15" t="n">
        <v>131</v>
      </c>
      <c r="F984" s="15" t="n">
        <v>172</v>
      </c>
      <c r="G984" s="15" t="n">
        <v>417</v>
      </c>
      <c r="H984" s="15" t="n">
        <v>32</v>
      </c>
      <c r="I984" s="15" t="n">
        <v>144</v>
      </c>
      <c r="J984" s="13" t="n">
        <v>25</v>
      </c>
      <c r="K984" t="n">
        <v>50</v>
      </c>
      <c r="L984" s="13" t="n">
        <v>3</v>
      </c>
      <c r="M984" s="12" t="n"/>
      <c r="N984" s="8" t="n">
        <v>1.473108545912264</v>
      </c>
      <c r="O984" s="15" t="n">
        <v>1.171270060751148</v>
      </c>
      <c r="P984" s="15" t="n">
        <v>1.382276398465027</v>
      </c>
      <c r="Q984" s="15" t="n">
        <v>0.00697858362256874</v>
      </c>
      <c r="R984" s="15" t="n">
        <v>0.05351294704074323</v>
      </c>
      <c r="S984" s="15" t="n">
        <v>0.007984536178695526</v>
      </c>
      <c r="T984" s="42">
        <f>HIPERLINK($A$1 &amp; "\Dados\Imagem_perfil_984.png", "Imagem_perfil_984")</f>
        <v/>
      </c>
      <c r="U984" s="42">
        <f>HIPERLINK($A$1 &amp; "\Dados\Results_airgap984.txt", "Results_airgap984")</f>
        <v/>
      </c>
      <c r="V984" s="19" t="n"/>
      <c r="W984" s="15" t="n">
        <v>2.040839347826088</v>
      </c>
      <c r="X984" s="15" t="n">
        <v>0.9740568230284593</v>
      </c>
      <c r="Y984" s="15" t="n">
        <v>0.4976878246273168</v>
      </c>
      <c r="Z984" s="15" t="n">
        <v>0.0009540142257858851</v>
      </c>
      <c r="AA984" s="15" t="n">
        <v>0.9133107152423744</v>
      </c>
      <c r="AB984" s="15" t="n">
        <v>2.410546268083248</v>
      </c>
      <c r="AC984" s="15" t="n">
        <v>14.95284762888263</v>
      </c>
      <c r="AD984" s="15" t="n">
        <v>52.45126088477775</v>
      </c>
      <c r="AE984" s="15" t="n">
        <v>90.29932314527872</v>
      </c>
      <c r="AF984" s="15" t="n">
        <v>122.5590185819878</v>
      </c>
      <c r="AH984" s="42">
        <f>HIPERLINK($A$1 &amp; "\Dados\Magnet_fields_984.txt.txt", "Magnet_fields_984.txt")</f>
        <v/>
      </c>
      <c r="AI984" t="n">
        <v>8113</v>
      </c>
      <c r="AJ984" t="n">
        <v>29</v>
      </c>
      <c r="AK984" s="42">
        <f>HIPERLINK($A$1 &amp; "\Dados\Magnet_3D_results_984.txt.txt", "Magnet_3D_results_984.txt")</f>
        <v/>
      </c>
      <c r="AL984" s="42">
        <f>HIPERLINK($A$1 &amp; "\Dados\Magnet_fields_2D_984.txt.txt", "Magnet_fields_2D_984.txt")</f>
        <v/>
      </c>
    </row>
    <row r="985">
      <c r="E985" s="15" t="n">
        <v>144</v>
      </c>
      <c r="F985" s="15" t="n">
        <v>182</v>
      </c>
      <c r="G985" s="15" t="n">
        <v>426</v>
      </c>
      <c r="H985" s="15" t="n">
        <v>35</v>
      </c>
      <c r="I985" s="15" t="n">
        <v>174</v>
      </c>
      <c r="J985" s="13" t="n">
        <v>25</v>
      </c>
      <c r="K985" t="n">
        <v>45</v>
      </c>
      <c r="L985" s="13" t="n">
        <v>3</v>
      </c>
      <c r="M985" s="12" t="n"/>
      <c r="N985" s="8" t="n">
        <v>1.557319198214368</v>
      </c>
      <c r="O985" s="15" t="n">
        <v>1.354860364802078</v>
      </c>
      <c r="P985" s="15" t="n">
        <v>1.507423048781449</v>
      </c>
      <c r="Q985" s="15" t="n">
        <v>0.003468738994027878</v>
      </c>
      <c r="R985" s="15" t="n">
        <v>0.04372461234543561</v>
      </c>
      <c r="S985" s="15" t="n">
        <v>0.003558595261164163</v>
      </c>
      <c r="T985" s="42">
        <f>HIPERLINK($A$1 &amp; "\Dados\Imagem_perfil_985.png", "Imagem_perfil_985")</f>
        <v/>
      </c>
      <c r="U985" s="42">
        <f>HIPERLINK($A$1 &amp; "\Dados\Results_airgap985.txt", "Results_airgap985")</f>
        <v/>
      </c>
      <c r="V985" s="19" t="n"/>
      <c r="W985" s="15" t="n">
        <v>1.974075217391305</v>
      </c>
      <c r="X985" s="15" t="n">
        <v>0.986847278029137</v>
      </c>
      <c r="Y985" s="15" t="n">
        <v>0.5616802211575647</v>
      </c>
      <c r="Z985" s="15" t="n">
        <v>0</v>
      </c>
      <c r="AA985" s="15" t="n">
        <v>1.488172838502938</v>
      </c>
      <c r="AB985" s="15" t="n">
        <v>1.149798965724922</v>
      </c>
      <c r="AC985" s="15" t="n">
        <v>7.641362856213667</v>
      </c>
      <c r="AD985" s="15" t="n">
        <v>40.82391453429592</v>
      </c>
      <c r="AE985" s="15" t="n">
        <v>88.49118585753115</v>
      </c>
      <c r="AF985" s="15" t="n">
        <v>119.3382379296544</v>
      </c>
      <c r="AH985" s="42">
        <f>HIPERLINK($A$1 &amp; "\Dados\Magnet_fields_985.txt.txt", "Magnet_fields_985.txt")</f>
        <v/>
      </c>
      <c r="AI985" t="n">
        <v>7191</v>
      </c>
      <c r="AJ985" t="n">
        <v>29</v>
      </c>
      <c r="AK985" s="42">
        <f>HIPERLINK($A$1 &amp; "\Dados\Magnet_3D_results_985.txt.txt", "Magnet_3D_results_985.txt")</f>
        <v/>
      </c>
      <c r="AL985" s="42">
        <f>HIPERLINK($A$1 &amp; "\Dados\Magnet_fields_2D_985.txt.txt", "Magnet_fields_2D_985.txt")</f>
        <v/>
      </c>
    </row>
    <row r="986">
      <c r="E986" s="15" t="n">
        <v>131</v>
      </c>
      <c r="F986" s="15" t="n">
        <v>181</v>
      </c>
      <c r="G986" s="15" t="n">
        <v>389</v>
      </c>
      <c r="H986" s="15" t="n">
        <v>43</v>
      </c>
      <c r="I986" s="15" t="n">
        <v>151</v>
      </c>
      <c r="J986" s="13" t="n">
        <v>25</v>
      </c>
      <c r="K986" t="n">
        <v>55</v>
      </c>
      <c r="L986" s="13" t="n">
        <v>3</v>
      </c>
      <c r="M986" s="12" t="n"/>
      <c r="N986" s="8" t="n">
        <v>1.343680353659927</v>
      </c>
      <c r="O986" s="15" t="n">
        <v>1.086615328903221</v>
      </c>
      <c r="P986" s="15" t="n">
        <v>1.263576722026981</v>
      </c>
      <c r="Q986" s="15" t="n">
        <v>0.01360690142076495</v>
      </c>
      <c r="R986" s="15" t="n">
        <v>0.05529607129979849</v>
      </c>
      <c r="S986" s="15" t="n">
        <v>0.01432793049091976</v>
      </c>
      <c r="T986" s="42">
        <f>HIPERLINK($A$1 &amp; "\Dados\Imagem_perfil_986.png", "Imagem_perfil_986")</f>
        <v/>
      </c>
      <c r="U986" s="42">
        <f>HIPERLINK($A$1 &amp; "\Dados\Results_airgap986.txt", "Results_airgap986")</f>
        <v/>
      </c>
      <c r="V986" s="19" t="n"/>
      <c r="W986" s="15" t="n">
        <v>1.822925652173913</v>
      </c>
      <c r="X986" s="15" t="n">
        <v>0.8651472860603679</v>
      </c>
      <c r="Y986" s="15" t="n">
        <v>0.6699635547395473</v>
      </c>
      <c r="Z986" s="15" t="n">
        <v>0.00096303664598834</v>
      </c>
      <c r="AA986" s="15" t="n">
        <v>0.001931688002972003</v>
      </c>
      <c r="AB986" s="15" t="n">
        <v>2.554613156650523</v>
      </c>
      <c r="AC986" s="15" t="n">
        <v>21.1375756059104</v>
      </c>
      <c r="AD986" s="15" t="n">
        <v>62.87069236903854</v>
      </c>
      <c r="AE986" s="15" t="n">
        <v>94.62278323205265</v>
      </c>
      <c r="AF986" s="15" t="n">
        <v>126.026801895685</v>
      </c>
      <c r="AH986" s="42">
        <f>HIPERLINK($A$1 &amp; "\Dados\Magnet_fields_986.txt.txt", "Magnet_fields_986.txt")</f>
        <v/>
      </c>
      <c r="AI986" t="n">
        <v>11028</v>
      </c>
      <c r="AJ986" t="n">
        <v>30</v>
      </c>
      <c r="AK986" s="42">
        <f>HIPERLINK($A$1 &amp; "\Dados\Magnet_3D_results_986.txt.txt", "Magnet_3D_results_986.txt")</f>
        <v/>
      </c>
      <c r="AL986" s="42">
        <f>HIPERLINK($A$1 &amp; "\Dados\Magnet_fields_2D_986.txt.txt", "Magnet_fields_2D_986.txt")</f>
        <v/>
      </c>
    </row>
    <row r="987">
      <c r="E987" s="15" t="n">
        <v>136</v>
      </c>
      <c r="F987" s="15" t="n">
        <v>184</v>
      </c>
      <c r="G987" s="15" t="n">
        <v>371</v>
      </c>
      <c r="H987" s="15" t="n">
        <v>43</v>
      </c>
      <c r="I987" s="15" t="n">
        <v>150</v>
      </c>
      <c r="J987" s="13" t="n">
        <v>25</v>
      </c>
      <c r="K987" t="n">
        <v>60</v>
      </c>
      <c r="L987" s="13" t="n">
        <v>3</v>
      </c>
      <c r="M987" s="12" t="n"/>
      <c r="N987" s="8" t="n">
        <v>1.301729471532042</v>
      </c>
      <c r="O987" s="15" t="n">
        <v>1.061747563761003</v>
      </c>
      <c r="P987" s="15" t="n">
        <v>1.22949964813493</v>
      </c>
      <c r="Q987" s="15" t="n">
        <v>0.02335892625993203</v>
      </c>
      <c r="R987" s="15" t="n">
        <v>0.04904106818999607</v>
      </c>
      <c r="S987" s="15" t="n">
        <v>0.02361982162443308</v>
      </c>
      <c r="T987" s="42">
        <f>HIPERLINK($A$1 &amp; "\Dados\Imagem_perfil_987.png", "Imagem_perfil_987")</f>
        <v/>
      </c>
      <c r="U987" s="42">
        <f>HIPERLINK($A$1 &amp; "\Dados\Results_airgap987.txt", "Results_airgap987")</f>
        <v/>
      </c>
      <c r="V987" s="19" t="n"/>
      <c r="W987" s="15" t="n">
        <v>1.759959782608696</v>
      </c>
      <c r="X987" s="15" t="n">
        <v>0.827192492899965</v>
      </c>
      <c r="Y987" s="15" t="n">
        <v>0.6971515283669417</v>
      </c>
      <c r="Z987" s="15" t="n">
        <v>0</v>
      </c>
      <c r="AA987" s="15" t="n">
        <v>0.1282867503196457</v>
      </c>
      <c r="AB987" s="15" t="n">
        <v>2.268162209812559</v>
      </c>
      <c r="AC987" s="15" t="n">
        <v>21.64069084561253</v>
      </c>
      <c r="AD987" s="15" t="n">
        <v>61.68986845733483</v>
      </c>
      <c r="AE987" s="15" t="n">
        <v>94.5136409676582</v>
      </c>
      <c r="AF987" s="15" t="n">
        <v>128.707371026977</v>
      </c>
      <c r="AH987" s="42">
        <f>HIPERLINK($A$1 &amp; "\Dados\Magnet_fields_987.txt.txt", "Magnet_fields_987.txt")</f>
        <v/>
      </c>
      <c r="AI987" t="n">
        <v>7771</v>
      </c>
      <c r="AJ987" t="n">
        <v>29</v>
      </c>
      <c r="AK987" s="42">
        <f>HIPERLINK($A$1 &amp; "\Dados\Magnet_3D_results_987.txt.txt", "Magnet_3D_results_987.txt")</f>
        <v/>
      </c>
      <c r="AL987" s="42">
        <f>HIPERLINK($A$1 &amp; "\Dados\Magnet_fields_2D_987.txt.txt", "Magnet_fields_2D_987.txt")</f>
        <v/>
      </c>
    </row>
    <row r="988">
      <c r="E988" s="15" t="n">
        <v>142</v>
      </c>
      <c r="F988" s="15" t="n">
        <v>179</v>
      </c>
      <c r="G988" s="15" t="n">
        <v>393</v>
      </c>
      <c r="H988" s="15" t="n">
        <v>38</v>
      </c>
      <c r="I988" s="15" t="n">
        <v>147</v>
      </c>
      <c r="J988" s="13" t="n">
        <v>25</v>
      </c>
      <c r="K988" t="n">
        <v>50</v>
      </c>
      <c r="L988" s="13" t="n">
        <v>3</v>
      </c>
      <c r="M988" s="12" t="n"/>
      <c r="N988" s="8" t="n">
        <v>1.467643060398885</v>
      </c>
      <c r="O988" s="15" t="n">
        <v>1.182636357143043</v>
      </c>
      <c r="P988" s="15" t="n">
        <v>1.383047612490361</v>
      </c>
      <c r="Q988" s="15" t="n">
        <v>0.005445127952542683</v>
      </c>
      <c r="R988" s="15" t="n">
        <v>0.04214361649495993</v>
      </c>
      <c r="S988" s="15" t="n">
        <v>0.005596479091088703</v>
      </c>
      <c r="T988" s="42">
        <f>HIPERLINK($A$1 &amp; "\Dados\Imagem_perfil_988.png", "Imagem_perfil_988")</f>
        <v/>
      </c>
      <c r="U988" s="42">
        <f>HIPERLINK($A$1 &amp; "\Dados\Results_airgap988.txt", "Results_airgap988")</f>
        <v/>
      </c>
      <c r="V988" s="19" t="n"/>
      <c r="W988" s="15" t="n">
        <v>1.941978695652174</v>
      </c>
      <c r="X988" s="15" t="n">
        <v>0.9799808906085975</v>
      </c>
      <c r="Y988" s="15" t="n">
        <v>0.539499023980158</v>
      </c>
      <c r="Z988" s="15" t="n">
        <v>0</v>
      </c>
      <c r="AA988" s="15" t="n">
        <v>0.06679364701472437</v>
      </c>
      <c r="AB988" s="15" t="n">
        <v>0.2425952276208468</v>
      </c>
      <c r="AC988" s="15" t="n">
        <v>6.992525183872784</v>
      </c>
      <c r="AD988" s="15" t="n">
        <v>50.06457797397727</v>
      </c>
      <c r="AE988" s="15" t="n">
        <v>93.01423061724159</v>
      </c>
      <c r="AF988" s="15" t="n">
        <v>123.0163523136338</v>
      </c>
      <c r="AH988" s="42">
        <f>HIPERLINK($A$1 &amp; "\Dados\Magnet_fields_988.txt.txt", "Magnet_fields_988.txt")</f>
        <v/>
      </c>
      <c r="AI988" t="n">
        <v>7385</v>
      </c>
      <c r="AJ988" t="n">
        <v>29</v>
      </c>
      <c r="AK988" s="42">
        <f>HIPERLINK($A$1 &amp; "\Dados\Magnet_3D_results_988.txt.txt", "Magnet_3D_results_988.txt")</f>
        <v/>
      </c>
      <c r="AL988" s="42">
        <f>HIPERLINK($A$1 &amp; "\Dados\Magnet_fields_2D_988.txt.txt", "Magnet_fields_2D_988.txt")</f>
        <v/>
      </c>
    </row>
    <row r="989">
      <c r="E989" s="15" t="n">
        <v>147</v>
      </c>
      <c r="F989" s="15" t="n">
        <v>195</v>
      </c>
      <c r="G989" s="15" t="n">
        <v>354</v>
      </c>
      <c r="H989" s="15" t="n">
        <v>38</v>
      </c>
      <c r="I989" s="15" t="n">
        <v>160</v>
      </c>
      <c r="J989" s="13" t="n">
        <v>25</v>
      </c>
      <c r="K989" t="n">
        <v>55</v>
      </c>
      <c r="L989" s="13" t="n">
        <v>3</v>
      </c>
      <c r="M989" s="12" t="n"/>
      <c r="N989" s="8" t="n">
        <v>1.211803604520649</v>
      </c>
      <c r="O989" s="15" t="n">
        <v>1.008133004280115</v>
      </c>
      <c r="P989" s="15" t="n">
        <v>1.148308717408745</v>
      </c>
      <c r="Q989" s="15" t="n">
        <v>0.007536711610762045</v>
      </c>
      <c r="R989" s="15" t="n">
        <v>0.03241037961699607</v>
      </c>
      <c r="S989" s="15" t="n">
        <v>0.00801308538116109</v>
      </c>
      <c r="T989" s="42">
        <f>HIPERLINK($A$1 &amp; "\Dados\Imagem_perfil_989.png", "Imagem_perfil_989")</f>
        <v/>
      </c>
      <c r="U989" s="42">
        <f>HIPERLINK($A$1 &amp; "\Dados\Results_airgap989.txt", "Results_airgap989")</f>
        <v/>
      </c>
      <c r="V989" s="19" t="n"/>
      <c r="W989" s="15" t="n">
        <v>1.551306086956522</v>
      </c>
      <c r="X989" s="15" t="n">
        <v>0.7837547137157296</v>
      </c>
      <c r="Y989" s="15" t="n">
        <v>0.9357609319271341</v>
      </c>
      <c r="Z989" s="15" t="n">
        <v>0.005019790131003097</v>
      </c>
      <c r="AA989" s="15" t="n">
        <v>0.364859676553064</v>
      </c>
      <c r="AB989" s="15" t="n">
        <v>0</v>
      </c>
      <c r="AC989" s="15" t="n">
        <v>9.993159996929345</v>
      </c>
      <c r="AD989" s="15" t="n">
        <v>54.43701458039783</v>
      </c>
      <c r="AE989" s="15" t="n">
        <v>91.33780674763103</v>
      </c>
      <c r="AF989" s="15" t="n">
        <v>123.670831232757</v>
      </c>
      <c r="AH989" s="42">
        <f>HIPERLINK($A$1 &amp; "\Dados\Magnet_fields_989.txt.txt", "Magnet_fields_989.txt")</f>
        <v/>
      </c>
      <c r="AI989" t="n">
        <v>10538</v>
      </c>
      <c r="AJ989" t="n">
        <v>30</v>
      </c>
      <c r="AK989" s="42">
        <f>HIPERLINK($A$1 &amp; "\Dados\Magnet_3D_results_989.txt.txt", "Magnet_3D_results_989.txt")</f>
        <v/>
      </c>
      <c r="AL989" s="42">
        <f>HIPERLINK($A$1 &amp; "\Dados\Magnet_fields_2D_989.txt.txt", "Magnet_fields_2D_989.txt")</f>
        <v/>
      </c>
    </row>
    <row r="990">
      <c r="E990" s="15" t="n">
        <v>139</v>
      </c>
      <c r="F990" s="15" t="n">
        <v>188</v>
      </c>
      <c r="G990" s="15" t="n">
        <v>412</v>
      </c>
      <c r="H990" s="15" t="n">
        <v>44</v>
      </c>
      <c r="I990" s="15" t="n">
        <v>174</v>
      </c>
      <c r="J990" s="13" t="n">
        <v>25</v>
      </c>
      <c r="K990" t="n">
        <v>60</v>
      </c>
      <c r="L990" s="13" t="n">
        <v>3</v>
      </c>
      <c r="M990" s="12" t="n"/>
      <c r="N990" s="8" t="n">
        <v>1.432500023474129</v>
      </c>
      <c r="O990" s="15" t="n">
        <v>1.247669568144915</v>
      </c>
      <c r="P990" s="15" t="n">
        <v>1.376043892529108</v>
      </c>
      <c r="Q990" s="15" t="n">
        <v>0.02739971651631589</v>
      </c>
      <c r="R990" s="15" t="n">
        <v>0.06585966649316206</v>
      </c>
      <c r="S990" s="15" t="n">
        <v>0.02639663525066371</v>
      </c>
      <c r="T990" s="42">
        <f>HIPERLINK($A$1 &amp; "\Dados\Imagem_perfil_990.png", "Imagem_perfil_990")</f>
        <v/>
      </c>
      <c r="U990" s="42">
        <f>HIPERLINK($A$1 &amp; "\Dados\Results_airgap990.txt", "Results_airgap990")</f>
        <v/>
      </c>
      <c r="V990" s="19" t="n"/>
      <c r="W990" s="15" t="n">
        <v>1.897702608695653</v>
      </c>
      <c r="X990" s="15" t="n">
        <v>0.9007225896044372</v>
      </c>
      <c r="Y990" s="15" t="n">
        <v>0.5818585725229972</v>
      </c>
      <c r="Z990" s="15" t="n">
        <v>0.007215383884454386</v>
      </c>
      <c r="AA990" s="15" t="n">
        <v>0</v>
      </c>
      <c r="AB990" s="15" t="n">
        <v>1.051075332701559</v>
      </c>
      <c r="AC990" s="15" t="n">
        <v>18.28228320621522</v>
      </c>
      <c r="AD990" s="15" t="n">
        <v>66.9882794250825</v>
      </c>
      <c r="AE990" s="15" t="n">
        <v>99.52211783695134</v>
      </c>
      <c r="AF990" s="15" t="n">
        <v>130.9112232985632</v>
      </c>
      <c r="AH990" s="42">
        <f>HIPERLINK($A$1 &amp; "\Dados\Magnet_fields_990.txt.txt", "Magnet_fields_990.txt")</f>
        <v/>
      </c>
      <c r="AI990" t="n">
        <v>7952</v>
      </c>
      <c r="AJ990" t="n">
        <v>30</v>
      </c>
      <c r="AK990" s="42">
        <f>HIPERLINK($A$1 &amp; "\Dados\Magnet_3D_results_990.txt.txt", "Magnet_3D_results_990.txt")</f>
        <v/>
      </c>
      <c r="AL990" s="42">
        <f>HIPERLINK($A$1 &amp; "\Dados\Magnet_fields_2D_990.txt.txt", "Magnet_fields_2D_990.txt")</f>
        <v/>
      </c>
    </row>
    <row r="991">
      <c r="E991" s="15" t="n">
        <v>133</v>
      </c>
      <c r="F991" s="15" t="n">
        <v>180</v>
      </c>
      <c r="G991" s="15" t="n">
        <v>430</v>
      </c>
      <c r="H991" s="15" t="n">
        <v>34</v>
      </c>
      <c r="I991" s="15" t="n">
        <v>167</v>
      </c>
      <c r="J991" s="13" t="n">
        <v>25</v>
      </c>
      <c r="K991" t="n">
        <v>55</v>
      </c>
      <c r="L991" s="13" t="n">
        <v>3</v>
      </c>
      <c r="M991" s="12" t="n"/>
      <c r="N991" s="8" t="n">
        <v>1.494081109463916</v>
      </c>
      <c r="O991" s="15" t="n">
        <v>1.26945666481745</v>
      </c>
      <c r="P991" s="15" t="n">
        <v>1.425210887634358</v>
      </c>
      <c r="Q991" s="15" t="n">
        <v>0.01519130074678778</v>
      </c>
      <c r="R991" s="15" t="n">
        <v>0.06788692483740799</v>
      </c>
      <c r="S991" s="15" t="n">
        <v>0.01537720006732265</v>
      </c>
      <c r="T991" s="42">
        <f>HIPERLINK($A$1 &amp; "\Dados\Imagem_perfil_991.png", "Imagem_perfil_991")</f>
        <v/>
      </c>
      <c r="U991" s="42">
        <f>HIPERLINK($A$1 &amp; "\Dados\Results_airgap991.txt", "Results_airgap991")</f>
        <v/>
      </c>
      <c r="V991" s="19" t="n"/>
      <c r="W991" s="15" t="n">
        <v>2.026369347826087</v>
      </c>
      <c r="X991" s="15" t="n">
        <v>0.9483005147968829</v>
      </c>
      <c r="Y991" s="15" t="n">
        <v>0.4819557021998375</v>
      </c>
      <c r="Z991" s="15" t="n">
        <v>0.01645393168078047</v>
      </c>
      <c r="AA991" s="15" t="n">
        <v>0.005191080088251337</v>
      </c>
      <c r="AB991" s="15" t="n">
        <v>1.880742056751268</v>
      </c>
      <c r="AC991" s="15" t="n">
        <v>18.84893031786672</v>
      </c>
      <c r="AD991" s="15" t="n">
        <v>65.11238197720868</v>
      </c>
      <c r="AE991" s="15" t="n">
        <v>97.68100490714635</v>
      </c>
      <c r="AF991" s="15" t="n">
        <v>127.6144995186082</v>
      </c>
      <c r="AH991" s="42">
        <f>HIPERLINK($A$1 &amp; "\Dados\Magnet_fields_991.txt.txt", "Magnet_fields_991.txt")</f>
        <v/>
      </c>
      <c r="AI991" t="n">
        <v>11790</v>
      </c>
      <c r="AJ991" t="n">
        <v>31</v>
      </c>
      <c r="AK991" s="42">
        <f>HIPERLINK($A$1 &amp; "\Dados\Magnet_3D_results_991.txt.txt", "Magnet_3D_results_991.txt")</f>
        <v/>
      </c>
      <c r="AL991" s="42">
        <f>HIPERLINK($A$1 &amp; "\Dados\Magnet_fields_2D_991.txt.txt", "Magnet_fields_2D_991.txt")</f>
        <v/>
      </c>
    </row>
    <row r="992">
      <c r="E992" s="15" t="n">
        <v>148</v>
      </c>
      <c r="F992" s="15" t="n">
        <v>190</v>
      </c>
      <c r="G992" s="15" t="n">
        <v>413</v>
      </c>
      <c r="H992" s="15" t="n">
        <v>44</v>
      </c>
      <c r="I992" s="15" t="n">
        <v>143</v>
      </c>
      <c r="J992" s="13" t="n">
        <v>25</v>
      </c>
      <c r="K992" t="n">
        <v>45</v>
      </c>
      <c r="L992" s="13" t="n">
        <v>3</v>
      </c>
      <c r="M992" s="12" t="n"/>
      <c r="N992" s="8" t="n">
        <v>1.381694453546812</v>
      </c>
      <c r="O992" s="15" t="n">
        <v>1.088747997183724</v>
      </c>
      <c r="P992" s="15" t="n">
        <v>1.300363955287461</v>
      </c>
      <c r="Q992" s="15" t="n">
        <v>0.00251026991037756</v>
      </c>
      <c r="R992" s="15" t="n">
        <v>0.03902686126127629</v>
      </c>
      <c r="S992" s="15" t="n">
        <v>0.003220894234804306</v>
      </c>
      <c r="T992" s="42">
        <f>HIPERLINK($A$1 &amp; "\Dados\Imagem_perfil_992.png", "Imagem_perfil_992")</f>
        <v/>
      </c>
      <c r="U992" s="42">
        <f>HIPERLINK($A$1 &amp; "\Dados\Results_airgap992.txt", "Results_airgap992")</f>
        <v/>
      </c>
      <c r="V992" s="19" t="n"/>
      <c r="W992" s="15" t="n">
        <v>1.869313478260869</v>
      </c>
      <c r="X992" s="15" t="n">
        <v>0.9142456067231612</v>
      </c>
      <c r="Y992" s="15" t="n">
        <v>0.6491667123248682</v>
      </c>
      <c r="Z992" s="15" t="n">
        <v>0</v>
      </c>
      <c r="AA992" s="15" t="n">
        <v>0</v>
      </c>
      <c r="AB992" s="15" t="n">
        <v>1.559578393258277</v>
      </c>
      <c r="AC992" s="15" t="n">
        <v>11.9518800577573</v>
      </c>
      <c r="AD992" s="15" t="n">
        <v>47.02183064402346</v>
      </c>
      <c r="AE992" s="15" t="n">
        <v>85.93888231323872</v>
      </c>
      <c r="AF992" s="15" t="n">
        <v>117.824039994943</v>
      </c>
      <c r="AH992" s="42">
        <f>HIPERLINK($A$1 &amp; "\Dados\Magnet_fields_992.txt.txt", "Magnet_fields_992.txt")</f>
        <v/>
      </c>
      <c r="AI992" t="n">
        <v>6657</v>
      </c>
      <c r="AJ992" t="n">
        <v>28</v>
      </c>
      <c r="AK992" s="42">
        <f>HIPERLINK($A$1 &amp; "\Dados\Magnet_3D_results_992.txt.txt", "Magnet_3D_results_992.txt")</f>
        <v/>
      </c>
      <c r="AL992" s="42">
        <f>HIPERLINK($A$1 &amp; "\Dados\Magnet_fields_2D_992.txt.txt", "Magnet_fields_2D_992.txt")</f>
        <v/>
      </c>
    </row>
    <row r="993">
      <c r="E993" s="15" t="n">
        <v>130</v>
      </c>
      <c r="F993" s="15" t="n">
        <v>173</v>
      </c>
      <c r="G993" s="15" t="n">
        <v>366</v>
      </c>
      <c r="H993" s="15" t="n">
        <v>31</v>
      </c>
      <c r="I993" s="15" t="n">
        <v>173</v>
      </c>
      <c r="J993" s="13" t="n">
        <v>25</v>
      </c>
      <c r="K993" t="n">
        <v>50</v>
      </c>
      <c r="L993" s="13" t="n">
        <v>3</v>
      </c>
      <c r="M993" s="12" t="n"/>
      <c r="N993" s="8" t="n">
        <v>1.425853938581577</v>
      </c>
      <c r="O993" s="15" t="n">
        <v>1.233269389995444</v>
      </c>
      <c r="P993" s="15" t="n">
        <v>1.3699397690455</v>
      </c>
      <c r="Q993" s="15" t="n">
        <v>0.005781880078976736</v>
      </c>
      <c r="R993" s="15" t="n">
        <v>0.04016446704682191</v>
      </c>
      <c r="S993" s="15" t="n">
        <v>0.005952474943975065</v>
      </c>
      <c r="T993" s="42">
        <f>HIPERLINK($A$1 &amp; "\Dados\Imagem_perfil_993.png", "Imagem_perfil_993")</f>
        <v/>
      </c>
      <c r="U993" s="42">
        <f>HIPERLINK($A$1 &amp; "\Dados\Results_airgap993.txt", "Results_airgap993")</f>
        <v/>
      </c>
      <c r="V993" s="19" t="n"/>
      <c r="W993" s="15" t="n">
        <v>1.801705869565217</v>
      </c>
      <c r="X993" s="15" t="n">
        <v>0.8706806390698277</v>
      </c>
      <c r="Y993" s="15" t="n">
        <v>0.711302039055842</v>
      </c>
      <c r="Z993" s="15" t="n">
        <v>0.001486781872416796</v>
      </c>
      <c r="AA993" s="15" t="n">
        <v>1.874994635809226</v>
      </c>
      <c r="AB993" s="15" t="n">
        <v>2.185342193824068</v>
      </c>
      <c r="AC993" s="15" t="n">
        <v>14.33498143027646</v>
      </c>
      <c r="AD993" s="15" t="n">
        <v>49.41234536914013</v>
      </c>
      <c r="AE993" s="15" t="n">
        <v>87.19802503082992</v>
      </c>
      <c r="AF993" s="15" t="n">
        <v>120.9082037852767</v>
      </c>
      <c r="AH993" s="42">
        <f>HIPERLINK($A$1 &amp; "\Dados\Magnet_fields_993.txt.txt", "Magnet_fields_993.txt")</f>
        <v/>
      </c>
      <c r="AI993" t="n">
        <v>7878</v>
      </c>
      <c r="AJ993" t="n">
        <v>30</v>
      </c>
      <c r="AK993" s="42">
        <f>HIPERLINK($A$1 &amp; "\Dados\Magnet_3D_results_993.txt.txt", "Magnet_3D_results_993.txt")</f>
        <v/>
      </c>
      <c r="AL993" s="42">
        <f>HIPERLINK($A$1 &amp; "\Dados\Magnet_fields_2D_993.txt.txt", "Magnet_fields_2D_993.txt")</f>
        <v/>
      </c>
    </row>
    <row r="994">
      <c r="E994" s="15" t="n">
        <v>123</v>
      </c>
      <c r="F994" s="15" t="n">
        <v>171</v>
      </c>
      <c r="G994" s="15" t="n">
        <v>372</v>
      </c>
      <c r="H994" s="15" t="n">
        <v>25</v>
      </c>
      <c r="I994" s="15" t="n">
        <v>142</v>
      </c>
      <c r="J994" s="13" t="n">
        <v>25</v>
      </c>
      <c r="K994" t="n">
        <v>45</v>
      </c>
      <c r="L994" s="13" t="n">
        <v>3</v>
      </c>
      <c r="M994" s="12" t="n"/>
      <c r="N994" s="8" t="n">
        <v>1.249476183116756</v>
      </c>
      <c r="O994" s="15" t="n">
        <v>0.9676920998020848</v>
      </c>
      <c r="P994" s="15" t="n">
        <v>1.167079498854245</v>
      </c>
      <c r="Q994" s="15" t="n">
        <v>0.003373597456373065</v>
      </c>
      <c r="R994" s="15" t="n">
        <v>0.03835224989625954</v>
      </c>
      <c r="S994" s="15" t="n">
        <v>0.00461461284441314</v>
      </c>
      <c r="T994" s="42">
        <f>HIPERLINK($A$1 &amp; "\Dados\Imagem_perfil_994.png", "Imagem_perfil_994")</f>
        <v/>
      </c>
      <c r="U994" s="42">
        <f>HIPERLINK($A$1 &amp; "\Dados\Results_airgap994.txt", "Results_airgap994")</f>
        <v/>
      </c>
      <c r="V994" s="19" t="n"/>
      <c r="W994" s="15" t="n">
        <v>1.700348695652174</v>
      </c>
      <c r="X994" s="15" t="n">
        <v>0.7996633780179964</v>
      </c>
      <c r="Y994" s="15" t="n">
        <v>0.8813350372075099</v>
      </c>
      <c r="Z994" s="15" t="n">
        <v>0</v>
      </c>
      <c r="AA994" s="15" t="n">
        <v>1.825895534137109</v>
      </c>
      <c r="AB994" s="15" t="n">
        <v>2.294802064250468</v>
      </c>
      <c r="AC994" s="15" t="n">
        <v>12.33587145789096</v>
      </c>
      <c r="AD994" s="15" t="n">
        <v>45.24992505538245</v>
      </c>
      <c r="AE994" s="15" t="n">
        <v>86.80041850812346</v>
      </c>
      <c r="AF994" s="15" t="n">
        <v>118.5961146033419</v>
      </c>
      <c r="AH994" s="42">
        <f>HIPERLINK($A$1 &amp; "\Dados\Magnet_fields_994.txt.txt", "Magnet_fields_994.txt")</f>
        <v/>
      </c>
      <c r="AI994" t="n">
        <v>8819</v>
      </c>
      <c r="AJ994" t="n">
        <v>29</v>
      </c>
      <c r="AK994" s="42">
        <f>HIPERLINK($A$1 &amp; "\Dados\Magnet_3D_results_994.txt.txt", "Magnet_3D_results_994.txt")</f>
        <v/>
      </c>
      <c r="AL994" s="42">
        <f>HIPERLINK($A$1 &amp; "\Dados\Magnet_fields_2D_994.txt.txt", "Magnet_fields_2D_994.txt")</f>
        <v/>
      </c>
    </row>
    <row r="995">
      <c r="E995" s="15" t="n">
        <v>142</v>
      </c>
      <c r="F995" s="15" t="n">
        <v>174</v>
      </c>
      <c r="G995" s="15" t="n">
        <v>391</v>
      </c>
      <c r="H995" s="15" t="n">
        <v>44</v>
      </c>
      <c r="I995" s="15" t="n">
        <v>153</v>
      </c>
      <c r="J995" s="13" t="n">
        <v>25</v>
      </c>
      <c r="K995" t="n">
        <v>45</v>
      </c>
      <c r="L995" s="13" t="n">
        <v>3</v>
      </c>
      <c r="M995" s="12" t="n"/>
      <c r="N995" s="8" t="n">
        <v>1.580240364438256</v>
      </c>
      <c r="O995" s="15" t="n">
        <v>1.303163405914399</v>
      </c>
      <c r="P995" s="15" t="n">
        <v>1.517033362637817</v>
      </c>
      <c r="Q995" s="15" t="n">
        <v>0.004116673463654495</v>
      </c>
      <c r="R995" s="15" t="n">
        <v>0.03800589469401674</v>
      </c>
      <c r="S995" s="15" t="n">
        <v>0.004200539041135916</v>
      </c>
      <c r="T995" s="42">
        <f>HIPERLINK($A$1 &amp; "\Dados\Imagem_perfil_995.png", "Imagem_perfil_995")</f>
        <v/>
      </c>
      <c r="U995" s="42">
        <f>HIPERLINK($A$1 &amp; "\Dados\Results_airgap995.txt", "Results_airgap995")</f>
        <v/>
      </c>
      <c r="V995" s="19" t="n"/>
      <c r="W995" s="15" t="n">
        <v>2.012870869565217</v>
      </c>
      <c r="X995" s="15" t="n">
        <v>0.9965843890898021</v>
      </c>
      <c r="Y995" s="15" t="n">
        <v>0.4848896118682888</v>
      </c>
      <c r="Z995" s="15" t="n">
        <v>0</v>
      </c>
      <c r="AA995" s="15" t="n">
        <v>0</v>
      </c>
      <c r="AB995" s="15" t="n">
        <v>0.2684157989740018</v>
      </c>
      <c r="AC995" s="15" t="n">
        <v>7.58860454539971</v>
      </c>
      <c r="AD995" s="15" t="n">
        <v>46.79699999315076</v>
      </c>
      <c r="AE995" s="15" t="n">
        <v>88.77876471581116</v>
      </c>
      <c r="AF995" s="15" t="n">
        <v>119.0055482313501</v>
      </c>
      <c r="AH995" s="42">
        <f>HIPERLINK($A$1 &amp; "\Dados\Magnet_fields_995.txt.txt", "Magnet_fields_995.txt")</f>
        <v/>
      </c>
      <c r="AI995" t="n">
        <v>6338</v>
      </c>
      <c r="AJ995" t="n">
        <v>27</v>
      </c>
      <c r="AK995" s="42">
        <f>HIPERLINK($A$1 &amp; "\Dados\Magnet_3D_results_995.txt.txt", "Magnet_3D_results_995.txt")</f>
        <v/>
      </c>
      <c r="AL995" s="42">
        <f>HIPERLINK($A$1 &amp; "\Dados\Magnet_fields_2D_995.txt.txt", "Magnet_fields_2D_995.txt")</f>
        <v/>
      </c>
    </row>
    <row r="996">
      <c r="E996" s="15" t="n">
        <v>148</v>
      </c>
      <c r="F996" s="15" t="n">
        <v>195</v>
      </c>
      <c r="G996" s="15" t="n">
        <v>423</v>
      </c>
      <c r="H996" s="15" t="n">
        <v>40</v>
      </c>
      <c r="I996" s="15" t="n">
        <v>153</v>
      </c>
      <c r="J996" s="13" t="n">
        <v>25</v>
      </c>
      <c r="K996" t="n">
        <v>55</v>
      </c>
      <c r="L996" s="13" t="n">
        <v>3</v>
      </c>
      <c r="M996" s="12" t="n"/>
      <c r="N996" s="8" t="n">
        <v>1.371681014388072</v>
      </c>
      <c r="O996" s="15" t="n">
        <v>1.120217201123197</v>
      </c>
      <c r="P996" s="15" t="n">
        <v>1.288872633354202</v>
      </c>
      <c r="Q996" s="15" t="n">
        <v>0.009484950238232209</v>
      </c>
      <c r="R996" s="15" t="n">
        <v>0.05343374014685617</v>
      </c>
      <c r="S996" s="15" t="n">
        <v>0.01041804909926438</v>
      </c>
      <c r="T996" s="42">
        <f>HIPERLINK($A$1 &amp; "\Dados\Imagem_perfil_996.png", "Imagem_perfil_996")</f>
        <v/>
      </c>
      <c r="U996" s="42">
        <f>HIPERLINK($A$1 &amp; "\Dados\Results_airgap996.txt", "Results_airgap996")</f>
        <v/>
      </c>
      <c r="V996" s="19" t="n"/>
      <c r="W996" s="15" t="n">
        <v>1.891483478260869</v>
      </c>
      <c r="X996" s="15" t="n">
        <v>0.8853894827771752</v>
      </c>
      <c r="Y996" s="15" t="n">
        <v>0.5898111770271117</v>
      </c>
      <c r="Z996" s="15" t="n">
        <v>0</v>
      </c>
      <c r="AA996" s="15" t="n">
        <v>0.0108661857924102</v>
      </c>
      <c r="AB996" s="15" t="n">
        <v>1.017335992604162</v>
      </c>
      <c r="AC996" s="15" t="n">
        <v>13.82510599979902</v>
      </c>
      <c r="AD996" s="15" t="n">
        <v>58.23825119413902</v>
      </c>
      <c r="AE996" s="15" t="n">
        <v>94.93644602544715</v>
      </c>
      <c r="AF996" s="15" t="n">
        <v>126.359423911301</v>
      </c>
      <c r="AH996" s="42">
        <f>HIPERLINK($A$1 &amp; "\Dados\Magnet_fields_996.txt.txt", "Magnet_fields_996.txt")</f>
        <v/>
      </c>
      <c r="AI996" t="n">
        <v>10078</v>
      </c>
      <c r="AJ996" t="n">
        <v>30</v>
      </c>
      <c r="AK996" s="42">
        <f>HIPERLINK($A$1 &amp; "\Dados\Magnet_3D_results_996.txt.txt", "Magnet_3D_results_996.txt")</f>
        <v/>
      </c>
      <c r="AL996" s="42">
        <f>HIPERLINK($A$1 &amp; "\Dados\Magnet_fields_2D_996.txt.txt", "Magnet_fields_2D_996.txt")</f>
        <v/>
      </c>
    </row>
    <row r="997">
      <c r="E997" s="15" t="n">
        <v>137</v>
      </c>
      <c r="F997" s="15" t="n">
        <v>185</v>
      </c>
      <c r="G997" s="15" t="n">
        <v>407</v>
      </c>
      <c r="H997" s="15" t="n">
        <v>45</v>
      </c>
      <c r="I997" s="15" t="n">
        <v>145</v>
      </c>
      <c r="J997" s="13" t="n">
        <v>25</v>
      </c>
      <c r="K997" t="n">
        <v>60</v>
      </c>
      <c r="L997" s="13" t="n">
        <v>3</v>
      </c>
      <c r="M997" s="12" t="n"/>
      <c r="N997" s="8" t="n">
        <v>1.346691693269151</v>
      </c>
      <c r="O997" s="15" t="n">
        <v>1.090321903011848</v>
      </c>
      <c r="P997" s="15" t="n">
        <v>1.27018055765008</v>
      </c>
      <c r="Q997" s="15" t="n">
        <v>0.02447137682940741</v>
      </c>
      <c r="R997" s="15" t="n">
        <v>0.06261008114661636</v>
      </c>
      <c r="S997" s="15" t="n">
        <v>0.02458872270893797</v>
      </c>
      <c r="T997" s="42">
        <f>HIPERLINK($A$1 &amp; "\Dados\Imagem_perfil_997.png", "Imagem_perfil_997")</f>
        <v/>
      </c>
      <c r="U997" s="42">
        <f>HIPERLINK($A$1 &amp; "\Dados\Results_airgap997.txt", "Results_airgap997")</f>
        <v/>
      </c>
      <c r="V997" s="19" t="n"/>
      <c r="W997" s="15" t="n">
        <v>1.903122826086956</v>
      </c>
      <c r="X997" s="15" t="n">
        <v>0.893791574377738</v>
      </c>
      <c r="Y997" s="15" t="n">
        <v>0.5755641843018824</v>
      </c>
      <c r="Z997" s="15" t="n">
        <v>0.004462340017531157</v>
      </c>
      <c r="AA997" s="15" t="n">
        <v>0</v>
      </c>
      <c r="AB997" s="15" t="n">
        <v>0.8087392081416972</v>
      </c>
      <c r="AC997" s="15" t="n">
        <v>17.36810454209902</v>
      </c>
      <c r="AD997" s="15" t="n">
        <v>67.70100785698934</v>
      </c>
      <c r="AE997" s="15" t="n">
        <v>100.173929229362</v>
      </c>
      <c r="AF997" s="15" t="n">
        <v>131.1564128557299</v>
      </c>
      <c r="AH997" s="42">
        <f>HIPERLINK($A$1 &amp; "\Dados\Magnet_fields_997.txt.txt", "Magnet_fields_997.txt")</f>
        <v/>
      </c>
      <c r="AI997" t="n">
        <v>7611</v>
      </c>
      <c r="AJ997" t="n">
        <v>28</v>
      </c>
      <c r="AK997" s="42">
        <f>HIPERLINK($A$1 &amp; "\Dados\Magnet_3D_results_997.txt.txt", "Magnet_3D_results_997.txt")</f>
        <v/>
      </c>
      <c r="AL997" s="42">
        <f>HIPERLINK($A$1 &amp; "\Dados\Magnet_fields_2D_997.txt.txt", "Magnet_fields_2D_997.txt")</f>
        <v/>
      </c>
    </row>
    <row r="998">
      <c r="E998" s="15" t="n">
        <v>144</v>
      </c>
      <c r="F998" s="15" t="n">
        <v>188</v>
      </c>
      <c r="G998" s="15" t="n">
        <v>374</v>
      </c>
      <c r="H998" s="15" t="n">
        <v>28</v>
      </c>
      <c r="I998" s="15" t="n">
        <v>153</v>
      </c>
      <c r="J998" s="13" t="n">
        <v>25</v>
      </c>
      <c r="K998" t="n">
        <v>55</v>
      </c>
      <c r="L998" s="13" t="n">
        <v>3</v>
      </c>
      <c r="M998" s="12" t="n"/>
      <c r="N998" s="8" t="n">
        <v>1.322830407453949</v>
      </c>
      <c r="O998" s="15" t="n">
        <v>1.073041865486375</v>
      </c>
      <c r="P998" s="15" t="n">
        <v>1.244101340973606</v>
      </c>
      <c r="Q998" s="15" t="n">
        <v>0.007216849922112733</v>
      </c>
      <c r="R998" s="15" t="n">
        <v>0.03683652117948769</v>
      </c>
      <c r="S998" s="15" t="n">
        <v>0.008014015193883298</v>
      </c>
      <c r="T998" s="42">
        <f>HIPERLINK($A$1 &amp; "\Dados\Imagem_perfil_998.png", "Imagem_perfil_998")</f>
        <v/>
      </c>
      <c r="U998" s="42">
        <f>HIPERLINK($A$1 &amp; "\Dados\Results_airgap998.txt", "Results_airgap998")</f>
        <v/>
      </c>
      <c r="V998" s="19" t="n"/>
      <c r="W998" s="15" t="n">
        <v>1.75515152173913</v>
      </c>
      <c r="X998" s="15" t="n">
        <v>0.8385045568798453</v>
      </c>
      <c r="Y998" s="15" t="n">
        <v>0.7030881546378495</v>
      </c>
      <c r="Z998" s="15" t="n">
        <v>0.01783090362981181</v>
      </c>
      <c r="AA998" s="15" t="n">
        <v>4.934707456339481</v>
      </c>
      <c r="AB998" s="15" t="n">
        <v>0</v>
      </c>
      <c r="AC998" s="15" t="n">
        <v>12.03197189096375</v>
      </c>
      <c r="AD998" s="15" t="n">
        <v>59.68358920494664</v>
      </c>
      <c r="AE998" s="15" t="n">
        <v>94.78540538100722</v>
      </c>
      <c r="AF998" s="15" t="n">
        <v>125.7113478554099</v>
      </c>
      <c r="AH998" s="42">
        <f>HIPERLINK($A$1 &amp; "\Dados\Magnet_fields_998.txt.txt", "Magnet_fields_998.txt")</f>
        <v/>
      </c>
      <c r="AI998" t="n">
        <v>12289</v>
      </c>
      <c r="AJ998" t="n">
        <v>30</v>
      </c>
      <c r="AK998" s="42">
        <f>HIPERLINK($A$1 &amp; "\Dados\Magnet_3D_results_998.txt.txt", "Magnet_3D_results_998.txt")</f>
        <v/>
      </c>
      <c r="AL998" s="42">
        <f>HIPERLINK($A$1 &amp; "\Dados\Magnet_fields_2D_998.txt.txt", "Magnet_fields_2D_998.txt")</f>
        <v/>
      </c>
    </row>
    <row r="999">
      <c r="E999" s="15" t="n">
        <v>142</v>
      </c>
      <c r="F999" s="15" t="n">
        <v>186</v>
      </c>
      <c r="G999" s="15" t="n">
        <v>362</v>
      </c>
      <c r="H999" s="15" t="n">
        <v>26</v>
      </c>
      <c r="I999" s="15" t="n">
        <v>167</v>
      </c>
      <c r="J999" s="13" t="n">
        <v>25</v>
      </c>
      <c r="K999" t="n">
        <v>40</v>
      </c>
      <c r="L999" s="13" t="n">
        <v>3</v>
      </c>
      <c r="M999" s="12" t="n"/>
      <c r="N999" s="8" t="n">
        <v>1.265365495849265</v>
      </c>
      <c r="O999" s="15" t="n">
        <v>1.078555322382645</v>
      </c>
      <c r="P999" s="15" t="n">
        <v>1.215577632486379</v>
      </c>
      <c r="Q999" s="15" t="n">
        <v>0.001001816282705644</v>
      </c>
      <c r="R999" s="15" t="n">
        <v>0.02345729542148798</v>
      </c>
      <c r="S999" s="15" t="n">
        <v>0.001142502069347574</v>
      </c>
      <c r="T999" s="42">
        <f>HIPERLINK($A$1 &amp; "\Dados\Imagem_perfil_999.png", "Imagem_perfil_999")</f>
        <v/>
      </c>
      <c r="U999" s="42">
        <f>HIPERLINK($A$1 &amp; "\Dados\Results_airgap999.txt", "Results_airgap999")</f>
        <v/>
      </c>
      <c r="V999" s="19" t="n"/>
      <c r="W999" s="15" t="n">
        <v>1.565172173913043</v>
      </c>
      <c r="X999" s="15" t="n">
        <v>0.7901415066030816</v>
      </c>
      <c r="Y999" s="15" t="n">
        <v>1.037192253405762</v>
      </c>
      <c r="Z999" s="15" t="n">
        <v>0.002490066635072464</v>
      </c>
      <c r="AA999" s="15" t="n">
        <v>2.884988366233621</v>
      </c>
      <c r="AB999" s="15" t="n">
        <v>0.5091709139696899</v>
      </c>
      <c r="AC999" s="15" t="n">
        <v>5.915234038492083</v>
      </c>
      <c r="AD999" s="15" t="n">
        <v>31.26517007982502</v>
      </c>
      <c r="AE999" s="15" t="n">
        <v>78.06306369909788</v>
      </c>
      <c r="AF999" s="15" t="n">
        <v>113.3943747172844</v>
      </c>
      <c r="AH999" s="42">
        <f>HIPERLINK($A$1 &amp; "\Dados\Magnet_fields_999.txt.txt", "Magnet_fields_999.txt")</f>
        <v/>
      </c>
      <c r="AI999" t="n">
        <v>9812</v>
      </c>
      <c r="AJ999" t="n">
        <v>30</v>
      </c>
      <c r="AK999" s="42">
        <f>HIPERLINK($A$1 &amp; "\Dados\Magnet_3D_results_999.txt.txt", "Magnet_3D_results_999.txt")</f>
        <v/>
      </c>
      <c r="AL999" s="42">
        <f>HIPERLINK($A$1 &amp; "\Dados\Magnet_fields_2D_999.txt.txt", "Magnet_fields_2D_999.txt")</f>
        <v/>
      </c>
    </row>
    <row r="1000">
      <c r="E1000" s="15" t="n">
        <v>132</v>
      </c>
      <c r="F1000" s="15" t="n">
        <v>179</v>
      </c>
      <c r="G1000" s="15" t="n">
        <v>383</v>
      </c>
      <c r="H1000" s="15" t="n">
        <v>37</v>
      </c>
      <c r="I1000" s="15" t="n">
        <v>166</v>
      </c>
      <c r="J1000" s="13" t="n">
        <v>25</v>
      </c>
      <c r="K1000" t="n">
        <v>45</v>
      </c>
      <c r="L1000" s="13" t="n">
        <v>3</v>
      </c>
      <c r="M1000" s="12" t="n"/>
      <c r="N1000" s="8" t="n">
        <v>1.346689283040593</v>
      </c>
      <c r="O1000" s="15" t="n">
        <v>1.136633848496572</v>
      </c>
      <c r="P1000" s="15" t="n">
        <v>1.29050839919971</v>
      </c>
      <c r="Q1000" s="15" t="n">
        <v>0.003021722593013814</v>
      </c>
      <c r="R1000" s="15" t="n">
        <v>0.04074657837103196</v>
      </c>
      <c r="S1000" s="15" t="n">
        <v>0.003285666712913668</v>
      </c>
      <c r="T1000" s="42">
        <f>HIPERLINK($A$1 &amp; "\Dados\Imagem_perfil_1000.png", "Imagem_perfil_1000")</f>
        <v/>
      </c>
      <c r="U1000" s="42">
        <f>HIPERLINK($A$1 &amp; "\Dados\Results_airgap1000.txt", "Results_airgap1000")</f>
        <v/>
      </c>
      <c r="V1000" s="19" t="n"/>
      <c r="W1000" s="15" t="n">
        <v>1.722732173913043</v>
      </c>
      <c r="X1000" s="15" t="n">
        <v>0.8486546549479133</v>
      </c>
      <c r="Y1000" s="15" t="n">
        <v>0.8314429217523427</v>
      </c>
      <c r="Z1000" s="15" t="n">
        <v>0</v>
      </c>
      <c r="AA1000" s="15" t="n">
        <v>0</v>
      </c>
      <c r="AB1000" s="15" t="n">
        <v>1.504443645362716</v>
      </c>
      <c r="AC1000" s="15" t="n">
        <v>10.63873807229478</v>
      </c>
      <c r="AD1000" s="15" t="n">
        <v>45.92605571370148</v>
      </c>
      <c r="AE1000" s="15" t="n">
        <v>87.97538146871518</v>
      </c>
      <c r="AF1000" s="15" t="n">
        <v>118.7363306852304</v>
      </c>
      <c r="AH1000" s="42">
        <f>HIPERLINK($A$1 &amp; "\Dados\Magnet_fields_1000.txt.txt", "Magnet_fields_1000.txt")</f>
        <v/>
      </c>
      <c r="AI1000" t="n">
        <v>6598</v>
      </c>
      <c r="AJ1000" t="n">
        <v>28</v>
      </c>
      <c r="AK1000" s="42">
        <f>HIPERLINK($A$1 &amp; "\Dados\Magnet_3D_results_1000.txt.txt", "Magnet_3D_results_1000.txt")</f>
        <v/>
      </c>
      <c r="AL1000" s="42">
        <f>HIPERLINK($A$1 &amp; "\Dados\Magnet_fields_2D_1000.txt.txt", "Magnet_fields_2D_1000.txt")</f>
        <v/>
      </c>
    </row>
    <row r="1001">
      <c r="E1001" s="15" t="n">
        <v>129</v>
      </c>
      <c r="F1001" s="15" t="n">
        <v>175</v>
      </c>
      <c r="G1001" s="15" t="n">
        <v>351</v>
      </c>
      <c r="H1001" s="15" t="n">
        <v>35</v>
      </c>
      <c r="I1001" s="15" t="n">
        <v>142</v>
      </c>
      <c r="J1001" s="13" t="n">
        <v>25</v>
      </c>
      <c r="K1001" t="n">
        <v>55</v>
      </c>
      <c r="L1001" s="13" t="n">
        <v>3</v>
      </c>
      <c r="M1001" s="12" t="n"/>
      <c r="N1001" s="8" t="n">
        <v>1.28433453394997</v>
      </c>
      <c r="O1001" s="15" t="n">
        <v>0.9843068458088834</v>
      </c>
      <c r="P1001" s="15" t="n">
        <v>1.196700784799193</v>
      </c>
      <c r="Q1001" s="15" t="n">
        <v>0.0106046306095121</v>
      </c>
      <c r="R1001" s="15" t="n">
        <v>0.04187430915002378</v>
      </c>
      <c r="S1001" s="15" t="n">
        <v>0.01164591740884185</v>
      </c>
      <c r="T1001" s="42">
        <f>HIPERLINK($A$1 &amp; "\Dados\Imagem_perfil_1001.png", "Imagem_perfil_1001")</f>
        <v/>
      </c>
      <c r="U1001" s="42">
        <f>HIPERLINK($A$1 &amp; "\Dados\Results_airgap1001.txt", "Results_airgap1001")</f>
        <v/>
      </c>
      <c r="V1001" s="19" t="n"/>
      <c r="W1001" s="15" t="n">
        <v>1.721635217391305</v>
      </c>
      <c r="X1001" s="15" t="n">
        <v>0.8029553327073015</v>
      </c>
      <c r="Y1001" s="15" t="n">
        <v>0.7660710335921989</v>
      </c>
      <c r="Z1001" s="15" t="n">
        <v>0</v>
      </c>
      <c r="AA1001" s="15" t="n">
        <v>0.0008306766793797682</v>
      </c>
      <c r="AB1001" s="15" t="n">
        <v>0.5089862929717464</v>
      </c>
      <c r="AC1001" s="15" t="n">
        <v>16.18942163670917</v>
      </c>
      <c r="AD1001" s="15" t="n">
        <v>63.43552569343503</v>
      </c>
      <c r="AE1001" s="15" t="n">
        <v>95.41034275586492</v>
      </c>
      <c r="AF1001" s="15" t="n">
        <v>125.7824704141568</v>
      </c>
      <c r="AH1001" s="42">
        <f>HIPERLINK($A$1 &amp; "\Dados\Magnet_fields_1001.txt.txt", "Magnet_fields_1001.txt")</f>
        <v/>
      </c>
      <c r="AI1001" t="n">
        <v>11302</v>
      </c>
      <c r="AJ1001" t="n">
        <v>30</v>
      </c>
      <c r="AK1001" s="42">
        <f>HIPERLINK($A$1 &amp; "\Dados\Magnet_3D_results_1001.txt.txt", "Magnet_3D_results_1001.txt")</f>
        <v/>
      </c>
      <c r="AL1001" s="42">
        <f>HIPERLINK($A$1 &amp; "\Dados\Magnet_fields_2D_1001.txt.txt", "Magnet_fields_2D_1001.txt")</f>
        <v/>
      </c>
    </row>
    <row r="1002">
      <c r="E1002" s="15" t="n">
        <v>140</v>
      </c>
      <c r="F1002" s="15" t="n">
        <v>183</v>
      </c>
      <c r="G1002" s="15" t="n">
        <v>430</v>
      </c>
      <c r="H1002" s="15" t="n">
        <v>25</v>
      </c>
      <c r="I1002" s="15" t="n">
        <v>141</v>
      </c>
      <c r="J1002" s="13" t="n">
        <v>25</v>
      </c>
      <c r="K1002" t="n">
        <v>60</v>
      </c>
      <c r="L1002" s="13" t="n">
        <v>3</v>
      </c>
      <c r="M1002" s="12" t="n"/>
      <c r="N1002" s="8" t="n">
        <v>1.420799126939371</v>
      </c>
      <c r="O1002" s="15" t="n">
        <v>1.097848973267919</v>
      </c>
      <c r="P1002" s="15" t="n">
        <v>1.327766388035992</v>
      </c>
      <c r="Q1002" s="15" t="n">
        <v>0.02127616424857779</v>
      </c>
      <c r="R1002" s="15" t="n">
        <v>0.06052671829512417</v>
      </c>
      <c r="S1002" s="15" t="n">
        <v>0.02257672909679635</v>
      </c>
      <c r="T1002" s="42">
        <f>HIPERLINK($A$1 &amp; "\Dados\Imagem_perfil_1002.png", "Imagem_perfil_1002")</f>
        <v/>
      </c>
      <c r="U1002" s="42">
        <f>HIPERLINK($A$1 &amp; "\Dados\Results_airgap1002.txt", "Results_airgap1002")</f>
        <v/>
      </c>
      <c r="V1002" s="19" t="n"/>
      <c r="W1002" s="15" t="n">
        <v>2.085558913043478</v>
      </c>
      <c r="X1002" s="15" t="n">
        <v>0.950965060247998</v>
      </c>
      <c r="Y1002" s="15" t="n">
        <v>0.4066206481209554</v>
      </c>
      <c r="Z1002" s="15" t="n">
        <v>0.01135236679738662</v>
      </c>
      <c r="AA1002" s="15" t="n">
        <v>5.364581444819597</v>
      </c>
      <c r="AB1002" s="15" t="n">
        <v>1.627796671125804</v>
      </c>
      <c r="AC1002" s="15" t="n">
        <v>18.9006926261801</v>
      </c>
      <c r="AD1002" s="15" t="n">
        <v>67.84888462237083</v>
      </c>
      <c r="AE1002" s="15" t="n">
        <v>100.5211014195219</v>
      </c>
      <c r="AF1002" s="15" t="n">
        <v>131.7528961133357</v>
      </c>
      <c r="AH1002" s="42">
        <f>HIPERLINK($A$1 &amp; "\Dados\Magnet_fields_1002.txt.txt", "Magnet_fields_1002.txt")</f>
        <v/>
      </c>
      <c r="AI1002" t="n">
        <v>10556</v>
      </c>
      <c r="AJ1002" t="n">
        <v>29</v>
      </c>
      <c r="AK1002" s="42">
        <f>HIPERLINK($A$1 &amp; "\Dados\Magnet_3D_results_1002.txt.txt", "Magnet_3D_results_1002.txt")</f>
        <v/>
      </c>
      <c r="AL1002" s="42">
        <f>HIPERLINK($A$1 &amp; "\Dados\Magnet_fields_2D_1002.txt.txt", "Magnet_fields_2D_1002.txt")</f>
        <v/>
      </c>
    </row>
    <row r="1003">
      <c r="E1003" s="15" t="n">
        <v>130</v>
      </c>
      <c r="F1003" s="15" t="n">
        <v>173</v>
      </c>
      <c r="G1003" s="15" t="n">
        <v>406</v>
      </c>
      <c r="H1003" s="15" t="n">
        <v>25</v>
      </c>
      <c r="I1003" s="15" t="n">
        <v>144</v>
      </c>
      <c r="J1003" s="13" t="n">
        <v>25</v>
      </c>
      <c r="K1003" t="n">
        <v>60</v>
      </c>
      <c r="L1003" s="13" t="n">
        <v>3</v>
      </c>
      <c r="M1003" s="12" t="n"/>
      <c r="N1003" s="8" t="n">
        <v>1.428612988043516</v>
      </c>
      <c r="O1003" s="15" t="n">
        <v>1.12260045224301</v>
      </c>
      <c r="P1003" s="15" t="n">
        <v>1.343322785930551</v>
      </c>
      <c r="Q1003" s="15" t="n">
        <v>0.02713955806557435</v>
      </c>
      <c r="R1003" s="15" t="n">
        <v>0.06044739331143214</v>
      </c>
      <c r="S1003" s="15" t="n">
        <v>0.02558805205815534</v>
      </c>
      <c r="T1003" s="42">
        <f>HIPERLINK($A$1 &amp; "\Dados\Imagem_perfil_1003.png", "Imagem_perfil_1003")</f>
        <v/>
      </c>
      <c r="U1003" s="42">
        <f>HIPERLINK($A$1 &amp; "\Dados\Results_airgap1003.txt", "Results_airgap1003")</f>
        <v/>
      </c>
      <c r="V1003" s="19" t="n"/>
      <c r="W1003" s="15" t="n">
        <v>2.046965869565217</v>
      </c>
      <c r="X1003" s="15" t="n">
        <v>0.9415652360105323</v>
      </c>
      <c r="Y1003" s="15" t="n">
        <v>0.4469069389931852</v>
      </c>
      <c r="Z1003" s="15" t="n">
        <v>0.01678914764832607</v>
      </c>
      <c r="AA1003" s="15" t="n">
        <v>5.318626758680545</v>
      </c>
      <c r="AB1003" s="15" t="n">
        <v>1.830261224826738</v>
      </c>
      <c r="AC1003" s="15" t="n">
        <v>18.54179545782064</v>
      </c>
      <c r="AD1003" s="15" t="n">
        <v>66.66502299219785</v>
      </c>
      <c r="AE1003" s="15" t="n">
        <v>100.0705078019565</v>
      </c>
      <c r="AF1003" s="15" t="n">
        <v>131.596801872418</v>
      </c>
      <c r="AH1003" s="42">
        <f>HIPERLINK($A$1 &amp; "\Dados\Magnet_fields_1003.txt.txt", "Magnet_fields_1003.txt")</f>
        <v/>
      </c>
      <c r="AI1003" t="n">
        <v>10329</v>
      </c>
      <c r="AJ1003" t="n">
        <v>30</v>
      </c>
      <c r="AK1003" s="42">
        <f>HIPERLINK($A$1 &amp; "\Dados\Magnet_3D_results_1003.txt.txt", "Magnet_3D_results_1003.txt")</f>
        <v/>
      </c>
      <c r="AL1003" s="42">
        <f>HIPERLINK($A$1 &amp; "\Dados\Magnet_fields_2D_1003.txt.txt", "Magnet_fields_2D_1003.txt")</f>
        <v/>
      </c>
    </row>
    <row r="1004">
      <c r="E1004" s="15" t="n">
        <v>141</v>
      </c>
      <c r="F1004" s="15" t="n">
        <v>186</v>
      </c>
      <c r="G1004" s="15" t="n">
        <v>397</v>
      </c>
      <c r="H1004" s="15" t="n">
        <v>30</v>
      </c>
      <c r="I1004" s="15" t="n">
        <v>171</v>
      </c>
      <c r="J1004" s="13" t="n">
        <v>25</v>
      </c>
      <c r="K1004" t="n">
        <v>40</v>
      </c>
      <c r="L1004" s="13" t="n">
        <v>3</v>
      </c>
      <c r="M1004" s="12" t="n"/>
      <c r="N1004" s="8" t="n">
        <v>1.353911857477319</v>
      </c>
      <c r="O1004" s="15" t="n">
        <v>1.170767199275467</v>
      </c>
      <c r="P1004" s="15" t="n">
        <v>1.301547255275536</v>
      </c>
      <c r="Q1004" s="15" t="n">
        <v>0.00131089308027647</v>
      </c>
      <c r="R1004" s="15" t="n">
        <v>0.03212004156366545</v>
      </c>
      <c r="S1004" s="15" t="n">
        <v>0.001467480567577527</v>
      </c>
      <c r="T1004" s="42">
        <f>HIPERLINK($A$1 &amp; "\Dados\Imagem_perfil_1004.png", "Imagem_perfil_1004")</f>
        <v/>
      </c>
      <c r="U1004" s="42">
        <f>HIPERLINK($A$1 &amp; "\Dados\Results_airgap1004.txt", "Results_airgap1004")</f>
        <v/>
      </c>
      <c r="V1004" s="19" t="n"/>
      <c r="W1004" s="15" t="n">
        <v>1.697557391304348</v>
      </c>
      <c r="X1004" s="15" t="n">
        <v>0.8562558176268265</v>
      </c>
      <c r="Y1004" s="15" t="n">
        <v>0.9419634092361869</v>
      </c>
      <c r="Z1004" s="15" t="n">
        <v>0.009958900553721679</v>
      </c>
      <c r="AA1004" s="15" t="n">
        <v>1.395950509156757</v>
      </c>
      <c r="AB1004" s="15" t="n">
        <v>2.546450760604196</v>
      </c>
      <c r="AC1004" s="15" t="n">
        <v>12.12888765540148</v>
      </c>
      <c r="AD1004" s="15" t="n">
        <v>38.26274076057851</v>
      </c>
      <c r="AE1004" s="15" t="n">
        <v>77.01442218372702</v>
      </c>
      <c r="AF1004" s="15" t="n">
        <v>112.1857402997516</v>
      </c>
      <c r="AH1004" s="42">
        <f>HIPERLINK($A$1 &amp; "\Dados\Magnet_fields_1004.txt.txt", "Magnet_fields_1004.txt")</f>
        <v/>
      </c>
      <c r="AI1004" t="n">
        <v>9199</v>
      </c>
      <c r="AJ1004" t="n">
        <v>30</v>
      </c>
      <c r="AK1004" s="42">
        <f>HIPERLINK($A$1 &amp; "\Dados\Magnet_3D_results_1004.txt.txt", "Magnet_3D_results_1004.txt")</f>
        <v/>
      </c>
      <c r="AL1004" s="42">
        <f>HIPERLINK($A$1 &amp; "\Dados\Magnet_fields_2D_1004.txt.txt", "Magnet_fields_2D_1004.txt")</f>
        <v/>
      </c>
    </row>
    <row r="1005">
      <c r="E1005" s="15" t="n">
        <v>129</v>
      </c>
      <c r="F1005" s="15" t="n">
        <v>176</v>
      </c>
      <c r="G1005" s="15" t="n">
        <v>392</v>
      </c>
      <c r="H1005" s="15" t="n">
        <v>30</v>
      </c>
      <c r="I1005" s="15" t="n">
        <v>141</v>
      </c>
      <c r="J1005" s="13" t="n">
        <v>25</v>
      </c>
      <c r="K1005" t="n">
        <v>50</v>
      </c>
      <c r="L1005" s="13" t="n">
        <v>3</v>
      </c>
      <c r="M1005" s="12" t="n"/>
      <c r="N1005" s="8" t="n">
        <v>1.294802193275691</v>
      </c>
      <c r="O1005" s="15" t="n">
        <v>0.9987729571676476</v>
      </c>
      <c r="P1005" s="15" t="n">
        <v>1.214949230432376</v>
      </c>
      <c r="Q1005" s="15" t="n">
        <v>0.006348491299176468</v>
      </c>
      <c r="R1005" s="15" t="n">
        <v>0.04608606999133373</v>
      </c>
      <c r="S1005" s="15" t="n">
        <v>0.007575944391690663</v>
      </c>
      <c r="T1005" s="42">
        <f>HIPERLINK($A$1 &amp; "\Dados\Imagem_perfil_1005.png", "Imagem_perfil_1005")</f>
        <v/>
      </c>
      <c r="U1005" s="42">
        <f>HIPERLINK($A$1 &amp; "\Dados\Results_airgap1005.txt", "Results_airgap1005")</f>
        <v/>
      </c>
      <c r="V1005" s="19" t="n"/>
      <c r="W1005" s="15" t="n">
        <v>1.82114847826087</v>
      </c>
      <c r="X1005" s="15" t="n">
        <v>0.8463797481521957</v>
      </c>
      <c r="Y1005" s="15" t="n">
        <v>0.7301618379326087</v>
      </c>
      <c r="Z1005" s="15" t="n">
        <v>0.0009538803488260947</v>
      </c>
      <c r="AA1005" s="15" t="n">
        <v>2.389496502729837</v>
      </c>
      <c r="AB1005" s="15" t="n">
        <v>2.176961144302985</v>
      </c>
      <c r="AC1005" s="15" t="n">
        <v>12.77046635963573</v>
      </c>
      <c r="AD1005" s="15" t="n">
        <v>47.77493465020917</v>
      </c>
      <c r="AE1005" s="15" t="n">
        <v>89.04089437106909</v>
      </c>
      <c r="AF1005" s="15" t="n">
        <v>122.0041446814606</v>
      </c>
      <c r="AH1005" s="42">
        <f>HIPERLINK($A$1 &amp; "\Dados\Magnet_fields_1005.txt.txt", "Magnet_fields_1005.txt")</f>
        <v/>
      </c>
      <c r="AI1005" t="n">
        <v>8820</v>
      </c>
      <c r="AJ1005" t="n">
        <v>30</v>
      </c>
      <c r="AK1005" s="42">
        <f>HIPERLINK($A$1 &amp; "\Dados\Magnet_3D_results_1005.txt.txt", "Magnet_3D_results_1005.txt")</f>
        <v/>
      </c>
      <c r="AL1005" s="42">
        <f>HIPERLINK($A$1 &amp; "\Dados\Magnet_fields_2D_1005.txt.txt", "Magnet_fields_2D_1005.txt")</f>
        <v/>
      </c>
    </row>
    <row r="1006">
      <c r="E1006" s="15" t="n">
        <v>127</v>
      </c>
      <c r="F1006" s="15" t="n">
        <v>176</v>
      </c>
      <c r="G1006" s="15" t="n">
        <v>396</v>
      </c>
      <c r="H1006" s="15" t="n">
        <v>35</v>
      </c>
      <c r="I1006" s="15" t="n">
        <v>179</v>
      </c>
      <c r="J1006" s="13" t="n">
        <v>25</v>
      </c>
      <c r="K1006" t="n">
        <v>45</v>
      </c>
      <c r="L1006" s="13" t="n">
        <v>3</v>
      </c>
      <c r="M1006" s="12" t="n"/>
      <c r="N1006" s="8" t="n">
        <v>1.388607847250596</v>
      </c>
      <c r="O1006" s="15" t="n">
        <v>1.222627340832468</v>
      </c>
      <c r="P1006" s="15" t="n">
        <v>1.340042866678662</v>
      </c>
      <c r="Q1006" s="15" t="n">
        <v>0.003822559631019143</v>
      </c>
      <c r="R1006" s="15" t="n">
        <v>0.04658204817907716</v>
      </c>
      <c r="S1006" s="15" t="n">
        <v>0.004188594957972093</v>
      </c>
      <c r="T1006" s="42">
        <f>HIPERLINK($A$1 &amp; "\Dados\Imagem_perfil_1006.png", "Imagem_perfil_1006")</f>
        <v/>
      </c>
      <c r="U1006" s="42">
        <f>HIPERLINK($A$1 &amp; "\Dados\Results_airgap1006.txt", "Results_airgap1006")</f>
        <v/>
      </c>
      <c r="V1006" s="19" t="n"/>
      <c r="W1006" s="15" t="n">
        <v>1.750952826086956</v>
      </c>
      <c r="X1006" s="15" t="n">
        <v>0.8678054979300163</v>
      </c>
      <c r="Y1006" s="15" t="n">
        <v>0.8448764663762737</v>
      </c>
      <c r="Z1006" s="15" t="n">
        <v>0.001904882706140811</v>
      </c>
      <c r="AA1006" s="15" t="n">
        <v>0.0403234353375648</v>
      </c>
      <c r="AB1006" s="15" t="n">
        <v>2.97586339675956</v>
      </c>
      <c r="AC1006" s="15" t="n">
        <v>13.69120025682009</v>
      </c>
      <c r="AD1006" s="15" t="n">
        <v>44.22898412142414</v>
      </c>
      <c r="AE1006" s="15" t="n">
        <v>85.32056908640583</v>
      </c>
      <c r="AF1006" s="15" t="n">
        <v>118.2125207304118</v>
      </c>
      <c r="AH1006" s="42">
        <f>HIPERLINK($A$1 &amp; "\Dados\Magnet_fields_1006.txt.txt", "Magnet_fields_1006.txt")</f>
        <v/>
      </c>
      <c r="AI1006" t="n">
        <v>7549</v>
      </c>
      <c r="AJ1006" t="n">
        <v>29</v>
      </c>
      <c r="AK1006" s="42">
        <f>HIPERLINK($A$1 &amp; "\Dados\Magnet_3D_results_1006.txt.txt", "Magnet_3D_results_1006.txt")</f>
        <v/>
      </c>
      <c r="AL1006" s="42">
        <f>HIPERLINK($A$1 &amp; "\Dados\Magnet_fields_2D_1006.txt.txt", "Magnet_fields_2D_1006.txt")</f>
        <v/>
      </c>
    </row>
    <row r="1007">
      <c r="E1007" s="15" t="n">
        <v>145</v>
      </c>
      <c r="F1007" s="15" t="n">
        <v>190</v>
      </c>
      <c r="G1007" s="15" t="n">
        <v>422</v>
      </c>
      <c r="H1007" s="15" t="n">
        <v>37</v>
      </c>
      <c r="I1007" s="15" t="n">
        <v>167</v>
      </c>
      <c r="J1007" s="13" t="n">
        <v>25</v>
      </c>
      <c r="K1007" t="n">
        <v>60</v>
      </c>
      <c r="L1007" s="13" t="n">
        <v>3</v>
      </c>
      <c r="M1007" s="12" t="n"/>
      <c r="N1007" s="8" t="n">
        <v>1.461999674309532</v>
      </c>
      <c r="O1007" s="15" t="n">
        <v>1.245409204758076</v>
      </c>
      <c r="P1007" s="15" t="n">
        <v>1.397574404197948</v>
      </c>
      <c r="Q1007" s="15" t="n">
        <v>0.02176642592833532</v>
      </c>
      <c r="R1007" s="15" t="n">
        <v>0.06196729123961876</v>
      </c>
      <c r="S1007" s="15" t="n">
        <v>0.02197062861272085</v>
      </c>
      <c r="T1007" s="42">
        <f>HIPERLINK($A$1 &amp; "\Dados\Imagem_perfil_1007.png", "Imagem_perfil_1007")</f>
        <v/>
      </c>
      <c r="U1007" s="42">
        <f>HIPERLINK($A$1 &amp; "\Dados\Results_airgap1007.txt", "Results_airgap1007")</f>
        <v/>
      </c>
      <c r="V1007" s="19" t="n"/>
      <c r="W1007" s="15" t="n">
        <v>1.974681739130434</v>
      </c>
      <c r="X1007" s="15" t="n">
        <v>0.9519145408827725</v>
      </c>
      <c r="Y1007" s="15" t="n">
        <v>0.49419393815256</v>
      </c>
      <c r="Z1007" s="15" t="n">
        <v>0</v>
      </c>
      <c r="AA1007" s="15" t="n">
        <v>0.284101024158794</v>
      </c>
      <c r="AB1007" s="15" t="n">
        <v>1.091978148071281</v>
      </c>
      <c r="AC1007" s="15" t="n">
        <v>17.40292732163054</v>
      </c>
      <c r="AD1007" s="15" t="n">
        <v>67.33564841877072</v>
      </c>
      <c r="AE1007" s="15" t="n">
        <v>100.0121968507371</v>
      </c>
      <c r="AF1007" s="15" t="n">
        <v>131.4305153528469</v>
      </c>
      <c r="AH1007" s="42">
        <f>HIPERLINK($A$1 &amp; "\Dados\Magnet_fields_1007.txt.txt", "Magnet_fields_1007.txt")</f>
        <v/>
      </c>
      <c r="AI1007" t="n">
        <v>8652</v>
      </c>
      <c r="AJ1007" t="n">
        <v>29</v>
      </c>
      <c r="AK1007" s="42">
        <f>HIPERLINK($A$1 &amp; "\Dados\Magnet_3D_results_1007.txt.txt", "Magnet_3D_results_1007.txt")</f>
        <v/>
      </c>
      <c r="AL1007" s="42">
        <f>HIPERLINK($A$1 &amp; "\Dados\Magnet_fields_2D_1007.txt.txt", "Magnet_fields_2D_1007.txt")</f>
        <v/>
      </c>
    </row>
    <row r="1008">
      <c r="E1008" s="15" t="n">
        <v>136</v>
      </c>
      <c r="F1008" s="15" t="n">
        <v>172</v>
      </c>
      <c r="G1008" s="15" t="n">
        <v>354</v>
      </c>
      <c r="H1008" s="15" t="n">
        <v>40</v>
      </c>
      <c r="I1008" s="15" t="n">
        <v>175</v>
      </c>
      <c r="J1008" s="13" t="n">
        <v>25</v>
      </c>
      <c r="K1008" t="n">
        <v>40</v>
      </c>
      <c r="L1008" s="13" t="n">
        <v>3</v>
      </c>
      <c r="M1008" s="12" t="n"/>
      <c r="N1008" s="8" t="n">
        <v>1.434492823665726</v>
      </c>
      <c r="O1008" s="15" t="n">
        <v>1.264163163827344</v>
      </c>
      <c r="P1008" s="15" t="n">
        <v>1.381977071847633</v>
      </c>
      <c r="Q1008" s="15" t="n">
        <v>0.001511454436742636</v>
      </c>
      <c r="R1008" s="15" t="n">
        <v>0.02698486174989369</v>
      </c>
      <c r="S1008" s="15" t="n">
        <v>0.001554946795672257</v>
      </c>
      <c r="T1008" s="42">
        <f>HIPERLINK($A$1 &amp; "\Dados\Imagem_perfil_1008.png", "Imagem_perfil_1008")</f>
        <v/>
      </c>
      <c r="U1008" s="42">
        <f>HIPERLINK($A$1 &amp; "\Dados\Results_airgap1008.txt", "Results_airgap1008")</f>
        <v/>
      </c>
      <c r="V1008" s="19" t="n"/>
      <c r="W1008" s="15" t="n">
        <v>1.694924347826087</v>
      </c>
      <c r="X1008" s="15" t="n">
        <v>0.8792954899240533</v>
      </c>
      <c r="Y1008" s="15" t="n">
        <v>0.8417748737534475</v>
      </c>
      <c r="Z1008" s="15" t="n">
        <v>0.002201631763963187</v>
      </c>
      <c r="AA1008" s="15" t="n">
        <v>0.006730285925527581</v>
      </c>
      <c r="AB1008" s="15" t="n">
        <v>0.2584034329530645</v>
      </c>
      <c r="AC1008" s="15" t="n">
        <v>3.310936256972185</v>
      </c>
      <c r="AD1008" s="15" t="n">
        <v>27.47513580851989</v>
      </c>
      <c r="AE1008" s="15" t="n">
        <v>81.09264601679207</v>
      </c>
      <c r="AF1008" s="15" t="n">
        <v>115.0027868728859</v>
      </c>
      <c r="AH1008" s="42">
        <f>HIPERLINK($A$1 &amp; "\Dados\Magnet_fields_1008.txt.txt", "Magnet_fields_1008.txt")</f>
        <v/>
      </c>
      <c r="AI1008" t="n">
        <v>7957</v>
      </c>
      <c r="AJ1008" t="n">
        <v>29</v>
      </c>
      <c r="AK1008" s="42">
        <f>HIPERLINK($A$1 &amp; "\Dados\Magnet_3D_results_1008.txt.txt", "Magnet_3D_results_1008.txt")</f>
        <v/>
      </c>
      <c r="AL1008" s="42">
        <f>HIPERLINK($A$1 &amp; "\Dados\Magnet_fields_2D_1008.txt.txt", "Magnet_fields_2D_1008.txt")</f>
        <v/>
      </c>
    </row>
    <row r="1009">
      <c r="E1009" s="15" t="n">
        <v>147</v>
      </c>
      <c r="F1009" s="15" t="n">
        <v>184</v>
      </c>
      <c r="G1009" s="15" t="n">
        <v>424</v>
      </c>
      <c r="H1009" s="15" t="n">
        <v>39</v>
      </c>
      <c r="I1009" s="15" t="n">
        <v>162</v>
      </c>
      <c r="J1009" s="13" t="n">
        <v>25</v>
      </c>
      <c r="K1009" t="n">
        <v>50</v>
      </c>
      <c r="L1009" s="13" t="n">
        <v>3</v>
      </c>
      <c r="M1009" s="12" t="n"/>
      <c r="N1009" s="8" t="n">
        <v>1.562227872311059</v>
      </c>
      <c r="O1009" s="15" t="n">
        <v>1.322276234927999</v>
      </c>
      <c r="P1009" s="15" t="n">
        <v>1.489677197075011</v>
      </c>
      <c r="Q1009" s="15" t="n">
        <v>0.006549460351977469</v>
      </c>
      <c r="R1009" s="15" t="n">
        <v>0.04821250139194457</v>
      </c>
      <c r="S1009" s="15" t="n">
        <v>0.00647582624406711</v>
      </c>
      <c r="T1009" s="42">
        <f>HIPERLINK($A$1 &amp; "\Dados\Imagem_perfil_1009.png", "Imagem_perfil_1009")</f>
        <v/>
      </c>
      <c r="U1009" s="42">
        <f>HIPERLINK($A$1 &amp; "\Dados\Results_airgap1009.txt", "Results_airgap1009")</f>
        <v/>
      </c>
      <c r="V1009" s="19" t="n"/>
      <c r="W1009" s="15" t="n">
        <v>2.042286956521739</v>
      </c>
      <c r="X1009" s="15" t="n">
        <v>0.9818650566026375</v>
      </c>
      <c r="Y1009" s="15" t="n">
        <v>0.4607501453383211</v>
      </c>
      <c r="Z1009" s="15" t="n">
        <v>0</v>
      </c>
      <c r="AA1009" s="15" t="n">
        <v>0.6341427146327554</v>
      </c>
      <c r="AB1009" s="15" t="n">
        <v>1.063335547969509</v>
      </c>
      <c r="AC1009" s="15" t="n">
        <v>10.13810011161733</v>
      </c>
      <c r="AD1009" s="15" t="n">
        <v>48.91367678886503</v>
      </c>
      <c r="AE1009" s="15" t="n">
        <v>90.61693606093219</v>
      </c>
      <c r="AF1009" s="15" t="n">
        <v>122.664704380204</v>
      </c>
      <c r="AH1009" s="42">
        <f>HIPERLINK($A$1 &amp; "\Dados\Magnet_fields_1009.txt.txt", "Magnet_fields_1009.txt")</f>
        <v/>
      </c>
      <c r="AI1009" t="n">
        <v>7719</v>
      </c>
      <c r="AJ1009" t="n">
        <v>29</v>
      </c>
      <c r="AK1009" s="42">
        <f>HIPERLINK($A$1 &amp; "\Dados\Magnet_3D_results_1009.txt.txt", "Magnet_3D_results_1009.txt")</f>
        <v/>
      </c>
      <c r="AL1009" s="42">
        <f>HIPERLINK($A$1 &amp; "\Dados\Magnet_fields_2D_1009.txt.txt", "Magnet_fields_2D_1009.txt")</f>
        <v/>
      </c>
    </row>
    <row r="1010">
      <c r="E1010" s="15" t="n">
        <v>133</v>
      </c>
      <c r="F1010" s="15" t="n">
        <v>181</v>
      </c>
      <c r="G1010" s="15" t="n">
        <v>392</v>
      </c>
      <c r="H1010" s="15" t="n">
        <v>42</v>
      </c>
      <c r="I1010" s="15" t="n">
        <v>169</v>
      </c>
      <c r="J1010" s="13" t="n">
        <v>25</v>
      </c>
      <c r="K1010" t="n">
        <v>60</v>
      </c>
      <c r="L1010" s="13" t="n">
        <v>3</v>
      </c>
      <c r="M1010" s="12" t="n"/>
      <c r="N1010" s="8" t="n">
        <v>1.41561719326644</v>
      </c>
      <c r="O1010" s="15" t="n">
        <v>1.212368476323549</v>
      </c>
      <c r="P1010" s="15" t="n">
        <v>1.34508132260483</v>
      </c>
      <c r="Q1010" s="15" t="n">
        <v>0.0283423670229433</v>
      </c>
      <c r="R1010" s="15" t="n">
        <v>0.06185103172134235</v>
      </c>
      <c r="S1010" s="15" t="n">
        <v>0.02727758549124174</v>
      </c>
      <c r="T1010" s="42">
        <f>HIPERLINK($A$1 &amp; "\Dados\Imagem_perfil_1010.png", "Imagem_perfil_1010")</f>
        <v/>
      </c>
      <c r="U1010" s="42">
        <f>HIPERLINK($A$1 &amp; "\Dados\Results_airgap1010.txt", "Results_airgap1010")</f>
        <v/>
      </c>
      <c r="V1010" s="19" t="n"/>
      <c r="W1010" s="15" t="n">
        <v>1.870508260869566</v>
      </c>
      <c r="X1010" s="15" t="n">
        <v>0.8879367640778828</v>
      </c>
      <c r="Y1010" s="15" t="n">
        <v>0.606149861181604</v>
      </c>
      <c r="Z1010" s="15" t="n">
        <v>0.003743519907452336</v>
      </c>
      <c r="AA1010" s="15" t="n">
        <v>0</v>
      </c>
      <c r="AB1010" s="15" t="n">
        <v>1.549276735059125</v>
      </c>
      <c r="AC1010" s="15" t="n">
        <v>19.18632400624015</v>
      </c>
      <c r="AD1010" s="15" t="n">
        <v>65.96871593148731</v>
      </c>
      <c r="AE1010" s="15" t="n">
        <v>98.44791028326196</v>
      </c>
      <c r="AF1010" s="15" t="n">
        <v>130.5603470568611</v>
      </c>
      <c r="AH1010" s="42">
        <f>HIPERLINK($A$1 &amp; "\Dados\Magnet_fields_1010.txt.txt", "Magnet_fields_1010.txt")</f>
        <v/>
      </c>
      <c r="AI1010" t="n">
        <v>7544</v>
      </c>
      <c r="AJ1010" t="n">
        <v>28</v>
      </c>
      <c r="AK1010" s="42">
        <f>HIPERLINK($A$1 &amp; "\Dados\Magnet_3D_results_1010.txt.txt", "Magnet_3D_results_1010.txt")</f>
        <v/>
      </c>
      <c r="AL1010" s="42">
        <f>HIPERLINK($A$1 &amp; "\Dados\Magnet_fields_2D_1010.txt.txt", "Magnet_fields_2D_1010.txt")</f>
        <v/>
      </c>
    </row>
    <row r="1011">
      <c r="E1011" s="15" t="n">
        <v>146</v>
      </c>
      <c r="F1011" s="15" t="n">
        <v>180</v>
      </c>
      <c r="G1011" s="15" t="n">
        <v>411</v>
      </c>
      <c r="H1011" s="15" t="n">
        <v>41</v>
      </c>
      <c r="I1011" s="15" t="n">
        <v>158</v>
      </c>
      <c r="J1011" s="13" t="n">
        <v>25</v>
      </c>
      <c r="K1011" t="n">
        <v>55</v>
      </c>
      <c r="L1011" s="13" t="n">
        <v>3</v>
      </c>
      <c r="M1011" s="12" t="n"/>
      <c r="N1011" s="8" t="n">
        <v>1.596006471863993</v>
      </c>
      <c r="O1011" s="15" t="n">
        <v>1.354170978333559</v>
      </c>
      <c r="P1011" s="15" t="n">
        <v>1.520511019244208</v>
      </c>
      <c r="Q1011" s="15" t="n">
        <v>0.01175428645664383</v>
      </c>
      <c r="R1011" s="15" t="n">
        <v>0.05287139810566903</v>
      </c>
      <c r="S1011" s="15" t="n">
        <v>0.01176586631761547</v>
      </c>
      <c r="T1011" s="42">
        <f>HIPERLINK($A$1 &amp; "\Dados\Imagem_perfil_1011.png", "Imagem_perfil_1011")</f>
        <v/>
      </c>
      <c r="U1011" s="42">
        <f>HIPERLINK($A$1 &amp; "\Dados\Results_airgap1011.txt", "Results_airgap1011")</f>
        <v/>
      </c>
      <c r="V1011" s="19" t="n"/>
      <c r="W1011" s="15" t="n">
        <v>2.105264565217391</v>
      </c>
      <c r="X1011" s="15" t="n">
        <v>1.003383313363907</v>
      </c>
      <c r="Y1011" s="15" t="n">
        <v>0.3516627923079385</v>
      </c>
      <c r="Z1011" s="15" t="n">
        <v>0.02991642333161306</v>
      </c>
      <c r="AA1011" s="15" t="n">
        <v>0.002944245552902673</v>
      </c>
      <c r="AB1011" s="15" t="n">
        <v>0.279689491811549</v>
      </c>
      <c r="AC1011" s="15" t="n">
        <v>9.89509841528743</v>
      </c>
      <c r="AD1011" s="15" t="n">
        <v>65.75910883730377</v>
      </c>
      <c r="AE1011" s="15" t="n">
        <v>99.45165463730463</v>
      </c>
      <c r="AF1011" s="15" t="n">
        <v>128.1608311126649</v>
      </c>
      <c r="AH1011" s="42">
        <f>HIPERLINK($A$1 &amp; "\Dados\Magnet_fields_1011.txt.txt", "Magnet_fields_1011.txt")</f>
        <v/>
      </c>
      <c r="AI1011" t="n">
        <v>11305</v>
      </c>
      <c r="AJ1011" t="n">
        <v>30</v>
      </c>
      <c r="AK1011" s="42">
        <f>HIPERLINK($A$1 &amp; "\Dados\Magnet_3D_results_1011.txt.txt", "Magnet_3D_results_1011.txt")</f>
        <v/>
      </c>
      <c r="AL1011" s="42">
        <f>HIPERLINK($A$1 &amp; "\Dados\Magnet_fields_2D_1011.txt.txt", "Magnet_fields_2D_1011.txt")</f>
        <v/>
      </c>
    </row>
    <row r="1012">
      <c r="E1012" s="15" t="n">
        <v>140</v>
      </c>
      <c r="F1012" s="15" t="n">
        <v>184</v>
      </c>
      <c r="G1012" s="15" t="n">
        <v>411</v>
      </c>
      <c r="H1012" s="15" t="n">
        <v>29</v>
      </c>
      <c r="I1012" s="15" t="n">
        <v>163</v>
      </c>
      <c r="J1012" s="13" t="n">
        <v>25</v>
      </c>
      <c r="K1012" t="n">
        <v>40</v>
      </c>
      <c r="L1012" s="13" t="n">
        <v>3</v>
      </c>
      <c r="M1012" s="12" t="n"/>
      <c r="N1012" s="8" t="n">
        <v>1.36794845256169</v>
      </c>
      <c r="O1012" s="15" t="n">
        <v>1.157796930849178</v>
      </c>
      <c r="P1012" s="15" t="n">
        <v>1.309826804353329</v>
      </c>
      <c r="Q1012" s="15" t="n">
        <v>0.001363446105205049</v>
      </c>
      <c r="R1012" s="15" t="n">
        <v>0.03521029550866366</v>
      </c>
      <c r="S1012" s="15" t="n">
        <v>0.001652306794665805</v>
      </c>
      <c r="T1012" s="42">
        <f>HIPERLINK($A$1 &amp; "\Dados\Imagem_perfil_1012.png", "Imagem_perfil_1012")</f>
        <v/>
      </c>
      <c r="U1012" s="42">
        <f>HIPERLINK($A$1 &amp; "\Dados\Results_airgap1012.txt", "Results_airgap1012")</f>
        <v/>
      </c>
      <c r="V1012" s="19" t="n"/>
      <c r="W1012" s="15" t="n">
        <v>1.755171739130434</v>
      </c>
      <c r="X1012" s="15" t="n">
        <v>0.8724809565480597</v>
      </c>
      <c r="Y1012" s="15" t="n">
        <v>0.8361769478529978</v>
      </c>
      <c r="Z1012" s="15" t="n">
        <v>0.005435990158613149</v>
      </c>
      <c r="AA1012" s="15" t="n">
        <v>1.179477081162159</v>
      </c>
      <c r="AB1012" s="15" t="n">
        <v>2.018969720888477</v>
      </c>
      <c r="AC1012" s="15" t="n">
        <v>9.667849683405089</v>
      </c>
      <c r="AD1012" s="15" t="n">
        <v>38.54692892392592</v>
      </c>
      <c r="AE1012" s="15" t="n">
        <v>82.69707377282413</v>
      </c>
      <c r="AF1012" s="15" t="n">
        <v>114.7823286650104</v>
      </c>
      <c r="AH1012" s="42">
        <f>HIPERLINK($A$1 &amp; "\Dados\Magnet_fields_1012.txt.txt", "Magnet_fields_1012.txt")</f>
        <v/>
      </c>
      <c r="AI1012" t="n">
        <v>9442</v>
      </c>
      <c r="AJ1012" t="n">
        <v>30</v>
      </c>
      <c r="AK1012" s="42">
        <f>HIPERLINK($A$1 &amp; "\Dados\Magnet_3D_results_1012.txt.txt", "Magnet_3D_results_1012.txt")</f>
        <v/>
      </c>
      <c r="AL1012" s="42">
        <f>HIPERLINK($A$1 &amp; "\Dados\Magnet_fields_2D_1012.txt.txt", "Magnet_fields_2D_1012.txt")</f>
        <v/>
      </c>
    </row>
    <row r="1013">
      <c r="E1013" s="15" t="n">
        <v>134</v>
      </c>
      <c r="F1013" s="15" t="n">
        <v>174</v>
      </c>
      <c r="G1013" s="15" t="n">
        <v>384</v>
      </c>
      <c r="H1013" s="15" t="n">
        <v>25</v>
      </c>
      <c r="I1013" s="15" t="n">
        <v>141</v>
      </c>
      <c r="J1013" s="13" t="n">
        <v>25</v>
      </c>
      <c r="K1013" t="n">
        <v>45</v>
      </c>
      <c r="L1013" s="13" t="n">
        <v>3</v>
      </c>
      <c r="M1013" s="12" t="n"/>
      <c r="N1013" s="8" t="n">
        <v>1.365317017242125</v>
      </c>
      <c r="O1013" s="15" t="n">
        <v>1.069590279850173</v>
      </c>
      <c r="P1013" s="15" t="n">
        <v>1.284278198457149</v>
      </c>
      <c r="Q1013" s="15" t="n">
        <v>0.002617954078551826</v>
      </c>
      <c r="R1013" s="15" t="n">
        <v>0.03414362947109317</v>
      </c>
      <c r="S1013" s="15" t="n">
        <v>0.003266847585893623</v>
      </c>
      <c r="T1013" s="42">
        <f>HIPERLINK($A$1 &amp; "\Dados\Imagem_perfil_1013.png", "Imagem_perfil_1013")</f>
        <v/>
      </c>
      <c r="U1013" s="42">
        <f>HIPERLINK($A$1 &amp; "\Dados\Results_airgap1013.txt", "Results_airgap1013")</f>
        <v/>
      </c>
      <c r="V1013" s="19" t="n"/>
      <c r="W1013" s="15" t="n">
        <v>1.843301956521739</v>
      </c>
      <c r="X1013" s="15" t="n">
        <v>0.8932368906665371</v>
      </c>
      <c r="Y1013" s="15" t="n">
        <v>0.7149807910171772</v>
      </c>
      <c r="Z1013" s="15" t="n">
        <v>0</v>
      </c>
      <c r="AA1013" s="15" t="n">
        <v>3.573636099245252</v>
      </c>
      <c r="AB1013" s="15" t="n">
        <v>1.867674921002576</v>
      </c>
      <c r="AC1013" s="15" t="n">
        <v>10.64715226482968</v>
      </c>
      <c r="AD1013" s="15" t="n">
        <v>41.61033831923876</v>
      </c>
      <c r="AE1013" s="15" t="n">
        <v>83.26452716246263</v>
      </c>
      <c r="AF1013" s="15" t="n">
        <v>117.3161436333951</v>
      </c>
      <c r="AH1013" s="42">
        <f>HIPERLINK($A$1 &amp; "\Dados\Magnet_fields_1013.txt.txt", "Magnet_fields_1013.txt")</f>
        <v/>
      </c>
      <c r="AI1013" t="n">
        <v>9022</v>
      </c>
      <c r="AJ1013" t="n">
        <v>30</v>
      </c>
      <c r="AK1013" s="42">
        <f>HIPERLINK($A$1 &amp; "\Dados\Magnet_3D_results_1013.txt.txt", "Magnet_3D_results_1013.txt")</f>
        <v/>
      </c>
      <c r="AL1013" s="42">
        <f>HIPERLINK($A$1 &amp; "\Dados\Magnet_fields_2D_1013.txt.txt", "Magnet_fields_2D_1013.txt")</f>
        <v/>
      </c>
    </row>
    <row r="1014">
      <c r="E1014" s="15" t="n">
        <v>147</v>
      </c>
      <c r="F1014" s="15" t="n">
        <v>187</v>
      </c>
      <c r="G1014" s="15" t="n">
        <v>412</v>
      </c>
      <c r="H1014" s="15" t="n">
        <v>45</v>
      </c>
      <c r="I1014" s="15" t="n">
        <v>171</v>
      </c>
      <c r="J1014" s="13" t="n">
        <v>25</v>
      </c>
      <c r="K1014" t="n">
        <v>50</v>
      </c>
      <c r="L1014" s="13" t="n">
        <v>3</v>
      </c>
      <c r="M1014" s="12" t="n"/>
      <c r="N1014" s="8" t="n">
        <v>1.495412024535097</v>
      </c>
      <c r="O1014" s="15" t="n">
        <v>1.312351954415703</v>
      </c>
      <c r="P1014" s="15" t="n">
        <v>1.445221749719845</v>
      </c>
      <c r="Q1014" s="15" t="n">
        <v>0.00517801772715801</v>
      </c>
      <c r="R1014" s="15" t="n">
        <v>0.04736340404490624</v>
      </c>
      <c r="S1014" s="15" t="n">
        <v>0.005379122085461548</v>
      </c>
      <c r="T1014" s="42">
        <f>HIPERLINK($A$1 &amp; "\Dados\Imagem_perfil_1014.png", "Imagem_perfil_1014")</f>
        <v/>
      </c>
      <c r="U1014" s="42">
        <f>HIPERLINK($A$1 &amp; "\Dados\Results_airgap1014.txt", "Results_airgap1014")</f>
        <v/>
      </c>
      <c r="V1014" s="19" t="n"/>
      <c r="W1014" s="15" t="n">
        <v>1.925396086956521</v>
      </c>
      <c r="X1014" s="15" t="n">
        <v>0.9692680809670462</v>
      </c>
      <c r="Y1014" s="15" t="n">
        <v>0.5593325890393188</v>
      </c>
      <c r="Z1014" s="15" t="n">
        <v>0</v>
      </c>
      <c r="AA1014" s="15" t="n">
        <v>0.005324648340538185</v>
      </c>
      <c r="AB1014" s="15" t="n">
        <v>0.4996677104773887</v>
      </c>
      <c r="AC1014" s="15" t="n">
        <v>6.819850041394141</v>
      </c>
      <c r="AD1014" s="15" t="n">
        <v>49.55629947174453</v>
      </c>
      <c r="AE1014" s="15" t="n">
        <v>93.08174231928183</v>
      </c>
      <c r="AF1014" s="15" t="n">
        <v>123.070073613356</v>
      </c>
      <c r="AH1014" s="42">
        <f>HIPERLINK($A$1 &amp; "\Dados\Magnet_fields_1014.txt.txt", "Magnet_fields_1014.txt")</f>
        <v/>
      </c>
      <c r="AI1014" t="n">
        <v>6945</v>
      </c>
      <c r="AJ1014" t="n">
        <v>28</v>
      </c>
      <c r="AK1014" s="42">
        <f>HIPERLINK($A$1 &amp; "\Dados\Magnet_3D_results_1014.txt.txt", "Magnet_3D_results_1014.txt")</f>
        <v/>
      </c>
      <c r="AL1014" s="42">
        <f>HIPERLINK($A$1 &amp; "\Dados\Magnet_fields_2D_1014.txt.txt", "Magnet_fields_2D_1014.txt")</f>
        <v/>
      </c>
    </row>
    <row r="1015">
      <c r="E1015" s="15" t="n">
        <v>145</v>
      </c>
      <c r="F1015" s="15" t="n">
        <v>176</v>
      </c>
      <c r="G1015" s="15" t="n">
        <v>387</v>
      </c>
      <c r="H1015" s="15" t="n">
        <v>42</v>
      </c>
      <c r="I1015" s="15" t="n">
        <v>174</v>
      </c>
      <c r="J1015" s="13" t="n">
        <v>25</v>
      </c>
      <c r="K1015" t="n">
        <v>40</v>
      </c>
      <c r="L1015" s="13" t="n">
        <v>3</v>
      </c>
      <c r="M1015" s="12" t="n"/>
      <c r="N1015" s="8" t="n">
        <v>1.594989957404603</v>
      </c>
      <c r="O1015" s="15" t="n">
        <v>1.403271540379616</v>
      </c>
      <c r="P1015" s="15" t="n">
        <v>1.535854720946308</v>
      </c>
      <c r="Q1015" s="15" t="n">
        <v>0.002319629044911696</v>
      </c>
      <c r="R1015" s="15" t="n">
        <v>0.03029438346619453</v>
      </c>
      <c r="S1015" s="15" t="n">
        <v>0.002310365567027497</v>
      </c>
      <c r="T1015" s="42">
        <f>HIPERLINK($A$1 &amp; "\Dados\Imagem_perfil_1015.png", "Imagem_perfil_1015")</f>
        <v/>
      </c>
      <c r="U1015" s="42">
        <f>HIPERLINK($A$1 &amp; "\Dados\Results_airgap1015.txt", "Results_airgap1015")</f>
        <v/>
      </c>
      <c r="V1015" s="19" t="n"/>
      <c r="W1015" s="15" t="n">
        <v>1.89791347826087</v>
      </c>
      <c r="X1015" s="15" t="n">
        <v>0.986840636340157</v>
      </c>
      <c r="Y1015" s="15" t="n">
        <v>0.6273803232538641</v>
      </c>
      <c r="Z1015" s="15" t="n">
        <v>0</v>
      </c>
      <c r="AA1015" s="15" t="n">
        <v>0</v>
      </c>
      <c r="AB1015" s="15" t="n">
        <v>0</v>
      </c>
      <c r="AC1015" s="15" t="n">
        <v>3.323824506217563</v>
      </c>
      <c r="AD1015" s="15" t="n">
        <v>31.70877754150776</v>
      </c>
      <c r="AE1015" s="15" t="n">
        <v>82.12633958075652</v>
      </c>
      <c r="AF1015" s="15" t="n">
        <v>114.5827789917948</v>
      </c>
      <c r="AH1015" s="42">
        <f>HIPERLINK($A$1 &amp; "\Dados\Magnet_fields_1015.txt.txt", "Magnet_fields_1015.txt")</f>
        <v/>
      </c>
      <c r="AI1015" t="n">
        <v>7893</v>
      </c>
      <c r="AJ1015" t="n">
        <v>28</v>
      </c>
      <c r="AK1015" s="42">
        <f>HIPERLINK($A$1 &amp; "\Dados\Magnet_3D_results_1015.txt.txt", "Magnet_3D_results_1015.txt")</f>
        <v/>
      </c>
      <c r="AL1015" s="42">
        <f>HIPERLINK($A$1 &amp; "\Dados\Magnet_fields_2D_1015.txt.txt", "Magnet_fields_2D_1015.txt")</f>
        <v/>
      </c>
    </row>
    <row r="1016">
      <c r="E1016" s="15" t="n">
        <v>148</v>
      </c>
      <c r="F1016" s="15" t="n">
        <v>181</v>
      </c>
      <c r="G1016" s="15" t="n">
        <v>400</v>
      </c>
      <c r="H1016" s="15" t="n">
        <v>39</v>
      </c>
      <c r="I1016" s="15" t="n">
        <v>178</v>
      </c>
      <c r="J1016" s="13" t="n">
        <v>25</v>
      </c>
      <c r="K1016" t="n">
        <v>50</v>
      </c>
      <c r="L1016" s="13" t="n">
        <v>3</v>
      </c>
      <c r="M1016" s="12" t="n"/>
      <c r="N1016" s="8" t="n">
        <v>1.617541616793261</v>
      </c>
      <c r="O1016" s="15" t="n">
        <v>1.427766567632695</v>
      </c>
      <c r="P1016" s="15" t="n">
        <v>1.561910006812657</v>
      </c>
      <c r="Q1016" s="15" t="n">
        <v>0.006861910774307022</v>
      </c>
      <c r="R1016" s="15" t="n">
        <v>0.04164238506912645</v>
      </c>
      <c r="S1016" s="15" t="n">
        <v>0.006879226181607754</v>
      </c>
      <c r="T1016" s="42">
        <f>HIPERLINK($A$1 &amp; "\Dados\Imagem_perfil_1016.png", "Imagem_perfil_1016")</f>
        <v/>
      </c>
      <c r="U1016" s="42">
        <f>HIPERLINK($A$1 &amp; "\Dados\Results_airgap1016.txt", "Results_airgap1016")</f>
        <v/>
      </c>
      <c r="V1016" s="19" t="n"/>
      <c r="W1016" s="15" t="n">
        <v>2.005736956521739</v>
      </c>
      <c r="X1016" s="15" t="n">
        <v>0.9936005512762908</v>
      </c>
      <c r="Y1016" s="15" t="n">
        <v>0.464035269031784</v>
      </c>
      <c r="Z1016" s="15" t="n">
        <v>0</v>
      </c>
      <c r="AA1016" s="15" t="n">
        <v>0.7214985448997775</v>
      </c>
      <c r="AB1016" s="15" t="n">
        <v>0.1764705235334815</v>
      </c>
      <c r="AC1016" s="15" t="n">
        <v>5.86182204852168</v>
      </c>
      <c r="AD1016" s="15" t="n">
        <v>47.1831045378147</v>
      </c>
      <c r="AE1016" s="15" t="n">
        <v>91.2701275505574</v>
      </c>
      <c r="AF1016" s="15" t="n">
        <v>122.7988356944063</v>
      </c>
      <c r="AH1016" s="42">
        <f>HIPERLINK($A$1 &amp; "\Dados\Magnet_fields_1016.txt.txt", "Magnet_fields_1016.txt")</f>
        <v/>
      </c>
      <c r="AI1016" t="n">
        <v>7566</v>
      </c>
      <c r="AJ1016" t="n">
        <v>29</v>
      </c>
      <c r="AK1016" s="42">
        <f>HIPERLINK($A$1 &amp; "\Dados\Magnet_3D_results_1016.txt.txt", "Magnet_3D_results_1016.txt")</f>
        <v/>
      </c>
      <c r="AL1016" s="42">
        <f>HIPERLINK($A$1 &amp; "\Dados\Magnet_fields_2D_1016.txt.txt", "Magnet_fields_2D_1016.txt")</f>
        <v/>
      </c>
    </row>
    <row r="1017">
      <c r="E1017" s="15" t="n">
        <v>140</v>
      </c>
      <c r="F1017" s="15" t="n">
        <v>174</v>
      </c>
      <c r="G1017" s="15" t="n">
        <v>402</v>
      </c>
      <c r="H1017" s="15" t="n">
        <v>34</v>
      </c>
      <c r="I1017" s="15" t="n">
        <v>148</v>
      </c>
      <c r="J1017" s="13" t="n">
        <v>25</v>
      </c>
      <c r="K1017" t="n">
        <v>50</v>
      </c>
      <c r="L1017" s="13" t="n">
        <v>3</v>
      </c>
      <c r="M1017" s="12" t="n"/>
      <c r="N1017" s="8" t="n">
        <v>1.553672164621811</v>
      </c>
      <c r="O1017" s="15" t="n">
        <v>1.262000540663099</v>
      </c>
      <c r="P1017" s="15" t="n">
        <v>1.47084742252789</v>
      </c>
      <c r="Q1017" s="15" t="n">
        <v>0.006760625527648115</v>
      </c>
      <c r="R1017" s="15" t="n">
        <v>0.04419518769927094</v>
      </c>
      <c r="S1017" s="15" t="n">
        <v>0.007056054899952814</v>
      </c>
      <c r="T1017" s="42">
        <f>HIPERLINK($A$1 &amp; "\Dados\Imagem_perfil_1017.png", "Imagem_perfil_1017")</f>
        <v/>
      </c>
      <c r="U1017" s="42">
        <f>HIPERLINK($A$1 &amp; "\Dados\Results_airgap1017.txt", "Results_airgap1017")</f>
        <v/>
      </c>
      <c r="V1017" s="19" t="n"/>
      <c r="W1017" s="15" t="n">
        <v>2.063150869565217</v>
      </c>
      <c r="X1017" s="15" t="n">
        <v>0.990015520608288</v>
      </c>
      <c r="Y1017" s="15" t="n">
        <v>0.4362433399897117</v>
      </c>
      <c r="Z1017" s="15" t="n">
        <v>0</v>
      </c>
      <c r="AA1017" s="15" t="n">
        <v>1.356227506281447</v>
      </c>
      <c r="AB1017" s="15" t="n">
        <v>0.9694719117055774</v>
      </c>
      <c r="AC1017" s="15" t="n">
        <v>9.949277780545836</v>
      </c>
      <c r="AD1017" s="15" t="n">
        <v>49.20990407346148</v>
      </c>
      <c r="AE1017" s="15" t="n">
        <v>90.74906154863022</v>
      </c>
      <c r="AF1017" s="15" t="n">
        <v>122.7453453891504</v>
      </c>
      <c r="AH1017" s="42">
        <f>HIPERLINK($A$1 &amp; "\Dados\Magnet_fields_1017.txt.txt", "Magnet_fields_1017.txt")</f>
        <v/>
      </c>
      <c r="AI1017" t="n">
        <v>8130</v>
      </c>
      <c r="AJ1017" t="n">
        <v>29</v>
      </c>
      <c r="AK1017" s="42">
        <f>HIPERLINK($A$1 &amp; "\Dados\Magnet_3D_results_1017.txt.txt", "Magnet_3D_results_1017.txt")</f>
        <v/>
      </c>
      <c r="AL1017" s="42">
        <f>HIPERLINK($A$1 &amp; "\Dados\Magnet_fields_2D_1017.txt.txt", "Magnet_fields_2D_1017.txt")</f>
        <v/>
      </c>
    </row>
    <row r="1018">
      <c r="E1018" s="15" t="n">
        <v>139</v>
      </c>
      <c r="F1018" s="15" t="n">
        <v>177</v>
      </c>
      <c r="G1018" s="15" t="n">
        <v>392</v>
      </c>
      <c r="H1018" s="15" t="n">
        <v>41</v>
      </c>
      <c r="I1018" s="15" t="n">
        <v>172</v>
      </c>
      <c r="J1018" s="13" t="n">
        <v>25</v>
      </c>
      <c r="K1018" t="n">
        <v>50</v>
      </c>
      <c r="L1018" s="13" t="n">
        <v>3</v>
      </c>
      <c r="M1018" s="12" t="n"/>
      <c r="N1018" s="8" t="n">
        <v>1.532890937255351</v>
      </c>
      <c r="O1018" s="15" t="n">
        <v>1.349009429398819</v>
      </c>
      <c r="P1018" s="15" t="n">
        <v>1.48409412035239</v>
      </c>
      <c r="Q1018" s="15" t="n">
        <v>0.005954322074308415</v>
      </c>
      <c r="R1018" s="15" t="n">
        <v>0.04569394728746839</v>
      </c>
      <c r="S1018" s="15" t="n">
        <v>0.005950313622330526</v>
      </c>
      <c r="T1018" s="42">
        <f>HIPERLINK($A$1 &amp; "\Dados\Imagem_perfil_1018.png", "Imagem_perfil_1018")</f>
        <v/>
      </c>
      <c r="U1018" s="42">
        <f>HIPERLINK($A$1 &amp; "\Dados\Results_airgap1018.txt", "Results_airgap1018")</f>
        <v/>
      </c>
      <c r="V1018" s="19" t="n"/>
      <c r="W1018" s="15" t="n">
        <v>1.93189152173913</v>
      </c>
      <c r="X1018" s="15" t="n">
        <v>0.9728490323780676</v>
      </c>
      <c r="Y1018" s="15" t="n">
        <v>0.5546903967037949</v>
      </c>
      <c r="Z1018" s="15" t="n">
        <v>0</v>
      </c>
      <c r="AA1018" s="15" t="n">
        <v>0.0008540182534546141</v>
      </c>
      <c r="AB1018" s="15" t="n">
        <v>0.5631224412374898</v>
      </c>
      <c r="AC1018" s="15" t="n">
        <v>6.977358771594762</v>
      </c>
      <c r="AD1018" s="15" t="n">
        <v>49.60384949946262</v>
      </c>
      <c r="AE1018" s="15" t="n">
        <v>93.100237204991</v>
      </c>
      <c r="AF1018" s="15" t="n">
        <v>123.0951229630414</v>
      </c>
      <c r="AH1018" s="42">
        <f>HIPERLINK($A$1 &amp; "\Dados\Magnet_fields_1018.txt.txt", "Magnet_fields_1018.txt")</f>
        <v/>
      </c>
      <c r="AI1018" t="n">
        <v>6914</v>
      </c>
      <c r="AJ1018" t="n">
        <v>28</v>
      </c>
      <c r="AK1018" s="42">
        <f>HIPERLINK($A$1 &amp; "\Dados\Magnet_3D_results_1018.txt.txt", "Magnet_3D_results_1018.txt")</f>
        <v/>
      </c>
      <c r="AL1018" s="42">
        <f>HIPERLINK($A$1 &amp; "\Dados\Magnet_fields_2D_1018.txt.txt", "Magnet_fields_2D_1018.txt")</f>
        <v/>
      </c>
    </row>
    <row r="1019">
      <c r="E1019" s="15" t="n">
        <v>126</v>
      </c>
      <c r="F1019" s="15" t="n">
        <v>170</v>
      </c>
      <c r="G1019" s="15" t="n">
        <v>391</v>
      </c>
      <c r="H1019" s="15" t="n">
        <v>38</v>
      </c>
      <c r="I1019" s="15" t="n">
        <v>140</v>
      </c>
      <c r="J1019" s="13" t="n">
        <v>25</v>
      </c>
      <c r="K1019" t="n">
        <v>50</v>
      </c>
      <c r="L1019" s="13" t="n">
        <v>3</v>
      </c>
      <c r="M1019" s="12" t="n"/>
      <c r="N1019" s="8" t="n">
        <v>1.382782859473943</v>
      </c>
      <c r="O1019" s="15" t="n">
        <v>1.083931764081682</v>
      </c>
      <c r="P1019" s="15" t="n">
        <v>1.300779239599408</v>
      </c>
      <c r="Q1019" s="15" t="n">
        <v>0.006794621614966035</v>
      </c>
      <c r="R1019" s="15" t="n">
        <v>0.05093658441425582</v>
      </c>
      <c r="S1019" s="15" t="n">
        <v>0.00795518059644435</v>
      </c>
      <c r="T1019" s="42">
        <f>HIPERLINK($A$1 &amp; "\Dados\Imagem_perfil_1019.png", "Imagem_perfil_1019")</f>
        <v/>
      </c>
      <c r="U1019" s="42">
        <f>HIPERLINK($A$1 &amp; "\Dados\Results_airgap1019.txt", "Results_airgap1019")</f>
        <v/>
      </c>
      <c r="V1019" s="19" t="n"/>
      <c r="W1019" s="15" t="n">
        <v>1.91628695652174</v>
      </c>
      <c r="X1019" s="15" t="n">
        <v>0.9005651819667101</v>
      </c>
      <c r="Y1019" s="15" t="n">
        <v>0.6111630707986823</v>
      </c>
      <c r="Z1019" s="15" t="n">
        <v>0.0007988308549275965</v>
      </c>
      <c r="AA1019" s="15" t="n">
        <v>0.001987335978229762</v>
      </c>
      <c r="AB1019" s="15" t="n">
        <v>3.022036237619894</v>
      </c>
      <c r="AC1019" s="15" t="n">
        <v>16.75879912548498</v>
      </c>
      <c r="AD1019" s="15" t="n">
        <v>53.27891687476333</v>
      </c>
      <c r="AE1019" s="15" t="n">
        <v>90.03841821872761</v>
      </c>
      <c r="AF1019" s="15" t="n">
        <v>122.1375698646375</v>
      </c>
      <c r="AH1019" s="42">
        <f>HIPERLINK($A$1 &amp; "\Dados\Magnet_fields_1019.txt.txt", "Magnet_fields_1019.txt")</f>
        <v/>
      </c>
      <c r="AI1019" t="n">
        <v>7429</v>
      </c>
      <c r="AJ1019" t="n">
        <v>29</v>
      </c>
      <c r="AK1019" s="42">
        <f>HIPERLINK($A$1 &amp; "\Dados\Magnet_3D_results_1019.txt.txt", "Magnet_3D_results_1019.txt")</f>
        <v/>
      </c>
      <c r="AL1019" s="42">
        <f>HIPERLINK($A$1 &amp; "\Dados\Magnet_fields_2D_1019.txt.txt", "Magnet_fields_2D_1019.txt")</f>
        <v/>
      </c>
    </row>
    <row r="1020">
      <c r="E1020" s="15" t="n">
        <v>133</v>
      </c>
      <c r="F1020" s="15" t="n">
        <v>183</v>
      </c>
      <c r="G1020" s="15" t="n">
        <v>393</v>
      </c>
      <c r="H1020" s="15" t="n">
        <v>28</v>
      </c>
      <c r="I1020" s="15" t="n">
        <v>157</v>
      </c>
      <c r="J1020" s="13" t="n">
        <v>25</v>
      </c>
      <c r="K1020" t="n">
        <v>50</v>
      </c>
      <c r="L1020" s="13" t="n">
        <v>3</v>
      </c>
      <c r="M1020" s="12" t="n"/>
      <c r="N1020" s="8" t="n">
        <v>1.316608681808537</v>
      </c>
      <c r="O1020" s="15" t="n">
        <v>1.103552409772565</v>
      </c>
      <c r="P1020" s="15" t="n">
        <v>1.253390545572589</v>
      </c>
      <c r="Q1020" s="15" t="n">
        <v>0.006221368246285557</v>
      </c>
      <c r="R1020" s="15" t="n">
        <v>0.04676103158383442</v>
      </c>
      <c r="S1020" s="15" t="n">
        <v>0.00688281341236058</v>
      </c>
      <c r="T1020" s="42">
        <f>HIPERLINK($A$1 &amp; "\Dados\Imagem_perfil_1020.png", "Imagem_perfil_1020")</f>
        <v/>
      </c>
      <c r="U1020" s="42">
        <f>HIPERLINK($A$1 &amp; "\Dados\Results_airgap1020.txt", "Results_airgap1020")</f>
        <v/>
      </c>
      <c r="V1020" s="19" t="n"/>
      <c r="W1020" s="15" t="n">
        <v>1.77867347826087</v>
      </c>
      <c r="X1020" s="15" t="n">
        <v>0.8444419103284203</v>
      </c>
      <c r="Y1020" s="15" t="n">
        <v>0.7361162831424752</v>
      </c>
      <c r="Z1020" s="15" t="n">
        <v>0.01151604457750131</v>
      </c>
      <c r="AA1020" s="15" t="n">
        <v>0.2535719847490791</v>
      </c>
      <c r="AB1020" s="15" t="n">
        <v>1.860207756985286</v>
      </c>
      <c r="AC1020" s="15" t="n">
        <v>16.0724116128048</v>
      </c>
      <c r="AD1020" s="15" t="n">
        <v>57.26363900576844</v>
      </c>
      <c r="AE1020" s="15" t="n">
        <v>92.24275341479949</v>
      </c>
      <c r="AF1020" s="15" t="n">
        <v>122.4432745657719</v>
      </c>
      <c r="AH1020" s="42">
        <f>HIPERLINK($A$1 &amp; "\Dados\Magnet_fields_1020.txt.txt", "Magnet_fields_1020.txt")</f>
        <v/>
      </c>
      <c r="AI1020" t="n">
        <v>8571</v>
      </c>
      <c r="AJ1020" t="n">
        <v>29</v>
      </c>
      <c r="AK1020" s="42">
        <f>HIPERLINK($A$1 &amp; "\Dados\Magnet_3D_results_1020.txt.txt", "Magnet_3D_results_1020.txt")</f>
        <v/>
      </c>
      <c r="AL1020" s="42">
        <f>HIPERLINK($A$1 &amp; "\Dados\Magnet_fields_2D_1020.txt.txt", "Magnet_fields_2D_1020.txt")</f>
        <v/>
      </c>
    </row>
    <row r="1021">
      <c r="E1021" s="15" t="n">
        <v>150</v>
      </c>
      <c r="F1021" s="15" t="n">
        <v>181</v>
      </c>
      <c r="G1021" s="15" t="n">
        <v>414</v>
      </c>
      <c r="H1021" s="15" t="n">
        <v>43</v>
      </c>
      <c r="I1021" s="15" t="n">
        <v>143</v>
      </c>
      <c r="J1021" s="13" t="n">
        <v>25</v>
      </c>
      <c r="K1021" t="n">
        <v>45</v>
      </c>
      <c r="L1021" s="13" t="n">
        <v>3</v>
      </c>
      <c r="M1021" s="12" t="n"/>
      <c r="N1021" s="8" t="n">
        <v>1.565228532011558</v>
      </c>
      <c r="O1021" s="15" t="n">
        <v>1.248660010050031</v>
      </c>
      <c r="P1021" s="15" t="n">
        <v>1.479593959594851</v>
      </c>
      <c r="Q1021" s="15" t="n">
        <v>0.00430928962996802</v>
      </c>
      <c r="R1021" s="15" t="n">
        <v>0.03722533140173672</v>
      </c>
      <c r="S1021" s="15" t="n">
        <v>0.00451443644376557</v>
      </c>
      <c r="T1021" s="42">
        <f>HIPERLINK($A$1 &amp; "\Dados\Imagem_perfil_1021.png", "Imagem_perfil_1021")</f>
        <v/>
      </c>
      <c r="U1021" s="42">
        <f>HIPERLINK($A$1 &amp; "\Dados\Results_airgap1021.txt", "Results_airgap1021")</f>
        <v/>
      </c>
      <c r="V1021" s="19" t="n"/>
      <c r="W1021" s="15" t="n">
        <v>2.041945434782609</v>
      </c>
      <c r="X1021" s="15" t="n">
        <v>1.010939911151744</v>
      </c>
      <c r="Y1021" s="15" t="n">
        <v>0.4646503446895779</v>
      </c>
      <c r="Z1021" s="15" t="n">
        <v>0</v>
      </c>
      <c r="AA1021" s="15" t="n">
        <v>0.1334540819701561</v>
      </c>
      <c r="AB1021" s="15" t="n">
        <v>0</v>
      </c>
      <c r="AC1021" s="15" t="n">
        <v>5.136489264166186</v>
      </c>
      <c r="AD1021" s="15" t="n">
        <v>39.33904380902717</v>
      </c>
      <c r="AE1021" s="15" t="n">
        <v>86.53248249503598</v>
      </c>
      <c r="AF1021" s="15" t="n">
        <v>118.7481858655381</v>
      </c>
      <c r="AH1021" s="42">
        <f>HIPERLINK($A$1 &amp; "\Dados\Magnet_fields_1021.txt.txt", "Magnet_fields_1021.txt")</f>
        <v/>
      </c>
      <c r="AI1021" t="n">
        <v>6580</v>
      </c>
      <c r="AJ1021" t="n">
        <v>29</v>
      </c>
      <c r="AK1021" s="42">
        <f>HIPERLINK($A$1 &amp; "\Dados\Magnet_3D_results_1021.txt.txt", "Magnet_3D_results_1021.txt")</f>
        <v/>
      </c>
      <c r="AL1021" s="42">
        <f>HIPERLINK($A$1 &amp; "\Dados\Magnet_fields_2D_1021.txt.txt", "Magnet_fields_2D_1021.txt")</f>
        <v/>
      </c>
    </row>
    <row r="1022">
      <c r="E1022" s="15" t="n">
        <v>132</v>
      </c>
      <c r="F1022" s="15" t="n">
        <v>178</v>
      </c>
      <c r="G1022" s="15" t="n">
        <v>362</v>
      </c>
      <c r="H1022" s="15" t="n">
        <v>32</v>
      </c>
      <c r="I1022" s="15" t="n">
        <v>147</v>
      </c>
      <c r="J1022" s="13" t="n">
        <v>25</v>
      </c>
      <c r="K1022" t="n">
        <v>60</v>
      </c>
      <c r="L1022" s="13" t="n">
        <v>3</v>
      </c>
      <c r="M1022" s="12" t="n"/>
      <c r="N1022" s="8" t="n">
        <v>1.285770369088867</v>
      </c>
      <c r="O1022" s="15" t="n">
        <v>1.024854911986966</v>
      </c>
      <c r="P1022" s="15" t="n">
        <v>1.212981244311916</v>
      </c>
      <c r="Q1022" s="15" t="n">
        <v>0.02215021977689782</v>
      </c>
      <c r="R1022" s="15" t="n">
        <v>0.04500566978538145</v>
      </c>
      <c r="S1022" s="15" t="n">
        <v>0.02229585108868584</v>
      </c>
      <c r="T1022" s="42">
        <f>HIPERLINK($A$1 &amp; "\Dados\Imagem_perfil_1022.png", "Imagem_perfil_1022")</f>
        <v/>
      </c>
      <c r="U1022" s="42">
        <f>HIPERLINK($A$1 &amp; "\Dados\Results_airgap1022.txt", "Results_airgap1022")</f>
        <v/>
      </c>
      <c r="V1022" s="19" t="n"/>
      <c r="W1022" s="15" t="n">
        <v>1.751561956521739</v>
      </c>
      <c r="X1022" s="15" t="n">
        <v>0.8346443969558811</v>
      </c>
      <c r="Y1022" s="15" t="n">
        <v>0.7141377541219185</v>
      </c>
      <c r="Z1022" s="15" t="n">
        <v>0</v>
      </c>
      <c r="AA1022" s="15" t="n">
        <v>2.667211789030542</v>
      </c>
      <c r="AB1022" s="15" t="n">
        <v>0.4618415193402584</v>
      </c>
      <c r="AC1022" s="15" t="n">
        <v>14.86191219275248</v>
      </c>
      <c r="AD1022" s="15" t="n">
        <v>63.35885231762569</v>
      </c>
      <c r="AE1022" s="15" t="n">
        <v>97.92885742853097</v>
      </c>
      <c r="AF1022" s="15" t="n">
        <v>129.9314836555681</v>
      </c>
      <c r="AH1022" s="42">
        <f>HIPERLINK($A$1 &amp; "\Dados\Magnet_fields_1022.txt.txt", "Magnet_fields_1022.txt")</f>
        <v/>
      </c>
      <c r="AI1022" t="n">
        <v>8802</v>
      </c>
      <c r="AJ1022" t="n">
        <v>29</v>
      </c>
      <c r="AK1022" s="42">
        <f>HIPERLINK($A$1 &amp; "\Dados\Magnet_3D_results_1022.txt.txt", "Magnet_3D_results_1022.txt")</f>
        <v/>
      </c>
      <c r="AL1022" s="42">
        <f>HIPERLINK($A$1 &amp; "\Dados\Magnet_fields_2D_1022.txt.txt", "Magnet_fields_2D_1022.txt")</f>
        <v/>
      </c>
    </row>
    <row r="1023">
      <c r="E1023" s="15" t="n">
        <v>142</v>
      </c>
      <c r="F1023" s="15" t="n">
        <v>187</v>
      </c>
      <c r="G1023" s="15" t="n">
        <v>384</v>
      </c>
      <c r="H1023" s="15" t="n">
        <v>37</v>
      </c>
      <c r="I1023" s="15" t="n">
        <v>147</v>
      </c>
      <c r="J1023" s="13" t="n">
        <v>25</v>
      </c>
      <c r="K1023" t="n">
        <v>40</v>
      </c>
      <c r="L1023" s="13" t="n">
        <v>3</v>
      </c>
      <c r="M1023" s="12" t="n"/>
      <c r="N1023" s="8" t="n">
        <v>1.258499831763267</v>
      </c>
      <c r="O1023" s="15" t="n">
        <v>1.002581297452677</v>
      </c>
      <c r="P1023" s="15" t="n">
        <v>1.183301115224351</v>
      </c>
      <c r="Q1023" s="15" t="n">
        <v>0.001185741122783968</v>
      </c>
      <c r="R1023" s="15" t="n">
        <v>0.03003408612179057</v>
      </c>
      <c r="S1023" s="15" t="n">
        <v>0.001771798049972792</v>
      </c>
      <c r="T1023" s="42">
        <f>HIPERLINK($A$1 &amp; "\Dados\Imagem_perfil_1023.png", "Imagem_perfil_1023")</f>
        <v/>
      </c>
      <c r="U1023" s="42">
        <f>HIPERLINK($A$1 &amp; "\Dados\Results_airgap1023.txt", "Results_airgap1023")</f>
        <v/>
      </c>
      <c r="V1023" s="19" t="n"/>
      <c r="W1023" s="15" t="n">
        <v>1.639034347826087</v>
      </c>
      <c r="X1023" s="15" t="n">
        <v>0.8043757830707114</v>
      </c>
      <c r="Y1023" s="15" t="n">
        <v>0.9549095319899823</v>
      </c>
      <c r="Z1023" s="15" t="n">
        <v>0.001035168081410816</v>
      </c>
      <c r="AA1023" s="15" t="n">
        <v>0.001264808822855804</v>
      </c>
      <c r="AB1023" s="15" t="n">
        <v>1.000100046854881</v>
      </c>
      <c r="AC1023" s="15" t="n">
        <v>7.686892383493748</v>
      </c>
      <c r="AD1023" s="15" t="n">
        <v>35.85245495856657</v>
      </c>
      <c r="AE1023" s="15" t="n">
        <v>80.98019818400356</v>
      </c>
      <c r="AF1023" s="15" t="n">
        <v>114.1742995852661</v>
      </c>
      <c r="AH1023" s="42">
        <f>HIPERLINK($A$1 &amp; "\Dados\Magnet_fields_1023.txt.txt", "Magnet_fields_1023.txt")</f>
        <v/>
      </c>
      <c r="AI1023" t="n">
        <v>7428</v>
      </c>
      <c r="AJ1023" t="n">
        <v>29</v>
      </c>
      <c r="AK1023" s="42">
        <f>HIPERLINK($A$1 &amp; "\Dados\Magnet_3D_results_1023.txt.txt", "Magnet_3D_results_1023.txt")</f>
        <v/>
      </c>
      <c r="AL1023" s="42">
        <f>HIPERLINK($A$1 &amp; "\Dados\Magnet_fields_2D_1023.txt.txt", "Magnet_fields_2D_1023.txt")</f>
        <v/>
      </c>
    </row>
    <row r="1024">
      <c r="E1024" s="15" t="n">
        <v>143</v>
      </c>
      <c r="F1024" s="15" t="n">
        <v>190</v>
      </c>
      <c r="G1024" s="15" t="n">
        <v>399</v>
      </c>
      <c r="H1024" s="15" t="n">
        <v>39</v>
      </c>
      <c r="I1024" s="15" t="n">
        <v>173</v>
      </c>
      <c r="J1024" s="13" t="n">
        <v>25</v>
      </c>
      <c r="K1024" t="n">
        <v>55</v>
      </c>
      <c r="L1024" s="13" t="n">
        <v>3</v>
      </c>
      <c r="M1024" s="12" t="n"/>
      <c r="N1024" s="8" t="n">
        <v>1.397231734978053</v>
      </c>
      <c r="O1024" s="15" t="n">
        <v>1.203460303733178</v>
      </c>
      <c r="P1024" s="15" t="n">
        <v>1.337434019676177</v>
      </c>
      <c r="Q1024" s="15" t="n">
        <v>0.01075844275588467</v>
      </c>
      <c r="R1024" s="15" t="n">
        <v>0.04996430907162704</v>
      </c>
      <c r="S1024" s="15" t="n">
        <v>0.01058882376352379</v>
      </c>
      <c r="T1024" s="42">
        <f>HIPERLINK($A$1 &amp; "\Dados\Imagem_perfil_1024.png", "Imagem_perfil_1024")</f>
        <v/>
      </c>
      <c r="U1024" s="42">
        <f>HIPERLINK($A$1 &amp; "\Dados\Results_airgap1024.txt", "Results_airgap1024")</f>
        <v/>
      </c>
      <c r="V1024" s="19" t="n"/>
      <c r="W1024" s="15" t="n">
        <v>1.817238695652174</v>
      </c>
      <c r="X1024" s="15" t="n">
        <v>0.882282648023155</v>
      </c>
      <c r="Y1024" s="15" t="n">
        <v>0.6625904575220661</v>
      </c>
      <c r="Z1024" s="15" t="n">
        <v>0.0009440816985800524</v>
      </c>
      <c r="AA1024" s="15" t="n">
        <v>0.1115155588073468</v>
      </c>
      <c r="AB1024" s="15" t="n">
        <v>0.8843801806351302</v>
      </c>
      <c r="AC1024" s="15" t="n">
        <v>13.2802122709953</v>
      </c>
      <c r="AD1024" s="15" t="n">
        <v>56.9424467671615</v>
      </c>
      <c r="AE1024" s="15" t="n">
        <v>94.09647381693814</v>
      </c>
      <c r="AF1024" s="15" t="n">
        <v>125.8882330111242</v>
      </c>
      <c r="AH1024" s="42">
        <f>HIPERLINK($A$1 &amp; "\Dados\Magnet_fields_1024.txt.txt", "Magnet_fields_1024.txt")</f>
        <v/>
      </c>
      <c r="AI1024" t="n">
        <v>10725</v>
      </c>
      <c r="AJ1024" t="n">
        <v>30</v>
      </c>
      <c r="AK1024" s="42">
        <f>HIPERLINK($A$1 &amp; "\Dados\Magnet_3D_results_1024.txt.txt", "Magnet_3D_results_1024.txt")</f>
        <v/>
      </c>
      <c r="AL1024" s="42">
        <f>HIPERLINK($A$1 &amp; "\Dados\Magnet_fields_2D_1024.txt.txt", "Magnet_fields_2D_1024.txt")</f>
        <v/>
      </c>
    </row>
    <row r="1025">
      <c r="E1025" s="15" t="n">
        <v>124</v>
      </c>
      <c r="F1025" s="15" t="n">
        <v>172</v>
      </c>
      <c r="G1025" s="15" t="n">
        <v>359</v>
      </c>
      <c r="H1025" s="15" t="n">
        <v>28</v>
      </c>
      <c r="I1025" s="15" t="n">
        <v>164</v>
      </c>
      <c r="J1025" s="13" t="n">
        <v>25</v>
      </c>
      <c r="K1025" t="n">
        <v>55</v>
      </c>
      <c r="L1025" s="13" t="n">
        <v>3</v>
      </c>
      <c r="M1025" s="12" t="n"/>
      <c r="N1025" s="8" t="n">
        <v>1.346151227165004</v>
      </c>
      <c r="O1025" s="15" t="n">
        <v>1.138888977961601</v>
      </c>
      <c r="P1025" s="15" t="n">
        <v>1.281393943046924</v>
      </c>
      <c r="Q1025" s="15" t="n">
        <v>0.01453650136094103</v>
      </c>
      <c r="R1025" s="15" t="n">
        <v>0.0461105714384745</v>
      </c>
      <c r="S1025" s="15" t="n">
        <v>0.01439356594528026</v>
      </c>
      <c r="T1025" s="42">
        <f>HIPERLINK($A$1 &amp; "\Dados\Imagem_perfil_1025.png", "Imagem_perfil_1025")</f>
        <v/>
      </c>
      <c r="U1025" s="42">
        <f>HIPERLINK($A$1 &amp; "\Dados\Results_airgap1025.txt", "Results_airgap1025")</f>
        <v/>
      </c>
      <c r="V1025" s="19" t="n"/>
      <c r="W1025" s="15" t="n">
        <v>1.750978913043478</v>
      </c>
      <c r="X1025" s="15" t="n">
        <v>0.854615397901765</v>
      </c>
      <c r="Y1025" s="15" t="n">
        <v>0.7530193464446766</v>
      </c>
      <c r="Z1025" s="15" t="n">
        <v>0.01653958067828977</v>
      </c>
      <c r="AA1025" s="15" t="n">
        <v>1.300500231036948</v>
      </c>
      <c r="AB1025" s="15" t="n">
        <v>1.519852747280618</v>
      </c>
      <c r="AC1025" s="15" t="n">
        <v>16.97124280787977</v>
      </c>
      <c r="AD1025" s="15" t="n">
        <v>60.44849204787691</v>
      </c>
      <c r="AE1025" s="15" t="n">
        <v>94.57176155988925</v>
      </c>
      <c r="AF1025" s="15" t="n">
        <v>125.8861252003355</v>
      </c>
      <c r="AH1025" s="42">
        <f>HIPERLINK($A$1 &amp; "\Dados\Magnet_fields_1025.txt.txt", "Magnet_fields_1025.txt")</f>
        <v/>
      </c>
      <c r="AI1025" t="n">
        <v>12540</v>
      </c>
      <c r="AJ1025" t="n">
        <v>31</v>
      </c>
      <c r="AK1025" s="42">
        <f>HIPERLINK($A$1 &amp; "\Dados\Magnet_3D_results_1025.txt.txt", "Magnet_3D_results_1025.txt")</f>
        <v/>
      </c>
      <c r="AL1025" s="42">
        <f>HIPERLINK($A$1 &amp; "\Dados\Magnet_fields_2D_1025.txt.txt", "Magnet_fields_2D_1025.txt")</f>
        <v/>
      </c>
    </row>
    <row r="1026">
      <c r="E1026" s="15" t="n">
        <v>132</v>
      </c>
      <c r="F1026" s="15" t="n">
        <v>174</v>
      </c>
      <c r="G1026" s="15" t="n">
        <v>393</v>
      </c>
      <c r="H1026" s="15" t="n">
        <v>37</v>
      </c>
      <c r="I1026" s="15" t="n">
        <v>153</v>
      </c>
      <c r="J1026" s="13" t="n">
        <v>25</v>
      </c>
      <c r="K1026" t="n">
        <v>60</v>
      </c>
      <c r="L1026" s="13" t="n">
        <v>3</v>
      </c>
      <c r="M1026" s="12" t="n"/>
      <c r="N1026" s="8" t="n">
        <v>1.460247039934131</v>
      </c>
      <c r="O1026" s="15" t="n">
        <v>1.193796813177465</v>
      </c>
      <c r="P1026" s="15" t="n">
        <v>1.381542150196165</v>
      </c>
      <c r="Q1026" s="15" t="n">
        <v>0.0255550406476969</v>
      </c>
      <c r="R1026" s="15" t="n">
        <v>0.06044254303521569</v>
      </c>
      <c r="S1026" s="15" t="n">
        <v>0.02507513138939931</v>
      </c>
      <c r="T1026" s="42">
        <f>HIPERLINK($A$1 &amp; "\Dados\Imagem_perfil_1026.png", "Imagem_perfil_1026")</f>
        <v/>
      </c>
      <c r="U1026" s="42">
        <f>HIPERLINK($A$1 &amp; "\Dados\Results_airgap1026.txt", "Results_airgap1026")</f>
        <v/>
      </c>
      <c r="V1026" s="19" t="n"/>
      <c r="W1026" s="15" t="n">
        <v>1.994130434782609</v>
      </c>
      <c r="X1026" s="15" t="n">
        <v>0.9293011955243189</v>
      </c>
      <c r="Y1026" s="15" t="n">
        <v>0.4814164069414661</v>
      </c>
      <c r="Z1026" s="15" t="n">
        <v>0.007117312510838068</v>
      </c>
      <c r="AA1026" s="15" t="n">
        <v>0.03067318904385659</v>
      </c>
      <c r="AB1026" s="15" t="n">
        <v>1.196977226433783</v>
      </c>
      <c r="AC1026" s="15" t="n">
        <v>17.7364709977589</v>
      </c>
      <c r="AD1026" s="15" t="n">
        <v>66.88376647424921</v>
      </c>
      <c r="AE1026" s="15" t="n">
        <v>99.88094071201375</v>
      </c>
      <c r="AF1026" s="15" t="n">
        <v>131.2697532247843</v>
      </c>
      <c r="AH1026" s="42">
        <f>HIPERLINK($A$1 &amp; "\Dados\Magnet_fields_1026.txt.txt", "Magnet_fields_1026.txt")</f>
        <v/>
      </c>
      <c r="AI1026" t="n">
        <v>8570</v>
      </c>
      <c r="AJ1026" t="n">
        <v>30</v>
      </c>
      <c r="AK1026" s="42">
        <f>HIPERLINK($A$1 &amp; "\Dados\Magnet_3D_results_1026.txt.txt", "Magnet_3D_results_1026.txt")</f>
        <v/>
      </c>
      <c r="AL1026" s="42">
        <f>HIPERLINK($A$1 &amp; "\Dados\Magnet_fields_2D_1026.txt.txt", "Magnet_fields_2D_1026.txt")</f>
        <v/>
      </c>
    </row>
    <row r="1027">
      <c r="E1027" s="15" t="n">
        <v>146</v>
      </c>
      <c r="F1027" s="15" t="n">
        <v>178</v>
      </c>
      <c r="G1027" s="15" t="n">
        <v>370</v>
      </c>
      <c r="H1027" s="15" t="n">
        <v>37</v>
      </c>
      <c r="I1027" s="15" t="n">
        <v>163</v>
      </c>
      <c r="J1027" s="13" t="n">
        <v>25</v>
      </c>
      <c r="K1027" t="n">
        <v>60</v>
      </c>
      <c r="L1027" s="13" t="n">
        <v>3</v>
      </c>
      <c r="M1027" s="12" t="n"/>
      <c r="N1027" s="8" t="n">
        <v>1.579869339028416</v>
      </c>
      <c r="O1027" s="15" t="n">
        <v>1.344247861862019</v>
      </c>
      <c r="P1027" s="15" t="n">
        <v>1.510916145463748</v>
      </c>
      <c r="Q1027" s="15" t="n">
        <v>0.01727115868745322</v>
      </c>
      <c r="R1027" s="15" t="n">
        <v>0.04155805771497387</v>
      </c>
      <c r="S1027" s="15" t="n">
        <v>0.01718279551892129</v>
      </c>
      <c r="T1027" s="42">
        <f>HIPERLINK($A$1 &amp; "\Dados\Imagem_perfil_1027.png", "Imagem_perfil_1027")</f>
        <v/>
      </c>
      <c r="U1027" s="42">
        <f>HIPERLINK($A$1 &amp; "\Dados\Results_airgap1027.txt", "Results_airgap1027")</f>
        <v/>
      </c>
      <c r="V1027" s="19" t="n"/>
      <c r="W1027" s="15" t="n">
        <v>1.99831847826087</v>
      </c>
      <c r="X1027" s="15" t="n">
        <v>0.981833410247572</v>
      </c>
      <c r="Y1027" s="15" t="n">
        <v>0.4152820383886842</v>
      </c>
      <c r="Z1027" s="15" t="n">
        <v>0</v>
      </c>
      <c r="AA1027" s="15" t="n">
        <v>1.082090367436816</v>
      </c>
      <c r="AB1027" s="15" t="n">
        <v>0.07541941060269625</v>
      </c>
      <c r="AC1027" s="15" t="n">
        <v>18.23351773918426</v>
      </c>
      <c r="AD1027" s="15" t="n">
        <v>67.32671059424536</v>
      </c>
      <c r="AE1027" s="15" t="n">
        <v>99.77448570283789</v>
      </c>
      <c r="AF1027" s="15" t="n">
        <v>130.9662317798973</v>
      </c>
      <c r="AH1027" s="42">
        <f>HIPERLINK($A$1 &amp; "\Dados\Magnet_fields_1027.txt.txt", "Magnet_fields_1027.txt")</f>
        <v/>
      </c>
      <c r="AI1027" t="n">
        <v>8902</v>
      </c>
      <c r="AJ1027" t="n">
        <v>29</v>
      </c>
      <c r="AK1027" s="42">
        <f>HIPERLINK($A$1 &amp; "\Dados\Magnet_3D_results_1027.txt.txt", "Magnet_3D_results_1027.txt")</f>
        <v/>
      </c>
      <c r="AL1027" s="42">
        <f>HIPERLINK($A$1 &amp; "\Dados\Magnet_fields_2D_1027.txt.txt", "Magnet_fields_2D_1027.txt")</f>
        <v/>
      </c>
    </row>
    <row r="1028">
      <c r="E1028" s="15" t="n">
        <v>129</v>
      </c>
      <c r="F1028" s="15" t="n">
        <v>172</v>
      </c>
      <c r="G1028" s="15" t="n">
        <v>423</v>
      </c>
      <c r="H1028" s="15" t="n">
        <v>37</v>
      </c>
      <c r="I1028" s="15" t="n">
        <v>180</v>
      </c>
      <c r="J1028" s="13" t="n">
        <v>25</v>
      </c>
      <c r="K1028" t="n">
        <v>40</v>
      </c>
      <c r="L1028" s="13" t="n">
        <v>3</v>
      </c>
      <c r="M1028" s="12" t="n"/>
      <c r="N1028" s="8" t="n">
        <v>1.479175905620081</v>
      </c>
      <c r="O1028" s="15" t="n">
        <v>1.307347845184758</v>
      </c>
      <c r="P1028" s="15" t="n">
        <v>1.426525615062973</v>
      </c>
      <c r="Q1028" s="15" t="n">
        <v>0.001985732564571322</v>
      </c>
      <c r="R1028" s="15" t="n">
        <v>0.04466553808922937</v>
      </c>
      <c r="S1028" s="15" t="n">
        <v>0.002107307726521096</v>
      </c>
      <c r="T1028" s="42">
        <f>HIPERLINK($A$1 &amp; "\Dados\Imagem_perfil_1028.png", "Imagem_perfil_1028")</f>
        <v/>
      </c>
      <c r="U1028" s="42">
        <f>HIPERLINK($A$1 &amp; "\Dados\Results_airgap1028.txt", "Results_airgap1028")</f>
        <v/>
      </c>
      <c r="V1028" s="19" t="n"/>
      <c r="W1028" s="15" t="n">
        <v>1.841578260869565</v>
      </c>
      <c r="X1028" s="15" t="n">
        <v>0.937565561965523</v>
      </c>
      <c r="Y1028" s="15" t="n">
        <v>0.8241448313309582</v>
      </c>
      <c r="Z1028" s="15" t="n">
        <v>0.03074771783916197</v>
      </c>
      <c r="AA1028" s="15" t="n">
        <v>0.006026633038635413</v>
      </c>
      <c r="AB1028" s="15" t="n">
        <v>3.688851880210865</v>
      </c>
      <c r="AC1028" s="15" t="n">
        <v>14.96853172636839</v>
      </c>
      <c r="AD1028" s="15" t="n">
        <v>40.76478591014023</v>
      </c>
      <c r="AE1028" s="15" t="n">
        <v>79.22860866282285</v>
      </c>
      <c r="AF1028" s="15" t="n">
        <v>113.2692491572005</v>
      </c>
      <c r="AH1028" s="42">
        <f>HIPERLINK($A$1 &amp; "\Dados\Magnet_fields_1028.txt.txt", "Magnet_fields_1028.txt")</f>
        <v/>
      </c>
      <c r="AI1028" t="n">
        <v>8594</v>
      </c>
      <c r="AJ1028" t="n">
        <v>29</v>
      </c>
      <c r="AK1028" s="42">
        <f>HIPERLINK($A$1 &amp; "\Dados\Magnet_3D_results_1028.txt.txt", "Magnet_3D_results_1028.txt")</f>
        <v/>
      </c>
      <c r="AL1028" s="42">
        <f>HIPERLINK($A$1 &amp; "\Dados\Magnet_fields_2D_1028.txt.txt", "Magnet_fields_2D_1028.txt")</f>
        <v/>
      </c>
    </row>
    <row r="1029">
      <c r="E1029" s="15" t="n">
        <v>144</v>
      </c>
      <c r="F1029" s="15" t="n">
        <v>189</v>
      </c>
      <c r="G1029" s="15" t="n">
        <v>358</v>
      </c>
      <c r="H1029" s="15" t="n">
        <v>28</v>
      </c>
      <c r="I1029" s="15" t="n">
        <v>147</v>
      </c>
      <c r="J1029" s="13" t="n">
        <v>25</v>
      </c>
      <c r="K1029" t="n">
        <v>50</v>
      </c>
      <c r="L1029" s="13" t="n">
        <v>3</v>
      </c>
      <c r="M1029" s="12" t="n"/>
      <c r="N1029" s="8" t="n">
        <v>1.225919044490151</v>
      </c>
      <c r="O1029" s="15" t="n">
        <v>0.9957661702348345</v>
      </c>
      <c r="P1029" s="15" t="n">
        <v>1.159684358571978</v>
      </c>
      <c r="Q1029" s="15" t="n">
        <v>0.003739327655454675</v>
      </c>
      <c r="R1029" s="15" t="n">
        <v>0.02874751833464847</v>
      </c>
      <c r="S1029" s="15" t="n">
        <v>0.003978500501963163</v>
      </c>
      <c r="T1029" s="42">
        <f>HIPERLINK($A$1 &amp; "\Dados\Imagem_perfil_1029.png", "Imagem_perfil_1029")</f>
        <v/>
      </c>
      <c r="U1029" s="42">
        <f>HIPERLINK($A$1 &amp; "\Dados\Results_airgap1029.txt", "Results_airgap1029")</f>
        <v/>
      </c>
      <c r="V1029" s="19" t="n"/>
      <c r="W1029" s="15" t="n">
        <v>1.624827391304348</v>
      </c>
      <c r="X1029" s="15" t="n">
        <v>0.805250982144879</v>
      </c>
      <c r="Y1029" s="15" t="n">
        <v>0.8665490409425767</v>
      </c>
      <c r="Z1029" s="15" t="n">
        <v>0</v>
      </c>
      <c r="AA1029" s="15" t="n">
        <v>4.153410319293116</v>
      </c>
      <c r="AB1029" s="15" t="n">
        <v>0</v>
      </c>
      <c r="AC1029" s="15" t="n">
        <v>7.804519863454558</v>
      </c>
      <c r="AD1029" s="15" t="n">
        <v>48.65914171845009</v>
      </c>
      <c r="AE1029" s="15" t="n">
        <v>89.80625415454375</v>
      </c>
      <c r="AF1029" s="15" t="n">
        <v>121.0324107288411</v>
      </c>
      <c r="AH1029" s="42">
        <f>HIPERLINK($A$1 &amp; "\Dados\Magnet_fields_1029.txt.txt", "Magnet_fields_1029.txt")</f>
        <v/>
      </c>
      <c r="AI1029" t="n">
        <v>7827</v>
      </c>
      <c r="AJ1029" t="n">
        <v>29</v>
      </c>
      <c r="AK1029" s="42">
        <f>HIPERLINK($A$1 &amp; "\Dados\Magnet_3D_results_1029.txt.txt", "Magnet_3D_results_1029.txt")</f>
        <v/>
      </c>
      <c r="AL1029" s="42">
        <f>HIPERLINK($A$1 &amp; "\Dados\Magnet_fields_2D_1029.txt.txt", "Magnet_fields_2D_1029.txt")</f>
        <v/>
      </c>
    </row>
    <row r="1030">
      <c r="E1030" s="15" t="n">
        <v>150</v>
      </c>
      <c r="F1030" s="15" t="n">
        <v>191</v>
      </c>
      <c r="G1030" s="15" t="n">
        <v>413</v>
      </c>
      <c r="H1030" s="15" t="n">
        <v>38</v>
      </c>
      <c r="I1030" s="15" t="n">
        <v>157</v>
      </c>
      <c r="J1030" s="13" t="n">
        <v>25</v>
      </c>
      <c r="K1030" t="n">
        <v>60</v>
      </c>
      <c r="L1030" s="13" t="n">
        <v>3</v>
      </c>
      <c r="M1030" s="12" t="n"/>
      <c r="N1030" s="8" t="n">
        <v>1.476678373085476</v>
      </c>
      <c r="O1030" s="15" t="n">
        <v>1.247005259655659</v>
      </c>
      <c r="P1030" s="15" t="n">
        <v>1.408848952477003</v>
      </c>
      <c r="Q1030" s="15" t="n">
        <v>0.01784212293775995</v>
      </c>
      <c r="R1030" s="15" t="n">
        <v>0.0547516807450992</v>
      </c>
      <c r="S1030" s="15" t="n">
        <v>0.01777924047425021</v>
      </c>
      <c r="T1030" s="42">
        <f>HIPERLINK($A$1 &amp; "\Dados\Imagem_perfil_1030.png", "Imagem_perfil_1030")</f>
        <v/>
      </c>
      <c r="U1030" s="42">
        <f>HIPERLINK($A$1 &amp; "\Dados\Results_airgap1030.txt", "Results_airgap1030")</f>
        <v/>
      </c>
      <c r="V1030" s="19" t="n"/>
      <c r="W1030" s="15" t="n">
        <v>1.991680000000001</v>
      </c>
      <c r="X1030" s="15" t="n">
        <v>0.9431229289321332</v>
      </c>
      <c r="Y1030" s="15" t="n">
        <v>0.4610042225863198</v>
      </c>
      <c r="Z1030" s="15" t="n">
        <v>0.02009488368611837</v>
      </c>
      <c r="AA1030" s="15" t="n">
        <v>0.04241733960172001</v>
      </c>
      <c r="AB1030" s="15" t="n">
        <v>0.1815767497359047</v>
      </c>
      <c r="AC1030" s="15" t="n">
        <v>19.24372209882048</v>
      </c>
      <c r="AD1030" s="15" t="n">
        <v>71.02168144492288</v>
      </c>
      <c r="AE1030" s="15" t="n">
        <v>100.6513144462889</v>
      </c>
      <c r="AF1030" s="15" t="n">
        <v>131.2076869838774</v>
      </c>
      <c r="AH1030" s="42">
        <f>HIPERLINK($A$1 &amp; "\Dados\Magnet_fields_1030.txt.txt", "Magnet_fields_1030.txt")</f>
        <v/>
      </c>
      <c r="AI1030" t="n">
        <v>7779</v>
      </c>
      <c r="AJ1030" t="n">
        <v>29</v>
      </c>
      <c r="AK1030" s="42">
        <f>HIPERLINK($A$1 &amp; "\Dados\Magnet_3D_results_1030.txt.txt", "Magnet_3D_results_1030.txt")</f>
        <v/>
      </c>
      <c r="AL1030" s="42">
        <f>HIPERLINK($A$1 &amp; "\Dados\Magnet_fields_2D_1030.txt.txt", "Magnet_fields_2D_1030.txt")</f>
        <v/>
      </c>
    </row>
    <row r="1031">
      <c r="E1031" s="15" t="n">
        <v>150</v>
      </c>
      <c r="F1031" s="15" t="n">
        <v>183</v>
      </c>
      <c r="G1031" s="15" t="n">
        <v>397</v>
      </c>
      <c r="H1031" s="15" t="n">
        <v>25</v>
      </c>
      <c r="I1031" s="15" t="n">
        <v>177</v>
      </c>
      <c r="J1031" s="13" t="n">
        <v>25</v>
      </c>
      <c r="K1031" t="n">
        <v>60</v>
      </c>
      <c r="L1031" s="13" t="n">
        <v>3</v>
      </c>
      <c r="M1031" s="12" t="n"/>
      <c r="N1031" s="8" t="n">
        <v>1.614559859090632</v>
      </c>
      <c r="O1031" s="15" t="n">
        <v>1.416567388689594</v>
      </c>
      <c r="P1031" s="15" t="n">
        <v>1.556080083214177</v>
      </c>
      <c r="Q1031" s="15" t="n">
        <v>0.01767800026530407</v>
      </c>
      <c r="R1031" s="15" t="n">
        <v>0.0434908926100738</v>
      </c>
      <c r="S1031" s="15" t="n">
        <v>0.01794519159295302</v>
      </c>
      <c r="T1031" s="42">
        <f>HIPERLINK($A$1 &amp; "\Dados\Imagem_perfil_1031.png", "Imagem_perfil_1031")</f>
        <v/>
      </c>
      <c r="U1031" s="42">
        <f>HIPERLINK($A$1 &amp; "\Dados\Results_airgap1031.txt", "Results_airgap1031")</f>
        <v/>
      </c>
      <c r="V1031" s="19" t="n"/>
      <c r="W1031" s="15" t="n">
        <v>2.080561739130435</v>
      </c>
      <c r="X1031" s="15" t="n">
        <v>0.9633197812263019</v>
      </c>
      <c r="Y1031" s="15" t="n">
        <v>0.3548972503195478</v>
      </c>
      <c r="Z1031" s="15" t="n">
        <v>0.01562626630622079</v>
      </c>
      <c r="AA1031" s="15" t="n">
        <v>7.366622839892393</v>
      </c>
      <c r="AB1031" s="15" t="n">
        <v>0.5569305762409654</v>
      </c>
      <c r="AC1031" s="15" t="n">
        <v>18.8937575574626</v>
      </c>
      <c r="AD1031" s="15" t="n">
        <v>67.75899096505226</v>
      </c>
      <c r="AE1031" s="15" t="n">
        <v>100.3632906164437</v>
      </c>
      <c r="AF1031" s="15" t="n">
        <v>131.4706387100246</v>
      </c>
      <c r="AH1031" s="42">
        <f>HIPERLINK($A$1 &amp; "\Dados\Magnet_fields_1031.txt.txt", "Magnet_fields_1031.txt")</f>
        <v/>
      </c>
      <c r="AI1031" t="n">
        <v>11218</v>
      </c>
      <c r="AJ1031" t="n">
        <v>30</v>
      </c>
      <c r="AK1031" s="42">
        <f>HIPERLINK($A$1 &amp; "\Dados\Magnet_3D_results_1031.txt.txt", "Magnet_3D_results_1031.txt")</f>
        <v/>
      </c>
      <c r="AL1031" s="42">
        <f>HIPERLINK($A$1 &amp; "\Dados\Magnet_fields_2D_1031.txt.txt", "Magnet_fields_2D_1031.txt")</f>
        <v/>
      </c>
    </row>
    <row r="1032">
      <c r="E1032" s="15" t="n">
        <v>146</v>
      </c>
      <c r="F1032" s="15" t="n">
        <v>179</v>
      </c>
      <c r="G1032" s="15" t="n">
        <v>374</v>
      </c>
      <c r="H1032" s="15" t="n">
        <v>29</v>
      </c>
      <c r="I1032" s="15" t="n">
        <v>178</v>
      </c>
      <c r="J1032" s="13" t="n">
        <v>25</v>
      </c>
      <c r="K1032" t="n">
        <v>55</v>
      </c>
      <c r="L1032" s="13" t="n">
        <v>3</v>
      </c>
      <c r="M1032" s="12" t="n"/>
      <c r="N1032" s="8" t="n">
        <v>1.576358492726698</v>
      </c>
      <c r="O1032" s="15" t="n">
        <v>1.401138523225317</v>
      </c>
      <c r="P1032" s="15" t="n">
        <v>1.526170946760531</v>
      </c>
      <c r="Q1032" s="15" t="n">
        <v>0.008977369541436658</v>
      </c>
      <c r="R1032" s="15" t="n">
        <v>0.03799726012093432</v>
      </c>
      <c r="S1032" s="15" t="n">
        <v>0.008993429572869594</v>
      </c>
      <c r="T1032" s="42">
        <f>HIPERLINK($A$1 &amp; "\Dados\Imagem_perfil_1032.png", "Imagem_perfil_1032")</f>
        <v/>
      </c>
      <c r="U1032" s="42">
        <f>HIPERLINK($A$1 &amp; "\Dados\Results_airgap1032.txt", "Results_airgap1032")</f>
        <v/>
      </c>
      <c r="V1032" s="19" t="n"/>
      <c r="W1032" s="15" t="n">
        <v>1.954289782608696</v>
      </c>
      <c r="X1032" s="15" t="n">
        <v>0.9494960395391669</v>
      </c>
      <c r="Y1032" s="15" t="n">
        <v>0.4537520296977474</v>
      </c>
      <c r="Z1032" s="15" t="n">
        <v>0.05431324946144676</v>
      </c>
      <c r="AA1032" s="15" t="n">
        <v>2.990386854457229</v>
      </c>
      <c r="AB1032" s="15" t="n">
        <v>0</v>
      </c>
      <c r="AC1032" s="15" t="n">
        <v>8.099493111278811</v>
      </c>
      <c r="AD1032" s="15" t="n">
        <v>65.1708707953227</v>
      </c>
      <c r="AE1032" s="15" t="n">
        <v>98.61149040953781</v>
      </c>
      <c r="AF1032" s="15" t="n">
        <v>127.4497893809988</v>
      </c>
      <c r="AH1032" s="42">
        <f>HIPERLINK($A$1 &amp; "\Dados\Magnet_fields_1032.txt.txt", "Magnet_fields_1032.txt")</f>
        <v/>
      </c>
      <c r="AI1032" t="n">
        <v>13169</v>
      </c>
      <c r="AJ1032" t="n">
        <v>31</v>
      </c>
      <c r="AK1032" s="42">
        <f>HIPERLINK($A$1 &amp; "\Dados\Magnet_3D_results_1032.txt.txt", "Magnet_3D_results_1032.txt")</f>
        <v/>
      </c>
      <c r="AL1032" s="42">
        <f>HIPERLINK($A$1 &amp; "\Dados\Magnet_fields_2D_1032.txt.txt", "Magnet_fields_2D_1032.txt")</f>
        <v/>
      </c>
    </row>
    <row r="1033">
      <c r="E1033" s="15" t="n">
        <v>124</v>
      </c>
      <c r="F1033" s="15" t="n">
        <v>170</v>
      </c>
      <c r="G1033" s="15" t="n">
        <v>403</v>
      </c>
      <c r="H1033" s="15" t="n">
        <v>44</v>
      </c>
      <c r="I1033" s="15" t="n">
        <v>148</v>
      </c>
      <c r="J1033" s="13" t="n">
        <v>25</v>
      </c>
      <c r="K1033" t="n">
        <v>50</v>
      </c>
      <c r="L1033" s="13" t="n">
        <v>3</v>
      </c>
      <c r="M1033" s="12" t="n"/>
      <c r="N1033" s="8" t="n">
        <v>1.395880295996502</v>
      </c>
      <c r="O1033" s="15" t="n">
        <v>1.139987944660898</v>
      </c>
      <c r="P1033" s="15" t="n">
        <v>1.321419639378012</v>
      </c>
      <c r="Q1033" s="15" t="n">
        <v>0.007653741479665514</v>
      </c>
      <c r="R1033" s="15" t="n">
        <v>0.05737801892191528</v>
      </c>
      <c r="S1033" s="15" t="n">
        <v>0.008686568478366394</v>
      </c>
      <c r="T1033" s="42">
        <f>HIPERLINK($A$1 &amp; "\Dados\Imagem_perfil_1033.png", "Imagem_perfil_1033")</f>
        <v/>
      </c>
      <c r="U1033" s="42">
        <f>HIPERLINK($A$1 &amp; "\Dados\Results_airgap1033.txt", "Results_airgap1033")</f>
        <v/>
      </c>
      <c r="V1033" s="19" t="n"/>
      <c r="W1033" s="15" t="n">
        <v>1.920501521739131</v>
      </c>
      <c r="X1033" s="15" t="n">
        <v>0.9076413931355508</v>
      </c>
      <c r="Y1033" s="15" t="n">
        <v>0.6142689021576394</v>
      </c>
      <c r="Z1033" s="15" t="n">
        <v>0</v>
      </c>
      <c r="AA1033" s="15" t="n">
        <v>0</v>
      </c>
      <c r="AB1033" s="15" t="n">
        <v>2.265984755524737</v>
      </c>
      <c r="AC1033" s="15" t="n">
        <v>14.28132162081124</v>
      </c>
      <c r="AD1033" s="15" t="n">
        <v>54.60179541198358</v>
      </c>
      <c r="AE1033" s="15" t="n">
        <v>93.4704142230528</v>
      </c>
      <c r="AF1033" s="15" t="n">
        <v>123.459884939898</v>
      </c>
      <c r="AH1033" s="42">
        <f>HIPERLINK($A$1 &amp; "\Dados\Magnet_fields_1033.txt.txt", "Magnet_fields_1033.txt")</f>
        <v/>
      </c>
      <c r="AI1033" t="n">
        <v>7076</v>
      </c>
      <c r="AJ1033" t="n">
        <v>28</v>
      </c>
      <c r="AK1033" s="42">
        <f>HIPERLINK($A$1 &amp; "\Dados\Magnet_3D_results_1033.txt.txt", "Magnet_3D_results_1033.txt")</f>
        <v/>
      </c>
      <c r="AL1033" s="42">
        <f>HIPERLINK($A$1 &amp; "\Dados\Magnet_fields_2D_1033.txt.txt", "Magnet_fields_2D_1033.txt")</f>
        <v/>
      </c>
    </row>
    <row r="1034">
      <c r="E1034" s="15" t="n">
        <v>131</v>
      </c>
      <c r="F1034" s="15" t="n">
        <v>176</v>
      </c>
      <c r="G1034" s="15" t="n">
        <v>423</v>
      </c>
      <c r="H1034" s="15" t="n">
        <v>27</v>
      </c>
      <c r="I1034" s="15" t="n">
        <v>149</v>
      </c>
      <c r="J1034" s="13" t="n">
        <v>25</v>
      </c>
      <c r="K1034" t="n">
        <v>55</v>
      </c>
      <c r="L1034" s="13" t="n">
        <v>3</v>
      </c>
      <c r="M1034" s="12" t="n"/>
      <c r="N1034" s="8" t="n">
        <v>1.455246270523917</v>
      </c>
      <c r="O1034" s="15" t="n">
        <v>1.179265087426276</v>
      </c>
      <c r="P1034" s="15" t="n">
        <v>1.371623317639252</v>
      </c>
      <c r="Q1034" s="15" t="n">
        <v>0.0138775926878889</v>
      </c>
      <c r="R1034" s="15" t="n">
        <v>0.06326992567331474</v>
      </c>
      <c r="S1034" s="15" t="n">
        <v>0.01450821687197592</v>
      </c>
      <c r="T1034" s="42">
        <f>HIPERLINK($A$1 &amp; "\Dados\Imagem_perfil_1034.png", "Imagem_perfil_1034")</f>
        <v/>
      </c>
      <c r="U1034" s="42">
        <f>HIPERLINK($A$1 &amp; "\Dados\Results_airgap1034.txt", "Results_airgap1034")</f>
        <v/>
      </c>
      <c r="V1034" s="19" t="n"/>
      <c r="W1034" s="15" t="n">
        <v>2.053913913043478</v>
      </c>
      <c r="X1034" s="15" t="n">
        <v>0.9254262833946375</v>
      </c>
      <c r="Y1034" s="15" t="n">
        <v>0.4551187305044633</v>
      </c>
      <c r="Z1034" s="15" t="n">
        <v>0.01091123277390307</v>
      </c>
      <c r="AA1034" s="15" t="n">
        <v>1.312624636100514</v>
      </c>
      <c r="AB1034" s="15" t="n">
        <v>1.778794839857109</v>
      </c>
      <c r="AC1034" s="15" t="n">
        <v>19.25694470210583</v>
      </c>
      <c r="AD1034" s="15" t="n">
        <v>66.59460261278026</v>
      </c>
      <c r="AE1034" s="15" t="n">
        <v>98.18590508990431</v>
      </c>
      <c r="AF1034" s="15" t="n">
        <v>127.8253080916114</v>
      </c>
      <c r="AH1034" s="42">
        <f>HIPERLINK($A$1 &amp; "\Dados\Magnet_fields_1034.txt.txt", "Magnet_fields_1034.txt")</f>
        <v/>
      </c>
      <c r="AI1034" t="n">
        <v>12882</v>
      </c>
      <c r="AJ1034" t="n">
        <v>31</v>
      </c>
      <c r="AK1034" s="42">
        <f>HIPERLINK($A$1 &amp; "\Dados\Magnet_3D_results_1034.txt.txt", "Magnet_3D_results_1034.txt")</f>
        <v/>
      </c>
      <c r="AL1034" s="42">
        <f>HIPERLINK($A$1 &amp; "\Dados\Magnet_fields_2D_1034.txt.txt", "Magnet_fields_2D_1034.txt")</f>
        <v/>
      </c>
    </row>
    <row r="1035">
      <c r="E1035" s="15" t="n">
        <v>146</v>
      </c>
      <c r="F1035" s="15" t="n">
        <v>195</v>
      </c>
      <c r="G1035" s="15" t="n">
        <v>364</v>
      </c>
      <c r="H1035" s="15" t="n">
        <v>43</v>
      </c>
      <c r="I1035" s="15" t="n">
        <v>155</v>
      </c>
      <c r="J1035" s="13" t="n">
        <v>25</v>
      </c>
      <c r="K1035" t="n">
        <v>45</v>
      </c>
      <c r="L1035" s="13" t="n">
        <v>3</v>
      </c>
      <c r="M1035" s="12" t="n"/>
      <c r="N1035" s="8" t="n">
        <v>1.197549995032985</v>
      </c>
      <c r="O1035" s="15" t="n">
        <v>0.9850255592110716</v>
      </c>
      <c r="P1035" s="15" t="n">
        <v>1.137187876361309</v>
      </c>
      <c r="Q1035" s="15" t="n">
        <v>0.001917108562165737</v>
      </c>
      <c r="R1035" s="15" t="n">
        <v>0.02959975971740103</v>
      </c>
      <c r="S1035" s="15" t="n">
        <v>0.00253633546770208</v>
      </c>
      <c r="T1035" s="42">
        <f>HIPERLINK($A$1 &amp; "\Dados\Imagem_perfil_1035.png", "Imagem_perfil_1035")</f>
        <v/>
      </c>
      <c r="U1035" s="42">
        <f>HIPERLINK($A$1 &amp; "\Dados\Results_airgap1035.txt", "Results_airgap1035")</f>
        <v/>
      </c>
      <c r="V1035" s="19" t="n"/>
      <c r="W1035" s="15" t="n">
        <v>1.530742608695652</v>
      </c>
      <c r="X1035" s="15" t="n">
        <v>0.774495463170253</v>
      </c>
      <c r="Y1035" s="15" t="n">
        <v>1.033261363920367</v>
      </c>
      <c r="Z1035" s="15" t="n">
        <v>0</v>
      </c>
      <c r="AA1035" s="15" t="n">
        <v>0</v>
      </c>
      <c r="AB1035" s="15" t="n">
        <v>0.1668486830406422</v>
      </c>
      <c r="AC1035" s="15" t="n">
        <v>6.773641207115301</v>
      </c>
      <c r="AD1035" s="15" t="n">
        <v>39.73635015399778</v>
      </c>
      <c r="AE1035" s="15" t="n">
        <v>82.98281115809628</v>
      </c>
      <c r="AF1035" s="15" t="n">
        <v>116.4749732597651</v>
      </c>
      <c r="AH1035" s="42">
        <f>HIPERLINK($A$1 &amp; "\Dados\Magnet_fields_1035.txt.txt", "Magnet_fields_1035.txt")</f>
        <v/>
      </c>
      <c r="AI1035" t="n">
        <v>5816</v>
      </c>
      <c r="AJ1035" t="n">
        <v>28</v>
      </c>
      <c r="AK1035" s="42">
        <f>HIPERLINK($A$1 &amp; "\Dados\Magnet_3D_results_1035.txt.txt", "Magnet_3D_results_1035.txt")</f>
        <v/>
      </c>
      <c r="AL1035" s="42">
        <f>HIPERLINK($A$1 &amp; "\Dados\Magnet_fields_2D_1035.txt.txt", "Magnet_fields_2D_1035.txt")</f>
        <v/>
      </c>
    </row>
    <row r="1036">
      <c r="E1036" s="15" t="n">
        <v>150</v>
      </c>
      <c r="F1036" s="15" t="n">
        <v>181</v>
      </c>
      <c r="G1036" s="15" t="n">
        <v>365</v>
      </c>
      <c r="H1036" s="15" t="n">
        <v>30</v>
      </c>
      <c r="I1036" s="15" t="n">
        <v>155</v>
      </c>
      <c r="J1036" s="13" t="n">
        <v>25</v>
      </c>
      <c r="K1036" t="n">
        <v>50</v>
      </c>
      <c r="L1036" s="13" t="n">
        <v>3</v>
      </c>
      <c r="M1036" s="12" t="n"/>
      <c r="N1036" s="8" t="n">
        <v>1.502946853445551</v>
      </c>
      <c r="O1036" s="15" t="n">
        <v>1.258992749127128</v>
      </c>
      <c r="P1036" s="15" t="n">
        <v>1.436760546808538</v>
      </c>
      <c r="Q1036" s="15" t="n">
        <v>0.005041568045916671</v>
      </c>
      <c r="R1036" s="15" t="n">
        <v>0.02802220312509956</v>
      </c>
      <c r="S1036" s="15" t="n">
        <v>0.005129730983859646</v>
      </c>
      <c r="T1036" s="42">
        <f>HIPERLINK($A$1 &amp; "\Dados\Imagem_perfil_1036.png", "Imagem_perfil_1036")</f>
        <v/>
      </c>
      <c r="U1036" s="42">
        <f>HIPERLINK($A$1 &amp; "\Dados\Results_airgap1036.txt", "Results_airgap1036")</f>
        <v/>
      </c>
      <c r="V1036" s="19" t="n"/>
      <c r="W1036" s="15" t="n">
        <v>1.901426304347826</v>
      </c>
      <c r="X1036" s="15" t="n">
        <v>0.9413162486556595</v>
      </c>
      <c r="Y1036" s="15" t="n">
        <v>0.5215621554712299</v>
      </c>
      <c r="Z1036" s="15" t="n">
        <v>0.007101298514746857</v>
      </c>
      <c r="AA1036" s="15" t="n">
        <v>4.291504104388</v>
      </c>
      <c r="AB1036" s="15" t="n">
        <v>0</v>
      </c>
      <c r="AC1036" s="15" t="n">
        <v>6.009178539038621</v>
      </c>
      <c r="AD1036" s="15" t="n">
        <v>50.48801578773437</v>
      </c>
      <c r="AE1036" s="15" t="n">
        <v>91.50773281432383</v>
      </c>
      <c r="AF1036" s="15" t="n">
        <v>122.3582900594144</v>
      </c>
      <c r="AH1036" s="42">
        <f>HIPERLINK($A$1 &amp; "\Dados\Magnet_fields_1036.txt.txt", "Magnet_fields_1036.txt")</f>
        <v/>
      </c>
      <c r="AI1036" t="n">
        <v>8909</v>
      </c>
      <c r="AJ1036" t="n">
        <v>29</v>
      </c>
      <c r="AK1036" s="42">
        <f>HIPERLINK($A$1 &amp; "\Dados\Magnet_3D_results_1036.txt.txt", "Magnet_3D_results_1036.txt")</f>
        <v/>
      </c>
      <c r="AL1036" s="42">
        <f>HIPERLINK($A$1 &amp; "\Dados\Magnet_fields_2D_1036.txt.txt", "Magnet_fields_2D_1036.txt")</f>
        <v/>
      </c>
    </row>
    <row r="1037">
      <c r="E1037" s="15" t="n">
        <v>129</v>
      </c>
      <c r="F1037" s="15" t="n">
        <v>176</v>
      </c>
      <c r="G1037" s="15" t="n">
        <v>428</v>
      </c>
      <c r="H1037" s="15" t="n">
        <v>37</v>
      </c>
      <c r="I1037" s="15" t="n">
        <v>165</v>
      </c>
      <c r="J1037" s="13" t="n">
        <v>25</v>
      </c>
      <c r="K1037" t="n">
        <v>40</v>
      </c>
      <c r="L1037" s="13" t="n">
        <v>3</v>
      </c>
      <c r="M1037" s="12" t="n"/>
      <c r="N1037" s="8" t="n">
        <v>1.382764410215789</v>
      </c>
      <c r="O1037" s="15" t="n">
        <v>1.185836099717058</v>
      </c>
      <c r="P1037" s="15" t="n">
        <v>1.323658677028216</v>
      </c>
      <c r="Q1037" s="15" t="n">
        <v>0.001850251699457767</v>
      </c>
      <c r="R1037" s="15" t="n">
        <v>0.04495676296300733</v>
      </c>
      <c r="S1037" s="15" t="n">
        <v>0.002337429325627767</v>
      </c>
      <c r="T1037" s="42">
        <f>HIPERLINK($A$1 &amp; "\Dados\Imagem_perfil_1037.png", "Imagem_perfil_1037")</f>
        <v/>
      </c>
      <c r="U1037" s="42">
        <f>HIPERLINK($A$1 &amp; "\Dados\Results_airgap1037.txt", "Results_airgap1037")</f>
        <v/>
      </c>
      <c r="V1037" s="19" t="n"/>
      <c r="W1037" s="15" t="n">
        <v>1.783523913043478</v>
      </c>
      <c r="X1037" s="15" t="n">
        <v>0.8608043421353738</v>
      </c>
      <c r="Y1037" s="15" t="n">
        <v>0.8989185928018266</v>
      </c>
      <c r="Z1037" s="15" t="n">
        <v>0.04056897517139365</v>
      </c>
      <c r="AA1037" s="15" t="n">
        <v>0.01309384877493774</v>
      </c>
      <c r="AB1037" s="15" t="n">
        <v>4.164392792327704</v>
      </c>
      <c r="AC1037" s="15" t="n">
        <v>16.36361952620012</v>
      </c>
      <c r="AD1037" s="15" t="n">
        <v>41.95123783596593</v>
      </c>
      <c r="AE1037" s="15" t="n">
        <v>78.81819783830103</v>
      </c>
      <c r="AF1037" s="15" t="n">
        <v>112.9588092150567</v>
      </c>
      <c r="AH1037" s="42">
        <f>HIPERLINK($A$1 &amp; "\Dados\Magnet_fields_1037.txt.txt", "Magnet_fields_1037.txt")</f>
        <v/>
      </c>
      <c r="AI1037" t="n">
        <v>8991</v>
      </c>
      <c r="AJ1037" t="n">
        <v>29</v>
      </c>
      <c r="AK1037" s="42">
        <f>HIPERLINK($A$1 &amp; "\Dados\Magnet_3D_results_1037.txt.txt", "Magnet_3D_results_1037.txt")</f>
        <v/>
      </c>
      <c r="AL1037" s="42">
        <f>HIPERLINK($A$1 &amp; "\Dados\Magnet_fields_2D_1037.txt.txt", "Magnet_fields_2D_1037.txt")</f>
        <v/>
      </c>
    </row>
    <row r="1038">
      <c r="E1038" s="15" t="n">
        <v>144</v>
      </c>
      <c r="F1038" s="15" t="n">
        <v>187</v>
      </c>
      <c r="G1038" s="15" t="n">
        <v>375</v>
      </c>
      <c r="H1038" s="15" t="n">
        <v>40</v>
      </c>
      <c r="I1038" s="15" t="n">
        <v>146</v>
      </c>
      <c r="J1038" s="13" t="n">
        <v>25</v>
      </c>
      <c r="K1038" t="n">
        <v>45</v>
      </c>
      <c r="L1038" s="13" t="n">
        <v>3</v>
      </c>
      <c r="M1038" s="12" t="n"/>
      <c r="N1038" s="8" t="n">
        <v>1.289731629072571</v>
      </c>
      <c r="O1038" s="15" t="n">
        <v>1.039776305375178</v>
      </c>
      <c r="P1038" s="15" t="n">
        <v>1.223023346419867</v>
      </c>
      <c r="Q1038" s="15" t="n">
        <v>0.002001247101719744</v>
      </c>
      <c r="R1038" s="15" t="n">
        <v>0.03190193714587199</v>
      </c>
      <c r="S1038" s="15" t="n">
        <v>0.002591753513435022</v>
      </c>
      <c r="T1038" s="42">
        <f>HIPERLINK($A$1 &amp; "\Dados\Imagem_perfil_1038.png", "Imagem_perfil_1038")</f>
        <v/>
      </c>
      <c r="U1038" s="42">
        <f>HIPERLINK($A$1 &amp; "\Dados\Results_airgap1038.txt", "Results_airgap1038")</f>
        <v/>
      </c>
      <c r="V1038" s="19" t="n"/>
      <c r="W1038" s="15" t="n">
        <v>1.686828260869565</v>
      </c>
      <c r="X1038" s="15" t="n">
        <v>0.8201412121384491</v>
      </c>
      <c r="Y1038" s="15" t="n">
        <v>0.8310307848768373</v>
      </c>
      <c r="Z1038" s="15" t="n">
        <v>0</v>
      </c>
      <c r="AA1038" s="15" t="n">
        <v>0.009941964492415845</v>
      </c>
      <c r="AB1038" s="15" t="n">
        <v>0.2568329063419107</v>
      </c>
      <c r="AC1038" s="15" t="n">
        <v>5.043336502271931</v>
      </c>
      <c r="AD1038" s="15" t="n">
        <v>39.74390531162733</v>
      </c>
      <c r="AE1038" s="15" t="n">
        <v>86.73877700836788</v>
      </c>
      <c r="AF1038" s="15" t="n">
        <v>118.2146183316257</v>
      </c>
      <c r="AH1038" s="42">
        <f>HIPERLINK($A$1 &amp; "\Dados\Magnet_fields_1038.txt.txt", "Magnet_fields_1038.txt")</f>
        <v/>
      </c>
      <c r="AI1038" t="n">
        <v>6094</v>
      </c>
      <c r="AJ1038" t="n">
        <v>28</v>
      </c>
      <c r="AK1038" s="42">
        <f>HIPERLINK($A$1 &amp; "\Dados\Magnet_3D_results_1038.txt.txt", "Magnet_3D_results_1038.txt")</f>
        <v/>
      </c>
      <c r="AL1038" s="42">
        <f>HIPERLINK($A$1 &amp; "\Dados\Magnet_fields_2D_1038.txt.txt", "Magnet_fields_2D_1038.txt")</f>
        <v/>
      </c>
    </row>
    <row r="1039">
      <c r="E1039" s="15" t="n">
        <v>148</v>
      </c>
      <c r="F1039" s="15" t="n">
        <v>191</v>
      </c>
      <c r="G1039" s="15" t="n">
        <v>400</v>
      </c>
      <c r="H1039" s="15" t="n">
        <v>26</v>
      </c>
      <c r="I1039" s="15" t="n">
        <v>176</v>
      </c>
      <c r="J1039" s="13" t="n">
        <v>25</v>
      </c>
      <c r="K1039" t="n">
        <v>40</v>
      </c>
      <c r="L1039" s="13" t="n">
        <v>3</v>
      </c>
      <c r="M1039" s="12" t="n"/>
      <c r="N1039" s="8" t="n">
        <v>1.358871924351495</v>
      </c>
      <c r="O1039" s="15" t="n">
        <v>1.205244912314767</v>
      </c>
      <c r="P1039" s="15" t="n">
        <v>1.314636168073198</v>
      </c>
      <c r="Q1039" s="15" t="n">
        <v>0.001176452635590875</v>
      </c>
      <c r="R1039" s="15" t="n">
        <v>0.0283708132980544</v>
      </c>
      <c r="S1039" s="15" t="n">
        <v>0.001310952234850732</v>
      </c>
      <c r="T1039" s="42">
        <f>HIPERLINK($A$1 &amp; "\Dados\Imagem_perfil_1039.png", "Imagem_perfil_1039")</f>
        <v/>
      </c>
      <c r="U1039" s="42">
        <f>HIPERLINK($A$1 &amp; "\Dados\Results_airgap1039.txt", "Results_airgap1039")</f>
        <v/>
      </c>
      <c r="V1039" s="19" t="n"/>
      <c r="W1039" s="15" t="n">
        <v>1.694127608695652</v>
      </c>
      <c r="X1039" s="15" t="n">
        <v>0.8483318987862255</v>
      </c>
      <c r="Y1039" s="15" t="n">
        <v>0.8832623137502963</v>
      </c>
      <c r="Z1039" s="15" t="n">
        <v>0.003782056927006927</v>
      </c>
      <c r="AA1039" s="15" t="n">
        <v>2.979677538501068</v>
      </c>
      <c r="AB1039" s="15" t="n">
        <v>1.095337419091887</v>
      </c>
      <c r="AC1039" s="15" t="n">
        <v>6.241092348279895</v>
      </c>
      <c r="AD1039" s="15" t="n">
        <v>32.36930394735305</v>
      </c>
      <c r="AE1039" s="15" t="n">
        <v>80.6588880065969</v>
      </c>
      <c r="AF1039" s="15" t="n">
        <v>114.4664702600086</v>
      </c>
      <c r="AH1039" s="42">
        <f>HIPERLINK($A$1 &amp; "\Dados\Magnet_fields_1039.txt.txt", "Magnet_fields_1039.txt")</f>
        <v/>
      </c>
      <c r="AI1039" t="n">
        <v>10014</v>
      </c>
      <c r="AJ1039" t="n">
        <v>30</v>
      </c>
      <c r="AK1039" s="42">
        <f>HIPERLINK($A$1 &amp; "\Dados\Magnet_3D_results_1039.txt.txt", "Magnet_3D_results_1039.txt")</f>
        <v/>
      </c>
      <c r="AL1039" s="42">
        <f>HIPERLINK($A$1 &amp; "\Dados\Magnet_fields_2D_1039.txt.txt", "Magnet_fields_2D_1039.txt")</f>
        <v/>
      </c>
    </row>
    <row r="1040">
      <c r="E1040" s="15" t="n">
        <v>140</v>
      </c>
      <c r="F1040" s="15" t="n">
        <v>173</v>
      </c>
      <c r="G1040" s="15" t="n">
        <v>354</v>
      </c>
      <c r="H1040" s="15" t="n">
        <v>26</v>
      </c>
      <c r="I1040" s="15" t="n">
        <v>178</v>
      </c>
      <c r="J1040" s="13" t="n">
        <v>25</v>
      </c>
      <c r="K1040" t="n">
        <v>55</v>
      </c>
      <c r="L1040" s="13" t="n">
        <v>3</v>
      </c>
      <c r="M1040" s="12" t="n"/>
      <c r="N1040" s="8" t="n">
        <v>1.547209692434677</v>
      </c>
      <c r="O1040" s="15" t="n">
        <v>1.378770985060691</v>
      </c>
      <c r="P1040" s="15" t="n">
        <v>1.501850180459493</v>
      </c>
      <c r="Q1040" s="15" t="n">
        <v>0.008450314194825498</v>
      </c>
      <c r="R1040" s="15" t="n">
        <v>0.03404902485251478</v>
      </c>
      <c r="S1040" s="15" t="n">
        <v>0.008477580816962517</v>
      </c>
      <c r="T1040" s="42">
        <f>HIPERLINK($A$1 &amp; "\Dados\Imagem_perfil_1040.png", "Imagem_perfil_1040")</f>
        <v/>
      </c>
      <c r="U1040" s="42">
        <f>HIPERLINK($A$1 &amp; "\Dados\Results_airgap1040.txt", "Results_airgap1040")</f>
        <v/>
      </c>
      <c r="V1040" s="19" t="n"/>
      <c r="W1040" s="15" t="n">
        <v>1.901686304347826</v>
      </c>
      <c r="X1040" s="15" t="n">
        <v>0.9344181810818433</v>
      </c>
      <c r="Y1040" s="15" t="n">
        <v>0.5079309492995803</v>
      </c>
      <c r="Z1040" s="15" t="n">
        <v>0.05629024550081447</v>
      </c>
      <c r="AA1040" s="15" t="n">
        <v>4.199637331047577</v>
      </c>
      <c r="AB1040" s="15" t="n">
        <v>0</v>
      </c>
      <c r="AC1040" s="15" t="n">
        <v>8.409088938682093</v>
      </c>
      <c r="AD1040" s="15" t="n">
        <v>64.36502080156623</v>
      </c>
      <c r="AE1040" s="15" t="n">
        <v>98.04376038081209</v>
      </c>
      <c r="AF1040" s="15" t="n">
        <v>127.0570615386556</v>
      </c>
      <c r="AH1040" s="42">
        <f>HIPERLINK($A$1 &amp; "\Dados\Magnet_fields_1040.txt.txt", "Magnet_fields_1040.txt")</f>
        <v/>
      </c>
      <c r="AI1040" t="n">
        <v>13220</v>
      </c>
      <c r="AJ1040" t="n">
        <v>31</v>
      </c>
      <c r="AK1040" s="42">
        <f>HIPERLINK($A$1 &amp; "\Dados\Magnet_3D_results_1040.txt.txt", "Magnet_3D_results_1040.txt")</f>
        <v/>
      </c>
      <c r="AL1040" s="42">
        <f>HIPERLINK($A$1 &amp; "\Dados\Magnet_fields_2D_1040.txt.txt", "Magnet_fields_2D_1040.txt")</f>
        <v/>
      </c>
    </row>
    <row r="1041">
      <c r="E1041" s="15" t="n">
        <v>144</v>
      </c>
      <c r="F1041" s="15" t="n">
        <v>174</v>
      </c>
      <c r="G1041" s="15" t="n">
        <v>356</v>
      </c>
      <c r="H1041" s="15" t="n">
        <v>34</v>
      </c>
      <c r="I1041" s="15" t="n">
        <v>167</v>
      </c>
      <c r="J1041" s="13" t="n">
        <v>25</v>
      </c>
      <c r="K1041" t="n">
        <v>45</v>
      </c>
      <c r="L1041" s="13" t="n">
        <v>3</v>
      </c>
      <c r="M1041" s="12" t="n"/>
      <c r="N1041" s="8" t="n">
        <v>1.548219531524875</v>
      </c>
      <c r="O1041" s="15" t="n">
        <v>1.343636832199524</v>
      </c>
      <c r="P1041" s="15" t="n">
        <v>1.492799222974571</v>
      </c>
      <c r="Q1041" s="15" t="n">
        <v>0.003530291718297305</v>
      </c>
      <c r="R1041" s="15" t="n">
        <v>0.02634633775859905</v>
      </c>
      <c r="S1041" s="15" t="n">
        <v>0.003570248816403835</v>
      </c>
      <c r="T1041" s="42">
        <f>HIPERLINK($A$1 &amp; "\Dados\Imagem_perfil_1041.png", "Imagem_perfil_1041")</f>
        <v/>
      </c>
      <c r="U1041" s="42">
        <f>HIPERLINK($A$1 &amp; "\Dados\Results_airgap1041.txt", "Results_airgap1041")</f>
        <v/>
      </c>
      <c r="V1041" s="19" t="n"/>
      <c r="W1041" s="15" t="n">
        <v>1.864609347826087</v>
      </c>
      <c r="X1041" s="15" t="n">
        <v>0.9607578529513704</v>
      </c>
      <c r="Y1041" s="15" t="n">
        <v>0.5997002950392319</v>
      </c>
      <c r="Z1041" s="15" t="n">
        <v>0</v>
      </c>
      <c r="AA1041" s="15" t="n">
        <v>1.705517290016829</v>
      </c>
      <c r="AB1041" s="15" t="n">
        <v>0</v>
      </c>
      <c r="AC1041" s="15" t="n">
        <v>3.149437560716124</v>
      </c>
      <c r="AD1041" s="15" t="n">
        <v>37.43528191508322</v>
      </c>
      <c r="AE1041" s="15" t="n">
        <v>84.84815105839989</v>
      </c>
      <c r="AF1041" s="15" t="n">
        <v>117.8004230010562</v>
      </c>
      <c r="AH1041" s="42">
        <f>HIPERLINK($A$1 &amp; "\Dados\Magnet_fields_1041.txt.txt", "Magnet_fields_1041.txt")</f>
        <v/>
      </c>
      <c r="AI1041" t="n">
        <v>7628</v>
      </c>
      <c r="AJ1041" t="n">
        <v>29</v>
      </c>
      <c r="AK1041" s="42">
        <f>HIPERLINK($A$1 &amp; "\Dados\Magnet_3D_results_1041.txt.txt", "Magnet_3D_results_1041.txt")</f>
        <v/>
      </c>
      <c r="AL1041" s="42">
        <f>HIPERLINK($A$1 &amp; "\Dados\Magnet_fields_2D_1041.txt.txt", "Magnet_fields_2D_1041.txt")</f>
        <v/>
      </c>
    </row>
    <row r="1042">
      <c r="E1042" s="15" t="n">
        <v>148</v>
      </c>
      <c r="F1042" s="15" t="n">
        <v>188</v>
      </c>
      <c r="G1042" s="15" t="n">
        <v>403</v>
      </c>
      <c r="H1042" s="15" t="n">
        <v>27</v>
      </c>
      <c r="I1042" s="15" t="n">
        <v>170</v>
      </c>
      <c r="J1042" s="13" t="n">
        <v>25</v>
      </c>
      <c r="K1042" t="n">
        <v>45</v>
      </c>
      <c r="L1042" s="13" t="n">
        <v>3</v>
      </c>
      <c r="M1042" s="12" t="n"/>
      <c r="N1042" s="8" t="n">
        <v>1.443198856793615</v>
      </c>
      <c r="O1042" s="15" t="n">
        <v>1.254011628649416</v>
      </c>
      <c r="P1042" s="15" t="n">
        <v>1.384739141105096</v>
      </c>
      <c r="Q1042" s="15" t="n">
        <v>0.002473133436986985</v>
      </c>
      <c r="R1042" s="15" t="n">
        <v>0.03360569491764391</v>
      </c>
      <c r="S1042" s="15" t="n">
        <v>0.002609570882306522</v>
      </c>
      <c r="T1042" s="42">
        <f>HIPERLINK($A$1 &amp; "\Dados\Imagem_perfil_1042.png", "Imagem_perfil_1042")</f>
        <v/>
      </c>
      <c r="U1042" s="42">
        <f>HIPERLINK($A$1 &amp; "\Dados\Results_airgap1042.txt", "Results_airgap1042")</f>
        <v/>
      </c>
      <c r="V1042" s="19" t="n"/>
      <c r="W1042" s="15" t="n">
        <v>1.833542826086957</v>
      </c>
      <c r="X1042" s="15" t="n">
        <v>0.9112443026494051</v>
      </c>
      <c r="Y1042" s="15" t="n">
        <v>0.6812214178253723</v>
      </c>
      <c r="Z1042" s="15" t="n">
        <v>0</v>
      </c>
      <c r="AA1042" s="15" t="n">
        <v>3.941517728848082</v>
      </c>
      <c r="AB1042" s="15" t="n">
        <v>0.5119847056636997</v>
      </c>
      <c r="AC1042" s="15" t="n">
        <v>6.336924815178997</v>
      </c>
      <c r="AD1042" s="15" t="n">
        <v>39.30137417024893</v>
      </c>
      <c r="AE1042" s="15" t="n">
        <v>87.17971208928833</v>
      </c>
      <c r="AF1042" s="15" t="n">
        <v>118.6555207357768</v>
      </c>
      <c r="AH1042" s="42">
        <f>HIPERLINK($A$1 &amp; "\Dados\Magnet_fields_1042.txt.txt", "Magnet_fields_1042.txt")</f>
        <v/>
      </c>
      <c r="AI1042" t="n">
        <v>8879</v>
      </c>
      <c r="AJ1042" t="n">
        <v>29</v>
      </c>
      <c r="AK1042" s="42">
        <f>HIPERLINK($A$1 &amp; "\Dados\Magnet_3D_results_1042.txt.txt", "Magnet_3D_results_1042.txt")</f>
        <v/>
      </c>
      <c r="AL1042" s="42">
        <f>HIPERLINK($A$1 &amp; "\Dados\Magnet_fields_2D_1042.txt.txt", "Magnet_fields_2D_1042.txt")</f>
        <v/>
      </c>
    </row>
    <row r="1043">
      <c r="E1043" s="15" t="n">
        <v>137</v>
      </c>
      <c r="F1043" s="15" t="n">
        <v>183</v>
      </c>
      <c r="G1043" s="15" t="n">
        <v>358</v>
      </c>
      <c r="H1043" s="15" t="n">
        <v>25</v>
      </c>
      <c r="I1043" s="15" t="n">
        <v>170</v>
      </c>
      <c r="J1043" s="13" t="n">
        <v>25</v>
      </c>
      <c r="K1043" t="n">
        <v>50</v>
      </c>
      <c r="L1043" s="13" t="n">
        <v>3</v>
      </c>
      <c r="M1043" s="12" t="n"/>
      <c r="N1043" s="8" t="n">
        <v>1.306825258656299</v>
      </c>
      <c r="O1043" s="15" t="n">
        <v>1.122295347584282</v>
      </c>
      <c r="P1043" s="15" t="n">
        <v>1.249829986350602</v>
      </c>
      <c r="Q1043" s="15" t="n">
        <v>0.004557712507329743</v>
      </c>
      <c r="R1043" s="15" t="n">
        <v>0.03108750791138285</v>
      </c>
      <c r="S1043" s="15" t="n">
        <v>0.004549821025722648</v>
      </c>
      <c r="T1043" s="42">
        <f>HIPERLINK($A$1 &amp; "\Dados\Imagem_perfil_1043.png", "Imagem_perfil_1043")</f>
        <v/>
      </c>
      <c r="U1043" s="42">
        <f>HIPERLINK($A$1 &amp; "\Dados\Results_airgap1043.txt", "Results_airgap1043")</f>
        <v/>
      </c>
      <c r="V1043" s="19" t="n"/>
      <c r="W1043" s="15" t="n">
        <v>1.664609782608696</v>
      </c>
      <c r="X1043" s="15" t="n">
        <v>0.8021709316165406</v>
      </c>
      <c r="Y1043" s="15" t="n">
        <v>0.8513079426307136</v>
      </c>
      <c r="Z1043" s="15" t="n">
        <v>0.001427521409528232</v>
      </c>
      <c r="AA1043" s="15" t="n">
        <v>5.15910620074078</v>
      </c>
      <c r="AB1043" s="15" t="n">
        <v>1.596113021164107</v>
      </c>
      <c r="AC1043" s="15" t="n">
        <v>13.45294365306111</v>
      </c>
      <c r="AD1043" s="15" t="n">
        <v>48.05461803346913</v>
      </c>
      <c r="AE1043" s="15" t="n">
        <v>85.47009075854484</v>
      </c>
      <c r="AF1043" s="15" t="n">
        <v>119.820522882901</v>
      </c>
      <c r="AH1043" s="42">
        <f>HIPERLINK($A$1 &amp; "\Dados\Magnet_fields_1043.txt.txt", "Magnet_fields_1043.txt")</f>
        <v/>
      </c>
      <c r="AI1043" t="n">
        <v>9126</v>
      </c>
      <c r="AJ1043" t="n">
        <v>29</v>
      </c>
      <c r="AK1043" s="42">
        <f>HIPERLINK($A$1 &amp; "\Dados\Magnet_3D_results_1043.txt.txt", "Magnet_3D_results_1043.txt")</f>
        <v/>
      </c>
      <c r="AL1043" s="42">
        <f>HIPERLINK($A$1 &amp; "\Dados\Magnet_fields_2D_1043.txt.txt", "Magnet_fields_2D_1043.txt")</f>
        <v/>
      </c>
    </row>
    <row r="1044">
      <c r="E1044" s="15" t="n">
        <v>136</v>
      </c>
      <c r="F1044" s="15" t="n">
        <v>174</v>
      </c>
      <c r="G1044" s="15" t="n">
        <v>366</v>
      </c>
      <c r="H1044" s="15" t="n">
        <v>43</v>
      </c>
      <c r="I1044" s="15" t="n">
        <v>168</v>
      </c>
      <c r="J1044" s="13" t="n">
        <v>25</v>
      </c>
      <c r="K1044" t="n">
        <v>50</v>
      </c>
      <c r="L1044" s="13" t="n">
        <v>3</v>
      </c>
      <c r="M1044" s="12" t="n"/>
      <c r="N1044" s="8" t="n">
        <v>1.4820539958471</v>
      </c>
      <c r="O1044" s="15" t="n">
        <v>1.273066924730227</v>
      </c>
      <c r="P1044" s="15" t="n">
        <v>1.424547263407693</v>
      </c>
      <c r="Q1044" s="15" t="n">
        <v>0.005039371642728727</v>
      </c>
      <c r="R1044" s="15" t="n">
        <v>0.03999296411050071</v>
      </c>
      <c r="S1044" s="15" t="n">
        <v>0.005458199891661122</v>
      </c>
      <c r="T1044" s="42">
        <f>HIPERLINK($A$1 &amp; "\Dados\Imagem_perfil_1044.png", "Imagem_perfil_1044")</f>
        <v/>
      </c>
      <c r="U1044" s="42">
        <f>HIPERLINK($A$1 &amp; "\Dados\Results_airgap1044.txt", "Results_airgap1044")</f>
        <v/>
      </c>
      <c r="V1044" s="19" t="n"/>
      <c r="W1044" s="15" t="n">
        <v>1.836454130434783</v>
      </c>
      <c r="X1044" s="15" t="n">
        <v>0.9397489203559803</v>
      </c>
      <c r="Y1044" s="15" t="n">
        <v>0.6367429177903299</v>
      </c>
      <c r="Z1044" s="15" t="n">
        <v>0</v>
      </c>
      <c r="AA1044" s="15" t="n">
        <v>0.0007325410531993264</v>
      </c>
      <c r="AB1044" s="15" t="n">
        <v>0.1353637534658607</v>
      </c>
      <c r="AC1044" s="15" t="n">
        <v>6.065862403572965</v>
      </c>
      <c r="AD1044" s="15" t="n">
        <v>49.07496520710578</v>
      </c>
      <c r="AE1044" s="15" t="n">
        <v>92.52269109825488</v>
      </c>
      <c r="AF1044" s="15" t="n">
        <v>122.6388692594775</v>
      </c>
      <c r="AH1044" s="42">
        <f>HIPERLINK($A$1 &amp; "\Dados\Magnet_fields_1044.txt.txt", "Magnet_fields_1044.txt")</f>
        <v/>
      </c>
      <c r="AI1044" t="n">
        <v>6724</v>
      </c>
      <c r="AJ1044" t="n">
        <v>28</v>
      </c>
      <c r="AK1044" s="42">
        <f>HIPERLINK($A$1 &amp; "\Dados\Magnet_3D_results_1044.txt.txt", "Magnet_3D_results_1044.txt")</f>
        <v/>
      </c>
      <c r="AL1044" s="42">
        <f>HIPERLINK($A$1 &amp; "\Dados\Magnet_fields_2D_1044.txt.txt", "Magnet_fields_2D_1044.txt")</f>
        <v/>
      </c>
    </row>
    <row r="1045">
      <c r="E1045" s="15" t="n">
        <v>148</v>
      </c>
      <c r="F1045" s="15" t="n">
        <v>187</v>
      </c>
      <c r="G1045" s="15" t="n">
        <v>412</v>
      </c>
      <c r="H1045" s="15" t="n">
        <v>29</v>
      </c>
      <c r="I1045" s="15" t="n">
        <v>154</v>
      </c>
      <c r="J1045" s="13" t="n">
        <v>25</v>
      </c>
      <c r="K1045" t="n">
        <v>55</v>
      </c>
      <c r="L1045" s="13" t="n">
        <v>3</v>
      </c>
      <c r="M1045" s="12" t="n"/>
      <c r="N1045" s="8" t="n">
        <v>1.506762491182031</v>
      </c>
      <c r="O1045" s="15" t="n">
        <v>1.248289134995063</v>
      </c>
      <c r="P1045" s="15" t="n">
        <v>1.43296289385913</v>
      </c>
      <c r="Q1045" s="15" t="n">
        <v>0.008906269979262617</v>
      </c>
      <c r="R1045" s="15" t="n">
        <v>0.04781343368859643</v>
      </c>
      <c r="S1045" s="15" t="n">
        <v>0.009334701089516995</v>
      </c>
      <c r="T1045" s="42">
        <f>HIPERLINK($A$1 &amp; "\Dados\Imagem_perfil_1045.png", "Imagem_perfil_1045")</f>
        <v/>
      </c>
      <c r="U1045" s="42">
        <f>HIPERLINK($A$1 &amp; "\Dados\Results_airgap1045.txt", "Results_airgap1045")</f>
        <v/>
      </c>
      <c r="V1045" s="19" t="n"/>
      <c r="W1045" s="15" t="n">
        <v>2.029063913043478</v>
      </c>
      <c r="X1045" s="15" t="n">
        <v>0.9622850566212736</v>
      </c>
      <c r="Y1045" s="15" t="n">
        <v>0.4347239150564442</v>
      </c>
      <c r="Z1045" s="15" t="n">
        <v>0.009272872996799065</v>
      </c>
      <c r="AA1045" s="15" t="n">
        <v>2.513403582231379</v>
      </c>
      <c r="AB1045" s="15" t="n">
        <v>0.5371462279003474</v>
      </c>
      <c r="AC1045" s="15" t="n">
        <v>18.01328525040338</v>
      </c>
      <c r="AD1045" s="15" t="n">
        <v>65.29253444806636</v>
      </c>
      <c r="AE1045" s="15" t="n">
        <v>96.85448411721457</v>
      </c>
      <c r="AF1045" s="15" t="n">
        <v>127.185261809934</v>
      </c>
      <c r="AH1045" s="42">
        <f>HIPERLINK($A$1 &amp; "\Dados\Magnet_fields_1045.txt.txt", "Magnet_fields_1045.txt")</f>
        <v/>
      </c>
      <c r="AI1045" t="n">
        <v>11871</v>
      </c>
      <c r="AJ1045" t="n">
        <v>30</v>
      </c>
      <c r="AK1045" s="42">
        <f>HIPERLINK($A$1 &amp; "\Dados\Magnet_3D_results_1045.txt.txt", "Magnet_3D_results_1045.txt")</f>
        <v/>
      </c>
      <c r="AL1045" s="42">
        <f>HIPERLINK($A$1 &amp; "\Dados\Magnet_fields_2D_1045.txt.txt", "Magnet_fields_2D_1045.txt")</f>
        <v/>
      </c>
    </row>
    <row r="1046">
      <c r="E1046" s="15" t="n">
        <v>143</v>
      </c>
      <c r="F1046" s="15" t="n">
        <v>189</v>
      </c>
      <c r="G1046" s="15" t="n">
        <v>354</v>
      </c>
      <c r="H1046" s="15" t="n">
        <v>40</v>
      </c>
      <c r="I1046" s="15" t="n">
        <v>159</v>
      </c>
      <c r="J1046" s="13" t="n">
        <v>25</v>
      </c>
      <c r="K1046" t="n">
        <v>55</v>
      </c>
      <c r="L1046" s="13" t="n">
        <v>3</v>
      </c>
      <c r="M1046" s="12" t="n"/>
      <c r="N1046" s="8" t="n">
        <v>1.264846655889361</v>
      </c>
      <c r="O1046" s="15" t="n">
        <v>1.055161005301322</v>
      </c>
      <c r="P1046" s="15" t="n">
        <v>1.198979033610083</v>
      </c>
      <c r="Q1046" s="15" t="n">
        <v>0.007889149256213807</v>
      </c>
      <c r="R1046" s="15" t="n">
        <v>0.03522272731345365</v>
      </c>
      <c r="S1046" s="15" t="n">
        <v>0.008307435374055981</v>
      </c>
      <c r="T1046" s="42">
        <f>HIPERLINK($A$1 &amp; "\Dados\Imagem_perfil_1046.png", "Imagem_perfil_1046")</f>
        <v/>
      </c>
      <c r="U1046" s="42">
        <f>HIPERLINK($A$1 &amp; "\Dados\Results_airgap1046.txt", "Results_airgap1046")</f>
        <v/>
      </c>
      <c r="V1046" s="19" t="n"/>
      <c r="W1046" s="15" t="n">
        <v>1.618480869565217</v>
      </c>
      <c r="X1046" s="15" t="n">
        <v>0.8155273167155512</v>
      </c>
      <c r="Y1046" s="15" t="n">
        <v>0.8545123038402949</v>
      </c>
      <c r="Z1046" s="15" t="n">
        <v>0</v>
      </c>
      <c r="AA1046" s="15" t="n">
        <v>0.01962616134849935</v>
      </c>
      <c r="AB1046" s="15" t="n">
        <v>0</v>
      </c>
      <c r="AC1046" s="15" t="n">
        <v>10.95938856032284</v>
      </c>
      <c r="AD1046" s="15" t="n">
        <v>55.78704002249909</v>
      </c>
      <c r="AE1046" s="15" t="n">
        <v>92.39981959839847</v>
      </c>
      <c r="AF1046" s="15" t="n">
        <v>124.3918853020985</v>
      </c>
      <c r="AH1046" s="42">
        <f>HIPERLINK($A$1 &amp; "\Dados\Magnet_fields_1046.txt.txt", "Magnet_fields_1046.txt")</f>
        <v/>
      </c>
      <c r="AI1046" t="n">
        <v>9814</v>
      </c>
      <c r="AJ1046" t="n">
        <v>30</v>
      </c>
      <c r="AK1046" s="42">
        <f>HIPERLINK($A$1 &amp; "\Dados\Magnet_3D_results_1046.txt.txt", "Magnet_3D_results_1046.txt")</f>
        <v/>
      </c>
      <c r="AL1046" s="42">
        <f>HIPERLINK($A$1 &amp; "\Dados\Magnet_fields_2D_1046.txt.txt", "Magnet_fields_2D_1046.txt")</f>
        <v/>
      </c>
    </row>
    <row r="1047">
      <c r="E1047" s="15" t="n">
        <v>148</v>
      </c>
      <c r="F1047" s="15" t="n">
        <v>195</v>
      </c>
      <c r="G1047" s="15" t="n">
        <v>374</v>
      </c>
      <c r="H1047" s="15" t="n">
        <v>37</v>
      </c>
      <c r="I1047" s="15" t="n">
        <v>176</v>
      </c>
      <c r="J1047" s="13" t="n">
        <v>25</v>
      </c>
      <c r="K1047" t="n">
        <v>60</v>
      </c>
      <c r="L1047" s="13" t="n">
        <v>3</v>
      </c>
      <c r="M1047" s="12" t="n"/>
      <c r="N1047" s="8" t="n">
        <v>1.330957401815815</v>
      </c>
      <c r="O1047" s="15" t="n">
        <v>1.158499435034129</v>
      </c>
      <c r="P1047" s="15" t="n">
        <v>1.274593910547613</v>
      </c>
      <c r="Q1047" s="15" t="n">
        <v>0.01732110203884589</v>
      </c>
      <c r="R1047" s="15" t="n">
        <v>0.04171511959157972</v>
      </c>
      <c r="S1047" s="15" t="n">
        <v>0.01715397421422751</v>
      </c>
      <c r="T1047" s="42">
        <f>HIPERLINK($A$1 &amp; "\Dados\Imagem_perfil_1047.png", "Imagem_perfil_1047")</f>
        <v/>
      </c>
      <c r="U1047" s="42">
        <f>HIPERLINK($A$1 &amp; "\Dados\Results_airgap1047.txt", "Results_airgap1047")</f>
        <v/>
      </c>
      <c r="V1047" s="19" t="n"/>
      <c r="W1047" s="15" t="n">
        <v>1.688667608695652</v>
      </c>
      <c r="X1047" s="15" t="n">
        <v>0.8512520048375402</v>
      </c>
      <c r="Y1047" s="15" t="n">
        <v>0.7617867672975049</v>
      </c>
      <c r="Z1047" s="15" t="n">
        <v>0.007873501700726973</v>
      </c>
      <c r="AA1047" s="15" t="n">
        <v>1.278029962841226</v>
      </c>
      <c r="AB1047" s="15" t="n">
        <v>0</v>
      </c>
      <c r="AC1047" s="15" t="n">
        <v>15.17068386609137</v>
      </c>
      <c r="AD1047" s="15" t="n">
        <v>66.0171782626242</v>
      </c>
      <c r="AE1047" s="15" t="n">
        <v>97.80608537298946</v>
      </c>
      <c r="AF1047" s="15" t="n">
        <v>129.2767095731614</v>
      </c>
      <c r="AH1047" s="42">
        <f>HIPERLINK($A$1 &amp; "\Dados\Magnet_fields_1047.txt.txt", "Magnet_fields_1047.txt")</f>
        <v/>
      </c>
      <c r="AI1047" t="n">
        <v>8140</v>
      </c>
      <c r="AJ1047" t="n">
        <v>29</v>
      </c>
      <c r="AK1047" s="42">
        <f>HIPERLINK($A$1 &amp; "\Dados\Magnet_3D_results_1047.txt.txt", "Magnet_3D_results_1047.txt")</f>
        <v/>
      </c>
      <c r="AL1047" s="42">
        <f>HIPERLINK($A$1 &amp; "\Dados\Magnet_fields_2D_1047.txt.txt", "Magnet_fields_2D_1047.txt")</f>
        <v/>
      </c>
    </row>
    <row r="1048">
      <c r="E1048" s="15" t="n">
        <v>141</v>
      </c>
      <c r="F1048" s="15" t="n">
        <v>178</v>
      </c>
      <c r="G1048" s="15" t="n">
        <v>370</v>
      </c>
      <c r="H1048" s="15" t="n">
        <v>36</v>
      </c>
      <c r="I1048" s="15" t="n">
        <v>140</v>
      </c>
      <c r="J1048" s="13" t="n">
        <v>25</v>
      </c>
      <c r="K1048" t="n">
        <v>45</v>
      </c>
      <c r="L1048" s="13" t="n">
        <v>3</v>
      </c>
      <c r="M1048" s="12" t="n"/>
      <c r="N1048" s="8" t="n">
        <v>1.391683947469155</v>
      </c>
      <c r="O1048" s="15" t="n">
        <v>1.064101515286175</v>
      </c>
      <c r="P1048" s="15" t="n">
        <v>1.296834067759182</v>
      </c>
      <c r="Q1048" s="15" t="n">
        <v>0.002500684301098407</v>
      </c>
      <c r="R1048" s="15" t="n">
        <v>0.03159806454867384</v>
      </c>
      <c r="S1048" s="15" t="n">
        <v>0.002976950239528578</v>
      </c>
      <c r="T1048" s="42">
        <f>HIPERLINK($A$1 &amp; "\Dados\Imagem_perfil_1048.png", "Imagem_perfil_1048")</f>
        <v/>
      </c>
      <c r="U1048" s="42">
        <f>HIPERLINK($A$1 &amp; "\Dados\Results_airgap1048.txt", "Results_airgap1048")</f>
        <v/>
      </c>
      <c r="V1048" s="19" t="n"/>
      <c r="W1048" s="15" t="n">
        <v>1.808961956521739</v>
      </c>
      <c r="X1048" s="15" t="n">
        <v>0.9162351283769131</v>
      </c>
      <c r="Y1048" s="15" t="n">
        <v>0.6815205921772822</v>
      </c>
      <c r="Z1048" s="15" t="n">
        <v>0</v>
      </c>
      <c r="AA1048" s="15" t="n">
        <v>0.09801817154091806</v>
      </c>
      <c r="AB1048" s="15" t="n">
        <v>0</v>
      </c>
      <c r="AC1048" s="15" t="n">
        <v>4.739950691308157</v>
      </c>
      <c r="AD1048" s="15" t="n">
        <v>43.46890572949214</v>
      </c>
      <c r="AE1048" s="15" t="n">
        <v>88.88507327391217</v>
      </c>
      <c r="AF1048" s="15" t="n">
        <v>118.7374750466424</v>
      </c>
      <c r="AH1048" s="42">
        <f>HIPERLINK($A$1 &amp; "\Dados\Magnet_fields_1048.txt.txt", "Magnet_fields_1048.txt")</f>
        <v/>
      </c>
      <c r="AI1048" t="n">
        <v>6477</v>
      </c>
      <c r="AJ1048" t="n">
        <v>28</v>
      </c>
      <c r="AK1048" s="42">
        <f>HIPERLINK($A$1 &amp; "\Dados\Magnet_3D_results_1048.txt.txt", "Magnet_3D_results_1048.txt")</f>
        <v/>
      </c>
      <c r="AL1048" s="42">
        <f>HIPERLINK($A$1 &amp; "\Dados\Magnet_fields_2D_1048.txt.txt", "Magnet_fields_2D_1048.txt")</f>
        <v/>
      </c>
    </row>
    <row r="1049">
      <c r="E1049" s="15" t="n">
        <v>143</v>
      </c>
      <c r="F1049" s="15" t="n">
        <v>180</v>
      </c>
      <c r="G1049" s="15" t="n">
        <v>410</v>
      </c>
      <c r="H1049" s="15" t="n">
        <v>30</v>
      </c>
      <c r="I1049" s="15" t="n">
        <v>141</v>
      </c>
      <c r="J1049" s="13" t="n">
        <v>25</v>
      </c>
      <c r="K1049" t="n">
        <v>40</v>
      </c>
      <c r="L1049" s="13" t="n">
        <v>3</v>
      </c>
      <c r="M1049" s="12" t="n"/>
      <c r="N1049" s="8" t="n">
        <v>1.415297875449063</v>
      </c>
      <c r="O1049" s="15" t="n">
        <v>1.113547527318654</v>
      </c>
      <c r="P1049" s="15" t="n">
        <v>1.326248488040336</v>
      </c>
      <c r="Q1049" s="15" t="n">
        <v>0.001730976108871544</v>
      </c>
      <c r="R1049" s="15" t="n">
        <v>0.03130923141075637</v>
      </c>
      <c r="S1049" s="15" t="n">
        <v>0.002127538351534125</v>
      </c>
      <c r="T1049" s="42">
        <f>HIPERLINK($A$1 &amp; "\Dados\Imagem_perfil_1049.png", "Imagem_perfil_1049")</f>
        <v/>
      </c>
      <c r="U1049" s="42">
        <f>HIPERLINK($A$1 &amp; "\Dados\Results_airgap1049.txt", "Results_airgap1049")</f>
        <v/>
      </c>
      <c r="V1049" s="19" t="n"/>
      <c r="W1049" s="15" t="n">
        <v>1.86772</v>
      </c>
      <c r="X1049" s="15" t="n">
        <v>0.9156802728675144</v>
      </c>
      <c r="Y1049" s="15" t="n">
        <v>0.749260379606417</v>
      </c>
      <c r="Z1049" s="15" t="n">
        <v>0.0002844770458466202</v>
      </c>
      <c r="AA1049" s="15" t="n">
        <v>2.612147963860318</v>
      </c>
      <c r="AB1049" s="15" t="n">
        <v>1.631651323467929</v>
      </c>
      <c r="AC1049" s="15" t="n">
        <v>9.307216944226122</v>
      </c>
      <c r="AD1049" s="15" t="n">
        <v>34.8441806172837</v>
      </c>
      <c r="AE1049" s="15" t="n">
        <v>76.8521167179005</v>
      </c>
      <c r="AF1049" s="15" t="n">
        <v>112.6114245411481</v>
      </c>
      <c r="AH1049" s="42">
        <f>HIPERLINK($A$1 &amp; "\Dados\Magnet_fields_1049.txt.txt", "Magnet_fields_1049.txt")</f>
        <v/>
      </c>
      <c r="AI1049" t="n">
        <v>8938</v>
      </c>
      <c r="AJ1049" t="n">
        <v>30</v>
      </c>
      <c r="AK1049" s="42">
        <f>HIPERLINK($A$1 &amp; "\Dados\Magnet_3D_results_1049.txt.txt", "Magnet_3D_results_1049.txt")</f>
        <v/>
      </c>
      <c r="AL1049" s="42">
        <f>HIPERLINK($A$1 &amp; "\Dados\Magnet_fields_2D_1049.txt.txt", "Magnet_fields_2D_1049.txt")</f>
        <v/>
      </c>
    </row>
    <row r="1050">
      <c r="E1050" s="15" t="n">
        <v>143</v>
      </c>
      <c r="F1050" s="15" t="n">
        <v>181</v>
      </c>
      <c r="G1050" s="15" t="n">
        <v>375</v>
      </c>
      <c r="H1050" s="15" t="n">
        <v>30</v>
      </c>
      <c r="I1050" s="15" t="n">
        <v>167</v>
      </c>
      <c r="J1050" s="13" t="n">
        <v>25</v>
      </c>
      <c r="K1050" t="n">
        <v>50</v>
      </c>
      <c r="L1050" s="13" t="n">
        <v>3</v>
      </c>
      <c r="M1050" s="12" t="n"/>
      <c r="N1050" s="8" t="n">
        <v>1.444944761063948</v>
      </c>
      <c r="O1050" s="15" t="n">
        <v>1.239551226444329</v>
      </c>
      <c r="P1050" s="15" t="n">
        <v>1.38284775542626</v>
      </c>
      <c r="Q1050" s="15" t="n">
        <v>0.004411353187403365</v>
      </c>
      <c r="R1050" s="15" t="n">
        <v>0.03473724688974703</v>
      </c>
      <c r="S1050" s="15" t="n">
        <v>0.004452640588372162</v>
      </c>
      <c r="T1050" s="42">
        <f>HIPERLINK($A$1 &amp; "\Dados\Imagem_perfil_1050.png", "Imagem_perfil_1050")</f>
        <v/>
      </c>
      <c r="U1050" s="42">
        <f>HIPERLINK($A$1 &amp; "\Dados\Results_airgap1050.txt", "Results_airgap1050")</f>
        <v/>
      </c>
      <c r="V1050" s="19" t="n"/>
      <c r="W1050" s="15" t="n">
        <v>1.828885</v>
      </c>
      <c r="X1050" s="15" t="n">
        <v>0.9515357865753634</v>
      </c>
      <c r="Y1050" s="15" t="n">
        <v>0.6334523921889509</v>
      </c>
      <c r="Z1050" s="15" t="n">
        <v>0.003676947700826232</v>
      </c>
      <c r="AA1050" s="15" t="n">
        <v>3.30125786123193</v>
      </c>
      <c r="AB1050" s="15" t="n">
        <v>0</v>
      </c>
      <c r="AC1050" s="15" t="n">
        <v>5.266372024338178</v>
      </c>
      <c r="AD1050" s="15" t="n">
        <v>48.42488778659776</v>
      </c>
      <c r="AE1050" s="15" t="n">
        <v>92.26809959827685</v>
      </c>
      <c r="AF1050" s="15" t="n">
        <v>122.5226687752066</v>
      </c>
      <c r="AH1050" s="42">
        <f>HIPERLINK($A$1 &amp; "\Dados\Magnet_fields_1050.txt.txt", "Magnet_fields_1050.txt")</f>
        <v/>
      </c>
      <c r="AI1050" t="n">
        <v>8139</v>
      </c>
      <c r="AJ1050" t="n">
        <v>29</v>
      </c>
      <c r="AK1050" s="42">
        <f>HIPERLINK($A$1 &amp; "\Dados\Magnet_3D_results_1050.txt.txt", "Magnet_3D_results_1050.txt")</f>
        <v/>
      </c>
      <c r="AL1050" s="42">
        <f>HIPERLINK($A$1 &amp; "\Dados\Magnet_fields_2D_1050.txt.txt", "Magnet_fields_2D_1050.txt")</f>
        <v/>
      </c>
    </row>
    <row r="1051">
      <c r="E1051" s="15" t="n">
        <v>148</v>
      </c>
      <c r="F1051" s="15" t="n">
        <v>184</v>
      </c>
      <c r="G1051" s="15" t="n">
        <v>383</v>
      </c>
      <c r="H1051" s="15" t="n">
        <v>39</v>
      </c>
      <c r="I1051" s="15" t="n">
        <v>151</v>
      </c>
      <c r="J1051" s="13" t="n">
        <v>25</v>
      </c>
      <c r="K1051" t="n">
        <v>45</v>
      </c>
      <c r="L1051" s="13" t="n">
        <v>3</v>
      </c>
      <c r="M1051" s="12" t="n"/>
      <c r="N1051" s="8" t="n">
        <v>1.437553950462847</v>
      </c>
      <c r="O1051" s="15" t="n">
        <v>1.192053724465679</v>
      </c>
      <c r="P1051" s="15" t="n">
        <v>1.370431329360586</v>
      </c>
      <c r="Q1051" s="15" t="n">
        <v>0.002797584081055499</v>
      </c>
      <c r="R1051" s="15" t="n">
        <v>0.03152993511102972</v>
      </c>
      <c r="S1051" s="15" t="n">
        <v>0.002983812071964086</v>
      </c>
      <c r="T1051" s="42">
        <f>HIPERLINK($A$1 &amp; "\Dados\Imagem_perfil_1051.png", "Imagem_perfil_1051")</f>
        <v/>
      </c>
      <c r="U1051" s="42">
        <f>HIPERLINK($A$1 &amp; "\Dados\Results_airgap1051.txt", "Results_airgap1051")</f>
        <v/>
      </c>
      <c r="V1051" s="19" t="n"/>
      <c r="W1051" s="15" t="n">
        <v>1.844012391304348</v>
      </c>
      <c r="X1051" s="15" t="n">
        <v>0.9438554474024947</v>
      </c>
      <c r="Y1051" s="15" t="n">
        <v>0.6591012371210091</v>
      </c>
      <c r="Z1051" s="15" t="n">
        <v>0</v>
      </c>
      <c r="AA1051" s="15" t="n">
        <v>0.207535484256305</v>
      </c>
      <c r="AB1051" s="15" t="n">
        <v>0.2529914746056418</v>
      </c>
      <c r="AC1051" s="15" t="n">
        <v>6.860435467288881</v>
      </c>
      <c r="AD1051" s="15" t="n">
        <v>39.87962629740527</v>
      </c>
      <c r="AE1051" s="15" t="n">
        <v>83.37301290007061</v>
      </c>
      <c r="AF1051" s="15" t="n">
        <v>117.2294834287713</v>
      </c>
      <c r="AH1051" s="42">
        <f>HIPERLINK($A$1 &amp; "\Dados\Magnet_fields_1051.txt.txt", "Magnet_fields_1051.txt")</f>
        <v/>
      </c>
      <c r="AI1051" t="n">
        <v>6385</v>
      </c>
      <c r="AJ1051" t="n">
        <v>28</v>
      </c>
      <c r="AK1051" s="42">
        <f>HIPERLINK($A$1 &amp; "\Dados\Magnet_3D_results_1051.txt.txt", "Magnet_3D_results_1051.txt")</f>
        <v/>
      </c>
      <c r="AL1051" s="42">
        <f>HIPERLINK($A$1 &amp; "\Dados\Magnet_fields_2D_1051.txt.txt", "Magnet_fields_2D_1051.txt")</f>
        <v/>
      </c>
    </row>
    <row r="1052">
      <c r="E1052" s="15" t="n">
        <v>129</v>
      </c>
      <c r="F1052" s="15" t="n">
        <v>170</v>
      </c>
      <c r="G1052" s="15" t="n">
        <v>405</v>
      </c>
      <c r="H1052" s="15" t="n">
        <v>43</v>
      </c>
      <c r="I1052" s="15" t="n">
        <v>168</v>
      </c>
      <c r="J1052" s="13" t="n">
        <v>25</v>
      </c>
      <c r="K1052" t="n">
        <v>60</v>
      </c>
      <c r="L1052" s="13" t="n">
        <v>3</v>
      </c>
      <c r="M1052" s="12" t="n"/>
      <c r="N1052" s="8" t="n">
        <v>1.573049363785433</v>
      </c>
      <c r="O1052" s="15" t="n">
        <v>1.350064898978318</v>
      </c>
      <c r="P1052" s="15" t="n">
        <v>1.50107352732615</v>
      </c>
      <c r="Q1052" s="15" t="n">
        <v>0.03249949235266967</v>
      </c>
      <c r="R1052" s="15" t="n">
        <v>0.07177515819651491</v>
      </c>
      <c r="S1052" s="15" t="n">
        <v>0.03090602838890572</v>
      </c>
      <c r="T1052" s="42">
        <f>HIPERLINK($A$1 &amp; "\Dados\Imagem_perfil_1052.png", "Imagem_perfil_1052")</f>
        <v/>
      </c>
      <c r="U1052" s="42">
        <f>HIPERLINK($A$1 &amp; "\Dados\Results_airgap1052.txt", "Results_airgap1052")</f>
        <v/>
      </c>
      <c r="V1052" s="19" t="n"/>
      <c r="W1052" s="15" t="n">
        <v>2.090769347826087</v>
      </c>
      <c r="X1052" s="15" t="n">
        <v>1.017377292383188</v>
      </c>
      <c r="Y1052" s="15" t="n">
        <v>0.4078396836572261</v>
      </c>
      <c r="Z1052" s="15" t="n">
        <v>0.00360291312247002</v>
      </c>
      <c r="AA1052" s="15" t="n">
        <v>0</v>
      </c>
      <c r="AB1052" s="15" t="n">
        <v>1.653500682033278</v>
      </c>
      <c r="AC1052" s="15" t="n">
        <v>18.31043770604725</v>
      </c>
      <c r="AD1052" s="15" t="n">
        <v>67.44168071229349</v>
      </c>
      <c r="AE1052" s="15" t="n">
        <v>100.5429398458782</v>
      </c>
      <c r="AF1052" s="15" t="n">
        <v>131.7833693271718</v>
      </c>
      <c r="AH1052" s="42">
        <f>HIPERLINK($A$1 &amp; "\Dados\Magnet_fields_1052.txt.txt", "Magnet_fields_1052.txt")</f>
        <v/>
      </c>
      <c r="AI1052" t="n">
        <v>8147</v>
      </c>
      <c r="AJ1052" t="n">
        <v>29</v>
      </c>
      <c r="AK1052" s="42">
        <f>HIPERLINK($A$1 &amp; "\Dados\Magnet_3D_results_1052.txt.txt", "Magnet_3D_results_1052.txt")</f>
        <v/>
      </c>
      <c r="AL1052" s="42">
        <f>HIPERLINK($A$1 &amp; "\Dados\Magnet_fields_2D_1052.txt.txt", "Magnet_fields_2D_1052.txt")</f>
        <v/>
      </c>
    </row>
    <row r="1053">
      <c r="E1053" s="15" t="n">
        <v>140</v>
      </c>
      <c r="F1053" s="15" t="n">
        <v>172</v>
      </c>
      <c r="G1053" s="15" t="n">
        <v>410</v>
      </c>
      <c r="H1053" s="15" t="n">
        <v>41</v>
      </c>
      <c r="I1053" s="15" t="n">
        <v>164</v>
      </c>
      <c r="J1053" s="13" t="n">
        <v>25</v>
      </c>
      <c r="K1053" t="n">
        <v>55</v>
      </c>
      <c r="L1053" s="13" t="n">
        <v>3</v>
      </c>
      <c r="M1053" s="12" t="n"/>
      <c r="N1053" s="8" t="n">
        <v>1.674668313911385</v>
      </c>
      <c r="O1053" s="15" t="n">
        <v>1.439590674812723</v>
      </c>
      <c r="P1053" s="15" t="n">
        <v>1.608441359714093</v>
      </c>
      <c r="Q1053" s="15" t="n">
        <v>0.01561854516150303</v>
      </c>
      <c r="R1053" s="15" t="n">
        <v>0.05742938473280026</v>
      </c>
      <c r="S1053" s="15" t="n">
        <v>0.01586410700835466</v>
      </c>
      <c r="T1053" s="42">
        <f>HIPERLINK($A$1 &amp; "\Dados\Imagem_perfil_1053.png", "Imagem_perfil_1053")</f>
        <v/>
      </c>
      <c r="U1053" s="42">
        <f>HIPERLINK($A$1 &amp; "\Dados\Results_airgap1053.txt", "Results_airgap1053")</f>
        <v/>
      </c>
      <c r="V1053" s="19" t="n"/>
      <c r="W1053" s="15" t="n">
        <v>2.186306956521739</v>
      </c>
      <c r="X1053" s="15" t="n">
        <v>1.072513409393801</v>
      </c>
      <c r="Y1053" s="15" t="n">
        <v>0.3018498768541413</v>
      </c>
      <c r="Z1053" s="15" t="n">
        <v>0.02740480801673179</v>
      </c>
      <c r="AA1053" s="15" t="n">
        <v>0.000498461668928899</v>
      </c>
      <c r="AB1053" s="15" t="n">
        <v>0.5535971448737778</v>
      </c>
      <c r="AC1053" s="15" t="n">
        <v>10.74794191644497</v>
      </c>
      <c r="AD1053" s="15" t="n">
        <v>63.23682908435985</v>
      </c>
      <c r="AE1053" s="15" t="n">
        <v>98.57545228444526</v>
      </c>
      <c r="AF1053" s="15" t="n">
        <v>128.1582637630508</v>
      </c>
      <c r="AH1053" s="42">
        <f>HIPERLINK($A$1 &amp; "\Dados\Magnet_fields_1053.txt.txt", "Magnet_fields_1053.txt")</f>
        <v/>
      </c>
      <c r="AI1053" t="n">
        <v>11268</v>
      </c>
      <c r="AJ1053" t="n">
        <v>31</v>
      </c>
      <c r="AK1053" s="42">
        <f>HIPERLINK($A$1 &amp; "\Dados\Magnet_3D_results_1053.txt.txt", "Magnet_3D_results_1053.txt")</f>
        <v/>
      </c>
      <c r="AL1053" s="42">
        <f>HIPERLINK($A$1 &amp; "\Dados\Magnet_fields_2D_1053.txt.txt", "Magnet_fields_2D_1053.txt")</f>
        <v/>
      </c>
    </row>
    <row r="1054">
      <c r="E1054" s="15" t="n">
        <v>138</v>
      </c>
      <c r="F1054" s="15" t="n">
        <v>182</v>
      </c>
      <c r="G1054" s="15" t="n">
        <v>428</v>
      </c>
      <c r="H1054" s="15" t="n">
        <v>41</v>
      </c>
      <c r="I1054" s="15" t="n">
        <v>175</v>
      </c>
      <c r="J1054" s="13" t="n">
        <v>25</v>
      </c>
      <c r="K1054" t="n">
        <v>45</v>
      </c>
      <c r="L1054" s="13" t="n">
        <v>3</v>
      </c>
      <c r="M1054" s="12" t="n"/>
      <c r="N1054" s="8" t="n">
        <v>1.489608377234155</v>
      </c>
      <c r="O1054" s="15" t="n">
        <v>1.295808842952703</v>
      </c>
      <c r="P1054" s="15" t="n">
        <v>1.433745398039762</v>
      </c>
      <c r="Q1054" s="15" t="n">
        <v>0.003394198817100686</v>
      </c>
      <c r="R1054" s="15" t="n">
        <v>0.04896977562263547</v>
      </c>
      <c r="S1054" s="15" t="n">
        <v>0.003634483287136522</v>
      </c>
      <c r="T1054" s="42">
        <f>HIPERLINK($A$1 &amp; "\Dados\Imagem_perfil_1054.png", "Imagem_perfil_1054")</f>
        <v/>
      </c>
      <c r="U1054" s="42">
        <f>HIPERLINK($A$1 &amp; "\Dados\Results_airgap1054.txt", "Results_airgap1054")</f>
        <v/>
      </c>
      <c r="V1054" s="19" t="n"/>
      <c r="W1054" s="15" t="n">
        <v>1.912795434782608</v>
      </c>
      <c r="X1054" s="15" t="n">
        <v>0.9371878003532274</v>
      </c>
      <c r="Y1054" s="15" t="n">
        <v>0.6694666816830768</v>
      </c>
      <c r="Z1054" s="15" t="n">
        <v>0</v>
      </c>
      <c r="AA1054" s="15" t="n">
        <v>0</v>
      </c>
      <c r="AB1054" s="15" t="n">
        <v>2.844317398824577</v>
      </c>
      <c r="AC1054" s="15" t="n">
        <v>14.3080424208569</v>
      </c>
      <c r="AD1054" s="15" t="n">
        <v>44.42908178412609</v>
      </c>
      <c r="AE1054" s="15" t="n">
        <v>83.55264750521803</v>
      </c>
      <c r="AF1054" s="15" t="n">
        <v>117.3970355395695</v>
      </c>
      <c r="AH1054" s="42">
        <f>HIPERLINK($A$1 &amp; "\Dados\Magnet_fields_1054.txt.txt", "Magnet_fields_1054.txt")</f>
        <v/>
      </c>
      <c r="AI1054" t="n">
        <v>6676</v>
      </c>
      <c r="AJ1054" t="n">
        <v>28</v>
      </c>
      <c r="AK1054" s="42">
        <f>HIPERLINK($A$1 &amp; "\Dados\Magnet_3D_results_1054.txt.txt", "Magnet_3D_results_1054.txt")</f>
        <v/>
      </c>
      <c r="AL1054" s="42">
        <f>HIPERLINK($A$1 &amp; "\Dados\Magnet_fields_2D_1054.txt.txt", "Magnet_fields_2D_1054.txt")</f>
        <v/>
      </c>
    </row>
    <row r="1055">
      <c r="E1055" s="15" t="n">
        <v>146</v>
      </c>
      <c r="F1055" s="15" t="n">
        <v>180</v>
      </c>
      <c r="G1055" s="15" t="n">
        <v>361</v>
      </c>
      <c r="H1055" s="15" t="n">
        <v>36</v>
      </c>
      <c r="I1055" s="15" t="n">
        <v>176</v>
      </c>
      <c r="J1055" s="13" t="n">
        <v>25</v>
      </c>
      <c r="K1055" t="n">
        <v>50</v>
      </c>
      <c r="L1055" s="13" t="n">
        <v>3</v>
      </c>
      <c r="M1055" s="12" t="n"/>
      <c r="N1055" s="8" t="n">
        <v>1.521841250654338</v>
      </c>
      <c r="O1055" s="15" t="n">
        <v>1.325463686801206</v>
      </c>
      <c r="P1055" s="15" t="n">
        <v>1.466773622440597</v>
      </c>
      <c r="Q1055" s="15" t="n">
        <v>0.004769103951876912</v>
      </c>
      <c r="R1055" s="15" t="n">
        <v>0.03258720728347231</v>
      </c>
      <c r="S1055" s="15" t="n">
        <v>0.004697628948375122</v>
      </c>
      <c r="T1055" s="42">
        <f>HIPERLINK($A$1 &amp; "\Dados\Imagem_perfil_1055.png", "Imagem_perfil_1055")</f>
        <v/>
      </c>
      <c r="U1055" s="42">
        <f>HIPERLINK($A$1 &amp; "\Dados\Results_airgap1055.txt", "Results_airgap1055")</f>
        <v/>
      </c>
      <c r="V1055" s="19" t="n"/>
      <c r="W1055" s="15" t="n">
        <v>1.835112608695652</v>
      </c>
      <c r="X1055" s="15" t="n">
        <v>0.9423019314117527</v>
      </c>
      <c r="Y1055" s="15" t="n">
        <v>0.5859516636398912</v>
      </c>
      <c r="Z1055" s="15" t="n">
        <v>0.02418617027801928</v>
      </c>
      <c r="AA1055" s="15" t="n">
        <v>0.03645082894027752</v>
      </c>
      <c r="AB1055" s="15" t="n">
        <v>0</v>
      </c>
      <c r="AC1055" s="15" t="n">
        <v>3.249334392517738</v>
      </c>
      <c r="AD1055" s="15" t="n">
        <v>53.29419851663294</v>
      </c>
      <c r="AE1055" s="15" t="n">
        <v>94.18011119989305</v>
      </c>
      <c r="AF1055" s="15" t="n">
        <v>122.8221152554931</v>
      </c>
      <c r="AH1055" s="42">
        <f>HIPERLINK($A$1 &amp; "\Dados\Magnet_fields_1055.txt.txt", "Magnet_fields_1055.txt")</f>
        <v/>
      </c>
      <c r="AI1055" t="n">
        <v>8110</v>
      </c>
      <c r="AJ1055" t="n">
        <v>29</v>
      </c>
      <c r="AK1055" s="42">
        <f>HIPERLINK($A$1 &amp; "\Dados\Magnet_3D_results_1055.txt.txt", "Magnet_3D_results_1055.txt")</f>
        <v/>
      </c>
      <c r="AL1055" s="42">
        <f>HIPERLINK($A$1 &amp; "\Dados\Magnet_fields_2D_1055.txt.txt", "Magnet_fields_2D_1055.txt")</f>
        <v/>
      </c>
    </row>
    <row r="1056">
      <c r="E1056" s="15" t="n">
        <v>149</v>
      </c>
      <c r="F1056" s="15" t="n">
        <v>189</v>
      </c>
      <c r="G1056" s="15" t="n">
        <v>421</v>
      </c>
      <c r="H1056" s="15" t="n">
        <v>44</v>
      </c>
      <c r="I1056" s="15" t="n">
        <v>156</v>
      </c>
      <c r="J1056" s="13" t="n">
        <v>25</v>
      </c>
      <c r="K1056" t="n">
        <v>60</v>
      </c>
      <c r="L1056" s="13" t="n">
        <v>3</v>
      </c>
      <c r="M1056" s="12" t="n"/>
      <c r="N1056" s="8" t="n">
        <v>1.54016161225773</v>
      </c>
      <c r="O1056" s="15" t="n">
        <v>1.293093259988763</v>
      </c>
      <c r="P1056" s="15" t="n">
        <v>1.460793357476563</v>
      </c>
      <c r="Q1056" s="15" t="n">
        <v>0.01953725335383757</v>
      </c>
      <c r="R1056" s="15" t="n">
        <v>0.06047794310270775</v>
      </c>
      <c r="S1056" s="15" t="n">
        <v>0.01945517417359098</v>
      </c>
      <c r="T1056" s="42">
        <f>HIPERLINK($A$1 &amp; "\Dados\Imagem_perfil_1056.png", "Imagem_perfil_1056")</f>
        <v/>
      </c>
      <c r="U1056" s="42">
        <f>HIPERLINK($A$1 &amp; "\Dados\Results_airgap1056.txt", "Results_airgap1056")</f>
        <v/>
      </c>
      <c r="V1056" s="19" t="n"/>
      <c r="W1056" s="15" t="n">
        <v>2.078773043478261</v>
      </c>
      <c r="X1056" s="15" t="n">
        <v>1.013613175283632</v>
      </c>
      <c r="Y1056" s="15" t="n">
        <v>0.3890239712187197</v>
      </c>
      <c r="Z1056" s="15" t="n">
        <v>0</v>
      </c>
      <c r="AA1056" s="15" t="n">
        <v>0</v>
      </c>
      <c r="AB1056" s="15" t="n">
        <v>1.750576501190235</v>
      </c>
      <c r="AC1056" s="15" t="n">
        <v>24.45678932103031</v>
      </c>
      <c r="AD1056" s="15" t="n">
        <v>70.96143032687557</v>
      </c>
      <c r="AE1056" s="15" t="n">
        <v>100.4488896070629</v>
      </c>
      <c r="AF1056" s="15" t="n">
        <v>131.4106161736192</v>
      </c>
      <c r="AH1056" s="42">
        <f>HIPERLINK($A$1 &amp; "\Dados\Magnet_fields_1056.txt.txt", "Magnet_fields_1056.txt")</f>
        <v/>
      </c>
      <c r="AI1056" t="n">
        <v>7518</v>
      </c>
      <c r="AJ1056" t="n">
        <v>28</v>
      </c>
      <c r="AK1056" s="42">
        <f>HIPERLINK($A$1 &amp; "\Dados\Magnet_3D_results_1056.txt.txt", "Magnet_3D_results_1056.txt")</f>
        <v/>
      </c>
      <c r="AL1056" s="42">
        <f>HIPERLINK($A$1 &amp; "\Dados\Magnet_fields_2D_1056.txt.txt", "Magnet_fields_2D_1056.txt")</f>
        <v/>
      </c>
    </row>
    <row r="1057">
      <c r="E1057" s="15" t="n">
        <v>136</v>
      </c>
      <c r="F1057" s="15" t="n">
        <v>175</v>
      </c>
      <c r="G1057" s="15" t="n">
        <v>377</v>
      </c>
      <c r="H1057" s="15" t="n">
        <v>39</v>
      </c>
      <c r="I1057" s="15" t="n">
        <v>149</v>
      </c>
      <c r="J1057" s="13" t="n">
        <v>25</v>
      </c>
      <c r="K1057" t="n">
        <v>45</v>
      </c>
      <c r="L1057" s="13" t="n">
        <v>3</v>
      </c>
      <c r="M1057" s="12" t="n"/>
      <c r="N1057" s="8" t="n">
        <v>1.425757695844765</v>
      </c>
      <c r="O1057" s="15" t="n">
        <v>1.165233250325906</v>
      </c>
      <c r="P1057" s="15" t="n">
        <v>1.360448422214273</v>
      </c>
      <c r="Q1057" s="15" t="n">
        <v>0.00281630171521906</v>
      </c>
      <c r="R1057" s="15" t="n">
        <v>0.03668849003849969</v>
      </c>
      <c r="S1057" s="15" t="n">
        <v>0.003222933845224726</v>
      </c>
      <c r="T1057" s="42">
        <f>HIPERLINK($A$1 &amp; "\Dados\Imagem_perfil_1057.png", "Imagem_perfil_1057")</f>
        <v/>
      </c>
      <c r="U1057" s="42">
        <f>HIPERLINK($A$1 &amp; "\Dados\Results_airgap1057.txt", "Results_airgap1057")</f>
        <v/>
      </c>
      <c r="V1057" s="19" t="n"/>
      <c r="W1057" s="15" t="n">
        <v>1.852521956521739</v>
      </c>
      <c r="X1057" s="15" t="n">
        <v>0.9045204345873296</v>
      </c>
      <c r="Y1057" s="15" t="n">
        <v>0.6687224262811904</v>
      </c>
      <c r="Z1057" s="15" t="n">
        <v>0</v>
      </c>
      <c r="AA1057" s="15" t="n">
        <v>0</v>
      </c>
      <c r="AB1057" s="15" t="n">
        <v>1.604593411637832</v>
      </c>
      <c r="AC1057" s="15" t="n">
        <v>12.41293714247301</v>
      </c>
      <c r="AD1057" s="15" t="n">
        <v>46.87991004465246</v>
      </c>
      <c r="AE1057" s="15" t="n">
        <v>85.26557076162806</v>
      </c>
      <c r="AF1057" s="15" t="n">
        <v>117.5612074262957</v>
      </c>
      <c r="AH1057" s="42">
        <f>HIPERLINK($A$1 &amp; "\Dados\Magnet_fields_1057.txt.txt", "Magnet_fields_1057.txt")</f>
        <v/>
      </c>
      <c r="AI1057" t="n">
        <v>6471</v>
      </c>
      <c r="AJ1057" t="n">
        <v>28</v>
      </c>
      <c r="AK1057" s="42">
        <f>HIPERLINK($A$1 &amp; "\Dados\Magnet_3D_results_1057.txt.txt", "Magnet_3D_results_1057.txt")</f>
        <v/>
      </c>
      <c r="AL1057" s="42">
        <f>HIPERLINK($A$1 &amp; "\Dados\Magnet_fields_2D_1057.txt.txt", "Magnet_fields_2D_1057.txt")</f>
        <v/>
      </c>
    </row>
    <row r="1058">
      <c r="E1058" s="15" t="n">
        <v>137</v>
      </c>
      <c r="F1058" s="15" t="n">
        <v>180</v>
      </c>
      <c r="G1058" s="15" t="n">
        <v>368</v>
      </c>
      <c r="H1058" s="15" t="n">
        <v>33</v>
      </c>
      <c r="I1058" s="15" t="n">
        <v>164</v>
      </c>
      <c r="J1058" s="13" t="n">
        <v>25</v>
      </c>
      <c r="K1058" t="n">
        <v>50</v>
      </c>
      <c r="L1058" s="13" t="n">
        <v>3</v>
      </c>
      <c r="M1058" s="12" t="n"/>
      <c r="N1058" s="8" t="n">
        <v>1.373090844303759</v>
      </c>
      <c r="O1058" s="15" t="n">
        <v>1.156243297985639</v>
      </c>
      <c r="P1058" s="15" t="n">
        <v>1.315393375295443</v>
      </c>
      <c r="Q1058" s="15" t="n">
        <v>0.00476738675856562</v>
      </c>
      <c r="R1058" s="15" t="n">
        <v>0.03637291856230774</v>
      </c>
      <c r="S1058" s="15" t="n">
        <v>0.005024290380982946</v>
      </c>
      <c r="T1058" s="42">
        <f>HIPERLINK($A$1 &amp; "\Dados\Imagem_perfil_1058.png", "Imagem_perfil_1058")</f>
        <v/>
      </c>
      <c r="U1058" s="42">
        <f>HIPERLINK($A$1 &amp; "\Dados\Results_airgap1058.txt", "Results_airgap1058")</f>
        <v/>
      </c>
      <c r="V1058" s="19" t="n"/>
      <c r="W1058" s="15" t="n">
        <v>1.758447391304348</v>
      </c>
      <c r="X1058" s="15" t="n">
        <v>0.8944094355746489</v>
      </c>
      <c r="Y1058" s="15" t="n">
        <v>0.7470968427522501</v>
      </c>
      <c r="Z1058" s="15" t="n">
        <v>0.00118349327334978</v>
      </c>
      <c r="AA1058" s="15" t="n">
        <v>2.210028575320081</v>
      </c>
      <c r="AB1058" s="15" t="n">
        <v>1.44898445087684</v>
      </c>
      <c r="AC1058" s="15" t="n">
        <v>11.89752570451501</v>
      </c>
      <c r="AD1058" s="15" t="n">
        <v>47.01900893484896</v>
      </c>
      <c r="AE1058" s="15" t="n">
        <v>86.23520356464397</v>
      </c>
      <c r="AF1058" s="15" t="n">
        <v>120.4940164217571</v>
      </c>
      <c r="AH1058" s="42">
        <f>HIPERLINK($A$1 &amp; "\Dados\Magnet_fields_1058.txt.txt", "Magnet_fields_1058.txt")</f>
        <v/>
      </c>
      <c r="AI1058" t="n">
        <v>7905</v>
      </c>
      <c r="AJ1058" t="n">
        <v>29</v>
      </c>
      <c r="AK1058" s="42">
        <f>HIPERLINK($A$1 &amp; "\Dados\Magnet_3D_results_1058.txt.txt", "Magnet_3D_results_1058.txt")</f>
        <v/>
      </c>
      <c r="AL1058" s="42">
        <f>HIPERLINK($A$1 &amp; "\Dados\Magnet_fields_2D_1058.txt.txt", "Magnet_fields_2D_1058.txt")</f>
        <v/>
      </c>
    </row>
    <row r="1059">
      <c r="E1059" s="15" t="n">
        <v>126</v>
      </c>
      <c r="F1059" s="15" t="n">
        <v>172</v>
      </c>
      <c r="G1059" s="15" t="n">
        <v>376</v>
      </c>
      <c r="H1059" s="15" t="n">
        <v>35</v>
      </c>
      <c r="I1059" s="15" t="n">
        <v>141</v>
      </c>
      <c r="J1059" s="13" t="n">
        <v>25</v>
      </c>
      <c r="K1059" t="n">
        <v>50</v>
      </c>
      <c r="L1059" s="13" t="n">
        <v>3</v>
      </c>
      <c r="M1059" s="12" t="n"/>
      <c r="N1059" s="8" t="n">
        <v>1.30952206079008</v>
      </c>
      <c r="O1059" s="15" t="n">
        <v>1.012580179042445</v>
      </c>
      <c r="P1059" s="15" t="n">
        <v>1.226829705825305</v>
      </c>
      <c r="Q1059" s="15" t="n">
        <v>0.006493332991769716</v>
      </c>
      <c r="R1059" s="15" t="n">
        <v>0.04550382001249741</v>
      </c>
      <c r="S1059" s="15" t="n">
        <v>0.007756683015138243</v>
      </c>
      <c r="T1059" s="42">
        <f>HIPERLINK($A$1 &amp; "\Dados\Imagem_perfil_1059.png", "Imagem_perfil_1059")</f>
        <v/>
      </c>
      <c r="U1059" s="42">
        <f>HIPERLINK($A$1 &amp; "\Dados\Results_airgap1059.txt", "Results_airgap1059")</f>
        <v/>
      </c>
      <c r="V1059" s="19" t="n"/>
      <c r="W1059" s="15" t="n">
        <v>1.801463043478261</v>
      </c>
      <c r="X1059" s="15" t="n">
        <v>0.8618958130449945</v>
      </c>
      <c r="Y1059" s="15" t="n">
        <v>0.7326237336245636</v>
      </c>
      <c r="Z1059" s="15" t="n">
        <v>0.001290390447795655</v>
      </c>
      <c r="AA1059" s="15" t="n">
        <v>0.02075985027418378</v>
      </c>
      <c r="AB1059" s="15" t="n">
        <v>2.067727565808208</v>
      </c>
      <c r="AC1059" s="15" t="n">
        <v>13.76539116518798</v>
      </c>
      <c r="AD1059" s="15" t="n">
        <v>50.26866289263051</v>
      </c>
      <c r="AE1059" s="15" t="n">
        <v>89.8559046400803</v>
      </c>
      <c r="AF1059" s="15" t="n">
        <v>122.0210515781093</v>
      </c>
      <c r="AH1059" s="42">
        <f>HIPERLINK($A$1 &amp; "\Dados\Magnet_fields_1059.txt.txt", "Magnet_fields_1059.txt")</f>
        <v/>
      </c>
      <c r="AI1059" t="n">
        <v>7701</v>
      </c>
      <c r="AJ1059" t="n">
        <v>29</v>
      </c>
      <c r="AK1059" s="42">
        <f>HIPERLINK($A$1 &amp; "\Dados\Magnet_3D_results_1059.txt.txt", "Magnet_3D_results_1059.txt")</f>
        <v/>
      </c>
      <c r="AL1059" s="42">
        <f>HIPERLINK($A$1 &amp; "\Dados\Magnet_fields_2D_1059.txt.txt", "Magnet_fields_2D_1059.txt")</f>
        <v/>
      </c>
    </row>
    <row r="1060">
      <c r="E1060" s="15" t="n">
        <v>142</v>
      </c>
      <c r="F1060" s="15" t="n">
        <v>183</v>
      </c>
      <c r="G1060" s="15" t="n">
        <v>413</v>
      </c>
      <c r="H1060" s="15" t="n">
        <v>42</v>
      </c>
      <c r="I1060" s="15" t="n">
        <v>173</v>
      </c>
      <c r="J1060" s="13" t="n">
        <v>25</v>
      </c>
      <c r="K1060" t="n">
        <v>50</v>
      </c>
      <c r="L1060" s="13" t="n">
        <v>3</v>
      </c>
      <c r="M1060" s="12" t="n"/>
      <c r="N1060" s="8" t="n">
        <v>1.520723443570782</v>
      </c>
      <c r="O1060" s="15" t="n">
        <v>1.318062980679197</v>
      </c>
      <c r="P1060" s="15" t="n">
        <v>1.460350203875246</v>
      </c>
      <c r="Q1060" s="15" t="n">
        <v>0.005733820670028523</v>
      </c>
      <c r="R1060" s="15" t="n">
        <v>0.05043200421608338</v>
      </c>
      <c r="S1060" s="15" t="n">
        <v>0.006120160198312488</v>
      </c>
      <c r="T1060" s="42">
        <f>HIPERLINK($A$1 &amp; "\Dados\Imagem_perfil_1060.png", "Imagem_perfil_1060")</f>
        <v/>
      </c>
      <c r="U1060" s="42">
        <f>HIPERLINK($A$1 &amp; "\Dados\Results_airgap1060.txt", "Results_airgap1060")</f>
        <v/>
      </c>
      <c r="V1060" s="19" t="n"/>
      <c r="W1060" s="15" t="n">
        <v>1.953424565217391</v>
      </c>
      <c r="X1060" s="15" t="n">
        <v>0.940624189837563</v>
      </c>
      <c r="Y1060" s="15" t="n">
        <v>0.5459593523559253</v>
      </c>
      <c r="Z1060" s="15" t="n">
        <v>0</v>
      </c>
      <c r="AA1060" s="15" t="n">
        <v>0.009466088248996441</v>
      </c>
      <c r="AB1060" s="15" t="n">
        <v>1.089215405784955</v>
      </c>
      <c r="AC1060" s="15" t="n">
        <v>10.10273475925818</v>
      </c>
      <c r="AD1060" s="15" t="n">
        <v>51.5821757815917</v>
      </c>
      <c r="AE1060" s="15" t="n">
        <v>92.89412430177761</v>
      </c>
      <c r="AF1060" s="15" t="n">
        <v>123.0715590425521</v>
      </c>
      <c r="AH1060" s="42">
        <f>HIPERLINK($A$1 &amp; "\Dados\Magnet_fields_1060.txt.txt", "Magnet_fields_1060.txt")</f>
        <v/>
      </c>
      <c r="AI1060" t="n">
        <v>6968</v>
      </c>
      <c r="AJ1060" t="n">
        <v>29</v>
      </c>
      <c r="AK1060" s="42">
        <f>HIPERLINK($A$1 &amp; "\Dados\Magnet_3D_results_1060.txt.txt", "Magnet_3D_results_1060.txt")</f>
        <v/>
      </c>
      <c r="AL1060" s="42">
        <f>HIPERLINK($A$1 &amp; "\Dados\Magnet_fields_2D_1060.txt.txt", "Magnet_fields_2D_1060.txt")</f>
        <v/>
      </c>
    </row>
    <row r="1061">
      <c r="E1061" s="15" t="n">
        <v>139</v>
      </c>
      <c r="F1061" s="15" t="n">
        <v>186</v>
      </c>
      <c r="G1061" s="15" t="n">
        <v>424</v>
      </c>
      <c r="H1061" s="15" t="n">
        <v>37</v>
      </c>
      <c r="I1061" s="15" t="n">
        <v>160</v>
      </c>
      <c r="J1061" s="13" t="n">
        <v>25</v>
      </c>
      <c r="K1061" t="n">
        <v>55</v>
      </c>
      <c r="L1061" s="13" t="n">
        <v>3</v>
      </c>
      <c r="M1061" s="12" t="n"/>
      <c r="N1061" s="8" t="n">
        <v>1.447522543146019</v>
      </c>
      <c r="O1061" s="15" t="n">
        <v>1.235943882022585</v>
      </c>
      <c r="P1061" s="15" t="n">
        <v>1.381525223300204</v>
      </c>
      <c r="Q1061" s="15" t="n">
        <v>0.01230898118580324</v>
      </c>
      <c r="R1061" s="15" t="n">
        <v>0.06139626824381655</v>
      </c>
      <c r="S1061" s="15" t="n">
        <v>0.01275190395705107</v>
      </c>
      <c r="T1061" s="42">
        <f>HIPERLINK($A$1 &amp; "\Dados\Imagem_perfil_1061.png", "Imagem_perfil_1061")</f>
        <v/>
      </c>
      <c r="U1061" s="42">
        <f>HIPERLINK($A$1 &amp; "\Dados\Results_airgap1061.txt", "Results_airgap1061")</f>
        <v/>
      </c>
      <c r="V1061" s="19" t="n"/>
      <c r="W1061" s="15" t="n">
        <v>1.970278043478261</v>
      </c>
      <c r="X1061" s="15" t="n">
        <v>0.9216548624447479</v>
      </c>
      <c r="Y1061" s="15" t="n">
        <v>0.5225433899497824</v>
      </c>
      <c r="Z1061" s="15" t="n">
        <v>0.003269344693491424</v>
      </c>
      <c r="AA1061" s="15" t="n">
        <v>0</v>
      </c>
      <c r="AB1061" s="15" t="n">
        <v>1.247266650287733</v>
      </c>
      <c r="AC1061" s="15" t="n">
        <v>18.10653455266862</v>
      </c>
      <c r="AD1061" s="15" t="n">
        <v>65.20757753112954</v>
      </c>
      <c r="AE1061" s="15" t="n">
        <v>97.25883686103556</v>
      </c>
      <c r="AF1061" s="15" t="n">
        <v>127.2675530021805</v>
      </c>
      <c r="AH1061" s="42">
        <f>HIPERLINK($A$1 &amp; "\Dados\Magnet_fields_1061.txt.txt", "Magnet_fields_1061.txt")</f>
        <v/>
      </c>
      <c r="AI1061" t="n">
        <v>11362</v>
      </c>
      <c r="AJ1061" t="n">
        <v>30</v>
      </c>
      <c r="AK1061" s="42">
        <f>HIPERLINK($A$1 &amp; "\Dados\Magnet_3D_results_1061.txt.txt", "Magnet_3D_results_1061.txt")</f>
        <v/>
      </c>
      <c r="AL1061" s="42">
        <f>HIPERLINK($A$1 &amp; "\Dados\Magnet_fields_2D_1061.txt.txt", "Magnet_fields_2D_1061.txt")</f>
        <v/>
      </c>
    </row>
    <row r="1062">
      <c r="E1062" s="15" t="n">
        <v>148</v>
      </c>
      <c r="F1062" s="15" t="n">
        <v>180</v>
      </c>
      <c r="G1062" s="15" t="n">
        <v>376</v>
      </c>
      <c r="H1062" s="15" t="n">
        <v>30</v>
      </c>
      <c r="I1062" s="15" t="n">
        <v>145</v>
      </c>
      <c r="J1062" s="13" t="n">
        <v>25</v>
      </c>
      <c r="K1062" t="n">
        <v>55</v>
      </c>
      <c r="L1062" s="13" t="n">
        <v>3</v>
      </c>
      <c r="M1062" s="12" t="n"/>
      <c r="N1062" s="8" t="n">
        <v>1.513623007823185</v>
      </c>
      <c r="O1062" s="15" t="n">
        <v>1.208175254753388</v>
      </c>
      <c r="P1062" s="15" t="n">
        <v>1.424126715226369</v>
      </c>
      <c r="Q1062" s="15" t="n">
        <v>0.008537563801442421</v>
      </c>
      <c r="R1062" s="15" t="n">
        <v>0.03512990220192602</v>
      </c>
      <c r="S1062" s="15" t="n">
        <v>0.008912223101005349</v>
      </c>
      <c r="T1062" s="42">
        <f>HIPERLINK($A$1 &amp; "\Dados\Imagem_perfil_1062.png", "Imagem_perfil_1062")</f>
        <v/>
      </c>
      <c r="U1062" s="42">
        <f>HIPERLINK($A$1 &amp; "\Dados\Results_airgap1062.txt", "Results_airgap1062")</f>
        <v/>
      </c>
      <c r="V1062" s="19" t="n"/>
      <c r="W1062" s="15" t="n">
        <v>1.984848913043478</v>
      </c>
      <c r="X1062" s="15" t="n">
        <v>0.9654184888899309</v>
      </c>
      <c r="Y1062" s="15" t="n">
        <v>0.4378810736903581</v>
      </c>
      <c r="Z1062" s="15" t="n">
        <v>0.007459601297990403</v>
      </c>
      <c r="AA1062" s="15" t="n">
        <v>4.605491794104084</v>
      </c>
      <c r="AB1062" s="15" t="n">
        <v>0</v>
      </c>
      <c r="AC1062" s="15" t="n">
        <v>11.92403640553113</v>
      </c>
      <c r="AD1062" s="15" t="n">
        <v>60.44507707356625</v>
      </c>
      <c r="AE1062" s="15" t="n">
        <v>96.17901815621178</v>
      </c>
      <c r="AF1062" s="15" t="n">
        <v>126.9023577857904</v>
      </c>
      <c r="AH1062" s="42">
        <f>HIPERLINK($A$1 &amp; "\Dados\Magnet_fields_1062.txt.txt", "Magnet_fields_1062.txt")</f>
        <v/>
      </c>
      <c r="AI1062" t="n">
        <v>13014</v>
      </c>
      <c r="AJ1062" t="n">
        <v>30</v>
      </c>
      <c r="AK1062" s="42">
        <f>HIPERLINK($A$1 &amp; "\Dados\Magnet_3D_results_1062.txt.txt", "Magnet_3D_results_1062.txt")</f>
        <v/>
      </c>
      <c r="AL1062" s="42">
        <f>HIPERLINK($A$1 &amp; "\Dados\Magnet_fields_2D_1062.txt.txt", "Magnet_fields_2D_1062.txt")</f>
        <v/>
      </c>
    </row>
    <row r="1063">
      <c r="E1063" s="15" t="n">
        <v>138</v>
      </c>
      <c r="F1063" s="15" t="n">
        <v>179</v>
      </c>
      <c r="G1063" s="15" t="n">
        <v>379</v>
      </c>
      <c r="H1063" s="15" t="n">
        <v>41</v>
      </c>
      <c r="I1063" s="15" t="n">
        <v>157</v>
      </c>
      <c r="J1063" s="13" t="n">
        <v>25</v>
      </c>
      <c r="K1063" t="n">
        <v>55</v>
      </c>
      <c r="L1063" s="13" t="n">
        <v>3</v>
      </c>
      <c r="M1063" s="12" t="n"/>
      <c r="N1063" s="8" t="n">
        <v>1.438429841667654</v>
      </c>
      <c r="O1063" s="15" t="n">
        <v>1.187982011196638</v>
      </c>
      <c r="P1063" s="15" t="n">
        <v>1.363713478058189</v>
      </c>
      <c r="Q1063" s="15" t="n">
        <v>0.009480688646436534</v>
      </c>
      <c r="R1063" s="15" t="n">
        <v>0.04670530511367234</v>
      </c>
      <c r="S1063" s="15" t="n">
        <v>0.01036495849581679</v>
      </c>
      <c r="T1063" s="42">
        <f>HIPERLINK($A$1 &amp; "\Dados\Imagem_perfil_1063.png", "Imagem_perfil_1063")</f>
        <v/>
      </c>
      <c r="U1063" s="42">
        <f>HIPERLINK($A$1 &amp; "\Dados\Results_airgap1063.txt", "Results_airgap1063")</f>
        <v/>
      </c>
      <c r="V1063" s="19" t="n"/>
      <c r="W1063" s="15" t="n">
        <v>1.874752173913043</v>
      </c>
      <c r="X1063" s="15" t="n">
        <v>0.9141103424422937</v>
      </c>
      <c r="Y1063" s="15" t="n">
        <v>0.5871750220288557</v>
      </c>
      <c r="Z1063" s="15" t="n">
        <v>0</v>
      </c>
      <c r="AA1063" s="15" t="n">
        <v>0</v>
      </c>
      <c r="AB1063" s="15" t="n">
        <v>1.047449382904789</v>
      </c>
      <c r="AC1063" s="15" t="n">
        <v>12.81707008951046</v>
      </c>
      <c r="AD1063" s="15" t="n">
        <v>57.14482946222045</v>
      </c>
      <c r="AE1063" s="15" t="n">
        <v>94.34052152565872</v>
      </c>
      <c r="AF1063" s="15" t="n">
        <v>126.0546278159102</v>
      </c>
      <c r="AH1063" s="42">
        <f>HIPERLINK($A$1 &amp; "\Dados\Magnet_fields_1063.txt.txt", "Magnet_fields_1063.txt")</f>
        <v/>
      </c>
      <c r="AI1063" t="n">
        <v>10158</v>
      </c>
      <c r="AJ1063" t="n">
        <v>30</v>
      </c>
      <c r="AK1063" s="42">
        <f>HIPERLINK($A$1 &amp; "\Dados\Magnet_3D_results_1063.txt.txt", "Magnet_3D_results_1063.txt")</f>
        <v/>
      </c>
      <c r="AL1063" s="42">
        <f>HIPERLINK($A$1 &amp; "\Dados\Magnet_fields_2D_1063.txt.txt", "Magnet_fields_2D_1063.txt")</f>
        <v/>
      </c>
    </row>
    <row r="1064">
      <c r="E1064" s="15" t="n">
        <v>148</v>
      </c>
      <c r="F1064" s="15" t="n">
        <v>184</v>
      </c>
      <c r="G1064" s="15" t="n">
        <v>421</v>
      </c>
      <c r="H1064" s="15" t="n">
        <v>35</v>
      </c>
      <c r="I1064" s="15" t="n">
        <v>149</v>
      </c>
      <c r="J1064" s="13" t="n">
        <v>25</v>
      </c>
      <c r="K1064" t="n">
        <v>60</v>
      </c>
      <c r="L1064" s="13" t="n">
        <v>3</v>
      </c>
      <c r="M1064" s="12" t="n"/>
      <c r="N1064" s="8" t="n">
        <v>1.545774461976011</v>
      </c>
      <c r="O1064" s="15" t="n">
        <v>1.275465814765796</v>
      </c>
      <c r="P1064" s="15" t="n">
        <v>1.466527920383575</v>
      </c>
      <c r="Q1064" s="15" t="n">
        <v>0.02054424617944107</v>
      </c>
      <c r="R1064" s="15" t="n">
        <v>0.05643798819481471</v>
      </c>
      <c r="S1064" s="15" t="n">
        <v>0.02059478079857629</v>
      </c>
      <c r="T1064" s="42">
        <f>HIPERLINK($A$1 &amp; "\Dados\Imagem_perfil_1064.png", "Imagem_perfil_1064")</f>
        <v/>
      </c>
      <c r="U1064" s="42">
        <f>HIPERLINK($A$1 &amp; "\Dados\Results_airgap1064.txt", "Results_airgap1064")</f>
        <v/>
      </c>
      <c r="V1064" s="19" t="n"/>
      <c r="W1064" s="15" t="n">
        <v>2.143900217391304</v>
      </c>
      <c r="X1064" s="15" t="n">
        <v>0.9948592342097251</v>
      </c>
      <c r="Y1064" s="15" t="n">
        <v>0.3220219259627241</v>
      </c>
      <c r="Z1064" s="15" t="n">
        <v>0</v>
      </c>
      <c r="AA1064" s="15" t="n">
        <v>2.050717432110669</v>
      </c>
      <c r="AB1064" s="15" t="n">
        <v>1.610908792165166</v>
      </c>
      <c r="AC1064" s="15" t="n">
        <v>19.98691858542453</v>
      </c>
      <c r="AD1064" s="15" t="n">
        <v>66.77147951051126</v>
      </c>
      <c r="AE1064" s="15" t="n">
        <v>99.90945513055986</v>
      </c>
      <c r="AF1064" s="15" t="n">
        <v>131.5477510763924</v>
      </c>
      <c r="AH1064" s="42">
        <f>HIPERLINK($A$1 &amp; "\Dados\Magnet_fields_1064.txt.txt", "Magnet_fields_1064.txt")</f>
        <v/>
      </c>
      <c r="AI1064" t="n">
        <v>8381</v>
      </c>
      <c r="AJ1064" t="n">
        <v>29</v>
      </c>
      <c r="AK1064" s="42">
        <f>HIPERLINK($A$1 &amp; "\Dados\Magnet_3D_results_1064.txt.txt", "Magnet_3D_results_1064.txt")</f>
        <v/>
      </c>
      <c r="AL1064" s="42">
        <f>HIPERLINK($A$1 &amp; "\Dados\Magnet_fields_2D_1064.txt.txt", "Magnet_fields_2D_1064.txt")</f>
        <v/>
      </c>
    </row>
    <row r="1065">
      <c r="E1065" s="15" t="n">
        <v>130</v>
      </c>
      <c r="F1065" s="15" t="n">
        <v>175</v>
      </c>
      <c r="G1065" s="15" t="n">
        <v>400</v>
      </c>
      <c r="H1065" s="15" t="n">
        <v>33</v>
      </c>
      <c r="I1065" s="15" t="n">
        <v>176</v>
      </c>
      <c r="J1065" s="13" t="n">
        <v>25</v>
      </c>
      <c r="K1065" t="n">
        <v>45</v>
      </c>
      <c r="L1065" s="13" t="n">
        <v>3</v>
      </c>
      <c r="M1065" s="12" t="n"/>
      <c r="N1065" s="8" t="n">
        <v>1.451692941099218</v>
      </c>
      <c r="O1065" s="15" t="n">
        <v>1.276485296893771</v>
      </c>
      <c r="P1065" s="15" t="n">
        <v>1.398250663817831</v>
      </c>
      <c r="Q1065" s="15" t="n">
        <v>0.003512485470969854</v>
      </c>
      <c r="R1065" s="15" t="n">
        <v>0.04601203720013646</v>
      </c>
      <c r="S1065" s="15" t="n">
        <v>0.003652354356551648</v>
      </c>
      <c r="T1065" s="42">
        <f>HIPERLINK($A$1 &amp; "\Dados\Imagem_perfil_1065.png", "Imagem_perfil_1065")</f>
        <v/>
      </c>
      <c r="U1065" s="42">
        <f>HIPERLINK($A$1 &amp; "\Dados\Results_airgap1065.txt", "Results_airgap1065")</f>
        <v/>
      </c>
      <c r="V1065" s="19" t="n"/>
      <c r="W1065" s="15" t="n">
        <v>1.836809565217391</v>
      </c>
      <c r="X1065" s="15" t="n">
        <v>0.9191700577625551</v>
      </c>
      <c r="Y1065" s="15" t="n">
        <v>0.7384593015425495</v>
      </c>
      <c r="Z1065" s="15" t="n">
        <v>0.00554141575008472</v>
      </c>
      <c r="AA1065" s="15" t="n">
        <v>0.08117731017561204</v>
      </c>
      <c r="AB1065" s="15" t="n">
        <v>2.796353399541692</v>
      </c>
      <c r="AC1065" s="15" t="n">
        <v>14.32094027262496</v>
      </c>
      <c r="AD1065" s="15" t="n">
        <v>46.15998910293724</v>
      </c>
      <c r="AE1065" s="15" t="n">
        <v>85.28746809745425</v>
      </c>
      <c r="AF1065" s="15" t="n">
        <v>117.8509046057456</v>
      </c>
      <c r="AH1065" s="42">
        <f>HIPERLINK($A$1 &amp; "\Dados\Magnet_fields_1065.txt.txt", "Magnet_fields_1065.txt")</f>
        <v/>
      </c>
      <c r="AI1065" t="n">
        <v>7576</v>
      </c>
      <c r="AJ1065" t="n">
        <v>29</v>
      </c>
      <c r="AK1065" s="42">
        <f>HIPERLINK($A$1 &amp; "\Dados\Magnet_3D_results_1065.txt.txt", "Magnet_3D_results_1065.txt")</f>
        <v/>
      </c>
      <c r="AL1065" s="42">
        <f>HIPERLINK($A$1 &amp; "\Dados\Magnet_fields_2D_1065.txt.txt", "Magnet_fields_2D_1065.txt")</f>
        <v/>
      </c>
    </row>
    <row r="1066">
      <c r="E1066" s="15" t="n">
        <v>142</v>
      </c>
      <c r="F1066" s="15" t="n">
        <v>183</v>
      </c>
      <c r="G1066" s="15" t="n">
        <v>387</v>
      </c>
      <c r="H1066" s="15" t="n">
        <v>30</v>
      </c>
      <c r="I1066" s="15" t="n">
        <v>166</v>
      </c>
      <c r="J1066" s="13" t="n">
        <v>25</v>
      </c>
      <c r="K1066" t="n">
        <v>55</v>
      </c>
      <c r="L1066" s="13" t="n">
        <v>3</v>
      </c>
      <c r="M1066" s="12" t="n"/>
      <c r="N1066" s="8" t="n">
        <v>1.466302768133662</v>
      </c>
      <c r="O1066" s="15" t="n">
        <v>1.237850663458233</v>
      </c>
      <c r="P1066" s="15" t="n">
        <v>1.397898879329483</v>
      </c>
      <c r="Q1066" s="15" t="n">
        <v>0.008957978443265145</v>
      </c>
      <c r="R1066" s="15" t="n">
        <v>0.04460093145249098</v>
      </c>
      <c r="S1066" s="15" t="n">
        <v>0.009088598578047649</v>
      </c>
      <c r="T1066" s="42">
        <f>HIPERLINK($A$1 &amp; "\Dados\Imagem_perfil_1066.png", "Imagem_perfil_1066")</f>
        <v/>
      </c>
      <c r="U1066" s="42">
        <f>HIPERLINK($A$1 &amp; "\Dados\Results_airgap1066.txt", "Results_airgap1066")</f>
        <v/>
      </c>
      <c r="V1066" s="19" t="n"/>
      <c r="W1066" s="15" t="n">
        <v>1.899294565217392</v>
      </c>
      <c r="X1066" s="15" t="n">
        <v>0.9362432197040917</v>
      </c>
      <c r="Y1066" s="15" t="n">
        <v>0.5555853304425997</v>
      </c>
      <c r="Z1066" s="15" t="n">
        <v>0.03515290664373474</v>
      </c>
      <c r="AA1066" s="15" t="n">
        <v>2.067703901628815</v>
      </c>
      <c r="AB1066" s="15" t="n">
        <v>0.03723675226668737</v>
      </c>
      <c r="AC1066" s="15" t="n">
        <v>13.95828628947571</v>
      </c>
      <c r="AD1066" s="15" t="n">
        <v>64.21282658625856</v>
      </c>
      <c r="AE1066" s="15" t="n">
        <v>96.97954354161284</v>
      </c>
      <c r="AF1066" s="15" t="n">
        <v>126.8180157074819</v>
      </c>
      <c r="AH1066" s="42">
        <f>HIPERLINK($A$1 &amp; "\Dados\Magnet_fields_1066.txt.txt", "Magnet_fields_1066.txt")</f>
        <v/>
      </c>
      <c r="AI1066" t="n">
        <v>11577</v>
      </c>
      <c r="AJ1066" t="n">
        <v>30</v>
      </c>
      <c r="AK1066" s="42">
        <f>HIPERLINK($A$1 &amp; "\Dados\Magnet_3D_results_1066.txt.txt", "Magnet_3D_results_1066.txt")</f>
        <v/>
      </c>
      <c r="AL1066" s="42">
        <f>HIPERLINK($A$1 &amp; "\Dados\Magnet_fields_2D_1066.txt.txt", "Magnet_fields_2D_1066.txt")</f>
        <v/>
      </c>
    </row>
    <row r="1067">
      <c r="E1067" s="15" t="n">
        <v>147</v>
      </c>
      <c r="F1067" s="15" t="n">
        <v>195</v>
      </c>
      <c r="G1067" s="15" t="n">
        <v>389</v>
      </c>
      <c r="H1067" s="15" t="n">
        <v>26</v>
      </c>
      <c r="I1067" s="15" t="n">
        <v>140</v>
      </c>
      <c r="J1067" s="13" t="n">
        <v>25</v>
      </c>
      <c r="K1067" t="n">
        <v>45</v>
      </c>
      <c r="L1067" s="13" t="n">
        <v>3</v>
      </c>
      <c r="M1067" s="12" t="n"/>
      <c r="N1067" s="8" t="n">
        <v>1.191795732030398</v>
      </c>
      <c r="O1067" s="15" t="n">
        <v>0.9081279646545711</v>
      </c>
      <c r="P1067" s="15" t="n">
        <v>1.114229797371602</v>
      </c>
      <c r="Q1067" s="15" t="n">
        <v>0.001813472788336952</v>
      </c>
      <c r="R1067" s="15" t="n">
        <v>0.02977120251270098</v>
      </c>
      <c r="S1067" s="15" t="n">
        <v>0.002760658492135553</v>
      </c>
      <c r="T1067" s="42">
        <f>HIPERLINK($A$1 &amp; "\Dados\Imagem_perfil_1067.png", "Imagem_perfil_1067")</f>
        <v/>
      </c>
      <c r="U1067" s="42">
        <f>HIPERLINK($A$1 &amp; "\Dados\Results_airgap1067.txt", "Results_airgap1067")</f>
        <v/>
      </c>
      <c r="V1067" s="19" t="n"/>
      <c r="W1067" s="15" t="n">
        <v>1.650101521739131</v>
      </c>
      <c r="X1067" s="15" t="n">
        <v>0.7913839602708664</v>
      </c>
      <c r="Y1067" s="15" t="n">
        <v>0.9013968785174395</v>
      </c>
      <c r="Z1067" s="15" t="n">
        <v>0</v>
      </c>
      <c r="AA1067" s="15" t="n">
        <v>3.851230312966682</v>
      </c>
      <c r="AB1067" s="15" t="n">
        <v>0.5223688234570116</v>
      </c>
      <c r="AC1067" s="15" t="n">
        <v>7.990993272083924</v>
      </c>
      <c r="AD1067" s="15" t="n">
        <v>41.55148464474584</v>
      </c>
      <c r="AE1067" s="15" t="n">
        <v>84.73948629166077</v>
      </c>
      <c r="AF1067" s="15" t="n">
        <v>117.4591883850024</v>
      </c>
      <c r="AH1067" s="42">
        <f>HIPERLINK($A$1 &amp; "\Dados\Magnet_fields_1067.txt.txt", "Magnet_fields_1067.txt")</f>
        <v/>
      </c>
      <c r="AI1067" t="n">
        <v>8228</v>
      </c>
      <c r="AJ1067" t="n">
        <v>29</v>
      </c>
      <c r="AK1067" s="42">
        <f>HIPERLINK($A$1 &amp; "\Dados\Magnet_3D_results_1067.txt.txt", "Magnet_3D_results_1067.txt")</f>
        <v/>
      </c>
      <c r="AL1067" s="42">
        <f>HIPERLINK($A$1 &amp; "\Dados\Magnet_fields_2D_1067.txt.txt", "Magnet_fields_2D_1067.txt")</f>
        <v/>
      </c>
    </row>
    <row r="1068">
      <c r="E1068" s="15" t="n">
        <v>148</v>
      </c>
      <c r="F1068" s="15" t="n">
        <v>178</v>
      </c>
      <c r="G1068" s="15" t="n">
        <v>391</v>
      </c>
      <c r="H1068" s="15" t="n">
        <v>32</v>
      </c>
      <c r="I1068" s="15" t="n">
        <v>178</v>
      </c>
      <c r="J1068" s="13" t="n">
        <v>25</v>
      </c>
      <c r="K1068" t="n">
        <v>50</v>
      </c>
      <c r="L1068" s="13" t="n">
        <v>3</v>
      </c>
      <c r="M1068" s="12" t="n"/>
      <c r="N1068" s="8" t="n">
        <v>1.646272987880445</v>
      </c>
      <c r="O1068" s="15" t="n">
        <v>1.488923453001913</v>
      </c>
      <c r="P1068" s="15" t="n">
        <v>1.61105191007121</v>
      </c>
      <c r="Q1068" s="15" t="n">
        <v>0.007116341834233915</v>
      </c>
      <c r="R1068" s="15" t="n">
        <v>0.03824655571322099</v>
      </c>
      <c r="S1068" s="15" t="n">
        <v>0.007185656181536882</v>
      </c>
      <c r="T1068" s="42">
        <f>HIPERLINK($A$1 &amp; "\Dados\Imagem_perfil_1068.png", "Imagem_perfil_1068")</f>
        <v/>
      </c>
      <c r="U1068" s="42">
        <f>HIPERLINK($A$1 &amp; "\Dados\Results_airgap1068.txt", "Results_airgap1068")</f>
        <v/>
      </c>
      <c r="V1068" s="19" t="n"/>
      <c r="W1068" s="15" t="n">
        <v>2.042307173913044</v>
      </c>
      <c r="X1068" s="15" t="n">
        <v>1.019372229671315</v>
      </c>
      <c r="Y1068" s="15" t="n">
        <v>0.3991478047036459</v>
      </c>
      <c r="Z1068" s="15" t="n">
        <v>0.03529152049510965</v>
      </c>
      <c r="AA1068" s="15" t="n">
        <v>2.649800993654393</v>
      </c>
      <c r="AB1068" s="15" t="n">
        <v>0</v>
      </c>
      <c r="AC1068" s="15" t="n">
        <v>3.394595241568376</v>
      </c>
      <c r="AD1068" s="15" t="n">
        <v>53.80805016199812</v>
      </c>
      <c r="AE1068" s="15" t="n">
        <v>95.64672935013091</v>
      </c>
      <c r="AF1068" s="15" t="n">
        <v>123.8896538240746</v>
      </c>
      <c r="AH1068" s="42">
        <f>HIPERLINK($A$1 &amp; "\Dados\Magnet_fields_1068.txt.txt", "Magnet_fields_1068.txt")</f>
        <v/>
      </c>
      <c r="AI1068" t="n">
        <v>8416</v>
      </c>
      <c r="AJ1068" t="n">
        <v>29</v>
      </c>
      <c r="AK1068" s="42">
        <f>HIPERLINK($A$1 &amp; "\Dados\Magnet_3D_results_1068.txt.txt", "Magnet_3D_results_1068.txt")</f>
        <v/>
      </c>
      <c r="AL1068" s="42">
        <f>HIPERLINK($A$1 &amp; "\Dados\Magnet_fields_2D_1068.txt.txt", "Magnet_fields_2D_1068.txt")</f>
        <v/>
      </c>
    </row>
    <row r="1069">
      <c r="E1069" s="15" t="n">
        <v>136</v>
      </c>
      <c r="F1069" s="15" t="n">
        <v>185</v>
      </c>
      <c r="G1069" s="15" t="n">
        <v>351</v>
      </c>
      <c r="H1069" s="15" t="n">
        <v>26</v>
      </c>
      <c r="I1069" s="15" t="n">
        <v>146</v>
      </c>
      <c r="J1069" s="13" t="n">
        <v>25</v>
      </c>
      <c r="K1069" t="n">
        <v>55</v>
      </c>
      <c r="L1069" s="13" t="n">
        <v>3</v>
      </c>
      <c r="M1069" s="12" t="n"/>
      <c r="N1069" s="8" t="n">
        <v>1.184123858480557</v>
      </c>
      <c r="O1069" s="15" t="n">
        <v>0.9386196786352644</v>
      </c>
      <c r="P1069" s="15" t="n">
        <v>1.111252932031906</v>
      </c>
      <c r="Q1069" s="15" t="n">
        <v>0.009625569857167086</v>
      </c>
      <c r="R1069" s="15" t="n">
        <v>0.03320620578691438</v>
      </c>
      <c r="S1069" s="15" t="n">
        <v>0.01012559183634316</v>
      </c>
      <c r="T1069" s="42">
        <f>HIPERLINK($A$1 &amp; "\Dados\Imagem_perfil_1069.png", "Imagem_perfil_1069")</f>
        <v/>
      </c>
      <c r="U1069" s="42">
        <f>HIPERLINK($A$1 &amp; "\Dados\Results_airgap1069.txt", "Results_airgap1069")</f>
        <v/>
      </c>
      <c r="V1069" s="19" t="n"/>
      <c r="W1069" s="15" t="n">
        <v>1.599409130434783</v>
      </c>
      <c r="X1069" s="15" t="n">
        <v>0.7433330363662749</v>
      </c>
      <c r="Y1069" s="15" t="n">
        <v>0.8941542846181489</v>
      </c>
      <c r="Z1069" s="15" t="n">
        <v>0.02084606139952975</v>
      </c>
      <c r="AA1069" s="15" t="n">
        <v>5.291175921227776</v>
      </c>
      <c r="AB1069" s="15" t="n">
        <v>0.1480976442929412</v>
      </c>
      <c r="AC1069" s="15" t="n">
        <v>12.3137926491803</v>
      </c>
      <c r="AD1069" s="15" t="n">
        <v>57.24571137294485</v>
      </c>
      <c r="AE1069" s="15" t="n">
        <v>92.84349040701009</v>
      </c>
      <c r="AF1069" s="15" t="n">
        <v>124.5681664949455</v>
      </c>
      <c r="AH1069" s="42">
        <f>HIPERLINK($A$1 &amp; "\Dados\Magnet_fields_1069.txt.txt", "Magnet_fields_1069.txt")</f>
        <v/>
      </c>
      <c r="AI1069" t="n">
        <v>12602</v>
      </c>
      <c r="AJ1069" t="n">
        <v>30</v>
      </c>
      <c r="AK1069" s="42">
        <f>HIPERLINK($A$1 &amp; "\Dados\Magnet_3D_results_1069.txt.txt", "Magnet_3D_results_1069.txt")</f>
        <v/>
      </c>
      <c r="AL1069" s="42">
        <f>HIPERLINK($A$1 &amp; "\Dados\Magnet_fields_2D_1069.txt.txt", "Magnet_fields_2D_1069.txt")</f>
        <v/>
      </c>
    </row>
    <row r="1070">
      <c r="E1070" s="15" t="n">
        <v>140</v>
      </c>
      <c r="F1070" s="15" t="n">
        <v>186</v>
      </c>
      <c r="G1070" s="15" t="n">
        <v>354</v>
      </c>
      <c r="H1070" s="15" t="n">
        <v>41</v>
      </c>
      <c r="I1070" s="15" t="n">
        <v>172</v>
      </c>
      <c r="J1070" s="13" t="n">
        <v>25</v>
      </c>
      <c r="K1070" t="n">
        <v>45</v>
      </c>
      <c r="L1070" s="13" t="n">
        <v>3</v>
      </c>
      <c r="M1070" s="12" t="n"/>
      <c r="N1070" s="8" t="n">
        <v>1.290358272064732</v>
      </c>
      <c r="O1070" s="15" t="n">
        <v>1.103648952989326</v>
      </c>
      <c r="P1070" s="15" t="n">
        <v>1.240639829822253</v>
      </c>
      <c r="Q1070" s="15" t="n">
        <v>0.002093726961232163</v>
      </c>
      <c r="R1070" s="15" t="n">
        <v>0.02982126080554444</v>
      </c>
      <c r="S1070" s="15" t="n">
        <v>0.002258292513158877</v>
      </c>
      <c r="T1070" s="42">
        <f>HIPERLINK($A$1 &amp; "\Dados\Imagem_perfil_1070.png", "Imagem_perfil_1070")</f>
        <v/>
      </c>
      <c r="U1070" s="42">
        <f>HIPERLINK($A$1 &amp; "\Dados\Results_airgap1070.txt", "Results_airgap1070")</f>
        <v/>
      </c>
      <c r="V1070" s="19" t="n"/>
      <c r="W1070" s="15" t="n">
        <v>1.581912173913043</v>
      </c>
      <c r="X1070" s="15" t="n">
        <v>0.8215111163897979</v>
      </c>
      <c r="Y1070" s="15" t="n">
        <v>0.9952273463525818</v>
      </c>
      <c r="Z1070" s="15" t="n">
        <v>0</v>
      </c>
      <c r="AA1070" s="15" t="n">
        <v>0</v>
      </c>
      <c r="AB1070" s="15" t="n">
        <v>1.210532623214748</v>
      </c>
      <c r="AC1070" s="15" t="n">
        <v>10.46382021923064</v>
      </c>
      <c r="AD1070" s="15" t="n">
        <v>40.01985074568957</v>
      </c>
      <c r="AE1070" s="15" t="n">
        <v>79.15276629443954</v>
      </c>
      <c r="AF1070" s="15" t="n">
        <v>115.0130815862032</v>
      </c>
      <c r="AH1070" s="42">
        <f>HIPERLINK($A$1 &amp; "\Dados\Magnet_fields_1070.txt.txt", "Magnet_fields_1070.txt")</f>
        <v/>
      </c>
      <c r="AI1070" t="n">
        <v>6450</v>
      </c>
      <c r="AJ1070" t="n">
        <v>29</v>
      </c>
      <c r="AK1070" s="42">
        <f>HIPERLINK($A$1 &amp; "\Dados\Magnet_3D_results_1070.txt.txt", "Magnet_3D_results_1070.txt")</f>
        <v/>
      </c>
      <c r="AL1070" s="42">
        <f>HIPERLINK($A$1 &amp; "\Dados\Magnet_fields_2D_1070.txt.txt", "Magnet_fields_2D_1070.txt")</f>
        <v/>
      </c>
    </row>
    <row r="1071">
      <c r="E1071" s="15" t="n">
        <v>147</v>
      </c>
      <c r="F1071" s="15" t="n">
        <v>187</v>
      </c>
      <c r="G1071" s="15" t="n">
        <v>375</v>
      </c>
      <c r="H1071" s="15" t="n">
        <v>29</v>
      </c>
      <c r="I1071" s="15" t="n">
        <v>175</v>
      </c>
      <c r="J1071" s="13" t="n">
        <v>25</v>
      </c>
      <c r="K1071" t="n">
        <v>55</v>
      </c>
      <c r="L1071" s="13" t="n">
        <v>3</v>
      </c>
      <c r="M1071" s="12" t="n"/>
      <c r="N1071" s="8" t="n">
        <v>1.460612923842766</v>
      </c>
      <c r="O1071" s="15" t="n">
        <v>1.264520837691222</v>
      </c>
      <c r="P1071" s="15" t="n">
        <v>1.404758886513187</v>
      </c>
      <c r="Q1071" s="15" t="n">
        <v>0.007235907668117637</v>
      </c>
      <c r="R1071" s="15" t="n">
        <v>0.03647950354911201</v>
      </c>
      <c r="S1071" s="15" t="n">
        <v>0.007441009684557071</v>
      </c>
      <c r="T1071" s="42">
        <f>HIPERLINK($A$1 &amp; "\Dados\Imagem_perfil_1071.png", "Imagem_perfil_1071")</f>
        <v/>
      </c>
      <c r="U1071" s="42">
        <f>HIPERLINK($A$1 &amp; "\Dados\Results_airgap1071.txt", "Results_airgap1071")</f>
        <v/>
      </c>
      <c r="V1071" s="19" t="n"/>
      <c r="W1071" s="15" t="n">
        <v>1.838686086956521</v>
      </c>
      <c r="X1071" s="15" t="n">
        <v>0.9145890161538057</v>
      </c>
      <c r="Y1071" s="15" t="n">
        <v>0.602711282665947</v>
      </c>
      <c r="Z1071" s="15" t="n">
        <v>0.01242328095807666</v>
      </c>
      <c r="AA1071" s="15" t="n">
        <v>3.878451281616823</v>
      </c>
      <c r="AB1071" s="15" t="n">
        <v>0.1007721898997482</v>
      </c>
      <c r="AC1071" s="15" t="n">
        <v>16.09442133578826</v>
      </c>
      <c r="AD1071" s="15" t="n">
        <v>61.77413183984897</v>
      </c>
      <c r="AE1071" s="15" t="n">
        <v>94.5259211181119</v>
      </c>
      <c r="AF1071" s="15" t="n">
        <v>125.7887664605283</v>
      </c>
      <c r="AH1071" s="42">
        <f>HIPERLINK($A$1 &amp; "\Dados\Magnet_fields_1071.txt.txt", "Magnet_fields_1071.txt")</f>
        <v/>
      </c>
      <c r="AI1071" t="n">
        <v>11821</v>
      </c>
      <c r="AJ1071" t="n">
        <v>31</v>
      </c>
      <c r="AK1071" s="42">
        <f>HIPERLINK($A$1 &amp; "\Dados\Magnet_3D_results_1071.txt.txt", "Magnet_3D_results_1071.txt")</f>
        <v/>
      </c>
      <c r="AL1071" s="42">
        <f>HIPERLINK($A$1 &amp; "\Dados\Magnet_fields_2D_1071.txt.txt", "Magnet_fields_2D_1071.txt")</f>
        <v/>
      </c>
    </row>
    <row r="1072">
      <c r="E1072" s="15" t="n">
        <v>138</v>
      </c>
      <c r="F1072" s="15" t="n">
        <v>174</v>
      </c>
      <c r="G1072" s="15" t="n">
        <v>411</v>
      </c>
      <c r="H1072" s="15" t="n">
        <v>31</v>
      </c>
      <c r="I1072" s="15" t="n">
        <v>162</v>
      </c>
      <c r="J1072" s="13" t="n">
        <v>25</v>
      </c>
      <c r="K1072" t="n">
        <v>45</v>
      </c>
      <c r="L1072" s="13" t="n">
        <v>3</v>
      </c>
      <c r="M1072" s="12" t="n"/>
      <c r="N1072" s="8" t="n">
        <v>1.560931850167763</v>
      </c>
      <c r="O1072" s="15" t="n">
        <v>1.342501533836186</v>
      </c>
      <c r="P1072" s="15" t="n">
        <v>1.498921070036293</v>
      </c>
      <c r="Q1072" s="15" t="n">
        <v>0.003734078525009615</v>
      </c>
      <c r="R1072" s="15" t="n">
        <v>0.04173482003319731</v>
      </c>
      <c r="S1072" s="15" t="n">
        <v>0.003890783279896873</v>
      </c>
      <c r="T1072" s="42">
        <f>HIPERLINK($A$1 &amp; "\Dados\Imagem_perfil_1072.png", "Imagem_perfil_1072")</f>
        <v/>
      </c>
      <c r="U1072" s="42">
        <f>HIPERLINK($A$1 &amp; "\Dados\Results_airgap1072.txt", "Results_airgap1072")</f>
        <v/>
      </c>
      <c r="V1072" s="19" t="n"/>
      <c r="W1072" s="15" t="n">
        <v>2.004400652173913</v>
      </c>
      <c r="X1072" s="15" t="n">
        <v>0.9715631676182839</v>
      </c>
      <c r="Y1072" s="15" t="n">
        <v>0.5479995986352232</v>
      </c>
      <c r="Z1072" s="15" t="n">
        <v>0</v>
      </c>
      <c r="AA1072" s="15" t="n">
        <v>1.967397295485538</v>
      </c>
      <c r="AB1072" s="15" t="n">
        <v>1.378404445273927</v>
      </c>
      <c r="AC1072" s="15" t="n">
        <v>9.933301794596034</v>
      </c>
      <c r="AD1072" s="15" t="n">
        <v>42.62723708514972</v>
      </c>
      <c r="AE1072" s="15" t="n">
        <v>85.41109024329323</v>
      </c>
      <c r="AF1072" s="15" t="n">
        <v>118.2679915095052</v>
      </c>
      <c r="AH1072" s="42">
        <f>HIPERLINK($A$1 &amp; "\Dados\Magnet_fields_1072.txt.txt", "Magnet_fields_1072.txt")</f>
        <v/>
      </c>
      <c r="AI1072" t="n">
        <v>7824</v>
      </c>
      <c r="AJ1072" t="n">
        <v>29</v>
      </c>
      <c r="AK1072" s="42">
        <f>HIPERLINK($A$1 &amp; "\Dados\Magnet_3D_results_1072.txt.txt", "Magnet_3D_results_1072.txt")</f>
        <v/>
      </c>
      <c r="AL1072" s="42">
        <f>HIPERLINK($A$1 &amp; "\Dados\Magnet_fields_2D_1072.txt.txt", "Magnet_fields_2D_1072.txt")</f>
        <v/>
      </c>
    </row>
    <row r="1073">
      <c r="E1073" s="15" t="n">
        <v>122</v>
      </c>
      <c r="F1073" s="15" t="n">
        <v>171</v>
      </c>
      <c r="G1073" s="15" t="n">
        <v>392</v>
      </c>
      <c r="H1073" s="15" t="n">
        <v>32</v>
      </c>
      <c r="I1073" s="15" t="n">
        <v>140</v>
      </c>
      <c r="J1073" s="13" t="n">
        <v>25</v>
      </c>
      <c r="K1073" t="n">
        <v>55</v>
      </c>
      <c r="L1073" s="13" t="n">
        <v>3</v>
      </c>
      <c r="M1073" s="12" t="n"/>
      <c r="N1073" s="8" t="n">
        <v>1.337686811917891</v>
      </c>
      <c r="O1073" s="15" t="n">
        <v>1.038895980299417</v>
      </c>
      <c r="P1073" s="15" t="n">
        <v>1.247168554817054</v>
      </c>
      <c r="Q1073" s="15" t="n">
        <v>0.01697852021737352</v>
      </c>
      <c r="R1073" s="15" t="n">
        <v>0.05877710737121422</v>
      </c>
      <c r="S1073" s="15" t="n">
        <v>0.01784630638315793</v>
      </c>
      <c r="T1073" s="42">
        <f>HIPERLINK($A$1 &amp; "\Dados\Imagem_perfil_1073.png", "Imagem_perfil_1073")</f>
        <v/>
      </c>
      <c r="U1073" s="42">
        <f>HIPERLINK($A$1 &amp; "\Dados\Results_airgap1073.txt", "Results_airgap1073")</f>
        <v/>
      </c>
      <c r="V1073" s="19" t="n"/>
      <c r="W1073" s="15" t="n">
        <v>1.901969347826087</v>
      </c>
      <c r="X1073" s="15" t="n">
        <v>0.8728521756393193</v>
      </c>
      <c r="Y1073" s="15" t="n">
        <v>0.6080462079908159</v>
      </c>
      <c r="Z1073" s="15" t="n">
        <v>0.0006399042751047753</v>
      </c>
      <c r="AA1073" s="15" t="n">
        <v>0.140596084917252</v>
      </c>
      <c r="AB1073" s="15" t="n">
        <v>3.524178221385535</v>
      </c>
      <c r="AC1073" s="15" t="n">
        <v>21.51855413618737</v>
      </c>
      <c r="AD1073" s="15" t="n">
        <v>60.94130281038525</v>
      </c>
      <c r="AE1073" s="15" t="n">
        <v>94.45614935972795</v>
      </c>
      <c r="AF1073" s="15" t="n">
        <v>126.3609097035588</v>
      </c>
      <c r="AH1073" s="42">
        <f>HIPERLINK($A$1 &amp; "\Dados\Magnet_fields_1073.txt.txt", "Magnet_fields_1073.txt")</f>
        <v/>
      </c>
      <c r="AI1073" t="n">
        <v>11291</v>
      </c>
      <c r="AJ1073" t="n">
        <v>30</v>
      </c>
      <c r="AK1073" s="42">
        <f>HIPERLINK($A$1 &amp; "\Dados\Magnet_3D_results_1073.txt.txt", "Magnet_3D_results_1073.txt")</f>
        <v/>
      </c>
      <c r="AL1073" s="42">
        <f>HIPERLINK($A$1 &amp; "\Dados\Magnet_fields_2D_1073.txt.txt", "Magnet_fields_2D_1073.txt")</f>
        <v/>
      </c>
    </row>
    <row r="1074">
      <c r="E1074" s="15" t="n">
        <v>147</v>
      </c>
      <c r="F1074" s="15" t="n">
        <v>196</v>
      </c>
      <c r="G1074" s="15" t="n">
        <v>427</v>
      </c>
      <c r="H1074" s="15" t="n">
        <v>33</v>
      </c>
      <c r="I1074" s="15" t="n">
        <v>171</v>
      </c>
      <c r="J1074" s="13" t="n">
        <v>25</v>
      </c>
      <c r="K1074" t="n">
        <v>55</v>
      </c>
      <c r="L1074" s="13" t="n">
        <v>3</v>
      </c>
      <c r="M1074" s="12" t="n"/>
      <c r="N1074" s="8" t="n">
        <v>1.406909138802423</v>
      </c>
      <c r="O1074" s="15" t="n">
        <v>1.226527336807761</v>
      </c>
      <c r="P1074" s="15" t="n">
        <v>1.353413918035345</v>
      </c>
      <c r="Q1074" s="15" t="n">
        <v>0.01037509344022768</v>
      </c>
      <c r="R1074" s="15" t="n">
        <v>0.05544094428811133</v>
      </c>
      <c r="S1074" s="15" t="n">
        <v>0.01107237908923878</v>
      </c>
      <c r="T1074" s="42">
        <f>HIPERLINK($A$1 &amp; "\Dados\Imagem_perfil_1074.png", "Imagem_perfil_1074")</f>
        <v/>
      </c>
      <c r="U1074" s="42">
        <f>HIPERLINK($A$1 &amp; "\Dados\Results_airgap1074.txt", "Results_airgap1074")</f>
        <v/>
      </c>
      <c r="V1074" s="19" t="n"/>
      <c r="W1074" s="15" t="n">
        <v>1.892538695652174</v>
      </c>
      <c r="X1074" s="15" t="n">
        <v>0.8964484998935979</v>
      </c>
      <c r="Y1074" s="15" t="n">
        <v>0.5873112241826304</v>
      </c>
      <c r="Z1074" s="15" t="n">
        <v>0.02151287539454294</v>
      </c>
      <c r="AA1074" s="15" t="n">
        <v>0.5200173416277073</v>
      </c>
      <c r="AB1074" s="15" t="n">
        <v>0.8489736688273246</v>
      </c>
      <c r="AC1074" s="15" t="n">
        <v>15.94176670322226</v>
      </c>
      <c r="AD1074" s="15" t="n">
        <v>64.38561146390163</v>
      </c>
      <c r="AE1074" s="15" t="n">
        <v>96.96328468537145</v>
      </c>
      <c r="AF1074" s="15" t="n">
        <v>126.9393329562794</v>
      </c>
      <c r="AH1074" s="42">
        <f>HIPERLINK($A$1 &amp; "\Dados\Magnet_fields_1074.txt.txt", "Magnet_fields_1074.txt")</f>
        <v/>
      </c>
      <c r="AI1074" t="n">
        <v>11251</v>
      </c>
      <c r="AJ1074" t="n">
        <v>31</v>
      </c>
      <c r="AK1074" s="42">
        <f>HIPERLINK($A$1 &amp; "\Dados\Magnet_3D_results_1074.txt.txt", "Magnet_3D_results_1074.txt")</f>
        <v/>
      </c>
      <c r="AL1074" s="42">
        <f>HIPERLINK($A$1 &amp; "\Dados\Magnet_fields_2D_1074.txt.txt", "Magnet_fields_2D_1074.txt")</f>
        <v/>
      </c>
    </row>
    <row r="1075">
      <c r="E1075" s="15" t="n">
        <v>149</v>
      </c>
      <c r="F1075" s="15" t="n">
        <v>181</v>
      </c>
      <c r="G1075" s="15" t="n">
        <v>372</v>
      </c>
      <c r="H1075" s="15" t="n">
        <v>41</v>
      </c>
      <c r="I1075" s="15" t="n">
        <v>160</v>
      </c>
      <c r="J1075" s="13" t="n">
        <v>25</v>
      </c>
      <c r="K1075" t="n">
        <v>55</v>
      </c>
      <c r="L1075" s="13" t="n">
        <v>3</v>
      </c>
      <c r="M1075" s="12" t="n"/>
      <c r="N1075" s="8" t="n">
        <v>1.565052723872844</v>
      </c>
      <c r="O1075" s="15" t="n">
        <v>1.299946895578781</v>
      </c>
      <c r="P1075" s="15" t="n">
        <v>1.488532216209159</v>
      </c>
      <c r="Q1075" s="15" t="n">
        <v>0.00924409283058969</v>
      </c>
      <c r="R1075" s="15" t="n">
        <v>0.03811550944483131</v>
      </c>
      <c r="S1075" s="15" t="n">
        <v>0.009449492091430355</v>
      </c>
      <c r="T1075" s="42">
        <f>HIPERLINK($A$1 &amp; "\Dados\Imagem_perfil_1075.png", "Imagem_perfil_1075")</f>
        <v/>
      </c>
      <c r="U1075" s="42">
        <f>HIPERLINK($A$1 &amp; "\Dados\Results_airgap1075.txt", "Results_airgap1075")</f>
        <v/>
      </c>
      <c r="V1075" s="19" t="n"/>
      <c r="W1075" s="15" t="n">
        <v>1.956865</v>
      </c>
      <c r="X1075" s="15" t="n">
        <v>0.9870743159935143</v>
      </c>
      <c r="Y1075" s="15" t="n">
        <v>0.4575414051814131</v>
      </c>
      <c r="Z1075" s="15" t="n">
        <v>0.004879017773278548</v>
      </c>
      <c r="AA1075" s="15" t="n">
        <v>0</v>
      </c>
      <c r="AB1075" s="15" t="n">
        <v>0</v>
      </c>
      <c r="AC1075" s="15" t="n">
        <v>11.52299352846522</v>
      </c>
      <c r="AD1075" s="15" t="n">
        <v>60.32241318483813</v>
      </c>
      <c r="AE1075" s="15" t="n">
        <v>95.99564278627197</v>
      </c>
      <c r="AF1075" s="15" t="n">
        <v>126.7417963973271</v>
      </c>
      <c r="AH1075" s="42">
        <f>HIPERLINK($A$1 &amp; "\Dados\Magnet_fields_1075.txt.txt", "Magnet_fields_1075.txt")</f>
        <v/>
      </c>
      <c r="AI1075" t="n">
        <v>11439</v>
      </c>
      <c r="AJ1075" t="n">
        <v>30</v>
      </c>
      <c r="AK1075" s="42">
        <f>HIPERLINK($A$1 &amp; "\Dados\Magnet_3D_results_1075.txt.txt", "Magnet_3D_results_1075.txt")</f>
        <v/>
      </c>
      <c r="AL1075" s="42">
        <f>HIPERLINK($A$1 &amp; "\Dados\Magnet_fields_2D_1075.txt.txt", "Magnet_fields_2D_1075.txt")</f>
        <v/>
      </c>
    </row>
    <row r="1076">
      <c r="E1076" s="15" t="n">
        <v>128</v>
      </c>
      <c r="F1076" s="15" t="n">
        <v>177</v>
      </c>
      <c r="G1076" s="15" t="n">
        <v>379</v>
      </c>
      <c r="H1076" s="15" t="n">
        <v>40</v>
      </c>
      <c r="I1076" s="15" t="n">
        <v>178</v>
      </c>
      <c r="J1076" s="13" t="n">
        <v>25</v>
      </c>
      <c r="K1076" t="n">
        <v>45</v>
      </c>
      <c r="L1076" s="13" t="n">
        <v>3</v>
      </c>
      <c r="M1076" s="12" t="n"/>
      <c r="N1076" s="8" t="n">
        <v>1.3478491477339</v>
      </c>
      <c r="O1076" s="15" t="n">
        <v>1.183946075359879</v>
      </c>
      <c r="P1076" s="15" t="n">
        <v>1.302185120234457</v>
      </c>
      <c r="Q1076" s="15" t="n">
        <v>0.003441272907861562</v>
      </c>
      <c r="R1076" s="15" t="n">
        <v>0.04229365569137056</v>
      </c>
      <c r="S1076" s="15" t="n">
        <v>0.003781136106773642</v>
      </c>
      <c r="T1076" s="42">
        <f>HIPERLINK($A$1 &amp; "\Dados\Imagem_perfil_1076.png", "Imagem_perfil_1076")</f>
        <v/>
      </c>
      <c r="U1076" s="42">
        <f>HIPERLINK($A$1 &amp; "\Dados\Results_airgap1076.txt", "Results_airgap1076")</f>
        <v/>
      </c>
      <c r="V1076" s="19" t="n"/>
      <c r="W1076" s="15" t="n">
        <v>1.679473695652174</v>
      </c>
      <c r="X1076" s="15" t="n">
        <v>0.8327423030252874</v>
      </c>
      <c r="Y1076" s="15" t="n">
        <v>0.9153271658439819</v>
      </c>
      <c r="Z1076" s="15" t="n">
        <v>0.004060169224031922</v>
      </c>
      <c r="AA1076" s="15" t="n">
        <v>0.002866867757542333</v>
      </c>
      <c r="AB1076" s="15" t="n">
        <v>2.181453393347067</v>
      </c>
      <c r="AC1076" s="15" t="n">
        <v>11.44483767382754</v>
      </c>
      <c r="AD1076" s="15" t="n">
        <v>42.16753575696907</v>
      </c>
      <c r="AE1076" s="15" t="n">
        <v>84.70351729126834</v>
      </c>
      <c r="AF1076" s="15" t="n">
        <v>118.015419249216</v>
      </c>
      <c r="AH1076" s="42">
        <f>HIPERLINK($A$1 &amp; "\Dados\Magnet_fields_1076.txt.txt", "Magnet_fields_1076.txt")</f>
        <v/>
      </c>
      <c r="AI1076" t="n">
        <v>6764</v>
      </c>
      <c r="AJ1076" t="n">
        <v>28</v>
      </c>
      <c r="AK1076" s="42">
        <f>HIPERLINK($A$1 &amp; "\Dados\Magnet_3D_results_1076.txt.txt", "Magnet_3D_results_1076.txt")</f>
        <v/>
      </c>
      <c r="AL1076" s="42">
        <f>HIPERLINK($A$1 &amp; "\Dados\Magnet_fields_2D_1076.txt.txt", "Magnet_fields_2D_1076.txt")</f>
        <v/>
      </c>
    </row>
    <row r="1077">
      <c r="E1077" s="15" t="n">
        <v>125</v>
      </c>
      <c r="F1077" s="15" t="n">
        <v>172</v>
      </c>
      <c r="G1077" s="15" t="n">
        <v>390</v>
      </c>
      <c r="H1077" s="15" t="n">
        <v>34</v>
      </c>
      <c r="I1077" s="15" t="n">
        <v>158</v>
      </c>
      <c r="J1077" s="13" t="n">
        <v>25</v>
      </c>
      <c r="K1077" t="n">
        <v>55</v>
      </c>
      <c r="L1077" s="13" t="n">
        <v>3</v>
      </c>
      <c r="M1077" s="12" t="n"/>
      <c r="N1077" s="8" t="n">
        <v>1.422132805406731</v>
      </c>
      <c r="O1077" s="15" t="n">
        <v>1.194940933071068</v>
      </c>
      <c r="P1077" s="15" t="n">
        <v>1.349570807351209</v>
      </c>
      <c r="Q1077" s="15" t="n">
        <v>0.01665483538723045</v>
      </c>
      <c r="R1077" s="15" t="n">
        <v>0.05779721745010257</v>
      </c>
      <c r="S1077" s="15" t="n">
        <v>0.01655980254101221</v>
      </c>
      <c r="T1077" s="42">
        <f>HIPERLINK($A$1 &amp; "\Dados\Imagem_perfil_1077.png", "Imagem_perfil_1077")</f>
        <v/>
      </c>
      <c r="U1077" s="42">
        <f>HIPERLINK($A$1 &amp; "\Dados\Results_airgap1077.txt", "Results_airgap1077")</f>
        <v/>
      </c>
      <c r="V1077" s="19" t="n"/>
      <c r="W1077" s="15" t="n">
        <v>1.911877391304348</v>
      </c>
      <c r="X1077" s="15" t="n">
        <v>0.8972030181941956</v>
      </c>
      <c r="Y1077" s="15" t="n">
        <v>0.5905500347606576</v>
      </c>
      <c r="Z1077" s="15" t="n">
        <v>0.001676363158381204</v>
      </c>
      <c r="AA1077" s="15" t="n">
        <v>0.2260505423057198</v>
      </c>
      <c r="AB1077" s="15" t="n">
        <v>3.318824898785891</v>
      </c>
      <c r="AC1077" s="15" t="n">
        <v>20.59157790947545</v>
      </c>
      <c r="AD1077" s="15" t="n">
        <v>58.69454009971806</v>
      </c>
      <c r="AE1077" s="15" t="n">
        <v>93.07168672806743</v>
      </c>
      <c r="AF1077" s="15" t="n">
        <v>125.9012749980494</v>
      </c>
      <c r="AH1077" s="42">
        <f>HIPERLINK($A$1 &amp; "\Dados\Magnet_fields_1077.txt.txt", "Magnet_fields_1077.txt")</f>
        <v/>
      </c>
      <c r="AI1077" t="n">
        <v>11857</v>
      </c>
      <c r="AJ1077" t="n">
        <v>30</v>
      </c>
      <c r="AK1077" s="42">
        <f>HIPERLINK($A$1 &amp; "\Dados\Magnet_3D_results_1077.txt.txt", "Magnet_3D_results_1077.txt")</f>
        <v/>
      </c>
      <c r="AL1077" s="42">
        <f>HIPERLINK($A$1 &amp; "\Dados\Magnet_fields_2D_1077.txt.txt", "Magnet_fields_2D_1077.txt")</f>
        <v/>
      </c>
    </row>
    <row r="1078">
      <c r="E1078" s="15" t="n">
        <v>132</v>
      </c>
      <c r="F1078" s="15" t="n">
        <v>181</v>
      </c>
      <c r="G1078" s="15" t="n">
        <v>430</v>
      </c>
      <c r="H1078" s="15" t="n">
        <v>25</v>
      </c>
      <c r="I1078" s="15" t="n">
        <v>154</v>
      </c>
      <c r="J1078" s="13" t="n">
        <v>25</v>
      </c>
      <c r="K1078" t="n">
        <v>50</v>
      </c>
      <c r="L1078" s="13" t="n">
        <v>3</v>
      </c>
      <c r="M1078" s="12" t="n"/>
      <c r="N1078" s="8" t="n">
        <v>1.385311522241871</v>
      </c>
      <c r="O1078" s="15" t="n">
        <v>1.141856461862828</v>
      </c>
      <c r="P1078" s="15" t="n">
        <v>1.318029591274673</v>
      </c>
      <c r="Q1078" s="15" t="n">
        <v>0.007019365052254443</v>
      </c>
      <c r="R1078" s="15" t="n">
        <v>0.05671633211829588</v>
      </c>
      <c r="S1078" s="15" t="n">
        <v>0.007935006116867782</v>
      </c>
      <c r="T1078" s="42">
        <f>HIPERLINK($A$1 &amp; "\Dados\Imagem_perfil_1078.png", "Imagem_perfil_1078")</f>
        <v/>
      </c>
      <c r="U1078" s="42">
        <f>HIPERLINK($A$1 &amp; "\Dados\Results_airgap1078.txt", "Results_airgap1078")</f>
        <v/>
      </c>
      <c r="V1078" s="19" t="n"/>
      <c r="W1078" s="15" t="n">
        <v>1.941413695652174</v>
      </c>
      <c r="X1078" s="15" t="n">
        <v>0.904459342227549</v>
      </c>
      <c r="Y1078" s="15" t="n">
        <v>0.5836373143418934</v>
      </c>
      <c r="Z1078" s="15" t="n">
        <v>0.008546897769565366</v>
      </c>
      <c r="AA1078" s="15" t="n">
        <v>2.053253109371036</v>
      </c>
      <c r="AB1078" s="15" t="n">
        <v>2.613177025028539</v>
      </c>
      <c r="AC1078" s="15" t="n">
        <v>17.64198591093502</v>
      </c>
      <c r="AD1078" s="15" t="n">
        <v>58.81644215166722</v>
      </c>
      <c r="AE1078" s="15" t="n">
        <v>93.76329195629584</v>
      </c>
      <c r="AF1078" s="15" t="n">
        <v>123.4099924638213</v>
      </c>
      <c r="AH1078" s="42">
        <f>HIPERLINK($A$1 &amp; "\Dados\Magnet_fields_1078.txt.txt", "Magnet_fields_1078.txt")</f>
        <v/>
      </c>
      <c r="AI1078" t="n">
        <v>9974</v>
      </c>
      <c r="AJ1078" t="n">
        <v>30</v>
      </c>
      <c r="AK1078" s="42">
        <f>HIPERLINK($A$1 &amp; "\Dados\Magnet_3D_results_1078.txt.txt", "Magnet_3D_results_1078.txt")</f>
        <v/>
      </c>
      <c r="AL1078" s="42">
        <f>HIPERLINK($A$1 &amp; "\Dados\Magnet_fields_2D_1078.txt.txt", "Magnet_fields_2D_1078.txt")</f>
        <v/>
      </c>
    </row>
    <row r="1079">
      <c r="E1079" s="15" t="n">
        <v>126</v>
      </c>
      <c r="F1079" s="15" t="n">
        <v>171</v>
      </c>
      <c r="G1079" s="15" t="n">
        <v>413</v>
      </c>
      <c r="H1079" s="15" t="n">
        <v>42</v>
      </c>
      <c r="I1079" s="15" t="n">
        <v>151</v>
      </c>
      <c r="J1079" s="13" t="n">
        <v>25</v>
      </c>
      <c r="K1079" t="n">
        <v>50</v>
      </c>
      <c r="L1079" s="13" t="n">
        <v>3</v>
      </c>
      <c r="M1079" s="12" t="n"/>
      <c r="N1079" s="8" t="n">
        <v>1.443350305274043</v>
      </c>
      <c r="O1079" s="15" t="n">
        <v>1.19207806329702</v>
      </c>
      <c r="P1079" s="15" t="n">
        <v>1.374956692529417</v>
      </c>
      <c r="Q1079" s="15" t="n">
        <v>0.00797498056484809</v>
      </c>
      <c r="R1079" s="15" t="n">
        <v>0.05900431761593319</v>
      </c>
      <c r="S1079" s="15" t="n">
        <v>0.00872272702530813</v>
      </c>
      <c r="T1079" s="42">
        <f>HIPERLINK($A$1 &amp; "\Dados\Imagem_perfil_1079.png", "Imagem_perfil_1079")</f>
        <v/>
      </c>
      <c r="U1079" s="42">
        <f>HIPERLINK($A$1 &amp; "\Dados\Results_airgap1079.txt", "Results_airgap1079")</f>
        <v/>
      </c>
      <c r="V1079" s="19" t="n"/>
      <c r="W1079" s="15" t="n">
        <v>1.98372152173913</v>
      </c>
      <c r="X1079" s="15" t="n">
        <v>0.9374731600232954</v>
      </c>
      <c r="Y1079" s="15" t="n">
        <v>0.5537834393873612</v>
      </c>
      <c r="Z1079" s="15" t="n">
        <v>0</v>
      </c>
      <c r="AA1079" s="15" t="n">
        <v>0.01422142316289505</v>
      </c>
      <c r="AB1079" s="15" t="n">
        <v>3.597810988608463</v>
      </c>
      <c r="AC1079" s="15" t="n">
        <v>18.64969123990404</v>
      </c>
      <c r="AD1079" s="15" t="n">
        <v>54.61239435098986</v>
      </c>
      <c r="AE1079" s="15" t="n">
        <v>90.43844991764222</v>
      </c>
      <c r="AF1079" s="15" t="n">
        <v>122.4671709002934</v>
      </c>
      <c r="AH1079" s="42">
        <f>HIPERLINK($A$1 &amp; "\Dados\Magnet_fields_1079.txt.txt", "Magnet_fields_1079.txt")</f>
        <v/>
      </c>
      <c r="AI1079" t="n">
        <v>6732</v>
      </c>
      <c r="AJ1079" t="n">
        <v>29</v>
      </c>
      <c r="AK1079" s="42">
        <f>HIPERLINK($A$1 &amp; "\Dados\Magnet_3D_results_1079.txt.txt", "Magnet_3D_results_1079.txt")</f>
        <v/>
      </c>
      <c r="AL1079" s="42">
        <f>HIPERLINK($A$1 &amp; "\Dados\Magnet_fields_2D_1079.txt.txt", "Magnet_fields_2D_1079.txt")</f>
        <v/>
      </c>
    </row>
    <row r="1080">
      <c r="E1080" s="15" t="n">
        <v>128</v>
      </c>
      <c r="F1080" s="15" t="n">
        <v>173</v>
      </c>
      <c r="G1080" s="15" t="n">
        <v>390</v>
      </c>
      <c r="H1080" s="15" t="n">
        <v>42</v>
      </c>
      <c r="I1080" s="15" t="n">
        <v>167</v>
      </c>
      <c r="J1080" s="13" t="n">
        <v>25</v>
      </c>
      <c r="K1080" t="n">
        <v>50</v>
      </c>
      <c r="L1080" s="13" t="n">
        <v>3</v>
      </c>
      <c r="M1080" s="12" t="n"/>
      <c r="N1080" s="8" t="n">
        <v>1.441718720647818</v>
      </c>
      <c r="O1080" s="15" t="n">
        <v>1.244915328377528</v>
      </c>
      <c r="P1080" s="15" t="n">
        <v>1.382645162753466</v>
      </c>
      <c r="Q1080" s="15" t="n">
        <v>0.007335184299208022</v>
      </c>
      <c r="R1080" s="15" t="n">
        <v>0.05182377870542245</v>
      </c>
      <c r="S1080" s="15" t="n">
        <v>0.007361196286579246</v>
      </c>
      <c r="T1080" s="42">
        <f>HIPERLINK($A$1 &amp; "\Dados\Imagem_perfil_1080.png", "Imagem_perfil_1080")</f>
        <v/>
      </c>
      <c r="U1080" s="42">
        <f>HIPERLINK($A$1 &amp; "\Dados\Results_airgap1080.txt", "Results_airgap1080")</f>
        <v/>
      </c>
      <c r="V1080" s="19" t="n"/>
      <c r="W1080" s="15" t="n">
        <v>1.879541956521739</v>
      </c>
      <c r="X1080" s="15" t="n">
        <v>0.9126630456723929</v>
      </c>
      <c r="Y1080" s="15" t="n">
        <v>0.6529685700636633</v>
      </c>
      <c r="Z1080" s="15" t="n">
        <v>0.001333925689948491</v>
      </c>
      <c r="AA1080" s="15" t="n">
        <v>0.007920573493297587</v>
      </c>
      <c r="AB1080" s="15" t="n">
        <v>2.938877693237821</v>
      </c>
      <c r="AC1080" s="15" t="n">
        <v>16.77450040606101</v>
      </c>
      <c r="AD1080" s="15" t="n">
        <v>51.44041225457565</v>
      </c>
      <c r="AE1080" s="15" t="n">
        <v>88.24961401542447</v>
      </c>
      <c r="AF1080" s="15" t="n">
        <v>121.4858552767602</v>
      </c>
      <c r="AH1080" s="42">
        <f>HIPERLINK($A$1 &amp; "\Dados\Magnet_fields_1080.txt.txt", "Magnet_fields_1080.txt")</f>
        <v/>
      </c>
      <c r="AI1080" t="n">
        <v>6773</v>
      </c>
      <c r="AJ1080" t="n">
        <v>28</v>
      </c>
      <c r="AK1080" s="42">
        <f>HIPERLINK($A$1 &amp; "\Dados\Magnet_3D_results_1080.txt.txt", "Magnet_3D_results_1080.txt")</f>
        <v/>
      </c>
      <c r="AL1080" s="42">
        <f>HIPERLINK($A$1 &amp; "\Dados\Magnet_fields_2D_1080.txt.txt", "Magnet_fields_2D_1080.txt")</f>
        <v/>
      </c>
    </row>
    <row r="1081">
      <c r="E1081" s="15" t="n">
        <v>147</v>
      </c>
      <c r="F1081" s="15" t="n">
        <v>189</v>
      </c>
      <c r="G1081" s="15" t="n">
        <v>354</v>
      </c>
      <c r="H1081" s="15" t="n">
        <v>26</v>
      </c>
      <c r="I1081" s="15" t="n">
        <v>169</v>
      </c>
      <c r="J1081" s="13" t="n">
        <v>25</v>
      </c>
      <c r="K1081" t="n">
        <v>60</v>
      </c>
      <c r="L1081" s="13" t="n">
        <v>3</v>
      </c>
      <c r="M1081" s="12" t="n"/>
      <c r="N1081" s="8" t="n">
        <v>1.34286106784336</v>
      </c>
      <c r="O1081" s="15" t="n">
        <v>1.164634053624874</v>
      </c>
      <c r="P1081" s="15" t="n">
        <v>1.290113395446552</v>
      </c>
      <c r="Q1081" s="15" t="n">
        <v>0.01276063177828179</v>
      </c>
      <c r="R1081" s="15" t="n">
        <v>0.02993061622242845</v>
      </c>
      <c r="S1081" s="15" t="n">
        <v>0.01293591030672653</v>
      </c>
      <c r="T1081" s="42">
        <f>HIPERLINK($A$1 &amp; "\Dados\Imagem_perfil_1081.png", "Imagem_perfil_1081")</f>
        <v/>
      </c>
      <c r="U1081" s="42">
        <f>HIPERLINK($A$1 &amp; "\Dados\Results_airgap1081.txt", "Results_airgap1081")</f>
        <v/>
      </c>
      <c r="V1081" s="19" t="n"/>
      <c r="W1081" s="15" t="n">
        <v>1.714390217391305</v>
      </c>
      <c r="X1081" s="15" t="n">
        <v>0.8395166524673779</v>
      </c>
      <c r="Y1081" s="15" t="n">
        <v>0.7177639550301154</v>
      </c>
      <c r="Z1081" s="15" t="n">
        <v>0.0147450208751151</v>
      </c>
      <c r="AA1081" s="15" t="n">
        <v>6.681783141739041</v>
      </c>
      <c r="AB1081" s="15" t="n">
        <v>0.31388182321433</v>
      </c>
      <c r="AC1081" s="15" t="n">
        <v>21.70831913197216</v>
      </c>
      <c r="AD1081" s="15" t="n">
        <v>67.09861479782359</v>
      </c>
      <c r="AE1081" s="15" t="n">
        <v>96.62202468290128</v>
      </c>
      <c r="AF1081" s="15" t="n">
        <v>128.6837367115244</v>
      </c>
      <c r="AH1081" s="42">
        <f>HIPERLINK($A$1 &amp; "\Dados\Magnet_fields_1081.txt.txt", "Magnet_fields_1081.txt")</f>
        <v/>
      </c>
      <c r="AI1081" t="n">
        <v>9660</v>
      </c>
      <c r="AJ1081" t="n">
        <v>29</v>
      </c>
      <c r="AK1081" s="42">
        <f>HIPERLINK($A$1 &amp; "\Dados\Magnet_3D_results_1081.txt.txt", "Magnet_3D_results_1081.txt")</f>
        <v/>
      </c>
      <c r="AL1081" s="42">
        <f>HIPERLINK($A$1 &amp; "\Dados\Magnet_fields_2D_1081.txt.txt", "Magnet_fields_2D_1081.txt")</f>
        <v/>
      </c>
    </row>
    <row r="1082">
      <c r="E1082" s="15" t="n">
        <v>147</v>
      </c>
      <c r="F1082" s="15" t="n">
        <v>195</v>
      </c>
      <c r="G1082" s="15" t="n">
        <v>406</v>
      </c>
      <c r="H1082" s="15" t="n">
        <v>44</v>
      </c>
      <c r="I1082" s="15" t="n">
        <v>177</v>
      </c>
      <c r="J1082" s="13" t="n">
        <v>25</v>
      </c>
      <c r="K1082" t="n">
        <v>50</v>
      </c>
      <c r="L1082" s="13" t="n">
        <v>3</v>
      </c>
      <c r="M1082" s="12" t="n"/>
      <c r="N1082" s="8" t="n">
        <v>1.386361065509982</v>
      </c>
      <c r="O1082" s="15" t="n">
        <v>1.211920985732137</v>
      </c>
      <c r="P1082" s="15" t="n">
        <v>1.327260617644256</v>
      </c>
      <c r="Q1082" s="15" t="n">
        <v>0.004858766084362635</v>
      </c>
      <c r="R1082" s="15" t="n">
        <v>0.04556664844703909</v>
      </c>
      <c r="S1082" s="15" t="n">
        <v>0.005037112976341778</v>
      </c>
      <c r="T1082" s="42">
        <f>HIPERLINK($A$1 &amp; "\Dados\Imagem_perfil_1082.png", "Imagem_perfil_1082")</f>
        <v/>
      </c>
      <c r="U1082" s="42">
        <f>HIPERLINK($A$1 &amp; "\Dados\Results_airgap1082.txt", "Results_airgap1082")</f>
        <v/>
      </c>
      <c r="V1082" s="19" t="n"/>
      <c r="W1082" s="15" t="n">
        <v>1.772108260869566</v>
      </c>
      <c r="X1082" s="15" t="n">
        <v>0.8775510786050291</v>
      </c>
      <c r="Y1082" s="15" t="n">
        <v>0.7311760360277594</v>
      </c>
      <c r="Z1082" s="15" t="n">
        <v>0</v>
      </c>
      <c r="AA1082" s="15" t="n">
        <v>0</v>
      </c>
      <c r="AB1082" s="15" t="n">
        <v>0.8273436790576751</v>
      </c>
      <c r="AC1082" s="15" t="n">
        <v>10.42326075507619</v>
      </c>
      <c r="AD1082" s="15" t="n">
        <v>51.44044694803105</v>
      </c>
      <c r="AE1082" s="15" t="n">
        <v>91.27662743857678</v>
      </c>
      <c r="AF1082" s="15" t="n">
        <v>122.1494459805428</v>
      </c>
      <c r="AH1082" s="42">
        <f>HIPERLINK($A$1 &amp; "\Dados\Magnet_fields_1082.txt.txt", "Magnet_fields_1082.txt")</f>
        <v/>
      </c>
      <c r="AI1082" t="n">
        <v>6575</v>
      </c>
      <c r="AJ1082" t="n">
        <v>28</v>
      </c>
      <c r="AK1082" s="42">
        <f>HIPERLINK($A$1 &amp; "\Dados\Magnet_3D_results_1082.txt.txt", "Magnet_3D_results_1082.txt")</f>
        <v/>
      </c>
      <c r="AL1082" s="42">
        <f>HIPERLINK($A$1 &amp; "\Dados\Magnet_fields_2D_1082.txt.txt", "Magnet_fields_2D_1082.txt")</f>
        <v/>
      </c>
    </row>
    <row r="1083">
      <c r="E1083" s="15" t="n">
        <v>147</v>
      </c>
      <c r="F1083" s="15" t="n">
        <v>190</v>
      </c>
      <c r="G1083" s="15" t="n">
        <v>379</v>
      </c>
      <c r="H1083" s="15" t="n">
        <v>37</v>
      </c>
      <c r="I1083" s="15" t="n">
        <v>169</v>
      </c>
      <c r="J1083" s="13" t="n">
        <v>25</v>
      </c>
      <c r="K1083" t="n">
        <v>40</v>
      </c>
      <c r="L1083" s="13" t="n">
        <v>3</v>
      </c>
      <c r="M1083" s="12" t="n"/>
      <c r="N1083" s="8" t="n">
        <v>1.318001087135466</v>
      </c>
      <c r="O1083" s="15" t="n">
        <v>1.135879591871101</v>
      </c>
      <c r="P1083" s="15" t="n">
        <v>1.265062223995775</v>
      </c>
      <c r="Q1083" s="15" t="n">
        <v>0.001124810291518773</v>
      </c>
      <c r="R1083" s="15" t="n">
        <v>0.02693359526971791</v>
      </c>
      <c r="S1083" s="15" t="n">
        <v>0.001298801476666201</v>
      </c>
      <c r="T1083" s="42">
        <f>HIPERLINK($A$1 &amp; "\Dados\Imagem_perfil_1083.png", "Imagem_perfil_1083")</f>
        <v/>
      </c>
      <c r="U1083" s="42">
        <f>HIPERLINK($A$1 &amp; "\Dados\Results_airgap1083.txt", "Results_airgap1083")</f>
        <v/>
      </c>
      <c r="V1083" s="19" t="n"/>
      <c r="W1083" s="15" t="n">
        <v>1.621432173913044</v>
      </c>
      <c r="X1083" s="15" t="n">
        <v>0.8070440562200232</v>
      </c>
      <c r="Y1083" s="15" t="n">
        <v>0.968833372908352</v>
      </c>
      <c r="Z1083" s="15" t="n">
        <v>0.005355392559141128</v>
      </c>
      <c r="AA1083" s="15" t="n">
        <v>0.2524610777641128</v>
      </c>
      <c r="AB1083" s="15" t="n">
        <v>0.656644554724942</v>
      </c>
      <c r="AC1083" s="15" t="n">
        <v>5.461542043152484</v>
      </c>
      <c r="AD1083" s="15" t="n">
        <v>30.23473663559322</v>
      </c>
      <c r="AE1083" s="15" t="n">
        <v>78.09148205553953</v>
      </c>
      <c r="AF1083" s="15" t="n">
        <v>113.6010702109804</v>
      </c>
      <c r="AH1083" s="42">
        <f>HIPERLINK($A$1 &amp; "\Dados\Magnet_fields_1083.txt.txt", "Magnet_fields_1083.txt")</f>
        <v/>
      </c>
      <c r="AI1083" t="n">
        <v>7514</v>
      </c>
      <c r="AJ1083" t="n">
        <v>29</v>
      </c>
      <c r="AK1083" s="42">
        <f>HIPERLINK($A$1 &amp; "\Dados\Magnet_3D_results_1083.txt.txt", "Magnet_3D_results_1083.txt")</f>
        <v/>
      </c>
      <c r="AL1083" s="42">
        <f>HIPERLINK($A$1 &amp; "\Dados\Magnet_fields_2D_1083.txt.txt", "Magnet_fields_2D_1083.txt")</f>
        <v/>
      </c>
    </row>
    <row r="1084">
      <c r="E1084" s="15" t="n">
        <v>138</v>
      </c>
      <c r="F1084" s="15" t="n">
        <v>178</v>
      </c>
      <c r="G1084" s="15" t="n">
        <v>355</v>
      </c>
      <c r="H1084" s="15" t="n">
        <v>26</v>
      </c>
      <c r="I1084" s="15" t="n">
        <v>148</v>
      </c>
      <c r="J1084" s="13" t="n">
        <v>25</v>
      </c>
      <c r="K1084" t="n">
        <v>50</v>
      </c>
      <c r="L1084" s="13" t="n">
        <v>3</v>
      </c>
      <c r="M1084" s="12" t="n"/>
      <c r="N1084" s="8" t="n">
        <v>1.333393334576312</v>
      </c>
      <c r="O1084" s="15" t="n">
        <v>1.066360679936493</v>
      </c>
      <c r="P1084" s="15" t="n">
        <v>1.253476543432828</v>
      </c>
      <c r="Q1084" s="15" t="n">
        <v>0.003596779031997983</v>
      </c>
      <c r="R1084" s="15" t="n">
        <v>0.03040818237633141</v>
      </c>
      <c r="S1084" s="15" t="n">
        <v>0.004229785367837824</v>
      </c>
      <c r="T1084" s="42">
        <f>HIPERLINK($A$1 &amp; "\Dados\Imagem_perfil_1084.png", "Imagem_perfil_1084")</f>
        <v/>
      </c>
      <c r="U1084" s="42">
        <f>HIPERLINK($A$1 &amp; "\Dados\Results_airgap1084.txt", "Results_airgap1084")</f>
        <v/>
      </c>
      <c r="V1084" s="19" t="n"/>
      <c r="W1084" s="15" t="n">
        <v>1.742239782608696</v>
      </c>
      <c r="X1084" s="15" t="n">
        <v>0.8642815014172305</v>
      </c>
      <c r="Y1084" s="15" t="n">
        <v>0.7307795587146991</v>
      </c>
      <c r="Z1084" s="15" t="n">
        <v>0.008843163963421557</v>
      </c>
      <c r="AA1084" s="15" t="n">
        <v>4.820912989068897</v>
      </c>
      <c r="AB1084" s="15" t="n">
        <v>0.003638127076975365</v>
      </c>
      <c r="AC1084" s="15" t="n">
        <v>7.536857968464352</v>
      </c>
      <c r="AD1084" s="15" t="n">
        <v>49.51275704102626</v>
      </c>
      <c r="AE1084" s="15" t="n">
        <v>91.01387899561412</v>
      </c>
      <c r="AF1084" s="15" t="n">
        <v>121.7477309799083</v>
      </c>
      <c r="AH1084" s="42">
        <f>HIPERLINK($A$1 &amp; "\Dados\Magnet_fields_1084.txt.txt", "Magnet_fields_1084.txt")</f>
        <v/>
      </c>
      <c r="AI1084" t="n">
        <v>9006</v>
      </c>
      <c r="AJ1084" t="n">
        <v>30</v>
      </c>
      <c r="AK1084" s="42">
        <f>HIPERLINK($A$1 &amp; "\Dados\Magnet_3D_results_1084.txt.txt", "Magnet_3D_results_1084.txt")</f>
        <v/>
      </c>
      <c r="AL1084" s="42">
        <f>HIPERLINK($A$1 &amp; "\Dados\Magnet_fields_2D_1084.txt.txt", "Magnet_fields_2D_1084.txt")</f>
        <v/>
      </c>
    </row>
    <row r="1085">
      <c r="E1085" s="15" t="n">
        <v>138</v>
      </c>
      <c r="F1085" s="15" t="n">
        <v>183</v>
      </c>
      <c r="G1085" s="15" t="n">
        <v>350</v>
      </c>
      <c r="H1085" s="15" t="n">
        <v>32</v>
      </c>
      <c r="I1085" s="15" t="n">
        <v>179</v>
      </c>
      <c r="J1085" s="13" t="n">
        <v>25</v>
      </c>
      <c r="K1085" t="n">
        <v>45</v>
      </c>
      <c r="L1085" s="13" t="n">
        <v>2.5</v>
      </c>
      <c r="M1085" s="12" t="n"/>
      <c r="N1085" s="8" t="n">
        <v>1.31073789518466</v>
      </c>
      <c r="O1085" s="15" t="n">
        <v>1.149527543778773</v>
      </c>
      <c r="P1085" s="15" t="n">
        <v>1.266680716266264</v>
      </c>
      <c r="Q1085" s="15" t="n">
        <v>0.002270464503811674</v>
      </c>
      <c r="R1085" s="15" t="n">
        <v>0.02777396690318482</v>
      </c>
      <c r="S1085" s="15" t="n">
        <v>0.002179936590119141</v>
      </c>
      <c r="T1085" s="42">
        <f>HIPERLINK($A$1 &amp; "\Dados\Imagem_perfil_1085.png", "Imagem_perfil_1085")</f>
        <v/>
      </c>
      <c r="U1085" s="42">
        <f>HIPERLINK($A$1 &amp; "\Dados\Results_airgap1085.txt", "Results_airgap1085")</f>
        <v/>
      </c>
      <c r="V1085" s="19" t="n"/>
      <c r="W1085" s="15" t="n">
        <v>1.592456739130435</v>
      </c>
      <c r="X1085" s="15" t="n">
        <v>0.8028060615107689</v>
      </c>
      <c r="Y1085" s="15" t="n">
        <v>0.6174315977817906</v>
      </c>
      <c r="Z1085" s="15" t="n">
        <v>0</v>
      </c>
      <c r="AA1085" s="15" t="n">
        <v>1.322708703612381</v>
      </c>
      <c r="AB1085" s="15" t="n">
        <v>1.034872752710408</v>
      </c>
      <c r="AC1085" s="15" t="n">
        <v>10.25557650722038</v>
      </c>
      <c r="AD1085" s="15" t="n">
        <v>40.31979277350044</v>
      </c>
      <c r="AE1085" s="15" t="n">
        <v>79.53836064432178</v>
      </c>
      <c r="AF1085" s="15" t="n">
        <v>115.1681403448767</v>
      </c>
      <c r="AH1085" s="42">
        <f>HIPERLINK($A$1 &amp; "\Dados\Magnet_fields_1085.txt.txt", "Magnet_fields_1085.txt")</f>
        <v/>
      </c>
      <c r="AI1085" t="n">
        <v>7561</v>
      </c>
      <c r="AJ1085" t="n">
        <v>29</v>
      </c>
      <c r="AK1085" s="42">
        <f>HIPERLINK($A$1 &amp; "\Dados\Magnet_3D_results_1085.txt.txt", "Magnet_3D_results_1085.txt")</f>
        <v/>
      </c>
      <c r="AL1085" s="42">
        <f>HIPERLINK($A$1 &amp; "\Dados\Magnet_fields_2D_1085.txt.txt", "Magnet_fields_2D_1085.txt")</f>
        <v/>
      </c>
    </row>
    <row r="1086">
      <c r="E1086" s="15" t="n">
        <v>140</v>
      </c>
      <c r="F1086" s="15" t="n">
        <v>186</v>
      </c>
      <c r="G1086" s="15" t="n">
        <v>366</v>
      </c>
      <c r="H1086" s="15" t="n">
        <v>33</v>
      </c>
      <c r="I1086" s="15" t="n">
        <v>166</v>
      </c>
      <c r="J1086" s="13" t="n">
        <v>25</v>
      </c>
      <c r="K1086" t="n">
        <v>40</v>
      </c>
      <c r="L1086" s="13" t="n">
        <v>2.5</v>
      </c>
      <c r="M1086" s="12" t="n"/>
      <c r="N1086" s="8" t="n">
        <v>1.2654435561491</v>
      </c>
      <c r="O1086" s="15" t="n">
        <v>1.079070558694868</v>
      </c>
      <c r="P1086" s="15" t="n">
        <v>1.211314730603899</v>
      </c>
      <c r="Q1086" s="15" t="n">
        <v>0.001126116710688942</v>
      </c>
      <c r="R1086" s="15" t="n">
        <v>0.026509352368891</v>
      </c>
      <c r="S1086" s="15" t="n">
        <v>0.0013078348553885</v>
      </c>
      <c r="T1086" s="42">
        <f>HIPERLINK($A$1 &amp; "\Dados\Imagem_perfil_1086.png", "Imagem_perfil_1086")</f>
        <v/>
      </c>
      <c r="U1086" s="42">
        <f>HIPERLINK($A$1 &amp; "\Dados\Results_airgap1086.txt", "Results_airgap1086")</f>
        <v/>
      </c>
      <c r="V1086" s="19" t="n"/>
      <c r="W1086" s="15" t="n">
        <v>1.570773913043478</v>
      </c>
      <c r="X1086" s="15" t="n">
        <v>0.7891291396483043</v>
      </c>
      <c r="Y1086" s="15" t="n">
        <v>0.7234610623067765</v>
      </c>
      <c r="Z1086" s="15" t="n">
        <v>0.01876278190091949</v>
      </c>
      <c r="AA1086" s="15" t="n">
        <v>0.3175695948017632</v>
      </c>
      <c r="AB1086" s="15" t="n">
        <v>1.794582487859037</v>
      </c>
      <c r="AC1086" s="15" t="n">
        <v>10.50417337402086</v>
      </c>
      <c r="AD1086" s="15" t="n">
        <v>35.68395337590961</v>
      </c>
      <c r="AE1086" s="15" t="n">
        <v>74.47738290714965</v>
      </c>
      <c r="AF1086" s="15" t="n">
        <v>110.9995012124075</v>
      </c>
      <c r="AH1086" s="42">
        <f>HIPERLINK($A$1 &amp; "\Dados\Magnet_fields_1086.txt.txt", "Magnet_fields_1086.txt")</f>
        <v/>
      </c>
      <c r="AI1086" t="n">
        <v>7861</v>
      </c>
      <c r="AJ1086" t="n">
        <v>28</v>
      </c>
      <c r="AK1086" s="42">
        <f>HIPERLINK($A$1 &amp; "\Dados\Magnet_3D_results_1086.txt.txt", "Magnet_3D_results_1086.txt")</f>
        <v/>
      </c>
      <c r="AL1086" s="42">
        <f>HIPERLINK($A$1 &amp; "\Dados\Magnet_fields_2D_1086.txt.txt", "Magnet_fields_2D_1086.txt")</f>
        <v/>
      </c>
    </row>
    <row r="1087">
      <c r="E1087" s="15" t="n">
        <v>144</v>
      </c>
      <c r="F1087" s="15" t="n">
        <v>182</v>
      </c>
      <c r="G1087" s="15" t="n">
        <v>400</v>
      </c>
      <c r="H1087" s="15" t="n">
        <v>31</v>
      </c>
      <c r="I1087" s="15" t="n">
        <v>167</v>
      </c>
      <c r="J1087" s="13" t="n">
        <v>25</v>
      </c>
      <c r="K1087" t="n">
        <v>50</v>
      </c>
      <c r="L1087" s="13" t="n">
        <v>2.5</v>
      </c>
      <c r="M1087" s="12" t="n"/>
      <c r="N1087" s="8" t="n">
        <v>1.50201260225515</v>
      </c>
      <c r="O1087" s="15" t="n">
        <v>1.297893562074802</v>
      </c>
      <c r="P1087" s="15" t="n">
        <v>1.444813263570914</v>
      </c>
      <c r="Q1087" s="15" t="n">
        <v>0.005331963268120454</v>
      </c>
      <c r="R1087" s="15" t="n">
        <v>0.04168006283054609</v>
      </c>
      <c r="S1087" s="15" t="n">
        <v>0.005516215135186677</v>
      </c>
      <c r="T1087" s="42">
        <f>HIPERLINK($A$1 &amp; "\Dados\Imagem_perfil_1087.png", "Imagem_perfil_1087")</f>
        <v/>
      </c>
      <c r="U1087" s="42">
        <f>HIPERLINK($A$1 &amp; "\Dados\Results_airgap1087.txt", "Results_airgap1087")</f>
        <v/>
      </c>
      <c r="V1087" s="19" t="n"/>
      <c r="W1087" s="15" t="n">
        <v>1.931356304347826</v>
      </c>
      <c r="X1087" s="15" t="n">
        <v>0.9762595830474343</v>
      </c>
      <c r="Y1087" s="15" t="n">
        <v>0.2378686534136733</v>
      </c>
      <c r="Z1087" s="15" t="n">
        <v>0</v>
      </c>
      <c r="AA1087" s="15" t="n">
        <v>3.025499660207161</v>
      </c>
      <c r="AB1087" s="15" t="n">
        <v>0.2603176798914605</v>
      </c>
      <c r="AC1087" s="15" t="n">
        <v>6.319797508735278</v>
      </c>
      <c r="AD1087" s="15" t="n">
        <v>49.00591658505671</v>
      </c>
      <c r="AE1087" s="15" t="n">
        <v>92.85580216286677</v>
      </c>
      <c r="AF1087" s="15" t="n">
        <v>123.0139337438035</v>
      </c>
      <c r="AH1087" s="42">
        <f>HIPERLINK($A$1 &amp; "\Dados\Magnet_fields_1087.txt.txt", "Magnet_fields_1087.txt")</f>
        <v/>
      </c>
      <c r="AI1087" t="n">
        <v>8671</v>
      </c>
      <c r="AJ1087" t="n">
        <v>29</v>
      </c>
      <c r="AK1087" s="42">
        <f>HIPERLINK($A$1 &amp; "\Dados\Magnet_3D_results_1087.txt.txt", "Magnet_3D_results_1087.txt")</f>
        <v/>
      </c>
      <c r="AL1087" s="42">
        <f>HIPERLINK($A$1 &amp; "\Dados\Magnet_fields_2D_1087.txt.txt", "Magnet_fields_2D_1087.txt")</f>
        <v/>
      </c>
    </row>
    <row r="1088">
      <c r="E1088" s="15" t="n">
        <v>140</v>
      </c>
      <c r="F1088" s="15" t="n">
        <v>187</v>
      </c>
      <c r="G1088" s="15" t="n">
        <v>376</v>
      </c>
      <c r="H1088" s="15" t="n">
        <v>28</v>
      </c>
      <c r="I1088" s="15" t="n">
        <v>167</v>
      </c>
      <c r="J1088" s="13" t="n">
        <v>25</v>
      </c>
      <c r="K1088" t="n">
        <v>60</v>
      </c>
      <c r="L1088" s="13" t="n">
        <v>2.5</v>
      </c>
      <c r="M1088" s="12" t="n"/>
      <c r="N1088" s="8" t="n">
        <v>1.321178594633841</v>
      </c>
      <c r="O1088" s="15" t="n">
        <v>1.135881518565701</v>
      </c>
      <c r="P1088" s="15" t="n">
        <v>1.256226190155527</v>
      </c>
      <c r="Q1088" s="15" t="n">
        <v>0.02084528542494513</v>
      </c>
      <c r="R1088" s="15" t="n">
        <v>0.04306782395716145</v>
      </c>
      <c r="S1088" s="15" t="n">
        <v>0.01988173797752005</v>
      </c>
      <c r="T1088" s="42">
        <f>HIPERLINK($A$1 &amp; "\Dados\Imagem_perfil_1088.png", "Imagem_perfil_1088")</f>
        <v/>
      </c>
      <c r="U1088" s="42">
        <f>HIPERLINK($A$1 &amp; "\Dados\Results_airgap1088.txt", "Results_airgap1088")</f>
        <v/>
      </c>
      <c r="V1088" s="19" t="n"/>
      <c r="W1088" s="15" t="n">
        <v>1.744684565217391</v>
      </c>
      <c r="X1088" s="15" t="n">
        <v>0.847013299099446</v>
      </c>
      <c r="Y1088" s="15" t="n">
        <v>0.3776962263669953</v>
      </c>
      <c r="Z1088" s="15" t="n">
        <v>0.02647422371721262</v>
      </c>
      <c r="AA1088" s="15" t="n">
        <v>6.900624480699739</v>
      </c>
      <c r="AB1088" s="15" t="n">
        <v>0.2330139064498913</v>
      </c>
      <c r="AC1088" s="15" t="n">
        <v>14.52794765245299</v>
      </c>
      <c r="AD1088" s="15" t="n">
        <v>63.15463314110231</v>
      </c>
      <c r="AE1088" s="15" t="n">
        <v>97.71388719614413</v>
      </c>
      <c r="AF1088" s="15" t="n">
        <v>129.8640744604865</v>
      </c>
      <c r="AH1088" s="42">
        <f>HIPERLINK($A$1 &amp; "\Dados\Magnet_fields_1088.txt.txt", "Magnet_fields_1088.txt")</f>
        <v/>
      </c>
      <c r="AI1088" t="n">
        <v>9500</v>
      </c>
      <c r="AJ1088" t="n">
        <v>29</v>
      </c>
      <c r="AK1088" s="42">
        <f>HIPERLINK($A$1 &amp; "\Dados\Magnet_3D_results_1088.txt.txt", "Magnet_3D_results_1088.txt")</f>
        <v/>
      </c>
      <c r="AL1088" s="42">
        <f>HIPERLINK($A$1 &amp; "\Dados\Magnet_fields_2D_1088.txt.txt", "Magnet_fields_2D_1088.txt")</f>
        <v/>
      </c>
    </row>
    <row r="1089">
      <c r="E1089" s="15" t="n">
        <v>137</v>
      </c>
      <c r="F1089" s="15" t="n">
        <v>178</v>
      </c>
      <c r="G1089" s="15" t="n">
        <v>370</v>
      </c>
      <c r="H1089" s="15" t="n">
        <v>40</v>
      </c>
      <c r="I1089" s="15" t="n">
        <v>175</v>
      </c>
      <c r="J1089" s="13" t="n">
        <v>25</v>
      </c>
      <c r="K1089" t="n">
        <v>55</v>
      </c>
      <c r="L1089" s="13" t="n">
        <v>2.5</v>
      </c>
      <c r="M1089" s="12" t="n"/>
      <c r="N1089" s="8" t="n">
        <v>1.475572201024323</v>
      </c>
      <c r="O1089" s="15" t="n">
        <v>1.281922576265053</v>
      </c>
      <c r="P1089" s="15" t="n">
        <v>1.411964098216534</v>
      </c>
      <c r="Q1089" s="15" t="n">
        <v>0.0103231401565304</v>
      </c>
      <c r="R1089" s="15" t="n">
        <v>0.04486159022097587</v>
      </c>
      <c r="S1089" s="15" t="n">
        <v>0.01037447886473202</v>
      </c>
      <c r="T1089" s="42">
        <f>HIPERLINK($A$1 &amp; "\Dados\Imagem_perfil_1089.png", "Imagem_perfil_1089")</f>
        <v/>
      </c>
      <c r="U1089" s="42">
        <f>HIPERLINK($A$1 &amp; "\Dados\Results_airgap1089.txt", "Results_airgap1089")</f>
        <v/>
      </c>
      <c r="V1089" s="19" t="n"/>
      <c r="W1089" s="15" t="n">
        <v>1.847042608695652</v>
      </c>
      <c r="X1089" s="15" t="n">
        <v>0.9285814956843383</v>
      </c>
      <c r="Y1089" s="15" t="n">
        <v>0.290597481290791</v>
      </c>
      <c r="Z1089" s="15" t="n">
        <v>0.0007468167572214988</v>
      </c>
      <c r="AA1089" s="15" t="n">
        <v>0.01607374197999597</v>
      </c>
      <c r="AB1089" s="15" t="n">
        <v>1.081774387432717</v>
      </c>
      <c r="AC1089" s="15" t="n">
        <v>14.81964097468053</v>
      </c>
      <c r="AD1089" s="15" t="n">
        <v>56.20269230425338</v>
      </c>
      <c r="AE1089" s="15" t="n">
        <v>92.4599661603944</v>
      </c>
      <c r="AF1089" s="15" t="n">
        <v>125.4000490133096</v>
      </c>
      <c r="AH1089" s="42">
        <f>HIPERLINK($A$1 &amp; "\Dados\Magnet_fields_1089.txt.txt", "Magnet_fields_1089.txt")</f>
        <v/>
      </c>
      <c r="AI1089" t="n">
        <v>10129</v>
      </c>
      <c r="AJ1089" t="n">
        <v>30</v>
      </c>
      <c r="AK1089" s="42">
        <f>HIPERLINK($A$1 &amp; "\Dados\Magnet_3D_results_1089.txt.txt", "Magnet_3D_results_1089.txt")</f>
        <v/>
      </c>
      <c r="AL1089" s="42">
        <f>HIPERLINK($A$1 &amp; "\Dados\Magnet_fields_2D_1089.txt.txt", "Magnet_fields_2D_1089.txt")</f>
        <v/>
      </c>
    </row>
    <row r="1090">
      <c r="E1090" s="15" t="n">
        <v>138</v>
      </c>
      <c r="F1090" s="15" t="n">
        <v>186</v>
      </c>
      <c r="G1090" s="15" t="n">
        <v>388</v>
      </c>
      <c r="H1090" s="15" t="n">
        <v>29</v>
      </c>
      <c r="I1090" s="15" t="n">
        <v>175</v>
      </c>
      <c r="J1090" s="13" t="n">
        <v>25</v>
      </c>
      <c r="K1090" t="n">
        <v>40</v>
      </c>
      <c r="L1090" s="13" t="n">
        <v>2.5</v>
      </c>
      <c r="M1090" s="12" t="n"/>
      <c r="N1090" s="8" t="n">
        <v>1.299361593216225</v>
      </c>
      <c r="O1090" s="15" t="n">
        <v>1.13455762039189</v>
      </c>
      <c r="P1090" s="15" t="n">
        <v>1.25093746781228</v>
      </c>
      <c r="Q1090" s="15" t="n">
        <v>0.001347207366980234</v>
      </c>
      <c r="R1090" s="15" t="n">
        <v>0.03107666667655056</v>
      </c>
      <c r="S1090" s="15" t="n">
        <v>0.001562710374321484</v>
      </c>
      <c r="T1090" s="42">
        <f>HIPERLINK($A$1 &amp; "\Dados\Imagem_perfil_1090.png", "Imagem_perfil_1090")</f>
        <v/>
      </c>
      <c r="U1090" s="42">
        <f>HIPERLINK($A$1 &amp; "\Dados\Results_airgap1090.txt", "Results_airgap1090")</f>
        <v/>
      </c>
      <c r="V1090" s="19" t="n"/>
      <c r="W1090" s="15" t="n">
        <v>1.620123043478261</v>
      </c>
      <c r="X1090" s="15" t="n">
        <v>0.8062338601320289</v>
      </c>
      <c r="Y1090" s="15" t="n">
        <v>0.6953593688990172</v>
      </c>
      <c r="Z1090" s="15" t="n">
        <v>0.03125855829218147</v>
      </c>
      <c r="AA1090" s="15" t="n">
        <v>2.06463971144268</v>
      </c>
      <c r="AB1090" s="15" t="n">
        <v>2.639336922302958</v>
      </c>
      <c r="AC1090" s="15" t="n">
        <v>12.24329253187924</v>
      </c>
      <c r="AD1090" s="15" t="n">
        <v>37.10489855290588</v>
      </c>
      <c r="AE1090" s="15" t="n">
        <v>75.34386358516186</v>
      </c>
      <c r="AF1090" s="15" t="n">
        <v>111.5600029833384</v>
      </c>
      <c r="AH1090" s="42">
        <f>HIPERLINK($A$1 &amp; "\Dados\Magnet_fields_1090.txt.txt", "Magnet_fields_1090.txt")</f>
        <v/>
      </c>
      <c r="AI1090" t="n">
        <v>9246</v>
      </c>
      <c r="AJ1090" t="n">
        <v>30</v>
      </c>
      <c r="AK1090" s="42">
        <f>HIPERLINK($A$1 &amp; "\Dados\Magnet_3D_results_1090.txt.txt", "Magnet_3D_results_1090.txt")</f>
        <v/>
      </c>
      <c r="AL1090" s="42">
        <f>HIPERLINK($A$1 &amp; "\Dados\Magnet_fields_2D_1090.txt.txt", "Magnet_fields_2D_1090.txt")</f>
        <v/>
      </c>
    </row>
    <row r="1091">
      <c r="E1091" s="15" t="n"/>
      <c r="F1091" s="15" t="n"/>
      <c r="G1091" s="15" t="n"/>
      <c r="H1091" s="15" t="n"/>
      <c r="I1091" s="15" t="n"/>
      <c r="J1091" s="13" t="n"/>
      <c r="L1091" s="13" t="n"/>
      <c r="M1091" s="12" t="n"/>
      <c r="N1091" s="8" t="n"/>
      <c r="O1091" s="15" t="n"/>
      <c r="P1091" s="15" t="n"/>
      <c r="Q1091" s="15" t="n"/>
      <c r="R1091" s="15" t="n"/>
      <c r="S1091" s="15" t="n"/>
      <c r="T1091" s="15" t="n"/>
      <c r="U1091" s="15" t="n"/>
      <c r="V1091" s="19" t="n"/>
      <c r="W1091" s="15" t="n"/>
      <c r="X1091" s="15" t="n"/>
      <c r="Y1091" s="15" t="n"/>
      <c r="Z1091" s="15" t="n"/>
      <c r="AA1091" s="15" t="n"/>
      <c r="AB1091" s="15" t="n"/>
      <c r="AC1091" s="15" t="n"/>
      <c r="AD1091" s="15" t="n"/>
      <c r="AE1091" s="15" t="n"/>
      <c r="AF1091" s="15" t="n"/>
    </row>
    <row r="1092">
      <c r="E1092" s="15" t="n">
        <v>140</v>
      </c>
      <c r="F1092" s="15" t="n">
        <v>171</v>
      </c>
      <c r="G1092" s="15" t="n">
        <v>355</v>
      </c>
      <c r="H1092" s="15" t="n">
        <v>29</v>
      </c>
      <c r="I1092" s="15" t="n">
        <v>153</v>
      </c>
      <c r="J1092" s="13" t="n">
        <v>25</v>
      </c>
      <c r="K1092" t="n">
        <v>50</v>
      </c>
      <c r="L1092" s="13" t="n">
        <v>2.5</v>
      </c>
      <c r="M1092" s="12" t="n"/>
      <c r="N1092" s="8" t="n">
        <v>1.511102917203626</v>
      </c>
      <c r="O1092" s="15" t="n">
        <v>1.231951330252653</v>
      </c>
      <c r="P1092" s="15" t="n">
        <v>1.430160418907209</v>
      </c>
      <c r="Q1092" s="15" t="n">
        <v>0.005518971364384176</v>
      </c>
      <c r="R1092" s="15" t="n">
        <v>0.0293288971640741</v>
      </c>
      <c r="S1092" s="15" t="n">
        <v>0.005595528573222073</v>
      </c>
      <c r="T1092" s="42">
        <f>HIPERLINK($A$1 &amp; "\Dados\Imagem_perfil_1092.png", "Imagem_perfil_1092")</f>
        <v/>
      </c>
      <c r="U1092" s="42">
        <f>HIPERLINK($A$1 &amp; "\Dados\Results_airgap1092.txt", "Results_airgap1092")</f>
        <v/>
      </c>
      <c r="V1092" s="19" t="n"/>
      <c r="W1092" s="15" t="n">
        <v>1.900547826086957</v>
      </c>
      <c r="X1092" s="15" t="n">
        <v>0.9213730459537178</v>
      </c>
      <c r="Y1092" s="15" t="n">
        <v>0.234276474783219</v>
      </c>
      <c r="Z1092" s="15" t="n">
        <v>0.00455411605419932</v>
      </c>
      <c r="AA1092" s="15" t="n">
        <v>4.8018030488819</v>
      </c>
      <c r="AB1092" s="15" t="n">
        <v>0</v>
      </c>
      <c r="AC1092" s="15" t="n">
        <v>4.634551039168139</v>
      </c>
      <c r="AD1092" s="15" t="n">
        <v>46.08643506014561</v>
      </c>
      <c r="AE1092" s="15" t="n">
        <v>90.47848854136862</v>
      </c>
      <c r="AF1092" s="15" t="n">
        <v>122.2598150637314</v>
      </c>
      <c r="AH1092" s="42">
        <f>HIPERLINK($A$1 &amp; "\Dados\Magnet_fields_1092.txt.txt", "Magnet_fields_1092.txt")</f>
        <v/>
      </c>
      <c r="AI1092" t="n">
        <v>8653</v>
      </c>
      <c r="AJ1092" t="n">
        <v>29</v>
      </c>
      <c r="AK1092" s="42">
        <f>HIPERLINK($A$1 &amp; "\Dados\Magnet_3D_results_1092.txt.txt", "Magnet_3D_results_1092.txt")</f>
        <v/>
      </c>
      <c r="AL1092" s="42">
        <f>HIPERLINK($A$1 &amp; "\Dados\Magnet_fields_2D_1092.txt.txt", "Magnet_fields_2D_1092.txt")</f>
        <v/>
      </c>
    </row>
    <row r="1093">
      <c r="E1093" s="15" t="n">
        <v>139</v>
      </c>
      <c r="F1093" s="15" t="n">
        <v>177</v>
      </c>
      <c r="G1093" s="15" t="n">
        <v>366</v>
      </c>
      <c r="H1093" s="15" t="n">
        <v>36</v>
      </c>
      <c r="I1093" s="15" t="n">
        <v>152</v>
      </c>
      <c r="J1093" s="13" t="n">
        <v>25</v>
      </c>
      <c r="K1093" t="n">
        <v>45</v>
      </c>
      <c r="L1093" s="13" t="n">
        <v>2.5</v>
      </c>
      <c r="M1093" s="12" t="n"/>
      <c r="N1093" s="8" t="n">
        <v>1.427367647029132</v>
      </c>
      <c r="O1093" s="15" t="n">
        <v>1.153538648733134</v>
      </c>
      <c r="P1093" s="15" t="n">
        <v>1.353987977929964</v>
      </c>
      <c r="Q1093" s="15" t="n">
        <v>0.002613458632421494</v>
      </c>
      <c r="R1093" s="15" t="n">
        <v>0.03237441047115708</v>
      </c>
      <c r="S1093" s="15" t="n">
        <v>0.00285341267909889</v>
      </c>
      <c r="T1093" s="42">
        <f>HIPERLINK($A$1 &amp; "\Dados\Imagem_perfil_1093.png", "Imagem_perfil_1093")</f>
        <v/>
      </c>
      <c r="U1093" s="42">
        <f>HIPERLINK($A$1 &amp; "\Dados\Results_airgap1093.txt", "Results_airgap1093")</f>
        <v/>
      </c>
      <c r="V1093" s="19" t="n"/>
      <c r="W1093" s="15" t="n">
        <v>1.80533152173913</v>
      </c>
      <c r="X1093" s="15" t="n">
        <v>0.9296989767971549</v>
      </c>
      <c r="Y1093" s="15" t="n">
        <v>0.3605301898135594</v>
      </c>
      <c r="Z1093" s="15" t="n">
        <v>0</v>
      </c>
      <c r="AA1093" s="15" t="n">
        <v>0</v>
      </c>
      <c r="AB1093" s="15" t="n">
        <v>0.498812225840785</v>
      </c>
      <c r="AC1093" s="15" t="n">
        <v>9.613599702202356</v>
      </c>
      <c r="AD1093" s="15" t="n">
        <v>46.18899937619326</v>
      </c>
      <c r="AE1093" s="15" t="n">
        <v>85.73193847282533</v>
      </c>
      <c r="AF1093" s="15" t="n">
        <v>117.5567056404074</v>
      </c>
      <c r="AH1093" s="42">
        <f>HIPERLINK($A$1 &amp; "\Dados\Magnet_fields_1093.txt.txt", "Magnet_fields_1093.txt")</f>
        <v/>
      </c>
      <c r="AI1093" t="n">
        <v>6641</v>
      </c>
      <c r="AJ1093" t="n">
        <v>29</v>
      </c>
      <c r="AK1093" s="42">
        <f>HIPERLINK($A$1 &amp; "\Dados\Magnet_3D_results_1093.txt.txt", "Magnet_3D_results_1093.txt")</f>
        <v/>
      </c>
      <c r="AL1093" s="42">
        <f>HIPERLINK($A$1 &amp; "\Dados\Magnet_fields_2D_1093.txt.txt", "Magnet_fields_2D_1093.txt")</f>
        <v/>
      </c>
    </row>
    <row r="1094">
      <c r="E1094" s="15" t="n">
        <v>146</v>
      </c>
      <c r="F1094" s="15" t="n">
        <v>180</v>
      </c>
      <c r="G1094" s="15" t="n">
        <v>406</v>
      </c>
      <c r="H1094" s="15" t="n">
        <v>43</v>
      </c>
      <c r="I1094" s="15" t="n">
        <v>153</v>
      </c>
      <c r="J1094" s="13" t="n">
        <v>25</v>
      </c>
      <c r="K1094" t="n">
        <v>40</v>
      </c>
      <c r="L1094" s="13" t="n">
        <v>2.5</v>
      </c>
      <c r="M1094" s="12" t="n"/>
      <c r="N1094" s="8" t="n">
        <v>1.490922631061129</v>
      </c>
      <c r="O1094" s="15" t="n">
        <v>1.245806194854794</v>
      </c>
      <c r="P1094" s="15" t="n">
        <v>1.41933930582898</v>
      </c>
      <c r="Q1094" s="15" t="n">
        <v>0.001984465278037578</v>
      </c>
      <c r="R1094" s="15" t="n">
        <v>0.03245454630517812</v>
      </c>
      <c r="S1094" s="15" t="n">
        <v>0.002120438339746975</v>
      </c>
      <c r="T1094" s="42">
        <f>HIPERLINK($A$1 &amp; "\Dados\Imagem_perfil_1094.png", "Imagem_perfil_1094")</f>
        <v/>
      </c>
      <c r="U1094" s="42">
        <f>HIPERLINK($A$1 &amp; "\Dados\Results_airgap1094.txt", "Results_airgap1094")</f>
        <v/>
      </c>
      <c r="V1094" s="19" t="n"/>
      <c r="W1094" s="15" t="n">
        <v>1.875741304347826</v>
      </c>
      <c r="X1094" s="15" t="n">
        <v>0.9347884458564173</v>
      </c>
      <c r="Y1094" s="15" t="n">
        <v>0.3252515310215855</v>
      </c>
      <c r="Z1094" s="15" t="n">
        <v>0</v>
      </c>
      <c r="AA1094" s="15" t="n">
        <v>0.04103392287206312</v>
      </c>
      <c r="AB1094" s="15" t="n">
        <v>0.01162814456342947</v>
      </c>
      <c r="AC1094" s="15" t="n">
        <v>3.130885260762784</v>
      </c>
      <c r="AD1094" s="15" t="n">
        <v>29.46130850958498</v>
      </c>
      <c r="AE1094" s="15" t="n">
        <v>83.20122433565973</v>
      </c>
      <c r="AF1094" s="15" t="n">
        <v>115.3928210614518</v>
      </c>
      <c r="AH1094" s="42">
        <f>HIPERLINK($A$1 &amp; "\Dados\Magnet_fields_1094.txt.txt", "Magnet_fields_1094.txt")</f>
        <v/>
      </c>
      <c r="AI1094" t="n">
        <v>7113</v>
      </c>
      <c r="AJ1094" t="n">
        <v>28</v>
      </c>
      <c r="AK1094" s="42">
        <f>HIPERLINK($A$1 &amp; "\Dados\Magnet_3D_results_1094.txt.txt", "Magnet_3D_results_1094.txt")</f>
        <v/>
      </c>
      <c r="AL1094" s="42">
        <f>HIPERLINK($A$1 &amp; "\Dados\Magnet_fields_2D_1094.txt.txt", "Magnet_fields_2D_1094.txt")</f>
        <v/>
      </c>
    </row>
    <row r="1095">
      <c r="E1095" s="15" t="n">
        <v>143</v>
      </c>
      <c r="F1095" s="15" t="n">
        <v>187</v>
      </c>
      <c r="G1095" s="15" t="n">
        <v>387</v>
      </c>
      <c r="H1095" s="15" t="n">
        <v>32</v>
      </c>
      <c r="I1095" s="15" t="n">
        <v>164</v>
      </c>
      <c r="J1095" s="13" t="n">
        <v>25</v>
      </c>
      <c r="K1095" t="n">
        <v>50</v>
      </c>
      <c r="L1095" s="13" t="n">
        <v>2.5</v>
      </c>
      <c r="M1095" s="12" t="n"/>
      <c r="N1095" s="8" t="n">
        <v>1.372119925592612</v>
      </c>
      <c r="O1095" s="15" t="n">
        <v>1.16382174565529</v>
      </c>
      <c r="P1095" s="15" t="n">
        <v>1.312236991942088</v>
      </c>
      <c r="Q1095" s="15" t="n">
        <v>0.004421466259815957</v>
      </c>
      <c r="R1095" s="15" t="n">
        <v>0.03923263561983926</v>
      </c>
      <c r="S1095" s="15" t="n">
        <v>0.004641178521207064</v>
      </c>
      <c r="T1095" s="42">
        <f>HIPERLINK($A$1 &amp; "\Dados\Imagem_perfil_1095.png", "Imagem_perfil_1095")</f>
        <v/>
      </c>
      <c r="U1095" s="42">
        <f>HIPERLINK($A$1 &amp; "\Dados\Results_airgap1095.txt", "Results_airgap1095")</f>
        <v/>
      </c>
      <c r="V1095" s="19" t="n"/>
      <c r="W1095" s="15" t="n">
        <v>1.777416304347826</v>
      </c>
      <c r="X1095" s="15" t="n">
        <v>0.8973638734619255</v>
      </c>
      <c r="Y1095" s="15" t="n">
        <v>0.3724957193716809</v>
      </c>
      <c r="Z1095" s="15" t="n">
        <v>0.003429736939176766</v>
      </c>
      <c r="AA1095" s="15" t="n">
        <v>1.507425888551307</v>
      </c>
      <c r="AB1095" s="15" t="n">
        <v>0.1222631564949354</v>
      </c>
      <c r="AC1095" s="15" t="n">
        <v>7.811631443473629</v>
      </c>
      <c r="AD1095" s="15" t="n">
        <v>50.54267838561585</v>
      </c>
      <c r="AE1095" s="15" t="n">
        <v>91.94382614609449</v>
      </c>
      <c r="AF1095" s="15" t="n">
        <v>122.3269954739862</v>
      </c>
      <c r="AH1095" s="42">
        <f>HIPERLINK($A$1 &amp; "\Dados\Magnet_fields_1095.txt.txt", "Magnet_fields_1095.txt")</f>
        <v/>
      </c>
      <c r="AI1095" t="n">
        <v>7783</v>
      </c>
      <c r="AJ1095" t="n">
        <v>29</v>
      </c>
      <c r="AK1095" s="42">
        <f>HIPERLINK($A$1 &amp; "\Dados\Magnet_3D_results_1095.txt.txt", "Magnet_3D_results_1095.txt")</f>
        <v/>
      </c>
      <c r="AL1095" s="42">
        <f>HIPERLINK($A$1 &amp; "\Dados\Magnet_fields_2D_1095.txt.txt", "Magnet_fields_2D_1095.txt")</f>
        <v/>
      </c>
    </row>
    <row r="1096">
      <c r="E1096" s="15" t="n">
        <v>147</v>
      </c>
      <c r="F1096" s="15" t="n">
        <v>193</v>
      </c>
      <c r="G1096" s="15" t="n">
        <v>402</v>
      </c>
      <c r="H1096" s="15" t="n">
        <v>44</v>
      </c>
      <c r="I1096" s="15" t="n">
        <v>170</v>
      </c>
      <c r="J1096" s="13" t="n">
        <v>25</v>
      </c>
      <c r="K1096" t="n">
        <v>40</v>
      </c>
      <c r="L1096" s="13" t="n">
        <v>2.5</v>
      </c>
      <c r="M1096" s="12" t="n"/>
      <c r="N1096" s="8" t="n">
        <v>1.320197613290457</v>
      </c>
      <c r="O1096" s="15" t="n">
        <v>1.138189663706977</v>
      </c>
      <c r="P1096" s="15" t="n">
        <v>1.271893318658722</v>
      </c>
      <c r="Q1096" s="15" t="n">
        <v>0.001176438493210973</v>
      </c>
      <c r="R1096" s="15" t="n">
        <v>0.0321956554070733</v>
      </c>
      <c r="S1096" s="15" t="n">
        <v>0.001338172348024093</v>
      </c>
      <c r="T1096" s="42">
        <f>HIPERLINK($A$1 &amp; "\Dados\Imagem_perfil_1096.png", "Imagem_perfil_1096")</f>
        <v/>
      </c>
      <c r="U1096" s="42">
        <f>HIPERLINK($A$1 &amp; "\Dados\Results_airgap1096.txt", "Results_airgap1096")</f>
        <v/>
      </c>
      <c r="V1096" s="19" t="n"/>
      <c r="W1096" s="15" t="n">
        <v>1.656005652173913</v>
      </c>
      <c r="X1096" s="15" t="n">
        <v>0.8273776313487429</v>
      </c>
      <c r="Y1096" s="15" t="n">
        <v>0.5903179928100121</v>
      </c>
      <c r="Z1096" s="15" t="n">
        <v>0.006118404958252388</v>
      </c>
      <c r="AA1096" s="15" t="n">
        <v>0.007848789100784296</v>
      </c>
      <c r="AB1096" s="15" t="n">
        <v>0.9261567915045213</v>
      </c>
      <c r="AC1096" s="15" t="n">
        <v>7.32262195201591</v>
      </c>
      <c r="AD1096" s="15" t="n">
        <v>33.97544308733899</v>
      </c>
      <c r="AE1096" s="15" t="n">
        <v>79.59011301381757</v>
      </c>
      <c r="AF1096" s="15" t="n">
        <v>113.9670036936932</v>
      </c>
      <c r="AH1096" s="42">
        <f>HIPERLINK($A$1 &amp; "\Dados\Magnet_fields_1096.txt.txt", "Magnet_fields_1096.txt")</f>
        <v/>
      </c>
      <c r="AI1096" t="n">
        <v>7137</v>
      </c>
      <c r="AJ1096" t="n">
        <v>28</v>
      </c>
      <c r="AK1096" s="42">
        <f>HIPERLINK($A$1 &amp; "\Dados\Magnet_3D_results_1096.txt.txt", "Magnet_3D_results_1096.txt")</f>
        <v/>
      </c>
      <c r="AL1096" s="42">
        <f>HIPERLINK($A$1 &amp; "\Dados\Magnet_fields_2D_1096.txt.txt", "Magnet_fields_2D_1096.txt")</f>
        <v/>
      </c>
    </row>
    <row r="1097">
      <c r="E1097" s="15" t="n">
        <v>140</v>
      </c>
      <c r="F1097" s="15" t="n">
        <v>170</v>
      </c>
      <c r="G1097" s="15" t="n">
        <v>382</v>
      </c>
      <c r="H1097" s="15" t="n">
        <v>35</v>
      </c>
      <c r="I1097" s="15" t="n">
        <v>178</v>
      </c>
      <c r="J1097" s="13" t="n">
        <v>25</v>
      </c>
      <c r="K1097" t="n">
        <v>60</v>
      </c>
      <c r="L1097" s="13" t="n">
        <v>2.5</v>
      </c>
      <c r="M1097" s="12" t="n"/>
      <c r="N1097" s="8" t="n">
        <v>1.720592774596207</v>
      </c>
      <c r="O1097" s="15" t="n">
        <v>1.515647617069428</v>
      </c>
      <c r="P1097" s="15" t="n">
        <v>1.656034701538699</v>
      </c>
      <c r="Q1097" s="15" t="n">
        <v>0.02550032050571105</v>
      </c>
      <c r="R1097" s="15" t="n">
        <v>0.05227350513928856</v>
      </c>
      <c r="S1097" s="15" t="n">
        <v>0.02573167329296926</v>
      </c>
      <c r="T1097" s="42">
        <f>HIPERLINK($A$1 &amp; "\Dados\Imagem_perfil_1097.png", "Imagem_perfil_1097")</f>
        <v/>
      </c>
      <c r="U1097" s="42">
        <f>HIPERLINK($A$1 &amp; "\Dados\Results_airgap1097.txt", "Results_airgap1097")</f>
        <v/>
      </c>
      <c r="V1097" s="19" t="n"/>
      <c r="W1097" s="15" t="n">
        <v>2.161152391304348</v>
      </c>
      <c r="X1097" s="15" t="n">
        <v>1.021311590409953</v>
      </c>
      <c r="Y1097" s="15" t="n">
        <v>0.06577816976781649</v>
      </c>
      <c r="Z1097" s="15" t="n">
        <v>0.004655393173281939</v>
      </c>
      <c r="AA1097" s="15" t="n">
        <v>0.3053604534742381</v>
      </c>
      <c r="AB1097" s="15" t="n">
        <v>1.261078469216175</v>
      </c>
      <c r="AC1097" s="15" t="n">
        <v>19.44157160365226</v>
      </c>
      <c r="AD1097" s="15" t="n">
        <v>68.28047469051187</v>
      </c>
      <c r="AE1097" s="15" t="n">
        <v>101.1382813370407</v>
      </c>
      <c r="AF1097" s="15" t="n">
        <v>132.1753241249083</v>
      </c>
      <c r="AH1097" s="42">
        <f>HIPERLINK($A$1 &amp; "\Dados\Magnet_fields_1097.txt.txt", "Magnet_fields_1097.txt")</f>
        <v/>
      </c>
      <c r="AI1097" t="n">
        <v>8981</v>
      </c>
      <c r="AJ1097" t="n">
        <v>30</v>
      </c>
      <c r="AK1097" s="42">
        <f>HIPERLINK($A$1 &amp; "\Dados\Magnet_3D_results_1097.txt.txt", "Magnet_3D_results_1097.txt")</f>
        <v/>
      </c>
      <c r="AL1097" s="42">
        <f>HIPERLINK($A$1 &amp; "\Dados\Magnet_fields_2D_1097.txt.txt", "Magnet_fields_2D_1097.txt")</f>
        <v/>
      </c>
    </row>
    <row r="1098">
      <c r="E1098" s="15" t="n">
        <v>134</v>
      </c>
      <c r="F1098" s="15" t="n">
        <v>172</v>
      </c>
      <c r="G1098" s="15" t="n">
        <v>362</v>
      </c>
      <c r="H1098" s="15" t="n">
        <v>26</v>
      </c>
      <c r="I1098" s="15" t="n">
        <v>175</v>
      </c>
      <c r="J1098" s="13" t="n">
        <v>25</v>
      </c>
      <c r="K1098" t="n">
        <v>60</v>
      </c>
      <c r="L1098" s="13" t="n">
        <v>2.5</v>
      </c>
      <c r="M1098" s="12" t="n"/>
      <c r="N1098" s="8" t="n">
        <v>1.513039000928207</v>
      </c>
      <c r="O1098" s="15" t="n">
        <v>1.331402941262543</v>
      </c>
      <c r="P1098" s="15" t="n">
        <v>1.466633032579747</v>
      </c>
      <c r="Q1098" s="15" t="n">
        <v>0.02025558897890683</v>
      </c>
      <c r="R1098" s="15" t="n">
        <v>0.04413154315572165</v>
      </c>
      <c r="S1098" s="15" t="n">
        <v>0.01880732969361406</v>
      </c>
      <c r="T1098" s="42">
        <f>HIPERLINK($A$1 &amp; "\Dados\Imagem_perfil_1098.png", "Imagem_perfil_1098")</f>
        <v/>
      </c>
      <c r="U1098" s="42">
        <f>HIPERLINK($A$1 &amp; "\Dados\Results_airgap1098.txt", "Results_airgap1098")</f>
        <v/>
      </c>
      <c r="V1098" s="19" t="n"/>
      <c r="W1098" s="15" t="n">
        <v>1.926029565217391</v>
      </c>
      <c r="X1098" s="15" t="n">
        <v>0.9415464509113</v>
      </c>
      <c r="Y1098" s="15" t="n">
        <v>0.2184241687164216</v>
      </c>
      <c r="Z1098" s="15" t="n">
        <v>0.0262295723826751</v>
      </c>
      <c r="AA1098" s="15" t="n">
        <v>4.70436311176472</v>
      </c>
      <c r="AB1098" s="15" t="n">
        <v>0.13711861478635</v>
      </c>
      <c r="AC1098" s="15" t="n">
        <v>19.07684656467791</v>
      </c>
      <c r="AD1098" s="15" t="n">
        <v>70.65858854700529</v>
      </c>
      <c r="AE1098" s="15" t="n">
        <v>100.2359757952166</v>
      </c>
      <c r="AF1098" s="15" t="n">
        <v>131.1768442626538</v>
      </c>
      <c r="AH1098" s="42">
        <f>HIPERLINK($A$1 &amp; "\Dados\Magnet_fields_1098.txt.txt", "Magnet_fields_1098.txt")</f>
        <v/>
      </c>
      <c r="AI1098" t="n">
        <v>10001</v>
      </c>
      <c r="AJ1098" t="n">
        <v>30</v>
      </c>
      <c r="AK1098" s="42">
        <f>HIPERLINK($A$1 &amp; "\Dados\Magnet_3D_results_1098.txt.txt", "Magnet_3D_results_1098.txt")</f>
        <v/>
      </c>
      <c r="AL1098" s="42">
        <f>HIPERLINK($A$1 &amp; "\Dados\Magnet_fields_2D_1098.txt.txt", "Magnet_fields_2D_1098.txt")</f>
        <v/>
      </c>
    </row>
    <row r="1099">
      <c r="E1099" s="15" t="n">
        <v>135</v>
      </c>
      <c r="F1099" s="15" t="n">
        <v>180</v>
      </c>
      <c r="G1099" s="15" t="n">
        <v>358</v>
      </c>
      <c r="H1099" s="15" t="n">
        <v>25</v>
      </c>
      <c r="I1099" s="15" t="n">
        <v>140</v>
      </c>
      <c r="J1099" s="13" t="n">
        <v>25</v>
      </c>
      <c r="K1099" t="n">
        <v>60</v>
      </c>
      <c r="L1099" s="13" t="n">
        <v>2.5</v>
      </c>
      <c r="M1099" s="12" t="n"/>
      <c r="N1099" s="8" t="n">
        <v>1.256068170986904</v>
      </c>
      <c r="O1099" s="15" t="n">
        <v>0.9539439610025824</v>
      </c>
      <c r="P1099" s="15" t="n">
        <v>1.16193007323052</v>
      </c>
      <c r="Q1099" s="15" t="n">
        <v>0.01887899900711675</v>
      </c>
      <c r="R1099" s="15" t="n">
        <v>0.0376264802436066</v>
      </c>
      <c r="S1099" s="15" t="n">
        <v>0.01869050166075334</v>
      </c>
      <c r="T1099" s="42">
        <f>HIPERLINK($A$1 &amp; "\Dados\Imagem_perfil_1099.png", "Imagem_perfil_1099")</f>
        <v/>
      </c>
      <c r="U1099" s="42">
        <f>HIPERLINK($A$1 &amp; "\Dados\Results_airgap1099.txt", "Results_airgap1099")</f>
        <v/>
      </c>
      <c r="V1099" s="19" t="n"/>
      <c r="W1099" s="15" t="n">
        <v>1.740562391304348</v>
      </c>
      <c r="X1099" s="15" t="n">
        <v>0.8255378127814126</v>
      </c>
      <c r="Y1099" s="15" t="n">
        <v>0.3851291509034774</v>
      </c>
      <c r="Z1099" s="15" t="n">
        <v>0.02027459486779597</v>
      </c>
      <c r="AA1099" s="15" t="n">
        <v>6.732753028831818</v>
      </c>
      <c r="AB1099" s="15" t="n">
        <v>0.2622706628583337</v>
      </c>
      <c r="AC1099" s="15" t="n">
        <v>16.79621440999117</v>
      </c>
      <c r="AD1099" s="15" t="n">
        <v>64.87578241235072</v>
      </c>
      <c r="AE1099" s="15" t="n">
        <v>97.91842207493259</v>
      </c>
      <c r="AF1099" s="15" t="n">
        <v>129.8731405775368</v>
      </c>
      <c r="AH1099" s="42">
        <f>HIPERLINK($A$1 &amp; "\Dados\Magnet_fields_1099.txt.txt", "Magnet_fields_1099.txt")</f>
        <v/>
      </c>
      <c r="AI1099" t="n">
        <v>9800</v>
      </c>
      <c r="AJ1099" t="n">
        <v>30</v>
      </c>
      <c r="AK1099" s="42">
        <f>HIPERLINK($A$1 &amp; "\Dados\Magnet_3D_results_1099.txt.txt", "Magnet_3D_results_1099.txt")</f>
        <v/>
      </c>
      <c r="AL1099" s="42">
        <f>HIPERLINK($A$1 &amp; "\Dados\Magnet_fields_2D_1099.txt.txt", "Magnet_fields_2D_1099.txt")</f>
        <v/>
      </c>
    </row>
    <row r="1100">
      <c r="E1100" s="15" t="n">
        <v>150</v>
      </c>
      <c r="F1100" s="15" t="n">
        <v>181</v>
      </c>
      <c r="G1100" s="15" t="n">
        <v>410</v>
      </c>
      <c r="H1100" s="15" t="n">
        <v>33</v>
      </c>
      <c r="I1100" s="15" t="n">
        <v>161</v>
      </c>
      <c r="J1100" s="13" t="n">
        <v>25</v>
      </c>
      <c r="K1100" t="n">
        <v>55</v>
      </c>
      <c r="L1100" s="13" t="n">
        <v>2.5</v>
      </c>
      <c r="M1100" s="12" t="n"/>
      <c r="N1100" s="8" t="n">
        <v>1.655978467224077</v>
      </c>
      <c r="O1100" s="15" t="n">
        <v>1.413424502571935</v>
      </c>
      <c r="P1100" s="15" t="n">
        <v>1.577551739815755</v>
      </c>
      <c r="Q1100" s="15" t="n">
        <v>0.01311205937418123</v>
      </c>
      <c r="R1100" s="15" t="n">
        <v>0.04646542331400214</v>
      </c>
      <c r="S1100" s="15" t="n">
        <v>0.01288140683218651</v>
      </c>
      <c r="T1100" s="42">
        <f>HIPERLINK($A$1 &amp; "\Dados\Imagem_perfil_1100.png", "Imagem_perfil_1100")</f>
        <v/>
      </c>
      <c r="U1100" s="42">
        <f>HIPERLINK($A$1 &amp; "\Dados\Results_airgap1100.txt", "Results_airgap1100")</f>
        <v/>
      </c>
      <c r="V1100" s="19" t="n"/>
      <c r="W1100" s="15" t="n">
        <v>2.15164347826087</v>
      </c>
      <c r="X1100" s="15" t="n">
        <v>1.029509911508773</v>
      </c>
      <c r="Y1100" s="15" t="n">
        <v>0.07366304089451156</v>
      </c>
      <c r="Z1100" s="15" t="n">
        <v>0.008483735371711912</v>
      </c>
      <c r="AA1100" s="15" t="n">
        <v>2.667372678869648</v>
      </c>
      <c r="AB1100" s="15" t="n">
        <v>0.8952463929634294</v>
      </c>
      <c r="AC1100" s="15" t="n">
        <v>13.29287529799264</v>
      </c>
      <c r="AD1100" s="15" t="n">
        <v>60.0875974208683</v>
      </c>
      <c r="AE1100" s="15" t="n">
        <v>96.9377037596787</v>
      </c>
      <c r="AF1100" s="15" t="n">
        <v>127.6583984163024</v>
      </c>
      <c r="AH1100" s="42">
        <f>HIPERLINK($A$1 &amp; "\Dados\Magnet_fields_1100.txt.txt", "Magnet_fields_1100.txt")</f>
        <v/>
      </c>
      <c r="AI1100" t="n">
        <v>11778</v>
      </c>
      <c r="AJ1100" t="n">
        <v>31</v>
      </c>
      <c r="AK1100" s="42">
        <f>HIPERLINK($A$1 &amp; "\Dados\Magnet_3D_results_1100.txt.txt", "Magnet_3D_results_1100.txt")</f>
        <v/>
      </c>
      <c r="AL1100" s="42">
        <f>HIPERLINK($A$1 &amp; "\Dados\Magnet_fields_2D_1100.txt.txt", "Magnet_fields_2D_1100.txt")</f>
        <v/>
      </c>
    </row>
    <row r="1101">
      <c r="E1101" s="15" t="n">
        <v>146</v>
      </c>
      <c r="F1101" s="15" t="n">
        <v>182</v>
      </c>
      <c r="G1101" s="15" t="n">
        <v>421</v>
      </c>
      <c r="H1101" s="15" t="n">
        <v>33</v>
      </c>
      <c r="I1101" s="15" t="n">
        <v>163</v>
      </c>
      <c r="J1101" s="13" t="n">
        <v>25</v>
      </c>
      <c r="K1101" t="n">
        <v>55</v>
      </c>
      <c r="L1101" s="13" t="n">
        <v>2.5</v>
      </c>
      <c r="M1101" s="12" t="n"/>
      <c r="N1101" s="8" t="n">
        <v>1.593702254056637</v>
      </c>
      <c r="O1101" s="15" t="n">
        <v>1.375728723136544</v>
      </c>
      <c r="P1101" s="15" t="n">
        <v>1.528121259127041</v>
      </c>
      <c r="Q1101" s="15" t="n">
        <v>0.01251537076524873</v>
      </c>
      <c r="R1101" s="15" t="n">
        <v>0.05327931791100382</v>
      </c>
      <c r="S1101" s="15" t="n">
        <v>0.01192540920959019</v>
      </c>
      <c r="T1101" s="42">
        <f>HIPERLINK($A$1 &amp; "\Dados\Imagem_perfil_1101.png", "Imagem_perfil_1101")</f>
        <v/>
      </c>
      <c r="U1101" s="42">
        <f>HIPERLINK($A$1 &amp; "\Dados\Results_airgap1101.txt", "Results_airgap1101")</f>
        <v/>
      </c>
      <c r="V1101" s="19" t="n"/>
      <c r="W1101" s="15" t="n">
        <v>2.119035</v>
      </c>
      <c r="X1101" s="15" t="n">
        <v>1.009355594542134</v>
      </c>
      <c r="Y1101" s="15" t="n">
        <v>0.1019765487638581</v>
      </c>
      <c r="Z1101" s="15" t="n">
        <v>0</v>
      </c>
      <c r="AA1101" s="15" t="n">
        <v>1.651756811306774</v>
      </c>
      <c r="AB1101" s="15" t="n">
        <v>0.919533983302019</v>
      </c>
      <c r="AC1101" s="15" t="n">
        <v>14.44249054106105</v>
      </c>
      <c r="AD1101" s="15" t="n">
        <v>60.75491527168989</v>
      </c>
      <c r="AE1101" s="15" t="n">
        <v>96.53869117028464</v>
      </c>
      <c r="AF1101" s="15" t="n">
        <v>127.4100864035023</v>
      </c>
      <c r="AH1101" s="42">
        <f>HIPERLINK($A$1 &amp; "\Dados\Magnet_fields_1101.txt.txt", "Magnet_fields_1101.txt")</f>
        <v/>
      </c>
      <c r="AI1101" t="n">
        <v>11887</v>
      </c>
      <c r="AJ1101" t="n">
        <v>31</v>
      </c>
      <c r="AK1101" s="42">
        <f>HIPERLINK($A$1 &amp; "\Dados\Magnet_3D_results_1101.txt.txt", "Magnet_3D_results_1101.txt")</f>
        <v/>
      </c>
      <c r="AL1101" s="42">
        <f>HIPERLINK($A$1 &amp; "\Dados\Magnet_fields_2D_1101.txt.txt", "Magnet_fields_2D_1101.txt")</f>
        <v/>
      </c>
    </row>
    <row r="1102">
      <c r="E1102" s="15" t="n">
        <v>136</v>
      </c>
      <c r="F1102" s="15" t="n">
        <v>181</v>
      </c>
      <c r="G1102" s="15" t="n">
        <v>422</v>
      </c>
      <c r="H1102" s="15" t="n">
        <v>27</v>
      </c>
      <c r="I1102" s="15" t="n">
        <v>148</v>
      </c>
      <c r="J1102" s="13" t="n">
        <v>25</v>
      </c>
      <c r="K1102" t="n">
        <v>45</v>
      </c>
      <c r="L1102" s="13" t="n">
        <v>2.5</v>
      </c>
      <c r="M1102" s="12" t="n"/>
      <c r="N1102" s="8" t="n">
        <v>1.369967183852613</v>
      </c>
      <c r="O1102" s="15" t="n">
        <v>1.109612064682261</v>
      </c>
      <c r="P1102" s="15" t="n">
        <v>1.290597237872869</v>
      </c>
      <c r="Q1102" s="15" t="n">
        <v>0.003089200037397882</v>
      </c>
      <c r="R1102" s="15" t="n">
        <v>0.04328091997146902</v>
      </c>
      <c r="S1102" s="15" t="n">
        <v>0.003847973968674755</v>
      </c>
      <c r="T1102" s="42">
        <f>HIPERLINK($A$1 &amp; "\Dados\Imagem_perfil_1102.png", "Imagem_perfil_1102")</f>
        <v/>
      </c>
      <c r="U1102" s="42">
        <f>HIPERLINK($A$1 &amp; "\Dados\Results_airgap1102.txt", "Results_airgap1102")</f>
        <v/>
      </c>
      <c r="V1102" s="19" t="n"/>
      <c r="W1102" s="15" t="n">
        <v>1.881427391304348</v>
      </c>
      <c r="X1102" s="15" t="n">
        <v>0.8939057950850828</v>
      </c>
      <c r="Y1102" s="15" t="n">
        <v>0.3656079969884473</v>
      </c>
      <c r="Z1102" s="15" t="n">
        <v>0</v>
      </c>
      <c r="AA1102" s="15" t="n">
        <v>2.952113002352594</v>
      </c>
      <c r="AB1102" s="15" t="n">
        <v>2.595214600004267</v>
      </c>
      <c r="AC1102" s="15" t="n">
        <v>14.06392980693412</v>
      </c>
      <c r="AD1102" s="15" t="n">
        <v>44.67594583442348</v>
      </c>
      <c r="AE1102" s="15" t="n">
        <v>83.47626738934109</v>
      </c>
      <c r="AF1102" s="15" t="n">
        <v>117.3347291118887</v>
      </c>
      <c r="AH1102" s="42">
        <f>HIPERLINK($A$1 &amp; "\Dados\Magnet_fields_1102.txt.txt", "Magnet_fields_1102.txt")</f>
        <v/>
      </c>
      <c r="AI1102" t="n">
        <v>9333</v>
      </c>
      <c r="AJ1102" t="n">
        <v>31</v>
      </c>
      <c r="AK1102" s="42">
        <f>HIPERLINK($A$1 &amp; "\Dados\Magnet_3D_results_1102.txt.txt", "Magnet_3D_results_1102.txt")</f>
        <v/>
      </c>
      <c r="AL1102" s="42">
        <f>HIPERLINK($A$1 &amp; "\Dados\Magnet_fields_2D_1102.txt.txt", "Magnet_fields_2D_1102.txt")</f>
        <v/>
      </c>
    </row>
    <row r="1103">
      <c r="E1103" s="15" t="n">
        <v>146</v>
      </c>
      <c r="F1103" s="15" t="n">
        <v>178</v>
      </c>
      <c r="G1103" s="15" t="n">
        <v>422</v>
      </c>
      <c r="H1103" s="15" t="n">
        <v>30</v>
      </c>
      <c r="I1103" s="15" t="n">
        <v>157</v>
      </c>
      <c r="J1103" s="13" t="n">
        <v>25</v>
      </c>
      <c r="K1103" t="n">
        <v>40</v>
      </c>
      <c r="L1103" s="13" t="n">
        <v>2.5</v>
      </c>
      <c r="M1103" s="12" t="n"/>
      <c r="N1103" s="8" t="n">
        <v>1.56125872152337</v>
      </c>
      <c r="O1103" s="15" t="n">
        <v>1.328780845171981</v>
      </c>
      <c r="P1103" s="15" t="n">
        <v>1.483369340361854</v>
      </c>
      <c r="Q1103" s="15" t="n">
        <v>0.002351257664292027</v>
      </c>
      <c r="R1103" s="15" t="n">
        <v>0.03202626455537021</v>
      </c>
      <c r="S1103" s="15" t="n">
        <v>0.002422421322066024</v>
      </c>
      <c r="T1103" s="42">
        <f>HIPERLINK($A$1 &amp; "\Dados\Imagem_perfil_1103.png", "Imagem_perfil_1103")</f>
        <v/>
      </c>
      <c r="U1103" s="42">
        <f>HIPERLINK($A$1 &amp; "\Dados\Results_airgap1103.txt", "Results_airgap1103")</f>
        <v/>
      </c>
      <c r="V1103" s="19" t="n"/>
      <c r="W1103" s="15" t="n">
        <v>1.971613913043478</v>
      </c>
      <c r="X1103" s="15" t="n">
        <v>0.960368743239868</v>
      </c>
      <c r="Y1103" s="15" t="n">
        <v>0.2955466340281844</v>
      </c>
      <c r="Z1103" s="15" t="n">
        <v>0</v>
      </c>
      <c r="AA1103" s="15" t="n">
        <v>3.126021706936749</v>
      </c>
      <c r="AB1103" s="15" t="n">
        <v>0.2669798636821989</v>
      </c>
      <c r="AC1103" s="15" t="n">
        <v>5.565464284026992</v>
      </c>
      <c r="AD1103" s="15" t="n">
        <v>31.11100468495325</v>
      </c>
      <c r="AE1103" s="15" t="n">
        <v>76.93507810810418</v>
      </c>
      <c r="AF1103" s="15" t="n">
        <v>113.1169158479729</v>
      </c>
      <c r="AH1103" s="42">
        <f>HIPERLINK($A$1 &amp; "\Dados\Magnet_fields_1103.txt.txt", "Magnet_fields_1103.txt")</f>
        <v/>
      </c>
      <c r="AI1103" t="n">
        <v>9914</v>
      </c>
      <c r="AJ1103" t="n">
        <v>30</v>
      </c>
      <c r="AK1103" s="42">
        <f>HIPERLINK($A$1 &amp; "\Dados\Magnet_3D_results_1103.txt.txt", "Magnet_3D_results_1103.txt")</f>
        <v/>
      </c>
      <c r="AL1103" s="42">
        <f>HIPERLINK($A$1 &amp; "\Dados\Magnet_fields_2D_1103.txt.txt", "Magnet_fields_2D_1103.txt")</f>
        <v/>
      </c>
    </row>
    <row r="1104">
      <c r="E1104" s="15" t="n">
        <v>146</v>
      </c>
      <c r="F1104" s="15" t="n">
        <v>180</v>
      </c>
      <c r="G1104" s="15" t="n">
        <v>379</v>
      </c>
      <c r="H1104" s="15" t="n">
        <v>29</v>
      </c>
      <c r="I1104" s="15" t="n">
        <v>179</v>
      </c>
      <c r="J1104" s="13" t="n">
        <v>25</v>
      </c>
      <c r="K1104" t="n">
        <v>40</v>
      </c>
      <c r="L1104" s="13" t="n">
        <v>2.5</v>
      </c>
      <c r="M1104" s="12" t="n"/>
      <c r="N1104" s="8" t="n">
        <v>1.497493416846165</v>
      </c>
      <c r="O1104" s="15" t="n">
        <v>1.319442953511468</v>
      </c>
      <c r="P1104" s="15" t="n">
        <v>1.441771267417434</v>
      </c>
      <c r="Q1104" s="15" t="n">
        <v>0.001717796120332485</v>
      </c>
      <c r="R1104" s="15" t="n">
        <v>0.02552496608435611</v>
      </c>
      <c r="S1104" s="15" t="n">
        <v>0.001728722059607395</v>
      </c>
      <c r="T1104" s="42">
        <f>HIPERLINK($A$1 &amp; "\Dados\Imagem_perfil_1104.png", "Imagem_perfil_1104")</f>
        <v/>
      </c>
      <c r="U1104" s="42">
        <f>HIPERLINK($A$1 &amp; "\Dados\Results_airgap1104.txt", "Results_airgap1104")</f>
        <v/>
      </c>
      <c r="V1104" s="19" t="n"/>
      <c r="W1104" s="15" t="n">
        <v>1.785485652173913</v>
      </c>
      <c r="X1104" s="15" t="n">
        <v>0.9156717388332383</v>
      </c>
      <c r="Y1104" s="15" t="n">
        <v>0.3890055150701902</v>
      </c>
      <c r="Z1104" s="15" t="n">
        <v>0</v>
      </c>
      <c r="AA1104" s="15" t="n">
        <v>2.131378583380663</v>
      </c>
      <c r="AB1104" s="15" t="n">
        <v>0</v>
      </c>
      <c r="AC1104" s="15" t="n">
        <v>1.971975017921524</v>
      </c>
      <c r="AD1104" s="15" t="n">
        <v>28.1705642244907</v>
      </c>
      <c r="AE1104" s="15" t="n">
        <v>82.20651848438504</v>
      </c>
      <c r="AF1104" s="15" t="n">
        <v>114.9135291949947</v>
      </c>
      <c r="AH1104" s="42">
        <f>HIPERLINK($A$1 &amp; "\Dados\Magnet_fields_1104.txt.txt", "Magnet_fields_1104.txt")</f>
        <v/>
      </c>
      <c r="AI1104" t="n">
        <v>9265</v>
      </c>
      <c r="AJ1104" t="n">
        <v>30</v>
      </c>
      <c r="AK1104" s="42">
        <f>HIPERLINK($A$1 &amp; "\Dados\Magnet_3D_results_1104.txt.txt", "Magnet_3D_results_1104.txt")</f>
        <v/>
      </c>
      <c r="AL1104" s="42">
        <f>HIPERLINK($A$1 &amp; "\Dados\Magnet_fields_2D_1104.txt.txt", "Magnet_fields_2D_1104.txt")</f>
        <v/>
      </c>
    </row>
    <row r="1105">
      <c r="E1105" s="15" t="n">
        <v>150</v>
      </c>
      <c r="F1105" s="15" t="n">
        <v>200</v>
      </c>
      <c r="G1105" s="15" t="n">
        <v>361</v>
      </c>
      <c r="H1105" s="15" t="n">
        <v>28</v>
      </c>
      <c r="I1105" s="15" t="n">
        <v>160</v>
      </c>
      <c r="J1105" s="13" t="n">
        <v>25</v>
      </c>
      <c r="K1105" t="n">
        <v>40</v>
      </c>
      <c r="L1105" s="13" t="n">
        <v>2.5</v>
      </c>
      <c r="M1105" s="12" t="n"/>
      <c r="N1105" s="8" t="n">
        <v>1.129975923734509</v>
      </c>
      <c r="O1105" s="15" t="n">
        <v>0.9351861377548454</v>
      </c>
      <c r="P1105" s="15" t="n">
        <v>1.073458497683698</v>
      </c>
      <c r="Q1105" s="15" t="n">
        <v>0.0009249213757207931</v>
      </c>
      <c r="R1105" s="15" t="n">
        <v>0.02072319724939404</v>
      </c>
      <c r="S1105" s="15" t="n">
        <v>0.001250759306810124</v>
      </c>
      <c r="T1105" s="42">
        <f>HIPERLINK($A$1 &amp; "\Dados\Imagem_perfil_1105.png", "Imagem_perfil_1105")</f>
        <v/>
      </c>
      <c r="U1105" s="42">
        <f>HIPERLINK($A$1 &amp; "\Dados\Results_airgap1105.txt", "Results_airgap1105")</f>
        <v/>
      </c>
      <c r="V1105" s="19" t="n"/>
      <c r="W1105" s="15" t="n">
        <v>1.425703260869565</v>
      </c>
      <c r="X1105" s="15" t="n">
        <v>0.7189888720416578</v>
      </c>
      <c r="Y1105" s="15" t="n">
        <v>0.849666452272038</v>
      </c>
      <c r="Z1105" s="15" t="n">
        <v>0.007275284164769129</v>
      </c>
      <c r="AA1105" s="15" t="n">
        <v>2.901891606295258</v>
      </c>
      <c r="AB1105" s="15" t="n">
        <v>0.1428756798773271</v>
      </c>
      <c r="AC1105" s="15" t="n">
        <v>5.225949216947297</v>
      </c>
      <c r="AD1105" s="15" t="n">
        <v>31.03006341142946</v>
      </c>
      <c r="AE1105" s="15" t="n">
        <v>75.47386711169261</v>
      </c>
      <c r="AF1105" s="15" t="n">
        <v>111.9575061824569</v>
      </c>
      <c r="AH1105" s="42">
        <f>HIPERLINK($A$1 &amp; "\Dados\Magnet_fields_1105.txt.txt", "Magnet_fields_1105.txt")</f>
        <v/>
      </c>
      <c r="AI1105" t="n">
        <v>8788</v>
      </c>
      <c r="AJ1105" t="n">
        <v>29</v>
      </c>
      <c r="AK1105" s="42">
        <f>HIPERLINK($A$1 &amp; "\Dados\Magnet_3D_results_1105.txt.txt", "Magnet_3D_results_1105.txt")</f>
        <v/>
      </c>
      <c r="AL1105" s="42">
        <f>HIPERLINK($A$1 &amp; "\Dados\Magnet_fields_2D_1105.txt.txt", "Magnet_fields_2D_1105.txt")</f>
        <v/>
      </c>
    </row>
    <row r="1106">
      <c r="E1106" s="15" t="n">
        <v>134</v>
      </c>
      <c r="F1106" s="15" t="n">
        <v>178</v>
      </c>
      <c r="G1106" s="15" t="n">
        <v>422</v>
      </c>
      <c r="H1106" s="15" t="n">
        <v>27</v>
      </c>
      <c r="I1106" s="15" t="n">
        <v>172</v>
      </c>
      <c r="J1106" s="13" t="n">
        <v>25</v>
      </c>
      <c r="K1106" t="n">
        <v>45</v>
      </c>
      <c r="L1106" s="13" t="n">
        <v>2.5</v>
      </c>
      <c r="M1106" s="12" t="n"/>
      <c r="N1106" s="8" t="n">
        <v>1.46016390223451</v>
      </c>
      <c r="O1106" s="15" t="n">
        <v>1.262165626412872</v>
      </c>
      <c r="P1106" s="15" t="n">
        <v>1.402510993188295</v>
      </c>
      <c r="Q1106" s="15" t="n">
        <v>0.003457416398494994</v>
      </c>
      <c r="R1106" s="15" t="n">
        <v>0.04588878545835223</v>
      </c>
      <c r="S1106" s="15" t="n">
        <v>0.003559945607022898</v>
      </c>
      <c r="T1106" s="42">
        <f>HIPERLINK($A$1 &amp; "\Dados\Imagem_perfil_1106.png", "Imagem_perfil_1106")</f>
        <v/>
      </c>
      <c r="U1106" s="42">
        <f>HIPERLINK($A$1 &amp; "\Dados\Results_airgap1106.txt", "Results_airgap1106")</f>
        <v/>
      </c>
      <c r="V1106" s="19" t="n"/>
      <c r="W1106" s="15" t="n">
        <v>1.900838695652174</v>
      </c>
      <c r="X1106" s="15" t="n">
        <v>0.927214602849436</v>
      </c>
      <c r="Y1106" s="15" t="n">
        <v>0.3552142363132125</v>
      </c>
      <c r="Z1106" s="15" t="n">
        <v>0.001107349297787589</v>
      </c>
      <c r="AA1106" s="15" t="n">
        <v>3.118473012355836</v>
      </c>
      <c r="AB1106" s="15" t="n">
        <v>2.468819949223466</v>
      </c>
      <c r="AC1106" s="15" t="n">
        <v>13.3774732249244</v>
      </c>
      <c r="AD1106" s="15" t="n">
        <v>43.60526206489811</v>
      </c>
      <c r="AE1106" s="15" t="n">
        <v>83.3811317416359</v>
      </c>
      <c r="AF1106" s="15" t="n">
        <v>117.4710749584241</v>
      </c>
      <c r="AH1106" s="42">
        <f>HIPERLINK($A$1 &amp; "\Dados\Magnet_fields_1106.txt.txt", "Magnet_fields_1106.txt")</f>
        <v/>
      </c>
      <c r="AI1106" t="n">
        <v>9255</v>
      </c>
      <c r="AJ1106" t="n">
        <v>30</v>
      </c>
      <c r="AK1106" s="42">
        <f>HIPERLINK($A$1 &amp; "\Dados\Magnet_3D_results_1106.txt.txt", "Magnet_3D_results_1106.txt")</f>
        <v/>
      </c>
      <c r="AL1106" s="42">
        <f>HIPERLINK($A$1 &amp; "\Dados\Magnet_fields_2D_1106.txt.txt", "Magnet_fields_2D_1106.txt")</f>
        <v/>
      </c>
    </row>
    <row r="1107">
      <c r="E1107" s="15" t="n">
        <v>150</v>
      </c>
      <c r="F1107" s="15" t="n">
        <v>190</v>
      </c>
      <c r="G1107" s="15" t="n">
        <v>400</v>
      </c>
      <c r="H1107" s="15" t="n">
        <v>30</v>
      </c>
      <c r="I1107" s="15" t="n">
        <v>167</v>
      </c>
      <c r="J1107" s="13" t="n">
        <v>25</v>
      </c>
      <c r="K1107" t="n">
        <v>50</v>
      </c>
      <c r="L1107" s="13" t="n">
        <v>2.5</v>
      </c>
      <c r="M1107" s="12" t="n"/>
      <c r="N1107" s="8" t="n">
        <v>1.449797464991334</v>
      </c>
      <c r="O1107" s="15" t="n">
        <v>1.237554890370214</v>
      </c>
      <c r="P1107" s="15" t="n">
        <v>1.391307693306528</v>
      </c>
      <c r="Q1107" s="15" t="n">
        <v>0.004415655065820314</v>
      </c>
      <c r="R1107" s="15" t="n">
        <v>0.03755859967374398</v>
      </c>
      <c r="S1107" s="15" t="n">
        <v>0.004470738609718932</v>
      </c>
      <c r="T1107" s="42">
        <f>HIPERLINK($A$1 &amp; "\Dados\Imagem_perfil_1107.png", "Imagem_perfil_1107")</f>
        <v/>
      </c>
      <c r="U1107" s="42">
        <f>HIPERLINK($A$1 &amp; "\Dados\Results_airgap1107.txt", "Results_airgap1107")</f>
        <v/>
      </c>
      <c r="V1107" s="19" t="n"/>
      <c r="W1107" s="15" t="n">
        <v>1.866968260869565</v>
      </c>
      <c r="X1107" s="15" t="n">
        <v>0.960670055134307</v>
      </c>
      <c r="Y1107" s="15" t="n">
        <v>0.2817336595710608</v>
      </c>
      <c r="Z1107" s="15" t="n">
        <v>0.005014796140783464</v>
      </c>
      <c r="AA1107" s="15" t="n">
        <v>3.727095468805179</v>
      </c>
      <c r="AB1107" s="15" t="n">
        <v>0.1524659435778684</v>
      </c>
      <c r="AC1107" s="15" t="n">
        <v>7.418133399354712</v>
      </c>
      <c r="AD1107" s="15" t="n">
        <v>49.8003222827502</v>
      </c>
      <c r="AE1107" s="15" t="n">
        <v>92.24088229834379</v>
      </c>
      <c r="AF1107" s="15" t="n">
        <v>122.572513928</v>
      </c>
      <c r="AH1107" s="42">
        <f>HIPERLINK($A$1 &amp; "\Dados\Magnet_fields_1107.txt.txt", "Magnet_fields_1107.txt")</f>
        <v/>
      </c>
      <c r="AI1107" t="n">
        <v>8332</v>
      </c>
      <c r="AJ1107" t="n">
        <v>29</v>
      </c>
      <c r="AK1107" s="42">
        <f>HIPERLINK($A$1 &amp; "\Dados\Magnet_3D_results_1107.txt.txt", "Magnet_3D_results_1107.txt")</f>
        <v/>
      </c>
      <c r="AL1107" s="42">
        <f>HIPERLINK($A$1 &amp; "\Dados\Magnet_fields_2D_1107.txt.txt", "Magnet_fields_2D_1107.txt")</f>
        <v/>
      </c>
    </row>
    <row r="1108">
      <c r="E1108" s="15" t="n">
        <v>150</v>
      </c>
      <c r="F1108" s="15" t="n">
        <v>186</v>
      </c>
      <c r="G1108" s="15" t="n">
        <v>403</v>
      </c>
      <c r="H1108" s="15" t="n">
        <v>38</v>
      </c>
      <c r="I1108" s="15" t="n">
        <v>145</v>
      </c>
      <c r="J1108" s="13" t="n">
        <v>25</v>
      </c>
      <c r="K1108" t="n">
        <v>40</v>
      </c>
      <c r="L1108" s="13" t="n">
        <v>2.5</v>
      </c>
      <c r="M1108" s="12" t="n"/>
      <c r="N1108" s="8" t="n">
        <v>1.399478558607086</v>
      </c>
      <c r="O1108" s="15" t="n">
        <v>1.141170402772065</v>
      </c>
      <c r="P1108" s="15" t="n">
        <v>1.330817337294303</v>
      </c>
      <c r="Q1108" s="15" t="n">
        <v>0.00164054758029246</v>
      </c>
      <c r="R1108" s="15" t="n">
        <v>0.02878115620713785</v>
      </c>
      <c r="S1108" s="15" t="n">
        <v>0.001887568150922363</v>
      </c>
      <c r="T1108" s="42">
        <f>HIPERLINK($A$1 &amp; "\Dados\Imagem_perfil_1108.png", "Imagem_perfil_1108")</f>
        <v/>
      </c>
      <c r="U1108" s="42">
        <f>HIPERLINK($A$1 &amp; "\Dados\Results_airgap1108.txt", "Results_airgap1108")</f>
        <v/>
      </c>
      <c r="V1108" s="19" t="n"/>
      <c r="W1108" s="15" t="n">
        <v>1.808444347826087</v>
      </c>
      <c r="X1108" s="15" t="n">
        <v>0.9353843778469069</v>
      </c>
      <c r="Y1108" s="15" t="n">
        <v>0.3965975051023987</v>
      </c>
      <c r="Z1108" s="15" t="n">
        <v>0</v>
      </c>
      <c r="AA1108" s="15" t="n">
        <v>1.30199459171379</v>
      </c>
      <c r="AB1108" s="15" t="n">
        <v>0.09447535911737516</v>
      </c>
      <c r="AC1108" s="15" t="n">
        <v>3.796157121850876</v>
      </c>
      <c r="AD1108" s="15" t="n">
        <v>27.87863869168167</v>
      </c>
      <c r="AE1108" s="15" t="n">
        <v>79.50623650721738</v>
      </c>
      <c r="AF1108" s="15" t="n">
        <v>114.481764482953</v>
      </c>
      <c r="AH1108" s="42">
        <f>HIPERLINK($A$1 &amp; "\Dados\Magnet_fields_1108.txt.txt", "Magnet_fields_1108.txt")</f>
        <v/>
      </c>
      <c r="AI1108" t="n">
        <v>7670</v>
      </c>
      <c r="AJ1108" t="n">
        <v>30</v>
      </c>
      <c r="AK1108" s="42">
        <f>HIPERLINK($A$1 &amp; "\Dados\Magnet_3D_results_1108.txt.txt", "Magnet_3D_results_1108.txt")</f>
        <v/>
      </c>
      <c r="AL1108" s="42">
        <f>HIPERLINK($A$1 &amp; "\Dados\Magnet_fields_2D_1108.txt.txt", "Magnet_fields_2D_1108.txt")</f>
        <v/>
      </c>
    </row>
    <row r="1109">
      <c r="E1109" s="15" t="n">
        <v>144</v>
      </c>
      <c r="F1109" s="15" t="n">
        <v>186</v>
      </c>
      <c r="G1109" s="15" t="n">
        <v>383</v>
      </c>
      <c r="H1109" s="15" t="n">
        <v>28</v>
      </c>
      <c r="I1109" s="15" t="n">
        <v>151</v>
      </c>
      <c r="J1109" s="13" t="n">
        <v>25</v>
      </c>
      <c r="K1109" t="n">
        <v>50</v>
      </c>
      <c r="L1109" s="13" t="n">
        <v>2.5</v>
      </c>
      <c r="M1109" s="12" t="n"/>
      <c r="N1109" s="8" t="n">
        <v>1.350755503603964</v>
      </c>
      <c r="O1109" s="15" t="n">
        <v>1.078844581294177</v>
      </c>
      <c r="P1109" s="15" t="n">
        <v>1.274515358158733</v>
      </c>
      <c r="Q1109" s="15" t="n">
        <v>0.00359968661643762</v>
      </c>
      <c r="R1109" s="15" t="n">
        <v>0.03552960739272656</v>
      </c>
      <c r="S1109" s="15" t="n">
        <v>0.004306287363028629</v>
      </c>
      <c r="T1109" s="42">
        <f>HIPERLINK($A$1 &amp; "\Dados\Imagem_perfil_1109.png", "Imagem_perfil_1109")</f>
        <v/>
      </c>
      <c r="U1109" s="42">
        <f>HIPERLINK($A$1 &amp; "\Dados\Results_airgap1109.txt", "Results_airgap1109")</f>
        <v/>
      </c>
      <c r="V1109" s="19" t="n"/>
      <c r="W1109" s="15" t="n">
        <v>1.789367608695652</v>
      </c>
      <c r="X1109" s="15" t="n">
        <v>0.8793928483573369</v>
      </c>
      <c r="Y1109" s="15" t="n">
        <v>0.3528507863054079</v>
      </c>
      <c r="Z1109" s="15" t="n">
        <v>0.008696234994001661</v>
      </c>
      <c r="AA1109" s="15" t="n">
        <v>3.713029927846447</v>
      </c>
      <c r="AB1109" s="15" t="n">
        <v>0</v>
      </c>
      <c r="AC1109" s="15" t="n">
        <v>6.800111709110807</v>
      </c>
      <c r="AD1109" s="15" t="n">
        <v>50.25274797376937</v>
      </c>
      <c r="AE1109" s="15" t="n">
        <v>92.23684998789308</v>
      </c>
      <c r="AF1109" s="15" t="n">
        <v>122.3866030428388</v>
      </c>
      <c r="AH1109" s="42">
        <f>HIPERLINK($A$1 &amp; "\Dados\Magnet_fields_1109.txt.txt", "Magnet_fields_1109.txt")</f>
        <v/>
      </c>
      <c r="AI1109" t="n">
        <v>8316</v>
      </c>
      <c r="AJ1109" t="n">
        <v>29</v>
      </c>
      <c r="AK1109" s="42">
        <f>HIPERLINK($A$1 &amp; "\Dados\Magnet_3D_results_1109.txt.txt", "Magnet_3D_results_1109.txt")</f>
        <v/>
      </c>
      <c r="AL1109" s="42">
        <f>HIPERLINK($A$1 &amp; "\Dados\Magnet_fields_2D_1109.txt.txt", "Magnet_fields_2D_1109.txt")</f>
        <v/>
      </c>
    </row>
    <row r="1110">
      <c r="E1110" s="15" t="n">
        <v>144</v>
      </c>
      <c r="F1110" s="15" t="n">
        <v>189</v>
      </c>
      <c r="G1110" s="15" t="n">
        <v>363</v>
      </c>
      <c r="H1110" s="15" t="n">
        <v>35</v>
      </c>
      <c r="I1110" s="15" t="n">
        <v>166</v>
      </c>
      <c r="J1110" s="13" t="n">
        <v>25</v>
      </c>
      <c r="K1110" t="n">
        <v>40</v>
      </c>
      <c r="L1110" s="13" t="n">
        <v>2.5</v>
      </c>
      <c r="M1110" s="12" t="n"/>
      <c r="N1110" s="8" t="n">
        <v>1.257990727381664</v>
      </c>
      <c r="O1110" s="15" t="n">
        <v>1.066019690733633</v>
      </c>
      <c r="P1110" s="15" t="n">
        <v>1.206918171711921</v>
      </c>
      <c r="Q1110" s="15" t="n">
        <v>0.001003185444293262</v>
      </c>
      <c r="R1110" s="15" t="n">
        <v>0.0252914017304654</v>
      </c>
      <c r="S1110" s="15" t="n">
        <v>0.001167961038155381</v>
      </c>
      <c r="T1110" s="42">
        <f>HIPERLINK($A$1 &amp; "\Dados\Imagem_perfil_1110.png", "Imagem_perfil_1110")</f>
        <v/>
      </c>
      <c r="U1110" s="42">
        <f>HIPERLINK($A$1 &amp; "\Dados\Results_airgap1110.txt", "Results_airgap1110")</f>
        <v/>
      </c>
      <c r="V1110" s="19" t="n"/>
      <c r="W1110" s="15" t="n">
        <v>1.549587391304347</v>
      </c>
      <c r="X1110" s="15" t="n">
        <v>0.7873833825992027</v>
      </c>
      <c r="Y1110" s="15" t="n">
        <v>0.6743573345297715</v>
      </c>
      <c r="Z1110" s="15" t="n">
        <v>0.001482347997902612</v>
      </c>
      <c r="AA1110" s="15" t="n">
        <v>0.0752534314032996</v>
      </c>
      <c r="AB1110" s="15" t="n">
        <v>0.1171380973636767</v>
      </c>
      <c r="AC1110" s="15" t="n">
        <v>5.42770395700429</v>
      </c>
      <c r="AD1110" s="15" t="n">
        <v>33.83435083358055</v>
      </c>
      <c r="AE1110" s="15" t="n">
        <v>79.94782800312962</v>
      </c>
      <c r="AF1110" s="15" t="n">
        <v>113.5812043716539</v>
      </c>
      <c r="AH1110" s="42">
        <f>HIPERLINK($A$1 &amp; "\Dados\Magnet_fields_1110.txt.txt", "Magnet_fields_1110.txt")</f>
        <v/>
      </c>
      <c r="AI1110" t="n">
        <v>7599</v>
      </c>
      <c r="AJ1110" t="n">
        <v>28</v>
      </c>
      <c r="AK1110" s="42">
        <f>HIPERLINK($A$1 &amp; "\Dados\Magnet_3D_results_1110.txt.txt", "Magnet_3D_results_1110.txt")</f>
        <v/>
      </c>
      <c r="AL1110" s="42">
        <f>HIPERLINK($A$1 &amp; "\Dados\Magnet_fields_2D_1110.txt.txt", "Magnet_fields_2D_1110.txt")</f>
        <v/>
      </c>
    </row>
    <row r="1111">
      <c r="E1111" s="15" t="n">
        <v>140</v>
      </c>
      <c r="F1111" s="15" t="n">
        <v>180</v>
      </c>
      <c r="G1111" s="15" t="n">
        <v>419</v>
      </c>
      <c r="H1111" s="15" t="n">
        <v>40</v>
      </c>
      <c r="I1111" s="15" t="n">
        <v>148</v>
      </c>
      <c r="J1111" s="13" t="n">
        <v>25</v>
      </c>
      <c r="K1111" t="n">
        <v>60</v>
      </c>
      <c r="L1111" s="13" t="n">
        <v>2.5</v>
      </c>
      <c r="M1111" s="12" t="n"/>
      <c r="N1111" s="8" t="n">
        <v>1.51077139374272</v>
      </c>
      <c r="O1111" s="15" t="n">
        <v>1.222912482479691</v>
      </c>
      <c r="P1111" s="15" t="n">
        <v>1.426825202525031</v>
      </c>
      <c r="Q1111" s="15" t="n">
        <v>0.02247777186633889</v>
      </c>
      <c r="R1111" s="15" t="n">
        <v>0.06504247583423879</v>
      </c>
      <c r="S1111" s="15" t="n">
        <v>0.0232451480809365</v>
      </c>
      <c r="T1111" s="42">
        <f>HIPERLINK($A$1 &amp; "\Dados\Imagem_perfil_1111.png", "Imagem_perfil_1111")</f>
        <v/>
      </c>
      <c r="U1111" s="42">
        <f>HIPERLINK($A$1 &amp; "\Dados\Results_airgap1111.txt", "Results_airgap1111")</f>
        <v/>
      </c>
      <c r="V1111" s="19" t="n"/>
      <c r="W1111" s="15" t="n">
        <v>2.109386304347826</v>
      </c>
      <c r="X1111" s="15" t="n">
        <v>0.9968875308714221</v>
      </c>
      <c r="Y1111" s="15" t="n">
        <v>0.1145827536684394</v>
      </c>
      <c r="Z1111" s="15" t="n">
        <v>0</v>
      </c>
      <c r="AA1111" s="15" t="n">
        <v>0</v>
      </c>
      <c r="AB1111" s="15" t="n">
        <v>0.8510868282916514</v>
      </c>
      <c r="AC1111" s="15" t="n">
        <v>20.02005891630482</v>
      </c>
      <c r="AD1111" s="15" t="n">
        <v>71.41374880803573</v>
      </c>
      <c r="AE1111" s="15" t="n">
        <v>101.5192031275451</v>
      </c>
      <c r="AF1111" s="15" t="n">
        <v>132.4890341296606</v>
      </c>
      <c r="AH1111" s="42">
        <f>HIPERLINK($A$1 &amp; "\Dados\Magnet_fields_1111.txt.txt", "Magnet_fields_1111.txt")</f>
        <v/>
      </c>
      <c r="AI1111" t="n">
        <v>8125</v>
      </c>
      <c r="AJ1111" t="n">
        <v>29</v>
      </c>
      <c r="AK1111" s="42">
        <f>HIPERLINK($A$1 &amp; "\Dados\Magnet_3D_results_1111.txt.txt", "Magnet_3D_results_1111.txt")</f>
        <v/>
      </c>
      <c r="AL1111" s="42">
        <f>HIPERLINK($A$1 &amp; "\Dados\Magnet_fields_2D_1111.txt.txt", "Magnet_fields_2D_1111.txt")</f>
        <v/>
      </c>
    </row>
    <row r="1112">
      <c r="E1112" s="15" t="n">
        <v>144</v>
      </c>
      <c r="F1112" s="15" t="n">
        <v>182</v>
      </c>
      <c r="G1112" s="15" t="n">
        <v>394</v>
      </c>
      <c r="H1112" s="15" t="n">
        <v>45</v>
      </c>
      <c r="I1112" s="15" t="n">
        <v>168</v>
      </c>
      <c r="J1112" s="13" t="n">
        <v>25</v>
      </c>
      <c r="K1112" t="n">
        <v>50</v>
      </c>
      <c r="L1112" s="13" t="n">
        <v>2.5</v>
      </c>
      <c r="M1112" s="12" t="n"/>
      <c r="N1112" s="8" t="n">
        <v>1.509431614955177</v>
      </c>
      <c r="O1112" s="15" t="n">
        <v>1.294750308133657</v>
      </c>
      <c r="P1112" s="15" t="n">
        <v>1.437558838585562</v>
      </c>
      <c r="Q1112" s="15" t="n">
        <v>0.005520870154005934</v>
      </c>
      <c r="R1112" s="15" t="n">
        <v>0.04395304489779685</v>
      </c>
      <c r="S1112" s="15" t="n">
        <v>0.005652972889406986</v>
      </c>
      <c r="T1112" s="42">
        <f>HIPERLINK($A$1 &amp; "\Dados\Imagem_perfil_1112.png", "Imagem_perfil_1112")</f>
        <v/>
      </c>
      <c r="U1112" s="42">
        <f>HIPERLINK($A$1 &amp; "\Dados\Results_airgap1112.txt", "Results_airgap1112")</f>
        <v/>
      </c>
      <c r="V1112" s="19" t="n"/>
      <c r="W1112" s="15" t="n">
        <v>1.906561521739131</v>
      </c>
      <c r="X1112" s="15" t="n">
        <v>0.9525211686812033</v>
      </c>
      <c r="Y1112" s="15" t="n">
        <v>0.2538869774831338</v>
      </c>
      <c r="Z1112" s="15" t="n">
        <v>0</v>
      </c>
      <c r="AA1112" s="15" t="n">
        <v>0.004437504491192307</v>
      </c>
      <c r="AB1112" s="15" t="n">
        <v>0.156857529103993</v>
      </c>
      <c r="AC1112" s="15" t="n">
        <v>6.091108022533444</v>
      </c>
      <c r="AD1112" s="15" t="n">
        <v>48.7855251276514</v>
      </c>
      <c r="AE1112" s="15" t="n">
        <v>92.62232711651207</v>
      </c>
      <c r="AF1112" s="15" t="n">
        <v>122.8637841693741</v>
      </c>
      <c r="AH1112" s="42">
        <f>HIPERLINK($A$1 &amp; "\Dados\Magnet_fields_1112.txt.txt", "Magnet_fields_1112.txt")</f>
        <v/>
      </c>
      <c r="AI1112" t="n">
        <v>6558</v>
      </c>
      <c r="AJ1112" t="n">
        <v>28</v>
      </c>
      <c r="AK1112" s="42">
        <f>HIPERLINK($A$1 &amp; "\Dados\Magnet_3D_results_1112.txt.txt", "Magnet_3D_results_1112.txt")</f>
        <v/>
      </c>
      <c r="AL1112" s="42">
        <f>HIPERLINK($A$1 &amp; "\Dados\Magnet_fields_2D_1112.txt.txt", "Magnet_fields_2D_1112.txt")</f>
        <v/>
      </c>
    </row>
    <row r="1113">
      <c r="E1113" s="15" t="n">
        <v>150</v>
      </c>
      <c r="F1113" s="15" t="n">
        <v>192</v>
      </c>
      <c r="G1113" s="15" t="n">
        <v>366</v>
      </c>
      <c r="H1113" s="15" t="n">
        <v>45</v>
      </c>
      <c r="I1113" s="15" t="n">
        <v>178</v>
      </c>
      <c r="J1113" s="13" t="n">
        <v>25</v>
      </c>
      <c r="K1113" t="n">
        <v>40</v>
      </c>
      <c r="L1113" s="13" t="n">
        <v>2.5</v>
      </c>
      <c r="M1113" s="12" t="n"/>
      <c r="N1113" s="8" t="n">
        <v>1.345728327070222</v>
      </c>
      <c r="O1113" s="15" t="n">
        <v>1.189084138708367</v>
      </c>
      <c r="P1113" s="15" t="n">
        <v>1.302338474760671</v>
      </c>
      <c r="Q1113" s="15" t="n">
        <v>0.001134761984133735</v>
      </c>
      <c r="R1113" s="15" t="n">
        <v>0.02508069085749668</v>
      </c>
      <c r="S1113" s="15" t="n">
        <v>0.001226524302521555</v>
      </c>
      <c r="T1113" s="42">
        <f>HIPERLINK($A$1 &amp; "\Dados\Imagem_perfil_1113.png", "Imagem_perfil_1113")</f>
        <v/>
      </c>
      <c r="U1113" s="42">
        <f>HIPERLINK($A$1 &amp; "\Dados\Results_airgap1113.txt", "Results_airgap1113")</f>
        <v/>
      </c>
      <c r="V1113" s="19" t="n"/>
      <c r="W1113" s="15" t="n">
        <v>1.605300869565218</v>
      </c>
      <c r="X1113" s="15" t="n">
        <v>0.8239562990099482</v>
      </c>
      <c r="Y1113" s="15" t="n">
        <v>0.606243584493715</v>
      </c>
      <c r="Z1113" s="15" t="n">
        <v>0.005760286545661419</v>
      </c>
      <c r="AA1113" s="15" t="n">
        <v>0.008049732623967241</v>
      </c>
      <c r="AB1113" s="15" t="n">
        <v>0.5528315283852029</v>
      </c>
      <c r="AC1113" s="15" t="n">
        <v>7.26671704551346</v>
      </c>
      <c r="AD1113" s="15" t="n">
        <v>36.64578278365721</v>
      </c>
      <c r="AE1113" s="15" t="n">
        <v>77.65803066083561</v>
      </c>
      <c r="AF1113" s="15" t="n">
        <v>111.9068078920267</v>
      </c>
      <c r="AH1113" s="42">
        <f>HIPERLINK($A$1 &amp; "\Dados\Magnet_fields_1113.txt.txt", "Magnet_fields_1113.txt")</f>
        <v/>
      </c>
      <c r="AI1113" t="n">
        <v>6992</v>
      </c>
      <c r="AJ1113" t="n">
        <v>28</v>
      </c>
      <c r="AK1113" s="42">
        <f>HIPERLINK($A$1 &amp; "\Dados\Magnet_3D_results_1113.txt.txt", "Magnet_3D_results_1113.txt")</f>
        <v/>
      </c>
      <c r="AL1113" s="42">
        <f>HIPERLINK($A$1 &amp; "\Dados\Magnet_fields_2D_1113.txt.txt", "Magnet_fields_2D_1113.txt")</f>
        <v/>
      </c>
    </row>
    <row r="1114">
      <c r="E1114" s="15" t="n">
        <v>140</v>
      </c>
      <c r="F1114" s="15" t="n">
        <v>171</v>
      </c>
      <c r="G1114" s="15" t="n">
        <v>372</v>
      </c>
      <c r="H1114" s="15" t="n">
        <v>32</v>
      </c>
      <c r="I1114" s="15" t="n">
        <v>173</v>
      </c>
      <c r="J1114" s="13" t="n">
        <v>25</v>
      </c>
      <c r="K1114" t="n">
        <v>55</v>
      </c>
      <c r="L1114" s="13" t="n">
        <v>2.5</v>
      </c>
      <c r="M1114" s="12" t="n"/>
      <c r="N1114" s="8" t="n">
        <v>1.648453111648285</v>
      </c>
      <c r="O1114" s="15" t="n">
        <v>1.459246613250391</v>
      </c>
      <c r="P1114" s="15" t="n">
        <v>1.586523549410959</v>
      </c>
      <c r="Q1114" s="15" t="n">
        <v>0.01195827568927142</v>
      </c>
      <c r="R1114" s="15" t="n">
        <v>0.04285638149009022</v>
      </c>
      <c r="S1114" s="15" t="n">
        <v>0.01165695812383731</v>
      </c>
      <c r="T1114" s="42">
        <f>HIPERLINK($A$1 &amp; "\Dados\Imagem_perfil_1114.png", "Imagem_perfil_1114")</f>
        <v/>
      </c>
      <c r="U1114" s="42">
        <f>HIPERLINK($A$1 &amp; "\Dados\Results_airgap1114.txt", "Results_airgap1114")</f>
        <v/>
      </c>
      <c r="V1114" s="19" t="n"/>
      <c r="W1114" s="15" t="n">
        <v>2.038654347826087</v>
      </c>
      <c r="X1114" s="15" t="n">
        <v>0.9975235418044616</v>
      </c>
      <c r="Y1114" s="15" t="n">
        <v>0.1211966431298417</v>
      </c>
      <c r="Z1114" s="15" t="n">
        <v>0.04978712335832905</v>
      </c>
      <c r="AA1114" s="15" t="n">
        <v>1.899994377048029</v>
      </c>
      <c r="AB1114" s="15" t="n">
        <v>0.2052097076064555</v>
      </c>
      <c r="AC1114" s="15" t="n">
        <v>8.902114774264689</v>
      </c>
      <c r="AD1114" s="15" t="n">
        <v>66.05584759455829</v>
      </c>
      <c r="AE1114" s="15" t="n">
        <v>99.39962269389184</v>
      </c>
      <c r="AF1114" s="15" t="n">
        <v>127.8601676861699</v>
      </c>
      <c r="AH1114" s="42">
        <f>HIPERLINK($A$1 &amp; "\Dados\Magnet_fields_1114.txt.txt", "Magnet_fields_1114.txt")</f>
        <v/>
      </c>
      <c r="AI1114" t="n">
        <v>12024</v>
      </c>
      <c r="AJ1114" t="n">
        <v>30</v>
      </c>
      <c r="AK1114" s="42">
        <f>HIPERLINK($A$1 &amp; "\Dados\Magnet_3D_results_1114.txt.txt", "Magnet_3D_results_1114.txt")</f>
        <v/>
      </c>
      <c r="AL1114" s="42">
        <f>HIPERLINK($A$1 &amp; "\Dados\Magnet_fields_2D_1114.txt.txt", "Magnet_fields_2D_1114.txt")</f>
        <v/>
      </c>
    </row>
    <row r="1115">
      <c r="E1115" s="15" t="n">
        <v>131</v>
      </c>
      <c r="F1115" s="15" t="n">
        <v>170</v>
      </c>
      <c r="G1115" s="15" t="n">
        <v>396</v>
      </c>
      <c r="H1115" s="15" t="n">
        <v>38</v>
      </c>
      <c r="I1115" s="15" t="n">
        <v>150</v>
      </c>
      <c r="J1115" s="13" t="n">
        <v>25</v>
      </c>
      <c r="K1115" t="n">
        <v>40</v>
      </c>
      <c r="L1115" s="13" t="n">
        <v>2.5</v>
      </c>
      <c r="M1115" s="12" t="n"/>
      <c r="N1115" s="8" t="n">
        <v>1.411639353409315</v>
      </c>
      <c r="O1115" s="15" t="n">
        <v>1.154928356752977</v>
      </c>
      <c r="P1115" s="15" t="n">
        <v>1.329228549458236</v>
      </c>
      <c r="Q1115" s="15" t="n">
        <v>0.001698551210237291</v>
      </c>
      <c r="R1115" s="15" t="n">
        <v>0.03612160946259148</v>
      </c>
      <c r="S1115" s="15" t="n">
        <v>0.002106420524334807</v>
      </c>
      <c r="T1115" s="42">
        <f>HIPERLINK($A$1 &amp; "\Dados\Imagem_perfil_1115.png", "Imagem_perfil_1115")</f>
        <v/>
      </c>
      <c r="U1115" s="42">
        <f>HIPERLINK($A$1 &amp; "\Dados\Results_airgap1115.txt", "Results_airgap1115")</f>
        <v/>
      </c>
      <c r="V1115" s="19" t="n"/>
      <c r="W1115" s="15" t="n">
        <v>1.814654130434783</v>
      </c>
      <c r="X1115" s="15" t="n">
        <v>0.8898561572968796</v>
      </c>
      <c r="Y1115" s="15" t="n">
        <v>0.4781603466524167</v>
      </c>
      <c r="Z1115" s="15" t="n">
        <v>0.008111034197919312</v>
      </c>
      <c r="AA1115" s="15" t="n">
        <v>0.009457892739719887</v>
      </c>
      <c r="AB1115" s="15" t="n">
        <v>1.915380869672759</v>
      </c>
      <c r="AC1115" s="15" t="n">
        <v>9.696696247525615</v>
      </c>
      <c r="AD1115" s="15" t="n">
        <v>34.74978799515771</v>
      </c>
      <c r="AE1115" s="15" t="n">
        <v>77.69975383130944</v>
      </c>
      <c r="AF1115" s="15" t="n">
        <v>113.2644699140508</v>
      </c>
      <c r="AH1115" s="42">
        <f>HIPERLINK($A$1 &amp; "\Dados\Magnet_fields_1115.txt.txt", "Magnet_fields_1115.txt")</f>
        <v/>
      </c>
      <c r="AI1115" t="n">
        <v>7637</v>
      </c>
      <c r="AJ1115" t="n">
        <v>29</v>
      </c>
      <c r="AK1115" s="42">
        <f>HIPERLINK($A$1 &amp; "\Dados\Magnet_3D_results_1115.txt.txt", "Magnet_3D_results_1115.txt")</f>
        <v/>
      </c>
      <c r="AL1115" s="42">
        <f>HIPERLINK($A$1 &amp; "\Dados\Magnet_fields_2D_1115.txt.txt", "Magnet_fields_2D_1115.txt")</f>
        <v/>
      </c>
    </row>
    <row r="1116">
      <c r="E1116" s="15" t="n">
        <v>146</v>
      </c>
      <c r="F1116" s="15" t="n">
        <v>194</v>
      </c>
      <c r="G1116" s="15" t="n">
        <v>361</v>
      </c>
      <c r="H1116" s="15" t="n">
        <v>39</v>
      </c>
      <c r="I1116" s="15" t="n">
        <v>143</v>
      </c>
      <c r="J1116" s="13" t="n">
        <v>25</v>
      </c>
      <c r="K1116" t="n">
        <v>50</v>
      </c>
      <c r="L1116" s="13" t="n">
        <v>2.5</v>
      </c>
      <c r="M1116" s="12" t="n"/>
      <c r="N1116" s="8" t="n">
        <v>1.18400392076353</v>
      </c>
      <c r="O1116" s="15" t="n">
        <v>0.9332018661709344</v>
      </c>
      <c r="P1116" s="15" t="n">
        <v>1.11554493441831</v>
      </c>
      <c r="Q1116" s="15" t="n">
        <v>0.003601315537904722</v>
      </c>
      <c r="R1116" s="15" t="n">
        <v>0.0318590391766681</v>
      </c>
      <c r="S1116" s="15" t="n">
        <v>0.004414059665292115</v>
      </c>
      <c r="T1116" s="42">
        <f>HIPERLINK($A$1 &amp; "\Dados\Imagem_perfil_1116.png", "Imagem_perfil_1116")</f>
        <v/>
      </c>
      <c r="U1116" s="42">
        <f>HIPERLINK($A$1 &amp; "\Dados\Results_airgap1116.txt", "Results_airgap1116")</f>
        <v/>
      </c>
      <c r="V1116" s="19" t="n"/>
      <c r="W1116" s="15" t="n">
        <v>1.574262608695652</v>
      </c>
      <c r="X1116" s="15" t="n">
        <v>0.7689948761030638</v>
      </c>
      <c r="Y1116" s="15" t="n">
        <v>0.5753824965600014</v>
      </c>
      <c r="Z1116" s="15" t="n">
        <v>0.0001729167722179464</v>
      </c>
      <c r="AA1116" s="15" t="n">
        <v>0.001560969849097872</v>
      </c>
      <c r="AB1116" s="15" t="n">
        <v>0</v>
      </c>
      <c r="AC1116" s="15" t="n">
        <v>7.905583252991843</v>
      </c>
      <c r="AD1116" s="15" t="n">
        <v>49.10163526153414</v>
      </c>
      <c r="AE1116" s="15" t="n">
        <v>89.07167741930289</v>
      </c>
      <c r="AF1116" s="15" t="n">
        <v>120.6196018923012</v>
      </c>
      <c r="AH1116" s="42">
        <f>HIPERLINK($A$1 &amp; "\Dados\Magnet_fields_1116.txt.txt", "Magnet_fields_1116.txt")</f>
        <v/>
      </c>
      <c r="AI1116" t="n">
        <v>6453</v>
      </c>
      <c r="AJ1116" t="n">
        <v>28</v>
      </c>
      <c r="AK1116" s="42">
        <f>HIPERLINK($A$1 &amp; "\Dados\Magnet_3D_results_1116.txt.txt", "Magnet_3D_results_1116.txt")</f>
        <v/>
      </c>
      <c r="AL1116" s="42">
        <f>HIPERLINK($A$1 &amp; "\Dados\Magnet_fields_2D_1116.txt.txt", "Magnet_fields_2D_1116.txt")</f>
        <v/>
      </c>
    </row>
    <row r="1117">
      <c r="E1117" s="15" t="n">
        <v>143</v>
      </c>
      <c r="F1117" s="15" t="n">
        <v>180</v>
      </c>
      <c r="G1117" s="15" t="n">
        <v>370</v>
      </c>
      <c r="H1117" s="15" t="n">
        <v>40</v>
      </c>
      <c r="I1117" s="15" t="n">
        <v>166</v>
      </c>
      <c r="J1117" s="13" t="n">
        <v>25</v>
      </c>
      <c r="K1117" t="n">
        <v>50</v>
      </c>
      <c r="L1117" s="13" t="n">
        <v>2.5</v>
      </c>
      <c r="M1117" s="12" t="n"/>
      <c r="N1117" s="8" t="n">
        <v>1.473329587264219</v>
      </c>
      <c r="O1117" s="15" t="n">
        <v>1.269682069027842</v>
      </c>
      <c r="P1117" s="15" t="n">
        <v>1.413558351505864</v>
      </c>
      <c r="Q1117" s="15" t="n">
        <v>0.00483214098212122</v>
      </c>
      <c r="R1117" s="15" t="n">
        <v>0.03650968362867586</v>
      </c>
      <c r="S1117" s="15" t="n">
        <v>0.004836632338794653</v>
      </c>
      <c r="T1117" s="42">
        <f>HIPERLINK($A$1 &amp; "\Dados\Imagem_perfil_1117.png", "Imagem_perfil_1117")</f>
        <v/>
      </c>
      <c r="U1117" s="42">
        <f>HIPERLINK($A$1 &amp; "\Dados\Results_airgap1117.txt", "Results_airgap1117")</f>
        <v/>
      </c>
      <c r="V1117" s="19" t="n"/>
      <c r="W1117" s="15" t="n">
        <v>1.836578913043479</v>
      </c>
      <c r="X1117" s="15" t="n">
        <v>0.9293765110061131</v>
      </c>
      <c r="Y1117" s="15" t="n">
        <v>0.3044699489332321</v>
      </c>
      <c r="Z1117" s="15" t="n">
        <v>0</v>
      </c>
      <c r="AA1117" s="15" t="n">
        <v>0.01399046243133591</v>
      </c>
      <c r="AB1117" s="15" t="n">
        <v>0</v>
      </c>
      <c r="AC1117" s="15" t="n">
        <v>7.151372238898855</v>
      </c>
      <c r="AD1117" s="15" t="n">
        <v>47.79899941458714</v>
      </c>
      <c r="AE1117" s="15" t="n">
        <v>90.86772901931138</v>
      </c>
      <c r="AF1117" s="15" t="n">
        <v>122.0908863631597</v>
      </c>
      <c r="AH1117" s="42">
        <f>HIPERLINK($A$1 &amp; "\Dados\Magnet_fields_1117.txt.txt", "Magnet_fields_1117.txt")</f>
        <v/>
      </c>
      <c r="AI1117" t="n">
        <v>7044</v>
      </c>
      <c r="AJ1117" t="n">
        <v>29</v>
      </c>
      <c r="AK1117" s="42">
        <f>HIPERLINK($A$1 &amp; "\Dados\Magnet_3D_results_1117.txt.txt", "Magnet_3D_results_1117.txt")</f>
        <v/>
      </c>
      <c r="AL1117" s="42">
        <f>HIPERLINK($A$1 &amp; "\Dados\Magnet_fields_2D_1117.txt.txt", "Magnet_fields_2D_1117.txt")</f>
        <v/>
      </c>
    </row>
    <row r="1118">
      <c r="E1118" s="15" t="n">
        <v>136</v>
      </c>
      <c r="F1118" s="15" t="n">
        <v>183</v>
      </c>
      <c r="G1118" s="15" t="n">
        <v>355</v>
      </c>
      <c r="H1118" s="15" t="n">
        <v>41</v>
      </c>
      <c r="I1118" s="15" t="n">
        <v>140</v>
      </c>
      <c r="J1118" s="13" t="n">
        <v>25</v>
      </c>
      <c r="K1118" t="n">
        <v>60</v>
      </c>
      <c r="L1118" s="13" t="n">
        <v>2.5</v>
      </c>
      <c r="M1118" s="12" t="n"/>
      <c r="N1118" s="8" t="n">
        <v>1.238517140113648</v>
      </c>
      <c r="O1118" s="15" t="n">
        <v>0.9507880344043049</v>
      </c>
      <c r="P1118" s="15" t="n">
        <v>1.153417249693164</v>
      </c>
      <c r="Q1118" s="15" t="n">
        <v>0.01975239261646634</v>
      </c>
      <c r="R1118" s="15" t="n">
        <v>0.04315178384004706</v>
      </c>
      <c r="S1118" s="15" t="n">
        <v>0.01982516164437596</v>
      </c>
      <c r="T1118" s="42">
        <f>HIPERLINK($A$1 &amp; "\Dados\Imagem_perfil_1118.png", "Imagem_perfil_1118")</f>
        <v/>
      </c>
      <c r="U1118" s="42">
        <f>HIPERLINK($A$1 &amp; "\Dados\Results_airgap1118.txt", "Results_airgap1118")</f>
        <v/>
      </c>
      <c r="V1118" s="19" t="n"/>
      <c r="W1118" s="15" t="n">
        <v>1.674059130434783</v>
      </c>
      <c r="X1118" s="15" t="n">
        <v>0.8179646082360597</v>
      </c>
      <c r="Y1118" s="15" t="n">
        <v>0.4467552458231299</v>
      </c>
      <c r="Z1118" s="15" t="n">
        <v>0.009788827424520436</v>
      </c>
      <c r="AA1118" s="15" t="n">
        <v>0</v>
      </c>
      <c r="AB1118" s="15" t="n">
        <v>0</v>
      </c>
      <c r="AC1118" s="15" t="n">
        <v>15.06766388572137</v>
      </c>
      <c r="AD1118" s="15" t="n">
        <v>66.10922246641647</v>
      </c>
      <c r="AE1118" s="15" t="n">
        <v>98.32124541426816</v>
      </c>
      <c r="AF1118" s="15" t="n">
        <v>129.7109655048596</v>
      </c>
      <c r="AH1118" s="42">
        <f>HIPERLINK($A$1 &amp; "\Dados\Magnet_fields_1118.txt.txt", "Magnet_fields_1118.txt")</f>
        <v/>
      </c>
      <c r="AI1118" t="n">
        <v>7347</v>
      </c>
      <c r="AJ1118" t="n">
        <v>29</v>
      </c>
      <c r="AK1118" s="42">
        <f>HIPERLINK($A$1 &amp; "\Dados\Magnet_3D_results_1118.txt.txt", "Magnet_3D_results_1118.txt")</f>
        <v/>
      </c>
      <c r="AL1118" s="42">
        <f>HIPERLINK($A$1 &amp; "\Dados\Magnet_fields_2D_1118.txt.txt", "Magnet_fields_2D_1118.txt")</f>
        <v/>
      </c>
    </row>
    <row r="1119">
      <c r="E1119" s="15" t="n">
        <v>140</v>
      </c>
      <c r="F1119" s="15" t="n">
        <v>170</v>
      </c>
      <c r="G1119" s="15" t="n">
        <v>369</v>
      </c>
      <c r="H1119" s="15" t="n">
        <v>28</v>
      </c>
      <c r="I1119" s="15" t="n">
        <v>151</v>
      </c>
      <c r="J1119" s="13" t="n">
        <v>25</v>
      </c>
      <c r="K1119" t="n">
        <v>40</v>
      </c>
      <c r="L1119" s="13" t="n">
        <v>2.5</v>
      </c>
      <c r="M1119" s="12" t="n"/>
      <c r="N1119" s="8" t="n">
        <v>1.52223101787376</v>
      </c>
      <c r="O1119" s="15" t="n">
        <v>1.249460592282429</v>
      </c>
      <c r="P1119" s="15" t="n">
        <v>1.445979105815928</v>
      </c>
      <c r="Q1119" s="15" t="n">
        <v>0.002173731849228833</v>
      </c>
      <c r="R1119" s="15" t="n">
        <v>0.02439232296598719</v>
      </c>
      <c r="S1119" s="15" t="n">
        <v>0.002232293401336154</v>
      </c>
      <c r="T1119" s="42">
        <f>HIPERLINK($A$1 &amp; "\Dados\Imagem_perfil_1119.png", "Imagem_perfil_1119")</f>
        <v/>
      </c>
      <c r="U1119" s="42">
        <f>HIPERLINK($A$1 &amp; "\Dados\Results_airgap1119.txt", "Results_airgap1119")</f>
        <v/>
      </c>
      <c r="V1119" s="19" t="n"/>
      <c r="W1119" s="15" t="n">
        <v>1.873028913043479</v>
      </c>
      <c r="X1119" s="15" t="n">
        <v>0.9391573775256985</v>
      </c>
      <c r="Y1119" s="15" t="n">
        <v>0.3529883682486726</v>
      </c>
      <c r="Z1119" s="15" t="n">
        <v>0</v>
      </c>
      <c r="AA1119" s="15" t="n">
        <v>3.642696251530304</v>
      </c>
      <c r="AB1119" s="15" t="n">
        <v>0</v>
      </c>
      <c r="AC1119" s="15" t="n">
        <v>4.447578650429935</v>
      </c>
      <c r="AD1119" s="15" t="n">
        <v>30.11394068758397</v>
      </c>
      <c r="AE1119" s="15" t="n">
        <v>75.39007192872826</v>
      </c>
      <c r="AF1119" s="15" t="n">
        <v>112.3235871924823</v>
      </c>
      <c r="AH1119" s="42">
        <f>HIPERLINK($A$1 &amp; "\Dados\Magnet_fields_1119.txt.txt", "Magnet_fields_1119.txt")</f>
        <v/>
      </c>
      <c r="AI1119" t="n">
        <v>9667</v>
      </c>
      <c r="AJ1119" t="n">
        <v>30</v>
      </c>
      <c r="AK1119" s="42">
        <f>HIPERLINK($A$1 &amp; "\Dados\Magnet_3D_results_1119.txt.txt", "Magnet_3D_results_1119.txt")</f>
        <v/>
      </c>
      <c r="AL1119" s="42">
        <f>HIPERLINK($A$1 &amp; "\Dados\Magnet_fields_2D_1119.txt.txt", "Magnet_fields_2D_1119.txt")</f>
        <v/>
      </c>
    </row>
    <row r="1120">
      <c r="E1120" s="15" t="n">
        <v>144</v>
      </c>
      <c r="F1120" s="15" t="n">
        <v>183</v>
      </c>
      <c r="G1120" s="15" t="n">
        <v>403</v>
      </c>
      <c r="H1120" s="15" t="n">
        <v>35</v>
      </c>
      <c r="I1120" s="15" t="n">
        <v>147</v>
      </c>
      <c r="J1120" s="13" t="n">
        <v>25</v>
      </c>
      <c r="K1120" t="n">
        <v>40</v>
      </c>
      <c r="L1120" s="13" t="n">
        <v>2.5</v>
      </c>
      <c r="M1120" s="12" t="n"/>
      <c r="N1120" s="8" t="n">
        <v>1.363362674599536</v>
      </c>
      <c r="O1120" s="15" t="n">
        <v>1.11022892375775</v>
      </c>
      <c r="P1120" s="15" t="n">
        <v>1.294703243726029</v>
      </c>
      <c r="Q1120" s="15" t="n">
        <v>0.001455303407872073</v>
      </c>
      <c r="R1120" s="15" t="n">
        <v>0.03149742472666501</v>
      </c>
      <c r="S1120" s="15" t="n">
        <v>0.001850502930399858</v>
      </c>
      <c r="T1120" s="42">
        <f>HIPERLINK($A$1 &amp; "\Dados\Imagem_perfil_1120.png", "Imagem_perfil_1120")</f>
        <v/>
      </c>
      <c r="U1120" s="42">
        <f>HIPERLINK($A$1 &amp; "\Dados\Results_airgap1120.txt", "Results_airgap1120")</f>
        <v/>
      </c>
      <c r="V1120" s="19" t="n"/>
      <c r="W1120" s="15" t="n">
        <v>1.775299565217391</v>
      </c>
      <c r="X1120" s="15" t="n">
        <v>0.8625317607304036</v>
      </c>
      <c r="Y1120" s="15" t="n">
        <v>0.4217046531028573</v>
      </c>
      <c r="Z1120" s="15" t="n">
        <v>0</v>
      </c>
      <c r="AA1120" s="15" t="n">
        <v>1.489697726584426</v>
      </c>
      <c r="AB1120" s="15" t="n">
        <v>0.5731510967384192</v>
      </c>
      <c r="AC1120" s="15" t="n">
        <v>4.176939690964206</v>
      </c>
      <c r="AD1120" s="15" t="n">
        <v>29.88936898786354</v>
      </c>
      <c r="AE1120" s="15" t="n">
        <v>83.35478510204875</v>
      </c>
      <c r="AF1120" s="15" t="n">
        <v>115.7661487256364</v>
      </c>
      <c r="AH1120" s="42">
        <f>HIPERLINK($A$1 &amp; "\Dados\Magnet_fields_1120.txt.txt", "Magnet_fields_1120.txt")</f>
        <v/>
      </c>
      <c r="AI1120" t="n">
        <v>8035</v>
      </c>
      <c r="AJ1120" t="n">
        <v>29</v>
      </c>
      <c r="AK1120" s="42">
        <f>HIPERLINK($A$1 &amp; "\Dados\Magnet_3D_results_1120.txt.txt", "Magnet_3D_results_1120.txt")</f>
        <v/>
      </c>
      <c r="AL1120" s="42">
        <f>HIPERLINK($A$1 &amp; "\Dados\Magnet_fields_2D_1120.txt.txt", "Magnet_fields_2D_1120.txt")</f>
        <v/>
      </c>
    </row>
    <row r="1121">
      <c r="E1121" s="15" t="n">
        <v>142</v>
      </c>
      <c r="F1121" s="15" t="n">
        <v>176</v>
      </c>
      <c r="G1121" s="15" t="n">
        <v>388</v>
      </c>
      <c r="H1121" s="15" t="n">
        <v>30</v>
      </c>
      <c r="I1121" s="15" t="n">
        <v>147</v>
      </c>
      <c r="J1121" s="13" t="n">
        <v>25</v>
      </c>
      <c r="K1121" t="n">
        <v>55</v>
      </c>
      <c r="L1121" s="13" t="n">
        <v>2.5</v>
      </c>
      <c r="M1121" s="12" t="n"/>
      <c r="N1121" s="8" t="n">
        <v>1.53025585841228</v>
      </c>
      <c r="O1121" s="15" t="n">
        <v>1.24890969887426</v>
      </c>
      <c r="P1121" s="15" t="n">
        <v>1.449826208985675</v>
      </c>
      <c r="Q1121" s="15" t="n">
        <v>0.01008419369373833</v>
      </c>
      <c r="R1121" s="15" t="n">
        <v>0.04418715416305295</v>
      </c>
      <c r="S1121" s="15" t="n">
        <v>0.01003265159529964</v>
      </c>
      <c r="T1121" s="42">
        <f>HIPERLINK($A$1 &amp; "\Dados\Imagem_perfil_1121.png", "Imagem_perfil_1121")</f>
        <v/>
      </c>
      <c r="U1121" s="42">
        <f>HIPERLINK($A$1 &amp; "\Dados\Results_airgap1121.txt", "Results_airgap1121")</f>
        <v/>
      </c>
      <c r="V1121" s="19" t="n"/>
      <c r="W1121" s="15" t="n">
        <v>2.03333</v>
      </c>
      <c r="X1121" s="15" t="n">
        <v>0.9869232319768679</v>
      </c>
      <c r="Y1121" s="15" t="n">
        <v>0.1340662701868523</v>
      </c>
      <c r="Z1121" s="15" t="n">
        <v>0.03810700722637353</v>
      </c>
      <c r="AA1121" s="15" t="n">
        <v>2.118950281185624</v>
      </c>
      <c r="AB1121" s="15" t="n">
        <v>0.1414895111194045</v>
      </c>
      <c r="AC1121" s="15" t="n">
        <v>9.863901152763724</v>
      </c>
      <c r="AD1121" s="15" t="n">
        <v>65.58397274549995</v>
      </c>
      <c r="AE1121" s="15" t="n">
        <v>99.12607697969322</v>
      </c>
      <c r="AF1121" s="15" t="n">
        <v>127.8044676159949</v>
      </c>
      <c r="AH1121" s="42">
        <f>HIPERLINK($A$1 &amp; "\Dados\Magnet_fields_1121.txt.txt", "Magnet_fields_1121.txt")</f>
        <v/>
      </c>
      <c r="AI1121" t="n">
        <v>11525</v>
      </c>
      <c r="AJ1121" t="n">
        <v>31</v>
      </c>
      <c r="AK1121" s="42">
        <f>HIPERLINK($A$1 &amp; "\Dados\Magnet_3D_results_1121.txt.txt", "Magnet_3D_results_1121.txt")</f>
        <v/>
      </c>
      <c r="AL1121" s="42">
        <f>HIPERLINK($A$1 &amp; "\Dados\Magnet_fields_2D_1121.txt.txt", "Magnet_fields_2D_1121.txt")</f>
        <v/>
      </c>
    </row>
    <row r="1122">
      <c r="E1122" s="15" t="n">
        <v>135</v>
      </c>
      <c r="F1122" s="15" t="n">
        <v>185</v>
      </c>
      <c r="G1122" s="15" t="n">
        <v>387</v>
      </c>
      <c r="H1122" s="15" t="n">
        <v>40</v>
      </c>
      <c r="I1122" s="15" t="n">
        <v>169</v>
      </c>
      <c r="J1122" s="13" t="n">
        <v>25</v>
      </c>
      <c r="K1122" t="n">
        <v>45</v>
      </c>
      <c r="L1122" s="13" t="n">
        <v>2.5</v>
      </c>
      <c r="M1122" s="12" t="n"/>
      <c r="N1122" s="8" t="n">
        <v>1.305344172257732</v>
      </c>
      <c r="O1122" s="15" t="n">
        <v>1.123001306630894</v>
      </c>
      <c r="P1122" s="15" t="n">
        <v>1.250371826145221</v>
      </c>
      <c r="Q1122" s="15" t="n">
        <v>0.003086084871820733</v>
      </c>
      <c r="R1122" s="15" t="n">
        <v>0.04055646947753533</v>
      </c>
      <c r="S1122" s="15" t="n">
        <v>0.003308790381120445</v>
      </c>
      <c r="T1122" s="42">
        <f>HIPERLINK($A$1 &amp; "\Dados\Imagem_perfil_1122.png", "Imagem_perfil_1122")</f>
        <v/>
      </c>
      <c r="U1122" s="42">
        <f>HIPERLINK($A$1 &amp; "\Dados\Results_airgap1122.txt", "Results_airgap1122")</f>
        <v/>
      </c>
      <c r="V1122" s="19" t="n"/>
      <c r="W1122" s="15" t="n">
        <v>1.666223260869565</v>
      </c>
      <c r="X1122" s="15" t="n">
        <v>0.8072480694737389</v>
      </c>
      <c r="Y1122" s="15" t="n">
        <v>0.5440055302713238</v>
      </c>
      <c r="Z1122" s="15" t="n">
        <v>0</v>
      </c>
      <c r="AA1122" s="15" t="n">
        <v>0</v>
      </c>
      <c r="AB1122" s="15" t="n">
        <v>1.306696727811228</v>
      </c>
      <c r="AC1122" s="15" t="n">
        <v>10.04065433961998</v>
      </c>
      <c r="AD1122" s="15" t="n">
        <v>44.32440635589698</v>
      </c>
      <c r="AE1122" s="15" t="n">
        <v>86.97578927767074</v>
      </c>
      <c r="AF1122" s="15" t="n">
        <v>118.417990699128</v>
      </c>
      <c r="AH1122" s="42">
        <f>HIPERLINK($A$1 &amp; "\Dados\Magnet_fields_1122.txt.txt", "Magnet_fields_1122.txt")</f>
        <v/>
      </c>
      <c r="AI1122" t="n">
        <v>6114</v>
      </c>
      <c r="AJ1122" t="n">
        <v>28</v>
      </c>
      <c r="AK1122" s="42">
        <f>HIPERLINK($A$1 &amp; "\Dados\Magnet_3D_results_1122.txt.txt", "Magnet_3D_results_1122.txt")</f>
        <v/>
      </c>
      <c r="AL1122" s="42">
        <f>HIPERLINK($A$1 &amp; "\Dados\Magnet_fields_2D_1122.txt.txt", "Magnet_fields_2D_1122.txt")</f>
        <v/>
      </c>
    </row>
    <row r="1123">
      <c r="E1123" s="15" t="n">
        <v>133</v>
      </c>
      <c r="F1123" s="15" t="n">
        <v>175</v>
      </c>
      <c r="G1123" s="15" t="n">
        <v>412</v>
      </c>
      <c r="H1123" s="15" t="n">
        <v>45</v>
      </c>
      <c r="I1123" s="15" t="n">
        <v>180</v>
      </c>
      <c r="J1123" s="13" t="n">
        <v>25</v>
      </c>
      <c r="K1123" t="n">
        <v>50</v>
      </c>
      <c r="L1123" s="13" t="n">
        <v>2.5</v>
      </c>
      <c r="M1123" s="12" t="n"/>
      <c r="N1123" s="8" t="n">
        <v>1.561753248651664</v>
      </c>
      <c r="O1123" s="15" t="n">
        <v>1.360982934556468</v>
      </c>
      <c r="P1123" s="15" t="n">
        <v>1.495613381572106</v>
      </c>
      <c r="Q1123" s="15" t="n">
        <v>0.007623741280010718</v>
      </c>
      <c r="R1123" s="15" t="n">
        <v>0.05691165167032903</v>
      </c>
      <c r="S1123" s="15" t="n">
        <v>0.00749405910064905</v>
      </c>
      <c r="T1123" s="42">
        <f>HIPERLINK($A$1 &amp; "\Dados\Imagem_perfil_1123.png", "Imagem_perfil_1123")</f>
        <v/>
      </c>
      <c r="U1123" s="42">
        <f>HIPERLINK($A$1 &amp; "\Dados\Results_airgap1123.txt", "Results_airgap1123")</f>
        <v/>
      </c>
      <c r="V1123" s="19" t="n"/>
      <c r="W1123" s="15" t="n">
        <v>1.983800652173913</v>
      </c>
      <c r="X1123" s="15" t="n">
        <v>0.979977523624273</v>
      </c>
      <c r="Y1123" s="15" t="n">
        <v>0.2357121128941503</v>
      </c>
      <c r="Z1123" s="15" t="n">
        <v>0.001098259366442086</v>
      </c>
      <c r="AA1123" s="15" t="n">
        <v>0.001059958617813962</v>
      </c>
      <c r="AB1123" s="15" t="n">
        <v>2.123191607517439</v>
      </c>
      <c r="AC1123" s="15" t="n">
        <v>14.00324034787017</v>
      </c>
      <c r="AD1123" s="15" t="n">
        <v>50.17839331137979</v>
      </c>
      <c r="AE1123" s="15" t="n">
        <v>89.13497428387488</v>
      </c>
      <c r="AF1123" s="15" t="n">
        <v>122.0910572380915</v>
      </c>
      <c r="AH1123" s="42">
        <f>HIPERLINK($A$1 &amp; "\Dados\Magnet_fields_1123.txt.txt", "Magnet_fields_1123.txt")</f>
        <v/>
      </c>
      <c r="AI1123" t="n">
        <v>7278</v>
      </c>
      <c r="AJ1123" t="n">
        <v>28</v>
      </c>
      <c r="AK1123" s="42">
        <f>HIPERLINK($A$1 &amp; "\Dados\Magnet_3D_results_1123.txt.txt", "Magnet_3D_results_1123.txt")</f>
        <v/>
      </c>
      <c r="AL1123" s="42">
        <f>HIPERLINK($A$1 &amp; "\Dados\Magnet_fields_2D_1123.txt.txt", "Magnet_fields_2D_1123.txt")</f>
        <v/>
      </c>
    </row>
    <row r="1124">
      <c r="E1124" s="15" t="n">
        <v>136</v>
      </c>
      <c r="F1124" s="15" t="n">
        <v>184</v>
      </c>
      <c r="G1124" s="15" t="n">
        <v>424</v>
      </c>
      <c r="H1124" s="15" t="n">
        <v>25</v>
      </c>
      <c r="I1124" s="15" t="n">
        <v>145</v>
      </c>
      <c r="J1124" s="13" t="n">
        <v>25</v>
      </c>
      <c r="K1124" t="n">
        <v>45</v>
      </c>
      <c r="L1124" s="13" t="n">
        <v>2.5</v>
      </c>
      <c r="M1124" s="12" t="n"/>
      <c r="N1124" s="8" t="n">
        <v>1.310718593932179</v>
      </c>
      <c r="O1124" s="15" t="n">
        <v>1.047360903910324</v>
      </c>
      <c r="P1124" s="15" t="n">
        <v>1.232377226215402</v>
      </c>
      <c r="Q1124" s="15" t="n">
        <v>0.002910460317282107</v>
      </c>
      <c r="R1124" s="15" t="n">
        <v>0.04402649307164703</v>
      </c>
      <c r="S1124" s="15" t="n">
        <v>0.004046709102497882</v>
      </c>
      <c r="T1124" s="42">
        <f>HIPERLINK($A$1 &amp; "\Dados\Imagem_perfil_1124.png", "Imagem_perfil_1124")</f>
        <v/>
      </c>
      <c r="U1124" s="42">
        <f>HIPERLINK($A$1 &amp; "\Dados\Results_airgap1124.txt", "Results_airgap1124")</f>
        <v/>
      </c>
      <c r="V1124" s="19" t="n"/>
      <c r="W1124" s="15" t="n">
        <v>1.828861304347826</v>
      </c>
      <c r="X1124" s="15" t="n">
        <v>0.8690463900519942</v>
      </c>
      <c r="Y1124" s="15" t="n">
        <v>0.3920367411200195</v>
      </c>
      <c r="Z1124" s="15" t="n">
        <v>0</v>
      </c>
      <c r="AA1124" s="15" t="n">
        <v>2.470864727499698</v>
      </c>
      <c r="AB1124" s="15" t="n">
        <v>1.864608391418366</v>
      </c>
      <c r="AC1124" s="15" t="n">
        <v>11.56509930350398</v>
      </c>
      <c r="AD1124" s="15" t="n">
        <v>46.70003235862723</v>
      </c>
      <c r="AE1124" s="15" t="n">
        <v>88.76726756452864</v>
      </c>
      <c r="AF1124" s="15" t="n">
        <v>119.2863443257087</v>
      </c>
      <c r="AH1124" s="42">
        <f>HIPERLINK($A$1 &amp; "\Dados\Magnet_fields_1124.txt.txt", "Magnet_fields_1124.txt")</f>
        <v/>
      </c>
      <c r="AI1124" t="n">
        <v>9802</v>
      </c>
      <c r="AJ1124" t="n">
        <v>30</v>
      </c>
      <c r="AK1124" s="42">
        <f>HIPERLINK($A$1 &amp; "\Dados\Magnet_3D_results_1124.txt.txt", "Magnet_3D_results_1124.txt")</f>
        <v/>
      </c>
      <c r="AL1124" s="42">
        <f>HIPERLINK($A$1 &amp; "\Dados\Magnet_fields_2D_1124.txt.txt", "Magnet_fields_2D_1124.txt")</f>
        <v/>
      </c>
    </row>
    <row r="1125">
      <c r="E1125" s="15" t="n">
        <v>148</v>
      </c>
      <c r="F1125" s="15" t="n">
        <v>197</v>
      </c>
      <c r="G1125" s="15" t="n">
        <v>425</v>
      </c>
      <c r="H1125" s="15" t="n">
        <v>40</v>
      </c>
      <c r="I1125" s="15" t="n">
        <v>149</v>
      </c>
      <c r="J1125" s="13" t="n">
        <v>25</v>
      </c>
      <c r="K1125" t="n">
        <v>45</v>
      </c>
      <c r="L1125" s="13" t="n">
        <v>2.5</v>
      </c>
      <c r="M1125" s="12" t="n"/>
      <c r="N1125" s="8" t="n">
        <v>1.290241184272165</v>
      </c>
      <c r="O1125" s="15" t="n">
        <v>1.04647851535122</v>
      </c>
      <c r="P1125" s="15" t="n">
        <v>1.218771854848879</v>
      </c>
      <c r="Q1125" s="15" t="n">
        <v>0.002292788208810838</v>
      </c>
      <c r="R1125" s="15" t="n">
        <v>0.04084799055469768</v>
      </c>
      <c r="S1125" s="15" t="n">
        <v>0.003312107810673677</v>
      </c>
      <c r="T1125" s="42">
        <f>HIPERLINK($A$1 &amp; "\Dados\Imagem_perfil_1125.png", "Imagem_perfil_1125")</f>
        <v/>
      </c>
      <c r="U1125" s="42">
        <f>HIPERLINK($A$1 &amp; "\Dados\Results_airgap1125.txt", "Results_airgap1125")</f>
        <v/>
      </c>
      <c r="V1125" s="19" t="n"/>
      <c r="W1125" s="15" t="n">
        <v>1.759486956521739</v>
      </c>
      <c r="X1125" s="15" t="n">
        <v>0.8419377804740786</v>
      </c>
      <c r="Y1125" s="15" t="n">
        <v>0.4530732200473829</v>
      </c>
      <c r="Z1125" s="15" t="n">
        <v>0</v>
      </c>
      <c r="AA1125" s="15" t="n">
        <v>0.1194439196556212</v>
      </c>
      <c r="AB1125" s="15" t="n">
        <v>1.166470330660328</v>
      </c>
      <c r="AC1125" s="15" t="n">
        <v>9.388359322235273</v>
      </c>
      <c r="AD1125" s="15" t="n">
        <v>42.63490619229643</v>
      </c>
      <c r="AE1125" s="15" t="n">
        <v>85.8013595060235</v>
      </c>
      <c r="AF1125" s="15" t="n">
        <v>118.1705649589337</v>
      </c>
      <c r="AH1125" s="42">
        <f>HIPERLINK($A$1 &amp; "\Dados\Magnet_fields_1125.txt.txt", "Magnet_fields_1125.txt")</f>
        <v/>
      </c>
      <c r="AI1125" t="n">
        <v>6355</v>
      </c>
      <c r="AJ1125" t="n">
        <v>28</v>
      </c>
      <c r="AK1125" s="42">
        <f>HIPERLINK($A$1 &amp; "\Dados\Magnet_3D_results_1125.txt.txt", "Magnet_3D_results_1125.txt")</f>
        <v/>
      </c>
      <c r="AL1125" s="42">
        <f>HIPERLINK($A$1 &amp; "\Dados\Magnet_fields_2D_1125.txt.txt", "Magnet_fields_2D_1125.txt")</f>
        <v/>
      </c>
    </row>
    <row r="1126">
      <c r="E1126" s="15" t="n">
        <v>144</v>
      </c>
      <c r="F1126" s="15" t="n">
        <v>176</v>
      </c>
      <c r="G1126" s="15" t="n">
        <v>375</v>
      </c>
      <c r="H1126" s="15" t="n">
        <v>37</v>
      </c>
      <c r="I1126" s="15" t="n">
        <v>150</v>
      </c>
      <c r="J1126" s="13" t="n">
        <v>25</v>
      </c>
      <c r="K1126" t="n">
        <v>55</v>
      </c>
      <c r="L1126" s="13" t="n">
        <v>2.5</v>
      </c>
      <c r="M1126" s="12" t="n"/>
      <c r="N1126" s="8" t="n">
        <v>1.562946880578529</v>
      </c>
      <c r="O1126" s="15" t="n">
        <v>1.278344877810635</v>
      </c>
      <c r="P1126" s="15" t="n">
        <v>1.474066573053974</v>
      </c>
      <c r="Q1126" s="15" t="n">
        <v>0.01055461396810804</v>
      </c>
      <c r="R1126" s="15" t="n">
        <v>0.04055437328425686</v>
      </c>
      <c r="S1126" s="15" t="n">
        <v>0.01047087272982975</v>
      </c>
      <c r="T1126" s="42">
        <f>HIPERLINK($A$1 &amp; "\Dados\Imagem_perfil_1126.png", "Imagem_perfil_1126")</f>
        <v/>
      </c>
      <c r="U1126" s="42">
        <f>HIPERLINK($A$1 &amp; "\Dados\Results_airgap1126.txt", "Results_airgap1126")</f>
        <v/>
      </c>
      <c r="V1126" s="19" t="n"/>
      <c r="W1126" s="15" t="n">
        <v>2.014645217391305</v>
      </c>
      <c r="X1126" s="15" t="n">
        <v>0.9751243834146581</v>
      </c>
      <c r="Y1126" s="15" t="n">
        <v>0.1432962109871718</v>
      </c>
      <c r="Z1126" s="15" t="n">
        <v>0.007477045375689702</v>
      </c>
      <c r="AA1126" s="15" t="n">
        <v>0.008620133402404801</v>
      </c>
      <c r="AB1126" s="15" t="n">
        <v>0.2714749253968716</v>
      </c>
      <c r="AC1126" s="15" t="n">
        <v>12.87959230594179</v>
      </c>
      <c r="AD1126" s="15" t="n">
        <v>60.64278557526342</v>
      </c>
      <c r="AE1126" s="15" t="n">
        <v>96.3410111094756</v>
      </c>
      <c r="AF1126" s="15" t="n">
        <v>126.9870280931265</v>
      </c>
      <c r="AH1126" s="42">
        <f>HIPERLINK($A$1 &amp; "\Dados\Magnet_fields_1126.txt.txt", "Magnet_fields_1126.txt")</f>
        <v/>
      </c>
      <c r="AI1126" t="n">
        <v>11429</v>
      </c>
      <c r="AJ1126" t="n">
        <v>31</v>
      </c>
      <c r="AK1126" s="42">
        <f>HIPERLINK($A$1 &amp; "\Dados\Magnet_3D_results_1126.txt.txt", "Magnet_3D_results_1126.txt")</f>
        <v/>
      </c>
      <c r="AL1126" s="42">
        <f>HIPERLINK($A$1 &amp; "\Dados\Magnet_fields_2D_1126.txt.txt", "Magnet_fields_2D_1126.txt")</f>
        <v/>
      </c>
    </row>
    <row r="1127">
      <c r="E1127" s="15" t="n">
        <v>127</v>
      </c>
      <c r="F1127" s="15" t="n">
        <v>177</v>
      </c>
      <c r="G1127" s="15" t="n">
        <v>422</v>
      </c>
      <c r="H1127" s="15" t="n">
        <v>39</v>
      </c>
      <c r="I1127" s="15" t="n">
        <v>159</v>
      </c>
      <c r="J1127" s="13" t="n">
        <v>25</v>
      </c>
      <c r="K1127" t="n">
        <v>55</v>
      </c>
      <c r="L1127" s="13" t="n">
        <v>2.5</v>
      </c>
      <c r="M1127" s="12" t="n"/>
      <c r="N1127" s="8" t="n">
        <v>1.423925899859338</v>
      </c>
      <c r="O1127" s="15" t="n">
        <v>1.192184528558041</v>
      </c>
      <c r="P1127" s="15" t="n">
        <v>1.348493235455859</v>
      </c>
      <c r="Q1127" s="15" t="n">
        <v>0.01819898779354483</v>
      </c>
      <c r="R1127" s="15" t="n">
        <v>0.06911284999699674</v>
      </c>
      <c r="S1127" s="15" t="n">
        <v>0.01871353280952727</v>
      </c>
      <c r="T1127" s="42">
        <f>HIPERLINK($A$1 &amp; "\Dados\Imagem_perfil_1127.png", "Imagem_perfil_1127")</f>
        <v/>
      </c>
      <c r="U1127" s="42">
        <f>HIPERLINK($A$1 &amp; "\Dados\Results_airgap1127.txt", "Results_airgap1127")</f>
        <v/>
      </c>
      <c r="V1127" s="19" t="n"/>
      <c r="W1127" s="15" t="n">
        <v>1.961534347826087</v>
      </c>
      <c r="X1127" s="15" t="n">
        <v>0.9182172635054451</v>
      </c>
      <c r="Y1127" s="15" t="n">
        <v>0.2469165981027275</v>
      </c>
      <c r="Z1127" s="15" t="n">
        <v>0.002102765451313624</v>
      </c>
      <c r="AA1127" s="15" t="n">
        <v>0.006191260958586589</v>
      </c>
      <c r="AB1127" s="15" t="n">
        <v>3.160509098005941</v>
      </c>
      <c r="AC1127" s="15" t="n">
        <v>19.15475290149309</v>
      </c>
      <c r="AD1127" s="15" t="n">
        <v>59.28681488839053</v>
      </c>
      <c r="AE1127" s="15" t="n">
        <v>94.76559126380459</v>
      </c>
      <c r="AF1127" s="15" t="n">
        <v>126.7405777007857</v>
      </c>
      <c r="AH1127" s="42">
        <f>HIPERLINK($A$1 &amp; "\Dados\Magnet_fields_1127.txt.txt", "Magnet_fields_1127.txt")</f>
        <v/>
      </c>
      <c r="AI1127" t="n">
        <v>10927</v>
      </c>
      <c r="AJ1127" t="n">
        <v>30</v>
      </c>
      <c r="AK1127" s="42">
        <f>HIPERLINK($A$1 &amp; "\Dados\Magnet_3D_results_1127.txt.txt", "Magnet_3D_results_1127.txt")</f>
        <v/>
      </c>
      <c r="AL1127" s="42">
        <f>HIPERLINK($A$1 &amp; "\Dados\Magnet_fields_2D_1127.txt.txt", "Magnet_fields_2D_1127.txt")</f>
        <v/>
      </c>
    </row>
    <row r="1128">
      <c r="E1128" s="15" t="n">
        <v>123</v>
      </c>
      <c r="F1128" s="15" t="n">
        <v>172</v>
      </c>
      <c r="G1128" s="15" t="n">
        <v>353</v>
      </c>
      <c r="H1128" s="15" t="n">
        <v>41</v>
      </c>
      <c r="I1128" s="15" t="n">
        <v>140</v>
      </c>
      <c r="J1128" s="13" t="n">
        <v>25</v>
      </c>
      <c r="K1128" t="n">
        <v>60</v>
      </c>
      <c r="L1128" s="13" t="n">
        <v>2.5</v>
      </c>
      <c r="M1128" s="12" t="n"/>
      <c r="N1128" s="8" t="n">
        <v>1.265682384326234</v>
      </c>
      <c r="O1128" s="15" t="n">
        <v>0.9605441134812395</v>
      </c>
      <c r="P1128" s="15" t="n">
        <v>1.173844567521421</v>
      </c>
      <c r="Q1128" s="15" t="n">
        <v>0.02827812274198391</v>
      </c>
      <c r="R1128" s="15" t="n">
        <v>0.05091133011061553</v>
      </c>
      <c r="S1128" s="15" t="n">
        <v>0.0285291911692855</v>
      </c>
      <c r="T1128" s="42">
        <f>HIPERLINK($A$1 &amp; "\Dados\Imagem_perfil_1128.png", "Imagem_perfil_1128")</f>
        <v/>
      </c>
      <c r="U1128" s="42">
        <f>HIPERLINK($A$1 &amp; "\Dados\Results_airgap1128.txt", "Results_airgap1128")</f>
        <v/>
      </c>
      <c r="V1128" s="19" t="n"/>
      <c r="W1128" s="15" t="n">
        <v>1.736317173913044</v>
      </c>
      <c r="X1128" s="15" t="n">
        <v>0.8211312745700554</v>
      </c>
      <c r="Y1128" s="15" t="n">
        <v>0.410513055737757</v>
      </c>
      <c r="Z1128" s="15" t="n">
        <v>0</v>
      </c>
      <c r="AA1128" s="15" t="n">
        <v>0</v>
      </c>
      <c r="AB1128" s="15" t="n">
        <v>1.820975491671364</v>
      </c>
      <c r="AC1128" s="15" t="n">
        <v>20.56158412743748</v>
      </c>
      <c r="AD1128" s="15" t="n">
        <v>64.33689009394261</v>
      </c>
      <c r="AE1128" s="15" t="n">
        <v>96.84053967823135</v>
      </c>
      <c r="AF1128" s="15" t="n">
        <v>129.9692704465548</v>
      </c>
      <c r="AH1128" s="42">
        <f>HIPERLINK($A$1 &amp; "\Dados\Magnet_fields_1128.txt.txt", "Magnet_fields_1128.txt")</f>
        <v/>
      </c>
      <c r="AI1128" t="n">
        <v>7956</v>
      </c>
      <c r="AJ1128" t="n">
        <v>29</v>
      </c>
      <c r="AK1128" s="42">
        <f>HIPERLINK($A$1 &amp; "\Dados\Magnet_3D_results_1128.txt.txt", "Magnet_3D_results_1128.txt")</f>
        <v/>
      </c>
      <c r="AL1128" s="42">
        <f>HIPERLINK($A$1 &amp; "\Dados\Magnet_fields_2D_1128.txt.txt", "Magnet_fields_2D_1128.txt")</f>
        <v/>
      </c>
    </row>
    <row r="1129">
      <c r="E1129" s="15" t="n">
        <v>143</v>
      </c>
      <c r="F1129" s="15" t="n">
        <v>181</v>
      </c>
      <c r="G1129" s="15" t="n">
        <v>389</v>
      </c>
      <c r="H1129" s="15" t="n">
        <v>43</v>
      </c>
      <c r="I1129" s="15" t="n">
        <v>170</v>
      </c>
      <c r="J1129" s="13" t="n">
        <v>25</v>
      </c>
      <c r="K1129" t="n">
        <v>45</v>
      </c>
      <c r="L1129" s="13" t="n">
        <v>2.5</v>
      </c>
      <c r="M1129" s="12" t="n"/>
      <c r="N1129" s="8" t="n">
        <v>1.486708099017607</v>
      </c>
      <c r="O1129" s="15" t="n">
        <v>1.303414352055529</v>
      </c>
      <c r="P1129" s="15" t="n">
        <v>1.442862122548941</v>
      </c>
      <c r="Q1129" s="15" t="n">
        <v>0.002887421202669163</v>
      </c>
      <c r="R1129" s="15" t="n">
        <v>0.03701296598838137</v>
      </c>
      <c r="S1129" s="15" t="n">
        <v>0.002953621767632517</v>
      </c>
      <c r="T1129" s="42">
        <f>HIPERLINK($A$1 &amp; "\Dados\Imagem_perfil_1129.png", "Imagem_perfil_1129")</f>
        <v/>
      </c>
      <c r="U1129" s="42">
        <f>HIPERLINK($A$1 &amp; "\Dados\Results_airgap1129.txt", "Results_airgap1129")</f>
        <v/>
      </c>
      <c r="V1129" s="19" t="n"/>
      <c r="W1129" s="15" t="n">
        <v>1.841441304347827</v>
      </c>
      <c r="X1129" s="15" t="n">
        <v>0.9270206962414589</v>
      </c>
      <c r="Y1129" s="15" t="n">
        <v>0.3368947529085226</v>
      </c>
      <c r="Z1129" s="15" t="n">
        <v>0</v>
      </c>
      <c r="AA1129" s="15" t="n">
        <v>0</v>
      </c>
      <c r="AB1129" s="15" t="n">
        <v>0.2484799649262537</v>
      </c>
      <c r="AC1129" s="15" t="n">
        <v>5.652549817033691</v>
      </c>
      <c r="AD1129" s="15" t="n">
        <v>39.02027515047376</v>
      </c>
      <c r="AE1129" s="15" t="n">
        <v>87.15247948454903</v>
      </c>
      <c r="AF1129" s="15" t="n">
        <v>118.6979803420556</v>
      </c>
      <c r="AH1129" s="42">
        <f>HIPERLINK($A$1 &amp; "\Dados\Magnet_fields_1129.txt.txt", "Magnet_fields_1129.txt")</f>
        <v/>
      </c>
      <c r="AI1129" t="n">
        <v>5985</v>
      </c>
      <c r="AJ1129" t="n">
        <v>28</v>
      </c>
      <c r="AK1129" s="42">
        <f>HIPERLINK($A$1 &amp; "\Dados\Magnet_3D_results_1129.txt.txt", "Magnet_3D_results_1129.txt")</f>
        <v/>
      </c>
      <c r="AL1129" s="42">
        <f>HIPERLINK($A$1 &amp; "\Dados\Magnet_fields_2D_1129.txt.txt", "Magnet_fields_2D_1129.txt")</f>
        <v/>
      </c>
    </row>
    <row r="1130">
      <c r="E1130" s="15" t="n">
        <v>122</v>
      </c>
      <c r="F1130" s="15" t="n">
        <v>172</v>
      </c>
      <c r="G1130" s="15" t="n">
        <v>355</v>
      </c>
      <c r="H1130" s="15" t="n">
        <v>37</v>
      </c>
      <c r="I1130" s="15" t="n">
        <v>140</v>
      </c>
      <c r="J1130" s="13" t="n">
        <v>25</v>
      </c>
      <c r="K1130" t="n">
        <v>60</v>
      </c>
      <c r="L1130" s="13" t="n">
        <v>2.5</v>
      </c>
      <c r="M1130" s="12" t="n"/>
      <c r="N1130" s="8" t="n">
        <v>1.255876831409643</v>
      </c>
      <c r="O1130" s="15" t="n">
        <v>0.9729986527214887</v>
      </c>
      <c r="P1130" s="15" t="n">
        <v>1.174538470350824</v>
      </c>
      <c r="Q1130" s="15" t="n">
        <v>0.0296112740154077</v>
      </c>
      <c r="R1130" s="15" t="n">
        <v>0.0519974763682467</v>
      </c>
      <c r="S1130" s="15" t="n">
        <v>0.02966708078155784</v>
      </c>
      <c r="T1130" s="42">
        <f>HIPERLINK($A$1 &amp; "\Dados\Imagem_perfil_1130.png", "Imagem_perfil_1130")</f>
        <v/>
      </c>
      <c r="U1130" s="42">
        <f>HIPERLINK($A$1 &amp; "\Dados\Results_airgap1130.txt", "Results_airgap1130")</f>
        <v/>
      </c>
      <c r="V1130" s="19" t="n"/>
      <c r="W1130" s="15" t="n">
        <v>1.742120869565217</v>
      </c>
      <c r="X1130" s="15" t="n">
        <v>0.8153568394976317</v>
      </c>
      <c r="Y1130" s="15" t="n">
        <v>0.4078726254673692</v>
      </c>
      <c r="Z1130" s="15" t="n">
        <v>0</v>
      </c>
      <c r="AA1130" s="15" t="n">
        <v>0</v>
      </c>
      <c r="AB1130" s="15" t="n">
        <v>2.346239948055548</v>
      </c>
      <c r="AC1130" s="15" t="n">
        <v>22.71451180663887</v>
      </c>
      <c r="AD1130" s="15" t="n">
        <v>65.74099452258297</v>
      </c>
      <c r="AE1130" s="15" t="n">
        <v>97.11126524872185</v>
      </c>
      <c r="AF1130" s="15" t="n">
        <v>130.151435832256</v>
      </c>
      <c r="AH1130" s="42">
        <f>HIPERLINK($A$1 &amp; "\Dados\Magnet_fields_1130.txt.txt", "Magnet_fields_1130.txt")</f>
        <v/>
      </c>
      <c r="AI1130" t="n">
        <v>8178</v>
      </c>
      <c r="AJ1130" t="n">
        <v>30</v>
      </c>
      <c r="AK1130" s="42">
        <f>HIPERLINK($A$1 &amp; "\Dados\Magnet_3D_results_1130.txt.txt", "Magnet_3D_results_1130.txt")</f>
        <v/>
      </c>
      <c r="AL1130" s="42">
        <f>HIPERLINK($A$1 &amp; "\Dados\Magnet_fields_2D_1130.txt.txt", "Magnet_fields_2D_1130.txt")</f>
        <v/>
      </c>
    </row>
    <row r="1131">
      <c r="E1131" s="15" t="n">
        <v>150</v>
      </c>
      <c r="F1131" s="15" t="n">
        <v>195</v>
      </c>
      <c r="G1131" s="15" t="n">
        <v>371</v>
      </c>
      <c r="H1131" s="15" t="n">
        <v>40</v>
      </c>
      <c r="I1131" s="15" t="n">
        <v>144</v>
      </c>
      <c r="J1131" s="13" t="n">
        <v>25</v>
      </c>
      <c r="K1131" t="n">
        <v>60</v>
      </c>
      <c r="L1131" s="13" t="n">
        <v>2.5</v>
      </c>
      <c r="M1131" s="12" t="n"/>
      <c r="N1131" s="8" t="n">
        <v>1.260581585853319</v>
      </c>
      <c r="O1131" s="15" t="n">
        <v>1.001267474886209</v>
      </c>
      <c r="P1131" s="15" t="n">
        <v>1.184325072243087</v>
      </c>
      <c r="Q1131" s="15" t="n">
        <v>0.0159132089691561</v>
      </c>
      <c r="R1131" s="15" t="n">
        <v>0.03884920798335347</v>
      </c>
      <c r="S1131" s="15" t="n">
        <v>0.01473930071834734</v>
      </c>
      <c r="T1131" s="42">
        <f>HIPERLINK($A$1 &amp; "\Dados\Imagem_perfil_1131.png", "Imagem_perfil_1131")</f>
        <v/>
      </c>
      <c r="U1131" s="42">
        <f>HIPERLINK($A$1 &amp; "\Dados\Results_airgap1131.txt", "Results_airgap1131")</f>
        <v/>
      </c>
      <c r="V1131" s="19" t="n"/>
      <c r="W1131" s="15" t="n">
        <v>1.696537391304348</v>
      </c>
      <c r="X1131" s="15" t="n">
        <v>0.8264521339393067</v>
      </c>
      <c r="Y1131" s="15" t="n">
        <v>0.4009588629317731</v>
      </c>
      <c r="Z1131" s="15" t="n">
        <v>0.004826338360269849</v>
      </c>
      <c r="AA1131" s="15" t="n">
        <v>0.5584352555630825</v>
      </c>
      <c r="AB1131" s="15" t="n">
        <v>0</v>
      </c>
      <c r="AC1131" s="15" t="n">
        <v>15.19640556692314</v>
      </c>
      <c r="AD1131" s="15" t="n">
        <v>65.55363540404268</v>
      </c>
      <c r="AE1131" s="15" t="n">
        <v>97.46635959826367</v>
      </c>
      <c r="AF1131" s="15" t="n">
        <v>129.1901761618568</v>
      </c>
      <c r="AH1131" s="42">
        <f>HIPERLINK($A$1 &amp; "\Dados\Magnet_fields_1131.txt.txt", "Magnet_fields_1131.txt")</f>
        <v/>
      </c>
      <c r="AI1131" t="n">
        <v>7253</v>
      </c>
      <c r="AJ1131" t="n">
        <v>28</v>
      </c>
      <c r="AK1131" s="42">
        <f>HIPERLINK($A$1 &amp; "\Dados\Magnet_3D_results_1131.txt.txt", "Magnet_3D_results_1131.txt")</f>
        <v/>
      </c>
      <c r="AL1131" s="42">
        <f>HIPERLINK($A$1 &amp; "\Dados\Magnet_fields_2D_1131.txt.txt", "Magnet_fields_2D_1131.txt")</f>
        <v/>
      </c>
    </row>
    <row r="1132">
      <c r="E1132" s="15" t="n">
        <v>149</v>
      </c>
      <c r="F1132" s="15" t="n">
        <v>187</v>
      </c>
      <c r="G1132" s="15" t="n">
        <v>423</v>
      </c>
      <c r="H1132" s="15" t="n">
        <v>37</v>
      </c>
      <c r="I1132" s="15" t="n">
        <v>167</v>
      </c>
      <c r="J1132" s="13" t="n">
        <v>25</v>
      </c>
      <c r="K1132" t="n">
        <v>60</v>
      </c>
      <c r="L1132" s="13" t="n">
        <v>2.5</v>
      </c>
      <c r="M1132" s="12" t="n"/>
      <c r="N1132" s="8" t="n">
        <v>1.577709089041482</v>
      </c>
      <c r="O1132" s="15" t="n">
        <v>1.354284999141757</v>
      </c>
      <c r="P1132" s="15" t="n">
        <v>1.50740279312554</v>
      </c>
      <c r="Q1132" s="15" t="n">
        <v>0.0218143933309838</v>
      </c>
      <c r="R1132" s="15" t="n">
        <v>0.05910757138226611</v>
      </c>
      <c r="S1132" s="15" t="n">
        <v>0.02084272776076571</v>
      </c>
      <c r="T1132" s="42">
        <f>HIPERLINK($A$1 &amp; "\Dados\Imagem_perfil_1132.png", "Imagem_perfil_1132")</f>
        <v/>
      </c>
      <c r="U1132" s="42">
        <f>HIPERLINK($A$1 &amp; "\Dados\Results_airgap1132.txt", "Results_airgap1132")</f>
        <v/>
      </c>
      <c r="V1132" s="19" t="n"/>
      <c r="W1132" s="15" t="n">
        <v>2.106221956521739</v>
      </c>
      <c r="X1132" s="15" t="n">
        <v>1.007064212981051</v>
      </c>
      <c r="Y1132" s="15" t="n">
        <v>0.0993257786250076</v>
      </c>
      <c r="Z1132" s="15" t="n">
        <v>0</v>
      </c>
      <c r="AA1132" s="15" t="n">
        <v>0.9990888694040474</v>
      </c>
      <c r="AB1132" s="15" t="n">
        <v>1.807439002034766</v>
      </c>
      <c r="AC1132" s="15" t="n">
        <v>20.44529642997849</v>
      </c>
      <c r="AD1132" s="15" t="n">
        <v>66.40804044043773</v>
      </c>
      <c r="AE1132" s="15" t="n">
        <v>99.56586393711267</v>
      </c>
      <c r="AF1132" s="15" t="n">
        <v>131.5783369598506</v>
      </c>
      <c r="AH1132" s="42">
        <f>HIPERLINK($A$1 &amp; "\Dados\Magnet_fields_1132.txt.txt", "Magnet_fields_1132.txt")</f>
        <v/>
      </c>
      <c r="AI1132" t="n">
        <v>8821</v>
      </c>
      <c r="AJ1132" t="n">
        <v>29</v>
      </c>
      <c r="AK1132" s="42">
        <f>HIPERLINK($A$1 &amp; "\Dados\Magnet_3D_results_1132.txt.txt", "Magnet_3D_results_1132.txt")</f>
        <v/>
      </c>
      <c r="AL1132" s="42">
        <f>HIPERLINK($A$1 &amp; "\Dados\Magnet_fields_2D_1132.txt.txt", "Magnet_fields_2D_1132.txt")</f>
        <v/>
      </c>
    </row>
    <row r="1133">
      <c r="E1133" s="15" t="n">
        <v>122</v>
      </c>
      <c r="F1133" s="15" t="n">
        <v>171</v>
      </c>
      <c r="G1133" s="15" t="n">
        <v>386</v>
      </c>
      <c r="H1133" s="15" t="n">
        <v>39</v>
      </c>
      <c r="I1133" s="15" t="n">
        <v>175</v>
      </c>
      <c r="J1133" s="13" t="n">
        <v>25</v>
      </c>
      <c r="K1133" t="n">
        <v>45</v>
      </c>
      <c r="L1133" s="13" t="n">
        <v>2.5</v>
      </c>
      <c r="M1133" s="12" t="n"/>
      <c r="N1133" s="8" t="n">
        <v>1.376138767293944</v>
      </c>
      <c r="O1133" s="15" t="n">
        <v>1.19940063142676</v>
      </c>
      <c r="P1133" s="15" t="n">
        <v>1.317416271723447</v>
      </c>
      <c r="Q1133" s="15" t="n">
        <v>0.004363679735623824</v>
      </c>
      <c r="R1133" s="15" t="n">
        <v>0.04771931341234063</v>
      </c>
      <c r="S1133" s="15" t="n">
        <v>0.004643619829324144</v>
      </c>
      <c r="T1133" s="42">
        <f>HIPERLINK($A$1 &amp; "\Dados\Imagem_perfil_1133.png", "Imagem_perfil_1133")</f>
        <v/>
      </c>
      <c r="U1133" s="42">
        <f>HIPERLINK($A$1 &amp; "\Dados\Results_airgap1133.txt", "Results_airgap1133")</f>
        <v/>
      </c>
      <c r="V1133" s="19" t="n"/>
      <c r="W1133" s="15" t="n">
        <v>1.737282608695652</v>
      </c>
      <c r="X1133" s="15" t="n">
        <v>0.86325722240284</v>
      </c>
      <c r="Y1133" s="15" t="n">
        <v>0.4934687397309587</v>
      </c>
      <c r="Z1133" s="15" t="n">
        <v>0.001084467700724339</v>
      </c>
      <c r="AA1133" s="15" t="n">
        <v>0.00210700931832822</v>
      </c>
      <c r="AB1133" s="15" t="n">
        <v>2.544801565039574</v>
      </c>
      <c r="AC1133" s="15" t="n">
        <v>13.31243891148191</v>
      </c>
      <c r="AD1133" s="15" t="n">
        <v>46.51061013579314</v>
      </c>
      <c r="AE1133" s="15" t="n">
        <v>87.30683633327065</v>
      </c>
      <c r="AF1133" s="15" t="n">
        <v>118.8074971339178</v>
      </c>
      <c r="AH1133" s="42">
        <f>HIPERLINK($A$1 &amp; "\Dados\Magnet_fields_1133.txt.txt", "Magnet_fields_1133.txt")</f>
        <v/>
      </c>
      <c r="AI1133" t="n">
        <v>7274</v>
      </c>
      <c r="AJ1133" t="n">
        <v>28</v>
      </c>
      <c r="AK1133" s="42">
        <f>HIPERLINK($A$1 &amp; "\Dados\Magnet_3D_results_1133.txt.txt", "Magnet_3D_results_1133.txt")</f>
        <v/>
      </c>
      <c r="AL1133" s="42">
        <f>HIPERLINK($A$1 &amp; "\Dados\Magnet_fields_2D_1133.txt.txt", "Magnet_fields_2D_1133.txt")</f>
        <v/>
      </c>
    </row>
    <row r="1134">
      <c r="E1134" s="15" t="n">
        <v>143</v>
      </c>
      <c r="F1134" s="15" t="n">
        <v>193</v>
      </c>
      <c r="G1134" s="15" t="n">
        <v>359</v>
      </c>
      <c r="H1134" s="15" t="n">
        <v>28</v>
      </c>
      <c r="I1134" s="15" t="n">
        <v>140</v>
      </c>
      <c r="J1134" s="13" t="n">
        <v>25</v>
      </c>
      <c r="K1134" t="n">
        <v>60</v>
      </c>
      <c r="L1134" s="13" t="n">
        <v>2.5</v>
      </c>
      <c r="M1134" s="12" t="n"/>
      <c r="N1134" s="8" t="n">
        <v>1.143267032927823</v>
      </c>
      <c r="O1134" s="15" t="n">
        <v>0.8736073238010177</v>
      </c>
      <c r="P1134" s="15" t="n">
        <v>1.066743871158084</v>
      </c>
      <c r="Q1134" s="15" t="n">
        <v>0.01826801989258937</v>
      </c>
      <c r="R1134" s="15" t="n">
        <v>0.03400074844202633</v>
      </c>
      <c r="S1134" s="15" t="n">
        <v>0.01804710594944097</v>
      </c>
      <c r="T1134" s="42">
        <f>HIPERLINK($A$1 &amp; "\Dados\Imagem_perfil_1134.png", "Imagem_perfil_1134")</f>
        <v/>
      </c>
      <c r="U1134" s="42">
        <f>HIPERLINK($A$1 &amp; "\Dados\Results_airgap1134.txt", "Results_airgap1134")</f>
        <v/>
      </c>
      <c r="V1134" s="19" t="n"/>
      <c r="W1134" s="15" t="n">
        <v>1.592070000000001</v>
      </c>
      <c r="X1134" s="15" t="n">
        <v>0.7502164810979659</v>
      </c>
      <c r="Y1134" s="15" t="n">
        <v>0.5302806492393071</v>
      </c>
      <c r="Z1134" s="15" t="n">
        <v>0.01971124881443128</v>
      </c>
      <c r="AA1134" s="15" t="n">
        <v>5.898755233093299</v>
      </c>
      <c r="AB1134" s="15" t="n">
        <v>0</v>
      </c>
      <c r="AC1134" s="15" t="n">
        <v>15.40493135634549</v>
      </c>
      <c r="AD1134" s="15" t="n">
        <v>63.92503350807446</v>
      </c>
      <c r="AE1134" s="15" t="n">
        <v>96.4815913408449</v>
      </c>
      <c r="AF1134" s="15" t="n">
        <v>128.760508649801</v>
      </c>
      <c r="AH1134" s="42">
        <f>HIPERLINK($A$1 &amp; "\Dados\Magnet_fields_1134.txt.txt", "Magnet_fields_1134.txt")</f>
        <v/>
      </c>
      <c r="AI1134" t="n">
        <v>9037</v>
      </c>
      <c r="AJ1134" t="n">
        <v>29</v>
      </c>
      <c r="AK1134" s="42">
        <f>HIPERLINK($A$1 &amp; "\Dados\Magnet_3D_results_1134.txt.txt", "Magnet_3D_results_1134.txt")</f>
        <v/>
      </c>
      <c r="AL1134" s="42">
        <f>HIPERLINK($A$1 &amp; "\Dados\Magnet_fields_2D_1134.txt.txt", "Magnet_fields_2D_1134.txt")</f>
        <v/>
      </c>
    </row>
    <row r="1135">
      <c r="E1135" s="15" t="n">
        <v>144</v>
      </c>
      <c r="F1135" s="15" t="n">
        <v>184</v>
      </c>
      <c r="G1135" s="15" t="n">
        <v>354</v>
      </c>
      <c r="H1135" s="15" t="n">
        <v>30</v>
      </c>
      <c r="I1135" s="15" t="n">
        <v>166</v>
      </c>
      <c r="J1135" s="13" t="n">
        <v>25</v>
      </c>
      <c r="K1135" t="n">
        <v>60</v>
      </c>
      <c r="L1135" s="13" t="n">
        <v>2.5</v>
      </c>
      <c r="M1135" s="12" t="n"/>
      <c r="N1135" s="8" t="n">
        <v>1.403719929212141</v>
      </c>
      <c r="O1135" s="15" t="n">
        <v>1.209751562129322</v>
      </c>
      <c r="P1135" s="15" t="n">
        <v>1.34236474163797</v>
      </c>
      <c r="Q1135" s="15" t="n">
        <v>0.01471722933080456</v>
      </c>
      <c r="R1135" s="15" t="n">
        <v>0.03441847264444345</v>
      </c>
      <c r="S1135" s="15" t="n">
        <v>0.01358654911578164</v>
      </c>
      <c r="T1135" s="42">
        <f>HIPERLINK($A$1 &amp; "\Dados\Imagem_perfil_1135.png", "Imagem_perfil_1135")</f>
        <v/>
      </c>
      <c r="U1135" s="42">
        <f>HIPERLINK($A$1 &amp; "\Dados\Results_airgap1135.txt", "Results_airgap1135")</f>
        <v/>
      </c>
      <c r="V1135" s="19" t="n"/>
      <c r="W1135" s="15" t="n">
        <v>1.779027826086957</v>
      </c>
      <c r="X1135" s="15" t="n">
        <v>0.881860549388008</v>
      </c>
      <c r="Y1135" s="15" t="n">
        <v>0.3219870215178501</v>
      </c>
      <c r="Z1135" s="15" t="n">
        <v>0.003154300221640695</v>
      </c>
      <c r="AA1135" s="15" t="n">
        <v>3.928365106874639</v>
      </c>
      <c r="AB1135" s="15" t="n">
        <v>0.1667141610920631</v>
      </c>
      <c r="AC1135" s="15" t="n">
        <v>22.19129677079558</v>
      </c>
      <c r="AD1135" s="15" t="n">
        <v>68.95174251329681</v>
      </c>
      <c r="AE1135" s="15" t="n">
        <v>97.92300341910514</v>
      </c>
      <c r="AF1135" s="15" t="n">
        <v>129.7200444030925</v>
      </c>
      <c r="AH1135" s="42">
        <f>HIPERLINK($A$1 &amp; "\Dados\Magnet_fields_1135.txt.txt", "Magnet_fields_1135.txt")</f>
        <v/>
      </c>
      <c r="AI1135" t="n">
        <v>8351</v>
      </c>
      <c r="AJ1135" t="n">
        <v>29</v>
      </c>
      <c r="AK1135" s="42">
        <f>HIPERLINK($A$1 &amp; "\Dados\Magnet_3D_results_1135.txt.txt", "Magnet_3D_results_1135.txt")</f>
        <v/>
      </c>
      <c r="AL1135" s="42">
        <f>HIPERLINK($A$1 &amp; "\Dados\Magnet_fields_2D_1135.txt.txt", "Magnet_fields_2D_1135.txt")</f>
        <v/>
      </c>
    </row>
    <row r="1136">
      <c r="E1136" s="15" t="n">
        <v>145</v>
      </c>
      <c r="F1136" s="15" t="n">
        <v>175</v>
      </c>
      <c r="G1136" s="15" t="n">
        <v>427</v>
      </c>
      <c r="H1136" s="15" t="n">
        <v>36</v>
      </c>
      <c r="I1136" s="15" t="n">
        <v>147</v>
      </c>
      <c r="J1136" s="13" t="n">
        <v>25</v>
      </c>
      <c r="K1136" t="n">
        <v>45</v>
      </c>
      <c r="L1136" s="13" t="n">
        <v>2.5</v>
      </c>
      <c r="M1136" s="12" t="n"/>
      <c r="N1136" s="8" t="n">
        <v>1.618676914806869</v>
      </c>
      <c r="O1136" s="15" t="n">
        <v>1.31334469520708</v>
      </c>
      <c r="P1136" s="15" t="n">
        <v>1.538710088664531</v>
      </c>
      <c r="Q1136" s="15" t="n">
        <v>0.005073883762963026</v>
      </c>
      <c r="R1136" s="15" t="n">
        <v>0.04100845961844007</v>
      </c>
      <c r="S1136" s="15" t="n">
        <v>0.005299225789251111</v>
      </c>
      <c r="T1136" s="42">
        <f>HIPERLINK($A$1 &amp; "\Dados\Imagem_perfil_1136.png", "Imagem_perfil_1136")</f>
        <v/>
      </c>
      <c r="U1136" s="42">
        <f>HIPERLINK($A$1 &amp; "\Dados\Results_airgap1136.txt", "Results_airgap1136")</f>
        <v/>
      </c>
      <c r="V1136" s="19" t="n"/>
      <c r="W1136" s="15" t="n">
        <v>2.126517391304347</v>
      </c>
      <c r="X1136" s="15" t="n">
        <v>1.042546797999026</v>
      </c>
      <c r="Y1136" s="15" t="n">
        <v>0.1308987062699326</v>
      </c>
      <c r="Z1136" s="15" t="n">
        <v>0</v>
      </c>
      <c r="AA1136" s="15" t="n">
        <v>1.607885764035998</v>
      </c>
      <c r="AB1136" s="15" t="n">
        <v>0</v>
      </c>
      <c r="AC1136" s="15" t="n">
        <v>4.928320600141039</v>
      </c>
      <c r="AD1136" s="15" t="n">
        <v>39.62060028119842</v>
      </c>
      <c r="AE1136" s="15" t="n">
        <v>87.16585806670689</v>
      </c>
      <c r="AF1136" s="15" t="n">
        <v>119.1571754309166</v>
      </c>
      <c r="AH1136" s="42">
        <f>HIPERLINK($A$1 &amp; "\Dados\Magnet_fields_1136.txt.txt", "Magnet_fields_1136.txt")</f>
        <v/>
      </c>
      <c r="AI1136" t="n">
        <v>7828</v>
      </c>
      <c r="AJ1136" t="n">
        <v>29</v>
      </c>
      <c r="AK1136" s="42">
        <f>HIPERLINK($A$1 &amp; "\Dados\Magnet_3D_results_1136.txt.txt", "Magnet_3D_results_1136.txt")</f>
        <v/>
      </c>
      <c r="AL1136" s="42">
        <f>HIPERLINK($A$1 &amp; "\Dados\Magnet_fields_2D_1136.txt.txt", "Magnet_fields_2D_1136.txt")</f>
        <v/>
      </c>
    </row>
    <row r="1137">
      <c r="E1137" s="15" t="n">
        <v>130</v>
      </c>
      <c r="F1137" s="15" t="n">
        <v>171</v>
      </c>
      <c r="G1137" s="15" t="n">
        <v>376</v>
      </c>
      <c r="H1137" s="15" t="n">
        <v>35</v>
      </c>
      <c r="I1137" s="15" t="n">
        <v>173</v>
      </c>
      <c r="J1137" s="13" t="n">
        <v>25</v>
      </c>
      <c r="K1137" t="n">
        <v>60</v>
      </c>
      <c r="L1137" s="13" t="n">
        <v>2.5</v>
      </c>
      <c r="M1137" s="12" t="n"/>
      <c r="N1137" s="8" t="n">
        <v>1.523745850815094</v>
      </c>
      <c r="O1137" s="15" t="n">
        <v>1.326400895078372</v>
      </c>
      <c r="P1137" s="15" t="n">
        <v>1.464695922051199</v>
      </c>
      <c r="Q1137" s="15" t="n">
        <v>0.02638866626542291</v>
      </c>
      <c r="R1137" s="15" t="n">
        <v>0.05534017699073636</v>
      </c>
      <c r="S1137" s="15" t="n">
        <v>0.02596871499822722</v>
      </c>
      <c r="T1137" s="42">
        <f>HIPERLINK($A$1 &amp; "\Dados\Imagem_perfil_1137.png", "Imagem_perfil_1137")</f>
        <v/>
      </c>
      <c r="U1137" s="42">
        <f>HIPERLINK($A$1 &amp; "\Dados\Results_airgap1137.txt", "Results_airgap1137")</f>
        <v/>
      </c>
      <c r="V1137" s="19" t="n"/>
      <c r="W1137" s="15" t="n">
        <v>1.965200217391304</v>
      </c>
      <c r="X1137" s="15" t="n">
        <v>0.9361573492637709</v>
      </c>
      <c r="Y1137" s="15" t="n">
        <v>0.1955548800691765</v>
      </c>
      <c r="Z1137" s="15" t="n">
        <v>0</v>
      </c>
      <c r="AA1137" s="15" t="n">
        <v>1.145983769929686</v>
      </c>
      <c r="AB1137" s="15" t="n">
        <v>2.354270812132226</v>
      </c>
      <c r="AC1137" s="15" t="n">
        <v>21.29929395108867</v>
      </c>
      <c r="AD1137" s="15" t="n">
        <v>63.80488600610919</v>
      </c>
      <c r="AE1137" s="15" t="n">
        <v>97.19461058194061</v>
      </c>
      <c r="AF1137" s="15" t="n">
        <v>130.5467010291657</v>
      </c>
      <c r="AH1137" s="42">
        <f>HIPERLINK($A$1 &amp; "\Dados\Magnet_fields_1137.txt.txt", "Magnet_fields_1137.txt")</f>
        <v/>
      </c>
      <c r="AI1137" t="n">
        <v>8755</v>
      </c>
      <c r="AJ1137" t="n">
        <v>29</v>
      </c>
      <c r="AK1137" s="42">
        <f>HIPERLINK($A$1 &amp; "\Dados\Magnet_3D_results_1137.txt.txt", "Magnet_3D_results_1137.txt")</f>
        <v/>
      </c>
      <c r="AL1137" s="42">
        <f>HIPERLINK($A$1 &amp; "\Dados\Magnet_fields_2D_1137.txt.txt", "Magnet_fields_2D_1137.txt")</f>
        <v/>
      </c>
    </row>
    <row r="1138">
      <c r="E1138" s="15" t="n">
        <v>132</v>
      </c>
      <c r="F1138" s="15" t="n">
        <v>172</v>
      </c>
      <c r="G1138" s="15" t="n">
        <v>413</v>
      </c>
      <c r="H1138" s="15" t="n">
        <v>26</v>
      </c>
      <c r="I1138" s="15" t="n">
        <v>178</v>
      </c>
      <c r="J1138" s="13" t="n">
        <v>25</v>
      </c>
      <c r="K1138" t="n">
        <v>45</v>
      </c>
      <c r="L1138" s="13" t="n">
        <v>2.5</v>
      </c>
      <c r="M1138" s="12" t="n"/>
      <c r="N1138" s="8" t="n">
        <v>1.525964338037467</v>
      </c>
      <c r="O1138" s="15" t="n">
        <v>1.353508291073385</v>
      </c>
      <c r="P1138" s="15" t="n">
        <v>1.477650883245321</v>
      </c>
      <c r="Q1138" s="15" t="n">
        <v>0.00356777489814719</v>
      </c>
      <c r="R1138" s="15" t="n">
        <v>0.04389608220558743</v>
      </c>
      <c r="S1138" s="15" t="n">
        <v>0.003790355201434942</v>
      </c>
      <c r="T1138" s="42">
        <f>HIPERLINK($A$1 &amp; "\Dados\Imagem_perfil_1138.png", "Imagem_perfil_1138")</f>
        <v/>
      </c>
      <c r="U1138" s="42">
        <f>HIPERLINK($A$1 &amp; "\Dados\Results_airgap1138.txt", "Results_airgap1138")</f>
        <v/>
      </c>
      <c r="V1138" s="19" t="n"/>
      <c r="W1138" s="15" t="n">
        <v>1.946871956521739</v>
      </c>
      <c r="X1138" s="15" t="n">
        <v>0.940162240138362</v>
      </c>
      <c r="Y1138" s="15" t="n">
        <v>0.3095789681086149</v>
      </c>
      <c r="Z1138" s="15" t="n">
        <v>0</v>
      </c>
      <c r="AA1138" s="15" t="n">
        <v>3.56952439219815</v>
      </c>
      <c r="AB1138" s="15" t="n">
        <v>1.930900970223626</v>
      </c>
      <c r="AC1138" s="15" t="n">
        <v>11.08637517326189</v>
      </c>
      <c r="AD1138" s="15" t="n">
        <v>41.85798925779031</v>
      </c>
      <c r="AE1138" s="15" t="n">
        <v>83.88881436774614</v>
      </c>
      <c r="AF1138" s="15" t="n">
        <v>117.8535223648033</v>
      </c>
      <c r="AH1138" s="42">
        <f>HIPERLINK($A$1 &amp; "\Dados\Magnet_fields_1138.txt.txt", "Magnet_fields_1138.txt")</f>
        <v/>
      </c>
      <c r="AI1138" t="n">
        <v>10536</v>
      </c>
      <c r="AJ1138" t="n">
        <v>30</v>
      </c>
      <c r="AK1138" s="42">
        <f>HIPERLINK($A$1 &amp; "\Dados\Magnet_3D_results_1138.txt.txt", "Magnet_3D_results_1138.txt")</f>
        <v/>
      </c>
      <c r="AL1138" s="42">
        <f>HIPERLINK($A$1 &amp; "\Dados\Magnet_fields_2D_1138.txt.txt", "Magnet_fields_2D_1138.txt")</f>
        <v/>
      </c>
    </row>
    <row r="1139">
      <c r="E1139" s="15" t="n">
        <v>131</v>
      </c>
      <c r="F1139" s="15" t="n">
        <v>174</v>
      </c>
      <c r="G1139" s="15" t="n">
        <v>407</v>
      </c>
      <c r="H1139" s="15" t="n">
        <v>27</v>
      </c>
      <c r="I1139" s="15" t="n">
        <v>178</v>
      </c>
      <c r="J1139" s="13" t="n">
        <v>25</v>
      </c>
      <c r="K1139" t="n">
        <v>40</v>
      </c>
      <c r="L1139" s="13" t="n">
        <v>2.5</v>
      </c>
      <c r="M1139" s="12" t="n"/>
      <c r="N1139" s="8" t="n">
        <v>1.437257408848022</v>
      </c>
      <c r="O1139" s="15" t="n">
        <v>1.26263431265228</v>
      </c>
      <c r="P1139" s="15" t="n">
        <v>1.388103105161469</v>
      </c>
      <c r="Q1139" s="15" t="n">
        <v>0.001645515642673878</v>
      </c>
      <c r="R1139" s="15" t="n">
        <v>0.03767399164020897</v>
      </c>
      <c r="S1139" s="15" t="n">
        <v>0.001856542463606944</v>
      </c>
      <c r="T1139" s="42">
        <f>HIPERLINK($A$1 &amp; "\Dados\Imagem_perfil_1139.png", "Imagem_perfil_1139")</f>
        <v/>
      </c>
      <c r="U1139" s="42">
        <f>HIPERLINK($A$1 &amp; "\Dados\Results_airgap1139.txt", "Results_airgap1139")</f>
        <v/>
      </c>
      <c r="V1139" s="19" t="n"/>
      <c r="W1139" s="15" t="n">
        <v>1.78794347826087</v>
      </c>
      <c r="X1139" s="15" t="n">
        <v>0.8727782214279793</v>
      </c>
      <c r="Y1139" s="15" t="n">
        <v>0.5181635271580254</v>
      </c>
      <c r="Z1139" s="15" t="n">
        <v>0.02849167718162921</v>
      </c>
      <c r="AA1139" s="15" t="n">
        <v>2.262914902356702</v>
      </c>
      <c r="AB1139" s="15" t="n">
        <v>2.913070068579173</v>
      </c>
      <c r="AC1139" s="15" t="n">
        <v>12.88963127566054</v>
      </c>
      <c r="AD1139" s="15" t="n">
        <v>39.0624177463792</v>
      </c>
      <c r="AE1139" s="15" t="n">
        <v>77.93975156127554</v>
      </c>
      <c r="AF1139" s="15" t="n">
        <v>112.7395840142137</v>
      </c>
      <c r="AH1139" s="42">
        <f>HIPERLINK($A$1 &amp; "\Dados\Magnet_fields_1139.txt.txt", "Magnet_fields_1139.txt")</f>
        <v/>
      </c>
      <c r="AI1139" t="n">
        <v>10569</v>
      </c>
      <c r="AJ1139" t="n">
        <v>30</v>
      </c>
      <c r="AK1139" s="42">
        <f>HIPERLINK($A$1 &amp; "\Dados\Magnet_3D_results_1139.txt.txt", "Magnet_3D_results_1139.txt")</f>
        <v/>
      </c>
      <c r="AL1139" s="42">
        <f>HIPERLINK($A$1 &amp; "\Dados\Magnet_fields_2D_1139.txt.txt", "Magnet_fields_2D_1139.txt")</f>
        <v/>
      </c>
    </row>
    <row r="1140">
      <c r="E1140" s="15" t="n">
        <v>149</v>
      </c>
      <c r="F1140" s="15" t="n">
        <v>188</v>
      </c>
      <c r="G1140" s="15" t="n">
        <v>373</v>
      </c>
      <c r="H1140" s="15" t="n">
        <v>42</v>
      </c>
      <c r="I1140" s="15" t="n">
        <v>170</v>
      </c>
      <c r="J1140" s="13" t="n">
        <v>25</v>
      </c>
      <c r="K1140" t="n">
        <v>55</v>
      </c>
      <c r="L1140" s="13" t="n">
        <v>2.5</v>
      </c>
      <c r="M1140" s="12" t="n"/>
      <c r="N1140" s="8" t="n">
        <v>1.477788740814635</v>
      </c>
      <c r="O1140" s="15" t="n">
        <v>1.306881045574833</v>
      </c>
      <c r="P1140" s="15" t="n">
        <v>1.426987281218598</v>
      </c>
      <c r="Q1140" s="15" t="n">
        <v>0.00740306966531913</v>
      </c>
      <c r="R1140" s="15" t="n">
        <v>0.0396687765854977</v>
      </c>
      <c r="S1140" s="15" t="n">
        <v>0.007518204714453334</v>
      </c>
      <c r="T1140" s="42">
        <f>HIPERLINK($A$1 &amp; "\Dados\Imagem_perfil_1140.png", "Imagem_perfil_1140")</f>
        <v/>
      </c>
      <c r="U1140" s="42">
        <f>HIPERLINK($A$1 &amp; "\Dados\Results_airgap1140.txt", "Results_airgap1140")</f>
        <v/>
      </c>
      <c r="V1140" s="19" t="n"/>
      <c r="W1140" s="15" t="n">
        <v>1.841993913043479</v>
      </c>
      <c r="X1140" s="15" t="n">
        <v>0.9230279294078598</v>
      </c>
      <c r="Y1140" s="15" t="n">
        <v>0.2750040059915854</v>
      </c>
      <c r="Z1140" s="15" t="n">
        <v>0.005210641127026544</v>
      </c>
      <c r="AA1140" s="15" t="n">
        <v>0</v>
      </c>
      <c r="AB1140" s="15" t="n">
        <v>0</v>
      </c>
      <c r="AC1140" s="15" t="n">
        <v>16.8872392860672</v>
      </c>
      <c r="AD1140" s="15" t="n">
        <v>64.20200251212165</v>
      </c>
      <c r="AE1140" s="15" t="n">
        <v>95.31332428688535</v>
      </c>
      <c r="AF1140" s="15" t="n">
        <v>125.9428958322331</v>
      </c>
      <c r="AH1140" s="42">
        <f>HIPERLINK($A$1 &amp; "\Dados\Magnet_fields_1140.txt.txt", "Magnet_fields_1140.txt")</f>
        <v/>
      </c>
      <c r="AI1140" t="n">
        <v>10175</v>
      </c>
      <c r="AJ1140" t="n">
        <v>30</v>
      </c>
      <c r="AK1140" s="42">
        <f>HIPERLINK($A$1 &amp; "\Dados\Magnet_3D_results_1140.txt.txt", "Magnet_3D_results_1140.txt")</f>
        <v/>
      </c>
      <c r="AL1140" s="42">
        <f>HIPERLINK($A$1 &amp; "\Dados\Magnet_fields_2D_1140.txt.txt", "Magnet_fields_2D_1140.txt")</f>
        <v/>
      </c>
    </row>
    <row r="1141">
      <c r="E1141" s="15" t="n">
        <v>136</v>
      </c>
      <c r="F1141" s="15" t="n">
        <v>175</v>
      </c>
      <c r="G1141" s="15" t="n">
        <v>423</v>
      </c>
      <c r="H1141" s="15" t="n">
        <v>28</v>
      </c>
      <c r="I1141" s="15" t="n">
        <v>155</v>
      </c>
      <c r="J1141" s="13" t="n">
        <v>25</v>
      </c>
      <c r="K1141" t="n">
        <v>55</v>
      </c>
      <c r="L1141" s="13" t="n">
        <v>2.5</v>
      </c>
      <c r="M1141" s="12" t="n"/>
      <c r="N1141" s="8" t="n">
        <v>1.551254122963283</v>
      </c>
      <c r="O1141" s="15" t="n">
        <v>1.262848816926726</v>
      </c>
      <c r="P1141" s="15" t="n">
        <v>1.465523792658171</v>
      </c>
      <c r="Q1141" s="15" t="n">
        <v>0.0134631472926901</v>
      </c>
      <c r="R1141" s="15" t="n">
        <v>0.05912033440056409</v>
      </c>
      <c r="S1141" s="15" t="n">
        <v>0.01375798961843188</v>
      </c>
      <c r="T1141" s="42">
        <f>HIPERLINK($A$1 &amp; "\Dados\Imagem_perfil_1141.png", "Imagem_perfil_1141")</f>
        <v/>
      </c>
      <c r="U1141" s="42">
        <f>HIPERLINK($A$1 &amp; "\Dados\Results_airgap1141.txt", "Results_airgap1141")</f>
        <v/>
      </c>
      <c r="V1141" s="19" t="n"/>
      <c r="W1141" s="15" t="n">
        <v>2.117526086956522</v>
      </c>
      <c r="X1141" s="15" t="n">
        <v>1.011194074643341</v>
      </c>
      <c r="Y1141" s="15" t="n">
        <v>0.1184532611432679</v>
      </c>
      <c r="Z1141" s="15" t="n">
        <v>0.0169241878185592</v>
      </c>
      <c r="AA1141" s="15" t="n">
        <v>2.877207705046736</v>
      </c>
      <c r="AB1141" s="15" t="n">
        <v>1.001464598350165</v>
      </c>
      <c r="AC1141" s="15" t="n">
        <v>13.14756524649241</v>
      </c>
      <c r="AD1141" s="15" t="n">
        <v>62.23915648206521</v>
      </c>
      <c r="AE1141" s="15" t="n">
        <v>98.1863869769451</v>
      </c>
      <c r="AF1141" s="15" t="n">
        <v>127.9339770168534</v>
      </c>
      <c r="AH1141" s="42">
        <f>HIPERLINK($A$1 &amp; "\Dados\Magnet_fields_1141.txt.txt", "Magnet_fields_1141.txt")</f>
        <v/>
      </c>
      <c r="AI1141" t="n">
        <v>12538</v>
      </c>
      <c r="AJ1141" t="n">
        <v>31</v>
      </c>
      <c r="AK1141" s="42">
        <f>HIPERLINK($A$1 &amp; "\Dados\Magnet_3D_results_1141.txt.txt", "Magnet_3D_results_1141.txt")</f>
        <v/>
      </c>
      <c r="AL1141" s="42">
        <f>HIPERLINK($A$1 &amp; "\Dados\Magnet_fields_2D_1141.txt.txt", "Magnet_fields_2D_1141.txt")</f>
        <v/>
      </c>
    </row>
    <row r="1142">
      <c r="E1142" s="15" t="n">
        <v>144</v>
      </c>
      <c r="F1142" s="15" t="n">
        <v>182</v>
      </c>
      <c r="G1142" s="15" t="n">
        <v>420</v>
      </c>
      <c r="H1142" s="15" t="n">
        <v>37</v>
      </c>
      <c r="I1142" s="15" t="n">
        <v>162</v>
      </c>
      <c r="J1142" s="13" t="n">
        <v>25</v>
      </c>
      <c r="K1142" t="n">
        <v>60</v>
      </c>
      <c r="L1142" s="13" t="n">
        <v>2.5</v>
      </c>
      <c r="M1142" s="12" t="n"/>
      <c r="N1142" s="8" t="n">
        <v>1.563834863077023</v>
      </c>
      <c r="O1142" s="15" t="n">
        <v>1.331860072602569</v>
      </c>
      <c r="P1142" s="15" t="n">
        <v>1.485700193681265</v>
      </c>
      <c r="Q1142" s="15" t="n">
        <v>0.02335766375185201</v>
      </c>
      <c r="R1142" s="15" t="n">
        <v>0.06112733375472489</v>
      </c>
      <c r="S1142" s="15" t="n">
        <v>0.02279042717798872</v>
      </c>
      <c r="T1142" s="42">
        <f>HIPERLINK($A$1 &amp; "\Dados\Imagem_perfil_1142.png", "Imagem_perfil_1142")</f>
        <v/>
      </c>
      <c r="U1142" s="42">
        <f>HIPERLINK($A$1 &amp; "\Dados\Results_airgap1142.txt", "Results_airgap1142")</f>
        <v/>
      </c>
      <c r="V1142" s="19" t="n"/>
      <c r="W1142" s="15" t="n">
        <v>2.10501695652174</v>
      </c>
      <c r="X1142" s="15" t="n">
        <v>0.9987018721362786</v>
      </c>
      <c r="Y1142" s="15" t="n">
        <v>0.1085724875686686</v>
      </c>
      <c r="Z1142" s="15" t="n">
        <v>0.02260739965081339</v>
      </c>
      <c r="AA1142" s="15" t="n">
        <v>0.76517863599671</v>
      </c>
      <c r="AB1142" s="15" t="n">
        <v>1.618218552724433</v>
      </c>
      <c r="AC1142" s="15" t="n">
        <v>16.66372901074402</v>
      </c>
      <c r="AD1142" s="15" t="n">
        <v>65.27791876211847</v>
      </c>
      <c r="AE1142" s="15" t="n">
        <v>99.75753473502057</v>
      </c>
      <c r="AF1142" s="15" t="n">
        <v>131.6477609832138</v>
      </c>
      <c r="AH1142" s="42">
        <f>HIPERLINK($A$1 &amp; "\Dados\Magnet_fields_1142.txt.txt", "Magnet_fields_1142.txt")</f>
        <v/>
      </c>
      <c r="AI1142" t="n">
        <v>8309</v>
      </c>
      <c r="AJ1142" t="n">
        <v>29</v>
      </c>
      <c r="AK1142" s="42">
        <f>HIPERLINK($A$1 &amp; "\Dados\Magnet_3D_results_1142.txt.txt", "Magnet_3D_results_1142.txt")</f>
        <v/>
      </c>
      <c r="AL1142" s="42">
        <f>HIPERLINK($A$1 &amp; "\Dados\Magnet_fields_2D_1142.txt.txt", "Magnet_fields_2D_1142.txt")</f>
        <v/>
      </c>
    </row>
    <row r="1143">
      <c r="E1143" s="15" t="n">
        <v>132</v>
      </c>
      <c r="F1143" s="15" t="n">
        <v>182</v>
      </c>
      <c r="G1143" s="15" t="n">
        <v>360</v>
      </c>
      <c r="H1143" s="15" t="n">
        <v>41</v>
      </c>
      <c r="I1143" s="15" t="n">
        <v>147</v>
      </c>
      <c r="J1143" s="13" t="n">
        <v>25</v>
      </c>
      <c r="K1143" t="n">
        <v>50</v>
      </c>
      <c r="L1143" s="13" t="n">
        <v>2.5</v>
      </c>
      <c r="M1143" s="12" t="n"/>
      <c r="N1143" s="8" t="n">
        <v>1.230569021116145</v>
      </c>
      <c r="O1143" s="15" t="n">
        <v>0.9793368479645251</v>
      </c>
      <c r="P1143" s="15" t="n">
        <v>1.161274079786221</v>
      </c>
      <c r="Q1143" s="15" t="n">
        <v>0.005578504297816683</v>
      </c>
      <c r="R1143" s="15" t="n">
        <v>0.03984572483975368</v>
      </c>
      <c r="S1143" s="15" t="n">
        <v>0.006662915659423965</v>
      </c>
      <c r="T1143" s="42">
        <f>HIPERLINK($A$1 &amp; "\Dados\Imagem_perfil_1143.png", "Imagem_perfil_1143")</f>
        <v/>
      </c>
      <c r="U1143" s="42">
        <f>HIPERLINK($A$1 &amp; "\Dados\Results_airgap1143.txt", "Results_airgap1143")</f>
        <v/>
      </c>
      <c r="V1143" s="19" t="n"/>
      <c r="W1143" s="15" t="n">
        <v>1.639676304347826</v>
      </c>
      <c r="X1143" s="15" t="n">
        <v>0.7882288369373107</v>
      </c>
      <c r="Y1143" s="15" t="n">
        <v>0.5270039281145834</v>
      </c>
      <c r="Z1143" s="15" t="n">
        <v>0.0002706829006379632</v>
      </c>
      <c r="AA1143" s="15" t="n">
        <v>0</v>
      </c>
      <c r="AB1143" s="15" t="n">
        <v>0.9408218079778525</v>
      </c>
      <c r="AC1143" s="15" t="n">
        <v>14.47494911386105</v>
      </c>
      <c r="AD1143" s="15" t="n">
        <v>55.78064382377421</v>
      </c>
      <c r="AE1143" s="15" t="n">
        <v>90.71126368636325</v>
      </c>
      <c r="AF1143" s="15" t="n">
        <v>121.4284677137113</v>
      </c>
      <c r="AH1143" s="42">
        <f>HIPERLINK($A$1 &amp; "\Dados\Magnet_fields_1143.txt.txt", "Magnet_fields_1143.txt")</f>
        <v/>
      </c>
      <c r="AI1143" t="n">
        <v>6330</v>
      </c>
      <c r="AJ1143" t="n">
        <v>27</v>
      </c>
      <c r="AK1143" s="42">
        <f>HIPERLINK($A$1 &amp; "\Dados\Magnet_3D_results_1143.txt.txt", "Magnet_3D_results_1143.txt")</f>
        <v/>
      </c>
      <c r="AL1143" s="42">
        <f>HIPERLINK($A$1 &amp; "\Dados\Magnet_fields_2D_1143.txt.txt", "Magnet_fields_2D_1143.txt")</f>
        <v/>
      </c>
    </row>
    <row r="1144">
      <c r="E1144" s="15" t="n">
        <v>132</v>
      </c>
      <c r="F1144" s="15" t="n">
        <v>173</v>
      </c>
      <c r="G1144" s="15" t="n">
        <v>428</v>
      </c>
      <c r="H1144" s="15" t="n">
        <v>29</v>
      </c>
      <c r="I1144" s="15" t="n">
        <v>143</v>
      </c>
      <c r="J1144" s="13" t="n">
        <v>25</v>
      </c>
      <c r="K1144" t="n">
        <v>45</v>
      </c>
      <c r="L1144" s="13" t="n">
        <v>2.5</v>
      </c>
      <c r="M1144" s="12" t="n"/>
      <c r="N1144" s="8" t="n">
        <v>1.435227294565687</v>
      </c>
      <c r="O1144" s="15" t="n">
        <v>1.135299195256359</v>
      </c>
      <c r="P1144" s="15" t="n">
        <v>1.348704183467701</v>
      </c>
      <c r="Q1144" s="15" t="n">
        <v>0.003538130619168781</v>
      </c>
      <c r="R1144" s="15" t="n">
        <v>0.04654675825024387</v>
      </c>
      <c r="S1144" s="15" t="n">
        <v>0.004212034547267503</v>
      </c>
      <c r="T1144" s="42">
        <f>HIPERLINK($A$1 &amp; "\Dados\Imagem_perfil_1144.png", "Imagem_perfil_1144")</f>
        <v/>
      </c>
      <c r="U1144" s="42">
        <f>HIPERLINK($A$1 &amp; "\Dados\Results_airgap1144.txt", "Results_airgap1144")</f>
        <v/>
      </c>
      <c r="V1144" s="19" t="n"/>
      <c r="W1144" s="15" t="n">
        <v>1.981013260869565</v>
      </c>
      <c r="X1144" s="15" t="n">
        <v>0.9272705558573838</v>
      </c>
      <c r="Y1144" s="15" t="n">
        <v>0.289342551797543</v>
      </c>
      <c r="Z1144" s="15" t="n">
        <v>0</v>
      </c>
      <c r="AA1144" s="15" t="n">
        <v>2.520601242560298</v>
      </c>
      <c r="AB1144" s="15" t="n">
        <v>2.302989068713678</v>
      </c>
      <c r="AC1144" s="15" t="n">
        <v>12.80519419047534</v>
      </c>
      <c r="AD1144" s="15" t="n">
        <v>43.3589726106232</v>
      </c>
      <c r="AE1144" s="15" t="n">
        <v>83.89511938458794</v>
      </c>
      <c r="AF1144" s="15" t="n">
        <v>117.8165798429796</v>
      </c>
      <c r="AH1144" s="42">
        <f>HIPERLINK($A$1 &amp; "\Dados\Magnet_fields_1144.txt.txt", "Magnet_fields_1144.txt")</f>
        <v/>
      </c>
      <c r="AI1144" t="n">
        <v>9180</v>
      </c>
      <c r="AJ1144" t="n">
        <v>29</v>
      </c>
      <c r="AK1144" s="42">
        <f>HIPERLINK($A$1 &amp; "\Dados\Magnet_3D_results_1144.txt.txt", "Magnet_3D_results_1144.txt")</f>
        <v/>
      </c>
      <c r="AL1144" s="42">
        <f>HIPERLINK($A$1 &amp; "\Dados\Magnet_fields_2D_1144.txt.txt", "Magnet_fields_2D_1144.txt")</f>
        <v/>
      </c>
    </row>
    <row r="1145">
      <c r="E1145" s="15" t="n">
        <v>137</v>
      </c>
      <c r="F1145" s="15" t="n">
        <v>181</v>
      </c>
      <c r="G1145" s="15" t="n">
        <v>365</v>
      </c>
      <c r="H1145" s="15" t="n">
        <v>45</v>
      </c>
      <c r="I1145" s="15" t="n">
        <v>151</v>
      </c>
      <c r="J1145" s="13" t="n">
        <v>25</v>
      </c>
      <c r="K1145" t="n">
        <v>40</v>
      </c>
      <c r="L1145" s="13" t="n">
        <v>2.5</v>
      </c>
      <c r="M1145" s="12" t="n"/>
      <c r="N1145" s="8" t="n">
        <v>1.273094516117172</v>
      </c>
      <c r="O1145" s="15" t="n">
        <v>1.037857928340669</v>
      </c>
      <c r="P1145" s="15" t="n">
        <v>1.20059428064226</v>
      </c>
      <c r="Q1145" s="15" t="n">
        <v>0.0012155512721194</v>
      </c>
      <c r="R1145" s="15" t="n">
        <v>0.02906091309689304</v>
      </c>
      <c r="S1145" s="15" t="n">
        <v>0.001689691206470197</v>
      </c>
      <c r="T1145" s="42">
        <f>HIPERLINK($A$1 &amp; "\Dados\Imagem_perfil_1145.png", "Imagem_perfil_1145")</f>
        <v/>
      </c>
      <c r="U1145" s="42">
        <f>HIPERLINK($A$1 &amp; "\Dados\Results_airgap1145.txt", "Results_airgap1145")</f>
        <v/>
      </c>
      <c r="V1145" s="19" t="n"/>
      <c r="W1145" s="15" t="n">
        <v>1.612425434782609</v>
      </c>
      <c r="X1145" s="15" t="n">
        <v>0.804377345801915</v>
      </c>
      <c r="Y1145" s="15" t="n">
        <v>0.672342710995982</v>
      </c>
      <c r="Z1145" s="15" t="n">
        <v>0.01009848263098756</v>
      </c>
      <c r="AA1145" s="15" t="n">
        <v>0.01062279247273109</v>
      </c>
      <c r="AB1145" s="15" t="n">
        <v>1.839733642603057</v>
      </c>
      <c r="AC1145" s="15" t="n">
        <v>10.00410105388922</v>
      </c>
      <c r="AD1145" s="15" t="n">
        <v>35.60371378221625</v>
      </c>
      <c r="AE1145" s="15" t="n">
        <v>75.3371630608471</v>
      </c>
      <c r="AF1145" s="15" t="n">
        <v>111.5665642603565</v>
      </c>
      <c r="AH1145" s="42">
        <f>HIPERLINK($A$1 &amp; "\Dados\Magnet_fields_1145.txt.txt", "Magnet_fields_1145.txt")</f>
        <v/>
      </c>
      <c r="AI1145" t="n">
        <v>6770</v>
      </c>
      <c r="AJ1145" t="n">
        <v>28</v>
      </c>
      <c r="AK1145" s="42">
        <f>HIPERLINK($A$1 &amp; "\Dados\Magnet_3D_results_1145.txt.txt", "Magnet_3D_results_1145.txt")</f>
        <v/>
      </c>
      <c r="AL1145" s="42">
        <f>HIPERLINK($A$1 &amp; "\Dados\Magnet_fields_2D_1145.txt.txt", "Magnet_fields_2D_1145.txt")</f>
        <v/>
      </c>
    </row>
    <row r="1146">
      <c r="E1146" s="15" t="n">
        <v>142</v>
      </c>
      <c r="F1146" s="15" t="n">
        <v>190</v>
      </c>
      <c r="G1146" s="15" t="n">
        <v>365</v>
      </c>
      <c r="H1146" s="15" t="n">
        <v>31</v>
      </c>
      <c r="I1146" s="15" t="n">
        <v>159</v>
      </c>
      <c r="J1146" s="13" t="n">
        <v>25</v>
      </c>
      <c r="K1146" t="n">
        <v>40</v>
      </c>
      <c r="L1146" s="13" t="n">
        <v>2.5</v>
      </c>
      <c r="M1146" s="12" t="n"/>
      <c r="N1146" s="8" t="n">
        <v>1.184230468348739</v>
      </c>
      <c r="O1146" s="15" t="n">
        <v>0.9780061590757715</v>
      </c>
      <c r="P1146" s="15" t="n">
        <v>1.120897461960881</v>
      </c>
      <c r="Q1146" s="15" t="n">
        <v>0.00109392860743395</v>
      </c>
      <c r="R1146" s="15" t="n">
        <v>0.02448855405360907</v>
      </c>
      <c r="S1146" s="15" t="n">
        <v>0.001383386207369356</v>
      </c>
      <c r="T1146" s="42">
        <f>HIPERLINK($A$1 &amp; "\Dados\Imagem_perfil_1146.png", "Imagem_perfil_1146")</f>
        <v/>
      </c>
      <c r="U1146" s="42">
        <f>HIPERLINK($A$1 &amp; "\Dados\Results_airgap1146.txt", "Results_airgap1146")</f>
        <v/>
      </c>
      <c r="V1146" s="19" t="n"/>
      <c r="W1146" s="15" t="n">
        <v>1.497145434782609</v>
      </c>
      <c r="X1146" s="15" t="n">
        <v>0.7434372290725137</v>
      </c>
      <c r="Y1146" s="15" t="n">
        <v>0.7794097473033266</v>
      </c>
      <c r="Z1146" s="15" t="n">
        <v>0.01110733755356508</v>
      </c>
      <c r="AA1146" s="15" t="n">
        <v>2.198509477311815</v>
      </c>
      <c r="AB1146" s="15" t="n">
        <v>0.7116341016115102</v>
      </c>
      <c r="AC1146" s="15" t="n">
        <v>5.759348850419818</v>
      </c>
      <c r="AD1146" s="15" t="n">
        <v>28.98573886553895</v>
      </c>
      <c r="AE1146" s="15" t="n">
        <v>75.62194845007993</v>
      </c>
      <c r="AF1146" s="15" t="n">
        <v>113.1998014418703</v>
      </c>
      <c r="AH1146" s="42">
        <f>HIPERLINK($A$1 &amp; "\Dados\Magnet_fields_1146.txt.txt", "Magnet_fields_1146.txt")</f>
        <v/>
      </c>
      <c r="AI1146" t="n">
        <v>8156</v>
      </c>
      <c r="AJ1146" t="n">
        <v>29</v>
      </c>
      <c r="AK1146" s="42">
        <f>HIPERLINK($A$1 &amp; "\Dados\Magnet_3D_results_1146.txt.txt", "Magnet_3D_results_1146.txt")</f>
        <v/>
      </c>
      <c r="AL1146" s="42">
        <f>HIPERLINK($A$1 &amp; "\Dados\Magnet_fields_2D_1146.txt.txt", "Magnet_fields_2D_1146.txt")</f>
        <v/>
      </c>
    </row>
    <row r="1147">
      <c r="E1147" s="15" t="n">
        <v>134</v>
      </c>
      <c r="F1147" s="15" t="n">
        <v>170</v>
      </c>
      <c r="G1147" s="15" t="n">
        <v>401</v>
      </c>
      <c r="H1147" s="15" t="n">
        <v>44</v>
      </c>
      <c r="I1147" s="15" t="n">
        <v>155</v>
      </c>
      <c r="J1147" s="13" t="n">
        <v>25</v>
      </c>
      <c r="K1147" t="n">
        <v>60</v>
      </c>
      <c r="L1147" s="13" t="n">
        <v>2.5</v>
      </c>
      <c r="M1147" s="12" t="n"/>
      <c r="N1147" s="8" t="n">
        <v>1.588700053245367</v>
      </c>
      <c r="O1147" s="15" t="n">
        <v>1.337754892389511</v>
      </c>
      <c r="P1147" s="15" t="n">
        <v>1.502147601401265</v>
      </c>
      <c r="Q1147" s="15" t="n">
        <v>0.02786153006544927</v>
      </c>
      <c r="R1147" s="15" t="n">
        <v>0.06433895090506538</v>
      </c>
      <c r="S1147" s="15" t="n">
        <v>0.02762153659748072</v>
      </c>
      <c r="T1147" s="42">
        <f>HIPERLINK($A$1 &amp; "\Dados\Imagem_perfil_1147.png", "Imagem_perfil_1147")</f>
        <v/>
      </c>
      <c r="U1147" s="42">
        <f>HIPERLINK($A$1 &amp; "\Dados\Results_airgap1147.txt", "Results_airgap1147")</f>
        <v/>
      </c>
      <c r="V1147" s="19" t="n"/>
      <c r="W1147" s="15" t="n">
        <v>2.136795217391304</v>
      </c>
      <c r="X1147" s="15" t="n">
        <v>1.007792672809453</v>
      </c>
      <c r="Y1147" s="15" t="n">
        <v>0.09657835999234425</v>
      </c>
      <c r="Z1147" s="15" t="n">
        <v>0</v>
      </c>
      <c r="AA1147" s="15" t="n">
        <v>0</v>
      </c>
      <c r="AB1147" s="15" t="n">
        <v>1.752549169002056</v>
      </c>
      <c r="AC1147" s="15" t="n">
        <v>16.76878195394061</v>
      </c>
      <c r="AD1147" s="15" t="n">
        <v>65.34703008472759</v>
      </c>
      <c r="AE1147" s="15" t="n">
        <v>99.97714693571447</v>
      </c>
      <c r="AF1147" s="15" t="n">
        <v>131.8336578105113</v>
      </c>
      <c r="AH1147" s="42">
        <f>HIPERLINK($A$1 &amp; "\Dados\Magnet_fields_1147.txt.txt", "Magnet_fields_1147.txt")</f>
        <v/>
      </c>
      <c r="AI1147" t="n">
        <v>8005</v>
      </c>
      <c r="AJ1147" t="n">
        <v>29</v>
      </c>
      <c r="AK1147" s="42">
        <f>HIPERLINK($A$1 &amp; "\Dados\Magnet_3D_results_1147.txt.txt", "Magnet_3D_results_1147.txt")</f>
        <v/>
      </c>
      <c r="AL1147" s="42">
        <f>HIPERLINK($A$1 &amp; "\Dados\Magnet_fields_2D_1147.txt.txt", "Magnet_fields_2D_1147.txt")</f>
        <v/>
      </c>
    </row>
    <row r="1148">
      <c r="E1148" s="15" t="n">
        <v>138</v>
      </c>
      <c r="F1148" s="15" t="n">
        <v>172</v>
      </c>
      <c r="G1148" s="15" t="n">
        <v>396</v>
      </c>
      <c r="H1148" s="15" t="n">
        <v>42</v>
      </c>
      <c r="I1148" s="15" t="n">
        <v>153</v>
      </c>
      <c r="J1148" s="13" t="n">
        <v>25</v>
      </c>
      <c r="K1148" t="n">
        <v>40</v>
      </c>
      <c r="L1148" s="13" t="n">
        <v>2.5</v>
      </c>
      <c r="M1148" s="12" t="n"/>
      <c r="N1148" s="8" t="n">
        <v>1.501584614768087</v>
      </c>
      <c r="O1148" s="15" t="n">
        <v>1.252331335532443</v>
      </c>
      <c r="P1148" s="15" t="n">
        <v>1.443109555652616</v>
      </c>
      <c r="Q1148" s="15" t="n">
        <v>0.002081563053890445</v>
      </c>
      <c r="R1148" s="15" t="n">
        <v>0.03364605494832563</v>
      </c>
      <c r="S1148" s="15" t="n">
        <v>0.00224313007049307</v>
      </c>
      <c r="T1148" s="42">
        <f>HIPERLINK($A$1 &amp; "\Dados\Imagem_perfil_1148.png", "Imagem_perfil_1148")</f>
        <v/>
      </c>
      <c r="U1148" s="42">
        <f>HIPERLINK($A$1 &amp; "\Dados\Results_airgap1148.txt", "Results_airgap1148")</f>
        <v/>
      </c>
      <c r="V1148" s="19" t="n"/>
      <c r="W1148" s="15" t="n">
        <v>1.886206304347826</v>
      </c>
      <c r="X1148" s="15" t="n">
        <v>0.9643623818780278</v>
      </c>
      <c r="Y1148" s="15" t="n">
        <v>0.3774056676340735</v>
      </c>
      <c r="Z1148" s="15" t="n">
        <v>0.0009418566850264949</v>
      </c>
      <c r="AA1148" s="15" t="n">
        <v>0.00818309894468725</v>
      </c>
      <c r="AB1148" s="15" t="n">
        <v>0.8769676250057797</v>
      </c>
      <c r="AC1148" s="15" t="n">
        <v>6.689336257834203</v>
      </c>
      <c r="AD1148" s="15" t="n">
        <v>32.04945155721238</v>
      </c>
      <c r="AE1148" s="15" t="n">
        <v>77.29430201519664</v>
      </c>
      <c r="AF1148" s="15" t="n">
        <v>113.1808164389393</v>
      </c>
      <c r="AH1148" s="42">
        <f>HIPERLINK($A$1 &amp; "\Dados\Magnet_fields_1148.txt.txt", "Magnet_fields_1148.txt")</f>
        <v/>
      </c>
      <c r="AI1148" t="n">
        <v>7429</v>
      </c>
      <c r="AJ1148" t="n">
        <v>29</v>
      </c>
      <c r="AK1148" s="42">
        <f>HIPERLINK($A$1 &amp; "\Dados\Magnet_3D_results_1148.txt.txt", "Magnet_3D_results_1148.txt")</f>
        <v/>
      </c>
      <c r="AL1148" s="42">
        <f>HIPERLINK($A$1 &amp; "\Dados\Magnet_fields_2D_1148.txt.txt", "Magnet_fields_2D_1148.txt")</f>
        <v/>
      </c>
    </row>
    <row r="1149">
      <c r="E1149" s="15" t="n">
        <v>143</v>
      </c>
      <c r="F1149" s="15" t="n">
        <v>179</v>
      </c>
      <c r="G1149" s="15" t="n">
        <v>428</v>
      </c>
      <c r="H1149" s="15" t="n">
        <v>27</v>
      </c>
      <c r="I1149" s="15" t="n">
        <v>158</v>
      </c>
      <c r="J1149" s="13" t="n">
        <v>25</v>
      </c>
      <c r="K1149" t="n">
        <v>45</v>
      </c>
      <c r="L1149" s="13" t="n">
        <v>2.5</v>
      </c>
      <c r="M1149" s="12" t="n"/>
      <c r="N1149" s="8" t="n">
        <v>1.549753853622127</v>
      </c>
      <c r="O1149" s="15" t="n">
        <v>1.330317362079617</v>
      </c>
      <c r="P1149" s="15" t="n">
        <v>1.485863544753144</v>
      </c>
      <c r="Q1149" s="15" t="n">
        <v>0.003702485927007123</v>
      </c>
      <c r="R1149" s="15" t="n">
        <v>0.04105850843034681</v>
      </c>
      <c r="S1149" s="15" t="n">
        <v>0.003823932139328489</v>
      </c>
      <c r="T1149" s="42">
        <f>HIPERLINK($A$1 &amp; "\Dados\Imagem_perfil_1149.png", "Imagem_perfil_1149")</f>
        <v/>
      </c>
      <c r="U1149" s="42">
        <f>HIPERLINK($A$1 &amp; "\Dados\Results_airgap1149.txt", "Results_airgap1149")</f>
        <v/>
      </c>
      <c r="V1149" s="19" t="n"/>
      <c r="W1149" s="15" t="n">
        <v>2.031048695652174</v>
      </c>
      <c r="X1149" s="15" t="n">
        <v>0.9891280865503401</v>
      </c>
      <c r="Y1149" s="15" t="n">
        <v>0.2116993214314667</v>
      </c>
      <c r="Z1149" s="15" t="n">
        <v>0</v>
      </c>
      <c r="AA1149" s="15" t="n">
        <v>3.757565784607354</v>
      </c>
      <c r="AB1149" s="15" t="n">
        <v>0.8913331170328398</v>
      </c>
      <c r="AC1149" s="15" t="n">
        <v>8.584515671783773</v>
      </c>
      <c r="AD1149" s="15" t="n">
        <v>42.23858558116041</v>
      </c>
      <c r="AE1149" s="15" t="n">
        <v>85.58022506115039</v>
      </c>
      <c r="AF1149" s="15" t="n">
        <v>118.3832391212564</v>
      </c>
      <c r="AH1149" s="42">
        <f>HIPERLINK($A$1 &amp; "\Dados\Magnet_fields_1149.txt.txt", "Magnet_fields_1149.txt")</f>
        <v/>
      </c>
      <c r="AI1149" t="n">
        <v>9722</v>
      </c>
      <c r="AJ1149" t="n">
        <v>30</v>
      </c>
      <c r="AK1149" s="42">
        <f>HIPERLINK($A$1 &amp; "\Dados\Magnet_3D_results_1149.txt.txt", "Magnet_3D_results_1149.txt")</f>
        <v/>
      </c>
      <c r="AL1149" s="42">
        <f>HIPERLINK($A$1 &amp; "\Dados\Magnet_fields_2D_1149.txt.txt", "Magnet_fields_2D_1149.txt")</f>
        <v/>
      </c>
    </row>
    <row r="1150">
      <c r="E1150" s="15" t="n">
        <v>147</v>
      </c>
      <c r="F1150" s="15" t="n">
        <v>188</v>
      </c>
      <c r="G1150" s="15" t="n">
        <v>423</v>
      </c>
      <c r="H1150" s="15" t="n">
        <v>36</v>
      </c>
      <c r="I1150" s="15" t="n">
        <v>163</v>
      </c>
      <c r="J1150" s="13" t="n">
        <v>25</v>
      </c>
      <c r="K1150" t="n">
        <v>50</v>
      </c>
      <c r="L1150" s="13" t="n">
        <v>2.5</v>
      </c>
      <c r="M1150" s="12" t="n"/>
      <c r="N1150" s="8" t="n">
        <v>1.469644132026192</v>
      </c>
      <c r="O1150" s="15" t="n">
        <v>1.254453187884451</v>
      </c>
      <c r="P1150" s="15" t="n">
        <v>1.405771478124966</v>
      </c>
      <c r="Q1150" s="15" t="n">
        <v>0.005012617559803426</v>
      </c>
      <c r="R1150" s="15" t="n">
        <v>0.04743453319718721</v>
      </c>
      <c r="S1150" s="15" t="n">
        <v>0.005357687803355387</v>
      </c>
      <c r="T1150" s="42">
        <f>HIPERLINK($A$1 &amp; "\Dados\Imagem_perfil_1150.png", "Imagem_perfil_1150")</f>
        <v/>
      </c>
      <c r="U1150" s="42">
        <f>HIPERLINK($A$1 &amp; "\Dados\Results_airgap1150.txt", "Results_airgap1150")</f>
        <v/>
      </c>
      <c r="V1150" s="19" t="n"/>
      <c r="W1150" s="15" t="n">
        <v>1.946111739130435</v>
      </c>
      <c r="X1150" s="15" t="n">
        <v>0.9543597088629854</v>
      </c>
      <c r="Y1150" s="15" t="n">
        <v>0.2359720271006363</v>
      </c>
      <c r="Z1150" s="15" t="n">
        <v>0</v>
      </c>
      <c r="AA1150" s="15" t="n">
        <v>1.32451913066247</v>
      </c>
      <c r="AB1150" s="15" t="n">
        <v>0.4246063931748109</v>
      </c>
      <c r="AC1150" s="15" t="n">
        <v>6.960563296931336</v>
      </c>
      <c r="AD1150" s="15" t="n">
        <v>49.78528718330391</v>
      </c>
      <c r="AE1150" s="15" t="n">
        <v>93.39690732508042</v>
      </c>
      <c r="AF1150" s="15" t="n">
        <v>123.2492130636403</v>
      </c>
      <c r="AH1150" s="42">
        <f>HIPERLINK($A$1 &amp; "\Dados\Magnet_fields_1150.txt.txt", "Magnet_fields_1150.txt")</f>
        <v/>
      </c>
      <c r="AI1150" t="n">
        <v>7593</v>
      </c>
      <c r="AJ1150" t="n">
        <v>29</v>
      </c>
      <c r="AK1150" s="42">
        <f>HIPERLINK($A$1 &amp; "\Dados\Magnet_3D_results_1150.txt.txt", "Magnet_3D_results_1150.txt")</f>
        <v/>
      </c>
      <c r="AL1150" s="42">
        <f>HIPERLINK($A$1 &amp; "\Dados\Magnet_fields_2D_1150.txt.txt", "Magnet_fields_2D_1150.txt")</f>
        <v/>
      </c>
    </row>
    <row r="1151">
      <c r="E1151" s="15" t="n">
        <v>150</v>
      </c>
      <c r="F1151" s="15" t="n">
        <v>188</v>
      </c>
      <c r="G1151" s="15" t="n">
        <v>375</v>
      </c>
      <c r="H1151" s="15" t="n">
        <v>45</v>
      </c>
      <c r="I1151" s="15" t="n">
        <v>144</v>
      </c>
      <c r="J1151" s="13" t="n">
        <v>25</v>
      </c>
      <c r="K1151" t="n">
        <v>40</v>
      </c>
      <c r="L1151" s="13" t="n">
        <v>2.5</v>
      </c>
      <c r="M1151" s="12" t="n"/>
      <c r="N1151" s="8" t="n">
        <v>1.32078098295849</v>
      </c>
      <c r="O1151" s="15" t="n">
        <v>1.053241566760881</v>
      </c>
      <c r="P1151" s="15" t="n">
        <v>1.24397356867455</v>
      </c>
      <c r="Q1151" s="15" t="n">
        <v>0.001343588660870436</v>
      </c>
      <c r="R1151" s="15" t="n">
        <v>0.02482577987186234</v>
      </c>
      <c r="S1151" s="15" t="n">
        <v>0.001554185500205455</v>
      </c>
      <c r="T1151" s="42">
        <f>HIPERLINK($A$1 &amp; "\Dados\Imagem_perfil_1151.png", "Imagem_perfil_1151")</f>
        <v/>
      </c>
      <c r="U1151" s="42">
        <f>HIPERLINK($A$1 &amp; "\Dados\Results_airgap1151.txt", "Results_airgap1151")</f>
        <v/>
      </c>
      <c r="V1151" s="19" t="n"/>
      <c r="W1151" s="15" t="n">
        <v>1.677297608695652</v>
      </c>
      <c r="X1151" s="15" t="n">
        <v>0.8634944837970262</v>
      </c>
      <c r="Y1151" s="15" t="n">
        <v>0.5702802229809754</v>
      </c>
      <c r="Z1151" s="15" t="n">
        <v>0.0009448225519316993</v>
      </c>
      <c r="AA1151" s="15" t="n">
        <v>0.001109178945879478</v>
      </c>
      <c r="AB1151" s="15" t="n">
        <v>0.06628915561461891</v>
      </c>
      <c r="AC1151" s="15" t="n">
        <v>4.827654652027542</v>
      </c>
      <c r="AD1151" s="15" t="n">
        <v>27.86738826742566</v>
      </c>
      <c r="AE1151" s="15" t="n">
        <v>72.65725602939992</v>
      </c>
      <c r="AF1151" s="15" t="n">
        <v>111.386189055815</v>
      </c>
      <c r="AH1151" s="42">
        <f>HIPERLINK($A$1 &amp; "\Dados\Magnet_fields_1151.txt.txt", "Magnet_fields_1151.txt")</f>
        <v/>
      </c>
      <c r="AI1151" t="n">
        <v>7218</v>
      </c>
      <c r="AJ1151" t="n">
        <v>28</v>
      </c>
      <c r="AK1151" s="42">
        <f>HIPERLINK($A$1 &amp; "\Dados\Magnet_3D_results_1151.txt.txt", "Magnet_3D_results_1151.txt")</f>
        <v/>
      </c>
      <c r="AL1151" s="42">
        <f>HIPERLINK($A$1 &amp; "\Dados\Magnet_fields_2D_1151.txt.txt", "Magnet_fields_2D_1151.txt")</f>
        <v/>
      </c>
    </row>
    <row r="1152">
      <c r="E1152" s="15" t="n">
        <v>134</v>
      </c>
      <c r="F1152" s="15" t="n">
        <v>182</v>
      </c>
      <c r="G1152" s="15" t="n">
        <v>365</v>
      </c>
      <c r="H1152" s="15" t="n">
        <v>34</v>
      </c>
      <c r="I1152" s="15" t="n">
        <v>157</v>
      </c>
      <c r="J1152" s="13" t="n">
        <v>25</v>
      </c>
      <c r="K1152" t="n">
        <v>55</v>
      </c>
      <c r="L1152" s="13" t="n">
        <v>2.5</v>
      </c>
      <c r="M1152" s="12" t="n"/>
      <c r="N1152" s="8" t="n">
        <v>1.289956313956716</v>
      </c>
      <c r="O1152" s="15" t="n">
        <v>1.078437428164224</v>
      </c>
      <c r="P1152" s="15" t="n">
        <v>1.222567815074205</v>
      </c>
      <c r="Q1152" s="15" t="n">
        <v>0.01098057834793856</v>
      </c>
      <c r="R1152" s="15" t="n">
        <v>0.0429549125491821</v>
      </c>
      <c r="S1152" s="15" t="n">
        <v>0.01121899434954866</v>
      </c>
      <c r="T1152" s="42">
        <f>HIPERLINK($A$1 &amp; "\Dados\Imagem_perfil_1152.png", "Imagem_perfil_1152")</f>
        <v/>
      </c>
      <c r="U1152" s="42">
        <f>HIPERLINK($A$1 &amp; "\Dados\Results_airgap1152.txt", "Results_airgap1152")</f>
        <v/>
      </c>
      <c r="V1152" s="19" t="n"/>
      <c r="W1152" s="15" t="n">
        <v>1.700830652173913</v>
      </c>
      <c r="X1152" s="15" t="n">
        <v>0.8184105219161385</v>
      </c>
      <c r="Y1152" s="15" t="n">
        <v>0.4427122159254424</v>
      </c>
      <c r="Z1152" s="15" t="n">
        <v>0</v>
      </c>
      <c r="AA1152" s="15" t="n">
        <v>0.2467243880261811</v>
      </c>
      <c r="AB1152" s="15" t="n">
        <v>0.4283673801735655</v>
      </c>
      <c r="AC1152" s="15" t="n">
        <v>13.08456006956097</v>
      </c>
      <c r="AD1152" s="15" t="n">
        <v>57.99430881142898</v>
      </c>
      <c r="AE1152" s="15" t="n">
        <v>94.01077148768758</v>
      </c>
      <c r="AF1152" s="15" t="n">
        <v>125.4789535578869</v>
      </c>
      <c r="AH1152" s="42">
        <f>HIPERLINK($A$1 &amp; "\Dados\Magnet_fields_1152.txt.txt", "Magnet_fields_1152.txt")</f>
        <v/>
      </c>
      <c r="AI1152" t="n">
        <v>10584</v>
      </c>
      <c r="AJ1152" t="n">
        <v>30</v>
      </c>
      <c r="AK1152" s="42">
        <f>HIPERLINK($A$1 &amp; "\Dados\Magnet_3D_results_1152.txt.txt", "Magnet_3D_results_1152.txt")</f>
        <v/>
      </c>
      <c r="AL1152" s="42">
        <f>HIPERLINK($A$1 &amp; "\Dados\Magnet_fields_2D_1152.txt.txt", "Magnet_fields_2D_1152.txt")</f>
        <v/>
      </c>
    </row>
    <row r="1153">
      <c r="E1153" s="15" t="n">
        <v>130</v>
      </c>
      <c r="F1153" s="15" t="n">
        <v>178</v>
      </c>
      <c r="G1153" s="15" t="n">
        <v>373</v>
      </c>
      <c r="H1153" s="15" t="n">
        <v>41</v>
      </c>
      <c r="I1153" s="15" t="n">
        <v>148</v>
      </c>
      <c r="J1153" s="13" t="n">
        <v>25</v>
      </c>
      <c r="K1153" t="n">
        <v>50</v>
      </c>
      <c r="L1153" s="13" t="n">
        <v>2.5</v>
      </c>
      <c r="M1153" s="12" t="n"/>
      <c r="N1153" s="8" t="n">
        <v>1.283850526055421</v>
      </c>
      <c r="O1153" s="15" t="n">
        <v>1.035657582335704</v>
      </c>
      <c r="P1153" s="15" t="n">
        <v>1.213589733221941</v>
      </c>
      <c r="Q1153" s="15" t="n">
        <v>0.00618790554408554</v>
      </c>
      <c r="R1153" s="15" t="n">
        <v>0.04390554269370681</v>
      </c>
      <c r="S1153" s="15" t="n">
        <v>0.007077003237654856</v>
      </c>
      <c r="T1153" s="42">
        <f>HIPERLINK($A$1 &amp; "\Dados\Imagem_perfil_1153.png", "Imagem_perfil_1153")</f>
        <v/>
      </c>
      <c r="U1153" s="42">
        <f>HIPERLINK($A$1 &amp; "\Dados\Results_airgap1153.txt", "Results_airgap1153")</f>
        <v/>
      </c>
      <c r="V1153" s="19" t="n"/>
      <c r="W1153" s="15" t="n">
        <v>1.724171304347826</v>
      </c>
      <c r="X1153" s="15" t="n">
        <v>0.8406113891249205</v>
      </c>
      <c r="Y1153" s="15" t="n">
        <v>0.4701821671862206</v>
      </c>
      <c r="Z1153" s="15" t="n">
        <v>0.001610579757909325</v>
      </c>
      <c r="AA1153" s="15" t="n">
        <v>0.001755100529094272</v>
      </c>
      <c r="AB1153" s="15" t="n">
        <v>1.503256529294977</v>
      </c>
      <c r="AC1153" s="15" t="n">
        <v>12.2842878342942</v>
      </c>
      <c r="AD1153" s="15" t="n">
        <v>48.79304343511334</v>
      </c>
      <c r="AE1153" s="15" t="n">
        <v>88.70391027784976</v>
      </c>
      <c r="AF1153" s="15" t="n">
        <v>121.5237171339955</v>
      </c>
      <c r="AH1153" s="42">
        <f>HIPERLINK($A$1 &amp; "\Dados\Magnet_fields_1153.txt.txt", "Magnet_fields_1153.txt")</f>
        <v/>
      </c>
      <c r="AI1153" t="n">
        <v>6657</v>
      </c>
      <c r="AJ1153" t="n">
        <v>28</v>
      </c>
      <c r="AK1153" s="42">
        <f>HIPERLINK($A$1 &amp; "\Dados\Magnet_3D_results_1153.txt.txt", "Magnet_3D_results_1153.txt")</f>
        <v/>
      </c>
      <c r="AL1153" s="42">
        <f>HIPERLINK($A$1 &amp; "\Dados\Magnet_fields_2D_1153.txt.txt", "Magnet_fields_2D_1153.txt")</f>
        <v/>
      </c>
    </row>
    <row r="1154">
      <c r="E1154" s="15" t="n">
        <v>141</v>
      </c>
      <c r="F1154" s="15" t="n">
        <v>173</v>
      </c>
      <c r="G1154" s="15" t="n">
        <v>366</v>
      </c>
      <c r="H1154" s="15" t="n">
        <v>36</v>
      </c>
      <c r="I1154" s="15" t="n">
        <v>152</v>
      </c>
      <c r="J1154" s="13" t="n">
        <v>25</v>
      </c>
      <c r="K1154" t="n">
        <v>60</v>
      </c>
      <c r="L1154" s="13" t="n">
        <v>2.5</v>
      </c>
      <c r="M1154" s="12" t="n"/>
      <c r="N1154" s="8" t="n">
        <v>1.560284449783301</v>
      </c>
      <c r="O1154" s="15" t="n">
        <v>1.301023306451291</v>
      </c>
      <c r="P1154" s="15" t="n">
        <v>1.484519653237558</v>
      </c>
      <c r="Q1154" s="15" t="n">
        <v>0.01638686946842824</v>
      </c>
      <c r="R1154" s="15" t="n">
        <v>0.04434617755168892</v>
      </c>
      <c r="S1154" s="15" t="n">
        <v>0.0172055812639674</v>
      </c>
      <c r="T1154" s="42">
        <f>HIPERLINK($A$1 &amp; "\Dados\Imagem_perfil_1154.png", "Imagem_perfil_1154")</f>
        <v/>
      </c>
      <c r="U1154" s="42">
        <f>HIPERLINK($A$1 &amp; "\Dados\Results_airgap1154.txt", "Results_airgap1154")</f>
        <v/>
      </c>
      <c r="V1154" s="19" t="n"/>
      <c r="W1154" s="15" t="n">
        <v>2.01778152173913</v>
      </c>
      <c r="X1154" s="15" t="n">
        <v>0.9825018134232723</v>
      </c>
      <c r="Y1154" s="15" t="n">
        <v>0.1381894118304065</v>
      </c>
      <c r="Z1154" s="15" t="n">
        <v>0.03239444109216735</v>
      </c>
      <c r="AA1154" s="15" t="n">
        <v>0.1485507248811678</v>
      </c>
      <c r="AB1154" s="15" t="n">
        <v>0</v>
      </c>
      <c r="AC1154" s="15" t="n">
        <v>16.82499491170842</v>
      </c>
      <c r="AD1154" s="15" t="n">
        <v>74.23503713107435</v>
      </c>
      <c r="AE1154" s="15" t="n">
        <v>102.1473815774307</v>
      </c>
      <c r="AF1154" s="15" t="n">
        <v>131.800824560371</v>
      </c>
      <c r="AH1154" s="42">
        <f>HIPERLINK($A$1 &amp; "\Dados\Magnet_fields_1154.txt.txt", "Magnet_fields_1154.txt")</f>
        <v/>
      </c>
      <c r="AI1154" t="n">
        <v>8803</v>
      </c>
      <c r="AJ1154" t="n">
        <v>29</v>
      </c>
      <c r="AK1154" s="42">
        <f>HIPERLINK($A$1 &amp; "\Dados\Magnet_3D_results_1154.txt.txt", "Magnet_3D_results_1154.txt")</f>
        <v/>
      </c>
      <c r="AL1154" s="42">
        <f>HIPERLINK($A$1 &amp; "\Dados\Magnet_fields_2D_1154.txt.txt", "Magnet_fields_2D_1154.txt")</f>
        <v/>
      </c>
    </row>
    <row r="1155">
      <c r="E1155" s="15" t="n">
        <v>138</v>
      </c>
      <c r="F1155" s="15" t="n">
        <v>187</v>
      </c>
      <c r="G1155" s="15" t="n">
        <v>425</v>
      </c>
      <c r="H1155" s="15" t="n">
        <v>36</v>
      </c>
      <c r="I1155" s="15" t="n">
        <v>150</v>
      </c>
      <c r="J1155" s="13" t="n">
        <v>25</v>
      </c>
      <c r="K1155" t="n">
        <v>45</v>
      </c>
      <c r="L1155" s="13" t="n">
        <v>2.5</v>
      </c>
      <c r="M1155" s="12" t="n"/>
      <c r="N1155" s="8" t="n">
        <v>1.314166281329802</v>
      </c>
      <c r="O1155" s="15" t="n">
        <v>1.081106142560901</v>
      </c>
      <c r="P1155" s="15" t="n">
        <v>1.241719243763065</v>
      </c>
      <c r="Q1155" s="15" t="n">
        <v>0.003072238039708006</v>
      </c>
      <c r="R1155" s="15" t="n">
        <v>0.04603362993479869</v>
      </c>
      <c r="S1155" s="15" t="n">
        <v>0.004058547609399309</v>
      </c>
      <c r="T1155" s="42">
        <f>HIPERLINK($A$1 &amp; "\Dados\Imagem_perfil_1155.png", "Imagem_perfil_1155")</f>
        <v/>
      </c>
      <c r="U1155" s="42">
        <f>HIPERLINK($A$1 &amp; "\Dados\Results_airgap1155.txt", "Results_airgap1155")</f>
        <v/>
      </c>
      <c r="V1155" s="19" t="n"/>
      <c r="W1155" s="15" t="n">
        <v>1.799858043478261</v>
      </c>
      <c r="X1155" s="15" t="n">
        <v>0.8449628908245679</v>
      </c>
      <c r="Y1155" s="15" t="n">
        <v>0.415298089533542</v>
      </c>
      <c r="Z1155" s="15" t="n">
        <v>0</v>
      </c>
      <c r="AA1155" s="15" t="n">
        <v>0.06961097751315982</v>
      </c>
      <c r="AB1155" s="15" t="n">
        <v>1.540087172309501</v>
      </c>
      <c r="AC1155" s="15" t="n">
        <v>10.12302370857272</v>
      </c>
      <c r="AD1155" s="15" t="n">
        <v>45.31771777654959</v>
      </c>
      <c r="AE1155" s="15" t="n">
        <v>88.91192286245789</v>
      </c>
      <c r="AF1155" s="15" t="n">
        <v>119.4276130614482</v>
      </c>
      <c r="AH1155" s="42">
        <f>HIPERLINK($A$1 &amp; "\Dados\Magnet_fields_1155.txt.txt", "Magnet_fields_1155.txt")</f>
        <v/>
      </c>
      <c r="AI1155" t="n">
        <v>7039</v>
      </c>
      <c r="AJ1155" t="n">
        <v>28</v>
      </c>
      <c r="AK1155" s="42">
        <f>HIPERLINK($A$1 &amp; "\Dados\Magnet_3D_results_1155.txt.txt", "Magnet_3D_results_1155.txt")</f>
        <v/>
      </c>
      <c r="AL1155" s="42">
        <f>HIPERLINK($A$1 &amp; "\Dados\Magnet_fields_2D_1155.txt.txt", "Magnet_fields_2D_1155.txt")</f>
        <v/>
      </c>
    </row>
    <row r="1156">
      <c r="E1156" s="15" t="n">
        <v>131</v>
      </c>
      <c r="F1156" s="15" t="n">
        <v>174</v>
      </c>
      <c r="G1156" s="15" t="n">
        <v>406</v>
      </c>
      <c r="H1156" s="15" t="n">
        <v>44</v>
      </c>
      <c r="I1156" s="15" t="n">
        <v>166</v>
      </c>
      <c r="J1156" s="13" t="n">
        <v>25</v>
      </c>
      <c r="K1156" t="n">
        <v>45</v>
      </c>
      <c r="L1156" s="13" t="n">
        <v>2.5</v>
      </c>
      <c r="M1156" s="12" t="n"/>
      <c r="N1156" s="8" t="n">
        <v>1.46152827046245</v>
      </c>
      <c r="O1156" s="15" t="n">
        <v>1.241884376040097</v>
      </c>
      <c r="P1156" s="15" t="n">
        <v>1.402841721438023</v>
      </c>
      <c r="Q1156" s="15" t="n">
        <v>0.00356858991539791</v>
      </c>
      <c r="R1156" s="15" t="n">
        <v>0.04737756890062798</v>
      </c>
      <c r="S1156" s="15" t="n">
        <v>0.003852631658270904</v>
      </c>
      <c r="T1156" s="42">
        <f>HIPERLINK($A$1 &amp; "\Dados\Imagem_perfil_1156.png", "Imagem_perfil_1156")</f>
        <v/>
      </c>
      <c r="U1156" s="42">
        <f>HIPERLINK($A$1 &amp; "\Dados\Results_airgap1156.txt", "Results_airgap1156")</f>
        <v/>
      </c>
      <c r="V1156" s="19" t="n"/>
      <c r="W1156" s="15" t="n">
        <v>1.880948043478261</v>
      </c>
      <c r="X1156" s="15" t="n">
        <v>0.9213465510102368</v>
      </c>
      <c r="Y1156" s="15" t="n">
        <v>0.3688455497434498</v>
      </c>
      <c r="Z1156" s="15" t="n">
        <v>0.001071627496354115</v>
      </c>
      <c r="AA1156" s="15" t="n">
        <v>0</v>
      </c>
      <c r="AB1156" s="15" t="n">
        <v>2.433453269524329</v>
      </c>
      <c r="AC1156" s="15" t="n">
        <v>13.46377469938753</v>
      </c>
      <c r="AD1156" s="15" t="n">
        <v>43.52709843937817</v>
      </c>
      <c r="AE1156" s="15" t="n">
        <v>83.01008350401457</v>
      </c>
      <c r="AF1156" s="15" t="n">
        <v>117.2520637314957</v>
      </c>
      <c r="AH1156" s="42">
        <f>HIPERLINK($A$1 &amp; "\Dados\Magnet_fields_1156.txt.txt", "Magnet_fields_1156.txt")</f>
        <v/>
      </c>
      <c r="AI1156" t="n">
        <v>6655</v>
      </c>
      <c r="AJ1156" t="n">
        <v>28</v>
      </c>
      <c r="AK1156" s="42">
        <f>HIPERLINK($A$1 &amp; "\Dados\Magnet_3D_results_1156.txt.txt", "Magnet_3D_results_1156.txt")</f>
        <v/>
      </c>
      <c r="AL1156" s="42">
        <f>HIPERLINK($A$1 &amp; "\Dados\Magnet_fields_2D_1156.txt.txt", "Magnet_fields_2D_1156.txt")</f>
        <v/>
      </c>
    </row>
    <row r="1157">
      <c r="E1157" s="15" t="n">
        <v>145</v>
      </c>
      <c r="F1157" s="15" t="n">
        <v>179</v>
      </c>
      <c r="G1157" s="15" t="n">
        <v>417</v>
      </c>
      <c r="H1157" s="15" t="n">
        <v>25</v>
      </c>
      <c r="I1157" s="15" t="n">
        <v>162</v>
      </c>
      <c r="J1157" s="13" t="n">
        <v>25</v>
      </c>
      <c r="K1157" t="n">
        <v>55</v>
      </c>
      <c r="L1157" s="13" t="n">
        <v>2.5</v>
      </c>
      <c r="M1157" s="12" t="n"/>
      <c r="N1157" s="8" t="n">
        <v>1.616171357875579</v>
      </c>
      <c r="O1157" s="15" t="n">
        <v>1.376947692027704</v>
      </c>
      <c r="P1157" s="15" t="n">
        <v>1.545216729021813</v>
      </c>
      <c r="Q1157" s="15" t="n">
        <v>0.01152304915213762</v>
      </c>
      <c r="R1157" s="15" t="n">
        <v>0.05079968923523298</v>
      </c>
      <c r="S1157" s="15" t="n">
        <v>0.01182464956556352</v>
      </c>
      <c r="T1157" s="42">
        <f>HIPERLINK($A$1 &amp; "\Dados\Imagem_perfil_1157.png", "Imagem_perfil_1157")</f>
        <v/>
      </c>
      <c r="U1157" s="42">
        <f>HIPERLINK($A$1 &amp; "\Dados\Results_airgap1157.txt", "Results_airgap1157")</f>
        <v/>
      </c>
      <c r="V1157" s="19" t="n"/>
      <c r="W1157" s="15" t="n">
        <v>2.144715217391305</v>
      </c>
      <c r="X1157" s="15" t="n">
        <v>1.008520518269758</v>
      </c>
      <c r="Y1157" s="15" t="n">
        <v>0.08457124295145871</v>
      </c>
      <c r="Z1157" s="15" t="n">
        <v>0.03075895325808715</v>
      </c>
      <c r="AA1157" s="15" t="n">
        <v>4.101922353871096</v>
      </c>
      <c r="AB1157" s="15" t="n">
        <v>0.8304002384232202</v>
      </c>
      <c r="AC1157" s="15" t="n">
        <v>11.25055520733084</v>
      </c>
      <c r="AD1157" s="15" t="n">
        <v>65.78197655994508</v>
      </c>
      <c r="AE1157" s="15" t="n">
        <v>99.58891124233404</v>
      </c>
      <c r="AF1157" s="15" t="n">
        <v>128.2044518156571</v>
      </c>
      <c r="AH1157" s="42">
        <f>HIPERLINK($A$1 &amp; "\Dados\Magnet_fields_1157.txt.txt", "Magnet_fields_1157.txt")</f>
        <v/>
      </c>
      <c r="AI1157" t="n">
        <v>14675</v>
      </c>
      <c r="AJ1157" t="n">
        <v>32</v>
      </c>
      <c r="AK1157" s="42">
        <f>HIPERLINK($A$1 &amp; "\Dados\Magnet_3D_results_1157.txt.txt", "Magnet_3D_results_1157.txt")</f>
        <v/>
      </c>
      <c r="AL1157" s="42">
        <f>HIPERLINK($A$1 &amp; "\Dados\Magnet_fields_2D_1157.txt.txt", "Magnet_fields_2D_1157.txt")</f>
        <v/>
      </c>
    </row>
    <row r="1158">
      <c r="E1158" s="15" t="n">
        <v>132</v>
      </c>
      <c r="F1158" s="15" t="n">
        <v>179</v>
      </c>
      <c r="G1158" s="15" t="n">
        <v>357</v>
      </c>
      <c r="H1158" s="15" t="n">
        <v>44</v>
      </c>
      <c r="I1158" s="15" t="n">
        <v>167</v>
      </c>
      <c r="J1158" s="13" t="n">
        <v>25</v>
      </c>
      <c r="K1158" t="n">
        <v>60</v>
      </c>
      <c r="L1158" s="13" t="n">
        <v>2.5</v>
      </c>
      <c r="M1158" s="12" t="n"/>
      <c r="N1158" s="8" t="n">
        <v>1.346122716205481</v>
      </c>
      <c r="O1158" s="15" t="n">
        <v>1.148168752305262</v>
      </c>
      <c r="P1158" s="15" t="n">
        <v>1.277154645549514</v>
      </c>
      <c r="Q1158" s="15" t="n">
        <v>0.02477830088032994</v>
      </c>
      <c r="R1158" s="15" t="n">
        <v>0.04950483740229458</v>
      </c>
      <c r="S1158" s="15" t="n">
        <v>0.02276481467942905</v>
      </c>
      <c r="T1158" s="42">
        <f>HIPERLINK($A$1 &amp; "\Dados\Imagem_perfil_1158.png", "Imagem_perfil_1158")</f>
        <v/>
      </c>
      <c r="U1158" s="42">
        <f>HIPERLINK($A$1 &amp; "\Dados\Results_airgap1158.txt", "Results_airgap1158")</f>
        <v/>
      </c>
      <c r="V1158" s="19" t="n"/>
      <c r="W1158" s="15" t="n">
        <v>1.715356304347826</v>
      </c>
      <c r="X1158" s="15" t="n">
        <v>0.8501842826426805</v>
      </c>
      <c r="Y1158" s="15" t="n">
        <v>0.4142414454530338</v>
      </c>
      <c r="Z1158" s="15" t="n">
        <v>0.005187250917935143</v>
      </c>
      <c r="AA1158" s="15" t="n">
        <v>0</v>
      </c>
      <c r="AB1158" s="15" t="n">
        <v>0</v>
      </c>
      <c r="AC1158" s="15" t="n">
        <v>16.05775975943577</v>
      </c>
      <c r="AD1158" s="15" t="n">
        <v>66.28866803885388</v>
      </c>
      <c r="AE1158" s="15" t="n">
        <v>98.62778602170819</v>
      </c>
      <c r="AF1158" s="15" t="n">
        <v>130.20160221569</v>
      </c>
      <c r="AH1158" s="42">
        <f>HIPERLINK($A$1 &amp; "\Dados\Magnet_fields_1158.txt.txt", "Magnet_fields_1158.txt")</f>
        <v/>
      </c>
      <c r="AI1158" t="n">
        <v>7433</v>
      </c>
      <c r="AJ1158" t="n">
        <v>29</v>
      </c>
      <c r="AK1158" s="42">
        <f>HIPERLINK($A$1 &amp; "\Dados\Magnet_3D_results_1158.txt.txt", "Magnet_3D_results_1158.txt")</f>
        <v/>
      </c>
      <c r="AL1158" s="42">
        <f>HIPERLINK($A$1 &amp; "\Dados\Magnet_fields_2D_1158.txt.txt", "Magnet_fields_2D_1158.txt")</f>
        <v/>
      </c>
    </row>
    <row r="1159">
      <c r="E1159" s="15" t="n">
        <v>128</v>
      </c>
      <c r="F1159" s="15" t="n">
        <v>174</v>
      </c>
      <c r="G1159" s="15" t="n">
        <v>385</v>
      </c>
      <c r="H1159" s="15" t="n">
        <v>37</v>
      </c>
      <c r="I1159" s="15" t="n">
        <v>157</v>
      </c>
      <c r="J1159" s="13" t="n">
        <v>25</v>
      </c>
      <c r="K1159" t="n">
        <v>45</v>
      </c>
      <c r="L1159" s="13" t="n">
        <v>2.5</v>
      </c>
      <c r="M1159" s="12" t="n"/>
      <c r="N1159" s="8" t="n">
        <v>1.34593809781111</v>
      </c>
      <c r="O1159" s="15" t="n">
        <v>1.12432079676254</v>
      </c>
      <c r="P1159" s="15" t="n">
        <v>1.274317717678141</v>
      </c>
      <c r="Q1159" s="15" t="n">
        <v>0.003161858717217636</v>
      </c>
      <c r="R1159" s="15" t="n">
        <v>0.04212979404387442</v>
      </c>
      <c r="S1159" s="15" t="n">
        <v>0.003761710978066933</v>
      </c>
      <c r="T1159" s="42">
        <f>HIPERLINK($A$1 &amp; "\Dados\Imagem_perfil_1159.png", "Imagem_perfil_1159")</f>
        <v/>
      </c>
      <c r="U1159" s="42">
        <f>HIPERLINK($A$1 &amp; "\Dados\Results_airgap1159.txt", "Results_airgap1159")</f>
        <v/>
      </c>
      <c r="V1159" s="19" t="n"/>
      <c r="W1159" s="15" t="n">
        <v>1.751972826086957</v>
      </c>
      <c r="X1159" s="15" t="n">
        <v>0.8393197610521287</v>
      </c>
      <c r="Y1159" s="15" t="n">
        <v>0.4825310143061222</v>
      </c>
      <c r="Z1159" s="15" t="n">
        <v>0.00102447748296471</v>
      </c>
      <c r="AA1159" s="15" t="n">
        <v>0.03968019760035454</v>
      </c>
      <c r="AB1159" s="15" t="n">
        <v>1.660119338964859</v>
      </c>
      <c r="AC1159" s="15" t="n">
        <v>10.41284214310503</v>
      </c>
      <c r="AD1159" s="15" t="n">
        <v>41.99532925666205</v>
      </c>
      <c r="AE1159" s="15" t="n">
        <v>85.6341910295484</v>
      </c>
      <c r="AF1159" s="15" t="n">
        <v>118.6148715626844</v>
      </c>
      <c r="AH1159" s="42">
        <f>HIPERLINK($A$1 &amp; "\Dados\Magnet_fields_1159.txt.txt", "Magnet_fields_1159.txt")</f>
        <v/>
      </c>
      <c r="AI1159" t="n">
        <v>6699</v>
      </c>
      <c r="AJ1159" t="n">
        <v>29</v>
      </c>
      <c r="AK1159" s="42">
        <f>HIPERLINK($A$1 &amp; "\Dados\Magnet_3D_results_1159.txt.txt", "Magnet_3D_results_1159.txt")</f>
        <v/>
      </c>
      <c r="AL1159" s="42">
        <f>HIPERLINK($A$1 &amp; "\Dados\Magnet_fields_2D_1159.txt.txt", "Magnet_fields_2D_1159.txt")</f>
        <v/>
      </c>
    </row>
    <row r="1160">
      <c r="E1160" s="15" t="n">
        <v>142</v>
      </c>
      <c r="F1160" s="15" t="n">
        <v>183</v>
      </c>
      <c r="G1160" s="15" t="n">
        <v>373</v>
      </c>
      <c r="H1160" s="15" t="n">
        <v>33</v>
      </c>
      <c r="I1160" s="15" t="n">
        <v>173</v>
      </c>
      <c r="J1160" s="13" t="n">
        <v>25</v>
      </c>
      <c r="K1160" t="n">
        <v>60</v>
      </c>
      <c r="L1160" s="13" t="n">
        <v>2.5</v>
      </c>
      <c r="M1160" s="12" t="n"/>
      <c r="N1160" s="8" t="n">
        <v>1.470129785478973</v>
      </c>
      <c r="O1160" s="15" t="n">
        <v>1.281291676428864</v>
      </c>
      <c r="P1160" s="15" t="n">
        <v>1.40918888322505</v>
      </c>
      <c r="Q1160" s="15" t="n">
        <v>0.01762818847944043</v>
      </c>
      <c r="R1160" s="15" t="n">
        <v>0.04498745632932138</v>
      </c>
      <c r="S1160" s="15" t="n">
        <v>0.01701774324603168</v>
      </c>
      <c r="T1160" s="42">
        <f>HIPERLINK($A$1 &amp; "\Dados\Imagem_perfil_1160.png", "Imagem_perfil_1160")</f>
        <v/>
      </c>
      <c r="U1160" s="42">
        <f>HIPERLINK($A$1 &amp; "\Dados\Results_airgap1160.txt", "Results_airgap1160")</f>
        <v/>
      </c>
      <c r="V1160" s="19" t="n"/>
      <c r="W1160" s="15" t="n">
        <v>1.876686086956522</v>
      </c>
      <c r="X1160" s="15" t="n">
        <v>0.9163622693904838</v>
      </c>
      <c r="Y1160" s="15" t="n">
        <v>0.2498692286229697</v>
      </c>
      <c r="Z1160" s="15" t="n">
        <v>0.001867982931913381</v>
      </c>
      <c r="AA1160" s="15" t="n">
        <v>2.253849840173089</v>
      </c>
      <c r="AB1160" s="15" t="n">
        <v>1.271444814732621</v>
      </c>
      <c r="AC1160" s="15" t="n">
        <v>23.11846589465791</v>
      </c>
      <c r="AD1160" s="15" t="n">
        <v>68.00231220454386</v>
      </c>
      <c r="AE1160" s="15" t="n">
        <v>98.19922508297397</v>
      </c>
      <c r="AF1160" s="15" t="n">
        <v>130.3917319551605</v>
      </c>
      <c r="AH1160" s="42">
        <f>HIPERLINK($A$1 &amp; "\Dados\Magnet_fields_1160.txt.txt", "Magnet_fields_1160.txt")</f>
        <v/>
      </c>
      <c r="AI1160" t="n">
        <v>8214</v>
      </c>
      <c r="AJ1160" t="n">
        <v>29</v>
      </c>
      <c r="AK1160" s="42">
        <f>HIPERLINK($A$1 &amp; "\Dados\Magnet_3D_results_1160.txt.txt", "Magnet_3D_results_1160.txt")</f>
        <v/>
      </c>
      <c r="AL1160" s="42">
        <f>HIPERLINK($A$1 &amp; "\Dados\Magnet_fields_2D_1160.txt.txt", "Magnet_fields_2D_1160.txt")</f>
        <v/>
      </c>
    </row>
    <row r="1161">
      <c r="E1161" s="15" t="n">
        <v>148</v>
      </c>
      <c r="F1161" s="15" t="n">
        <v>196</v>
      </c>
      <c r="G1161" s="15" t="n">
        <v>425</v>
      </c>
      <c r="H1161" s="15" t="n">
        <v>41</v>
      </c>
      <c r="I1161" s="15" t="n">
        <v>167</v>
      </c>
      <c r="J1161" s="13" t="n">
        <v>25</v>
      </c>
      <c r="K1161" t="n">
        <v>45</v>
      </c>
      <c r="L1161" s="13" t="n">
        <v>2.5</v>
      </c>
      <c r="M1161" s="12" t="n"/>
      <c r="N1161" s="8" t="n">
        <v>1.355974907755838</v>
      </c>
      <c r="O1161" s="15" t="n">
        <v>1.172606223179121</v>
      </c>
      <c r="P1161" s="15" t="n">
        <v>1.309424636732545</v>
      </c>
      <c r="Q1161" s="15" t="n">
        <v>0.00246408587822281</v>
      </c>
      <c r="R1161" s="15" t="n">
        <v>0.04219143216405711</v>
      </c>
      <c r="S1161" s="15" t="n">
        <v>0.002868031765228419</v>
      </c>
      <c r="T1161" s="42">
        <f>HIPERLINK($A$1 &amp; "\Dados\Imagem_perfil_1161.png", "Imagem_perfil_1161")</f>
        <v/>
      </c>
      <c r="U1161" s="42">
        <f>HIPERLINK($A$1 &amp; "\Dados\Results_airgap1161.txt", "Results_airgap1161")</f>
        <v/>
      </c>
      <c r="V1161" s="19" t="n"/>
      <c r="W1161" s="15" t="n">
        <v>1.775808260869565</v>
      </c>
      <c r="X1161" s="15" t="n">
        <v>0.863353384469889</v>
      </c>
      <c r="Y1161" s="15" t="n">
        <v>0.4350979160302944</v>
      </c>
      <c r="Z1161" s="15" t="n">
        <v>0</v>
      </c>
      <c r="AA1161" s="15" t="n">
        <v>0.001786774511110869</v>
      </c>
      <c r="AB1161" s="15" t="n">
        <v>1.040757418553492</v>
      </c>
      <c r="AC1161" s="15" t="n">
        <v>9.113068278854353</v>
      </c>
      <c r="AD1161" s="15" t="n">
        <v>42.52906981973889</v>
      </c>
      <c r="AE1161" s="15" t="n">
        <v>86.02754766415305</v>
      </c>
      <c r="AF1161" s="15" t="n">
        <v>118.2856749424013</v>
      </c>
      <c r="AH1161" s="42">
        <f>HIPERLINK($A$1 &amp; "\Dados\Magnet_fields_1161.txt.txt", "Magnet_fields_1161.txt")</f>
        <v/>
      </c>
      <c r="AI1161" t="n">
        <v>6940</v>
      </c>
      <c r="AJ1161" t="n">
        <v>29</v>
      </c>
      <c r="AK1161" s="42">
        <f>HIPERLINK($A$1 &amp; "\Dados\Magnet_3D_results_1161.txt.txt", "Magnet_3D_results_1161.txt")</f>
        <v/>
      </c>
      <c r="AL1161" s="42">
        <f>HIPERLINK($A$1 &amp; "\Dados\Magnet_fields_2D_1161.txt.txt", "Magnet_fields_2D_1161.txt")</f>
        <v/>
      </c>
    </row>
    <row r="1162">
      <c r="E1162" s="15" t="n">
        <v>146</v>
      </c>
      <c r="F1162" s="15" t="n">
        <v>181</v>
      </c>
      <c r="G1162" s="15" t="n">
        <v>406</v>
      </c>
      <c r="H1162" s="15" t="n">
        <v>30</v>
      </c>
      <c r="I1162" s="15" t="n">
        <v>147</v>
      </c>
      <c r="J1162" s="13" t="n">
        <v>25</v>
      </c>
      <c r="K1162" t="n">
        <v>50</v>
      </c>
      <c r="L1162" s="13" t="n">
        <v>2.5</v>
      </c>
      <c r="M1162" s="12" t="n"/>
      <c r="N1162" s="8" t="n">
        <v>1.514325679723488</v>
      </c>
      <c r="O1162" s="15" t="n">
        <v>1.218509612047059</v>
      </c>
      <c r="P1162" s="15" t="n">
        <v>1.428402174504029</v>
      </c>
      <c r="Q1162" s="15" t="n">
        <v>0.005825810214407755</v>
      </c>
      <c r="R1162" s="15" t="n">
        <v>0.04068364507714173</v>
      </c>
      <c r="S1162" s="15" t="n">
        <v>0.006020615415027358</v>
      </c>
      <c r="T1162" s="42">
        <f>HIPERLINK($A$1 &amp; "\Dados\Imagem_perfil_1162.png", "Imagem_perfil_1162")</f>
        <v/>
      </c>
      <c r="U1162" s="42">
        <f>HIPERLINK($A$1 &amp; "\Dados\Results_airgap1162.txt", "Results_airgap1162")</f>
        <v/>
      </c>
      <c r="V1162" s="19" t="n"/>
      <c r="W1162" s="15" t="n">
        <v>2.019162173913043</v>
      </c>
      <c r="X1162" s="15" t="n">
        <v>0.9966392888579224</v>
      </c>
      <c r="Y1162" s="15" t="n">
        <v>0.1700687603819412</v>
      </c>
      <c r="Z1162" s="15" t="n">
        <v>0</v>
      </c>
      <c r="AA1162" s="15" t="n">
        <v>3.290732297958867</v>
      </c>
      <c r="AB1162" s="15" t="n">
        <v>0.3154952788200362</v>
      </c>
      <c r="AC1162" s="15" t="n">
        <v>8.285967674342343</v>
      </c>
      <c r="AD1162" s="15" t="n">
        <v>50.82001724203636</v>
      </c>
      <c r="AE1162" s="15" t="n">
        <v>92.23466752838392</v>
      </c>
      <c r="AF1162" s="15" t="n">
        <v>123.0225558306015</v>
      </c>
      <c r="AH1162" s="42">
        <f>HIPERLINK($A$1 &amp; "\Dados\Magnet_fields_1162.txt.txt", "Magnet_fields_1162.txt")</f>
        <v/>
      </c>
      <c r="AI1162" t="n">
        <v>9099</v>
      </c>
      <c r="AJ1162" t="n">
        <v>29</v>
      </c>
      <c r="AK1162" s="42">
        <f>HIPERLINK($A$1 &amp; "\Dados\Magnet_3D_results_1162.txt.txt", "Magnet_3D_results_1162.txt")</f>
        <v/>
      </c>
      <c r="AL1162" s="42">
        <f>HIPERLINK($A$1 &amp; "\Dados\Magnet_fields_2D_1162.txt.txt", "Magnet_fields_2D_1162.txt")</f>
        <v/>
      </c>
    </row>
    <row r="1163">
      <c r="E1163" s="15" t="n">
        <v>136</v>
      </c>
      <c r="F1163" s="15" t="n">
        <v>185</v>
      </c>
      <c r="G1163" s="15" t="n">
        <v>359</v>
      </c>
      <c r="H1163" s="15" t="n">
        <v>35</v>
      </c>
      <c r="I1163" s="15" t="n">
        <v>148</v>
      </c>
      <c r="J1163" s="13" t="n">
        <v>25</v>
      </c>
      <c r="K1163" t="n">
        <v>55</v>
      </c>
      <c r="L1163" s="13" t="n">
        <v>2.5</v>
      </c>
      <c r="M1163" s="12" t="n"/>
      <c r="N1163" s="8" t="n">
        <v>1.224780529332521</v>
      </c>
      <c r="O1163" s="15" t="n">
        <v>0.9836787347898188</v>
      </c>
      <c r="P1163" s="15" t="n">
        <v>1.153563115348256</v>
      </c>
      <c r="Q1163" s="15" t="n">
        <v>0.0104881425574869</v>
      </c>
      <c r="R1163" s="15" t="n">
        <v>0.03933787002618529</v>
      </c>
      <c r="S1163" s="15" t="n">
        <v>0.01072294331558211</v>
      </c>
      <c r="T1163" s="42">
        <f>HIPERLINK($A$1 &amp; "\Dados\Imagem_perfil_1163.png", "Imagem_perfil_1163")</f>
        <v/>
      </c>
      <c r="U1163" s="42">
        <f>HIPERLINK($A$1 &amp; "\Dados\Results_airgap1163.txt", "Results_airgap1163")</f>
        <v/>
      </c>
      <c r="V1163" s="19" t="n"/>
      <c r="W1163" s="15" t="n">
        <v>1.640447173913044</v>
      </c>
      <c r="X1163" s="15" t="n">
        <v>0.7879151015004107</v>
      </c>
      <c r="Y1163" s="15" t="n">
        <v>0.4987724909209538</v>
      </c>
      <c r="Z1163" s="15" t="n">
        <v>0</v>
      </c>
      <c r="AA1163" s="15" t="n">
        <v>0.1880984352415219</v>
      </c>
      <c r="AB1163" s="15" t="n">
        <v>0.3450318146628148</v>
      </c>
      <c r="AC1163" s="15" t="n">
        <v>12.69036701137679</v>
      </c>
      <c r="AD1163" s="15" t="n">
        <v>57.57600738649637</v>
      </c>
      <c r="AE1163" s="15" t="n">
        <v>93.23099661553607</v>
      </c>
      <c r="AF1163" s="15" t="n">
        <v>124.9365315210179</v>
      </c>
      <c r="AH1163" s="42">
        <f>HIPERLINK($A$1 &amp; "\Dados\Magnet_fields_1163.txt.txt", "Magnet_fields_1163.txt")</f>
        <v/>
      </c>
      <c r="AI1163" t="n">
        <v>11414</v>
      </c>
      <c r="AJ1163" t="n">
        <v>30</v>
      </c>
      <c r="AK1163" s="42">
        <f>HIPERLINK($A$1 &amp; "\Dados\Magnet_3D_results_1163.txt.txt", "Magnet_3D_results_1163.txt")</f>
        <v/>
      </c>
      <c r="AL1163" s="42">
        <f>HIPERLINK($A$1 &amp; "\Dados\Magnet_fields_2D_1163.txt.txt", "Magnet_fields_2D_1163.txt")</f>
        <v/>
      </c>
    </row>
    <row r="1164">
      <c r="E1164" s="15" t="n">
        <v>141</v>
      </c>
      <c r="F1164" s="15" t="n">
        <v>183</v>
      </c>
      <c r="G1164" s="15" t="n">
        <v>385</v>
      </c>
      <c r="H1164" s="15" t="n">
        <v>29</v>
      </c>
      <c r="I1164" s="15" t="n">
        <v>151</v>
      </c>
      <c r="J1164" s="13" t="n">
        <v>25</v>
      </c>
      <c r="K1164" t="n">
        <v>60</v>
      </c>
      <c r="L1164" s="13" t="n">
        <v>2.5</v>
      </c>
      <c r="M1164" s="12" t="n"/>
      <c r="N1164" s="8" t="n">
        <v>1.386769219099255</v>
      </c>
      <c r="O1164" s="15" t="n">
        <v>1.125158202284458</v>
      </c>
      <c r="P1164" s="15" t="n">
        <v>1.309864170356748</v>
      </c>
      <c r="Q1164" s="15" t="n">
        <v>0.01784159691687107</v>
      </c>
      <c r="R1164" s="15" t="n">
        <v>0.04685224690980225</v>
      </c>
      <c r="S1164" s="15" t="n">
        <v>0.01777833782703063</v>
      </c>
      <c r="T1164" s="42">
        <f>HIPERLINK($A$1 &amp; "\Dados\Imagem_perfil_1164.png", "Imagem_perfil_1164")</f>
        <v/>
      </c>
      <c r="U1164" s="42">
        <f>HIPERLINK($A$1 &amp; "\Dados\Results_airgap1164.txt", "Results_airgap1164")</f>
        <v/>
      </c>
      <c r="V1164" s="19" t="n"/>
      <c r="W1164" s="15" t="n">
        <v>1.891091304347826</v>
      </c>
      <c r="X1164" s="15" t="n">
        <v>0.887730760339542</v>
      </c>
      <c r="Y1164" s="15" t="n">
        <v>0.2458682851155712</v>
      </c>
      <c r="Z1164" s="15" t="n">
        <v>0.02792561308956962</v>
      </c>
      <c r="AA1164" s="15" t="n">
        <v>4.602778168206155</v>
      </c>
      <c r="AB1164" s="15" t="n">
        <v>0.2663631327948073</v>
      </c>
      <c r="AC1164" s="15" t="n">
        <v>16.54369542673775</v>
      </c>
      <c r="AD1164" s="15" t="n">
        <v>68.00251638927007</v>
      </c>
      <c r="AE1164" s="15" t="n">
        <v>99.7182075728151</v>
      </c>
      <c r="AF1164" s="15" t="n">
        <v>130.9978759901482</v>
      </c>
      <c r="AH1164" s="42">
        <f>HIPERLINK($A$1 &amp; "\Dados\Magnet_fields_1164.txt.txt", "Magnet_fields_1164.txt")</f>
        <v/>
      </c>
      <c r="AI1164" t="n">
        <v>8992</v>
      </c>
      <c r="AJ1164" t="n">
        <v>30</v>
      </c>
      <c r="AK1164" s="42">
        <f>HIPERLINK($A$1 &amp; "\Dados\Magnet_3D_results_1164.txt.txt", "Magnet_3D_results_1164.txt")</f>
        <v/>
      </c>
      <c r="AL1164" s="42">
        <f>HIPERLINK($A$1 &amp; "\Dados\Magnet_fields_2D_1164.txt.txt", "Magnet_fields_2D_1164.txt")</f>
        <v/>
      </c>
    </row>
    <row r="1165">
      <c r="E1165" s="15" t="n">
        <v>138</v>
      </c>
      <c r="F1165" s="15" t="n">
        <v>173</v>
      </c>
      <c r="G1165" s="15" t="n">
        <v>397</v>
      </c>
      <c r="H1165" s="15" t="n">
        <v>28</v>
      </c>
      <c r="I1165" s="15" t="n">
        <v>157</v>
      </c>
      <c r="J1165" s="13" t="n">
        <v>25</v>
      </c>
      <c r="K1165" t="n">
        <v>55</v>
      </c>
      <c r="L1165" s="13" t="n">
        <v>2.5</v>
      </c>
      <c r="M1165" s="12" t="n"/>
      <c r="N1165" s="8" t="n">
        <v>1.576525261837529</v>
      </c>
      <c r="O1165" s="15" t="n">
        <v>1.334832062951168</v>
      </c>
      <c r="P1165" s="15" t="n">
        <v>1.514632021732584</v>
      </c>
      <c r="Q1165" s="15" t="n">
        <v>0.01249350770789409</v>
      </c>
      <c r="R1165" s="15" t="n">
        <v>0.04864486067206918</v>
      </c>
      <c r="S1165" s="15" t="n">
        <v>0.0122226723491493</v>
      </c>
      <c r="T1165" s="42">
        <f>HIPERLINK($A$1 &amp; "\Dados\Imagem_perfil_1165.png", "Imagem_perfil_1165")</f>
        <v/>
      </c>
      <c r="U1165" s="42">
        <f>HIPERLINK($A$1 &amp; "\Dados\Results_airgap1165.txt", "Results_airgap1165")</f>
        <v/>
      </c>
      <c r="V1165" s="19" t="n"/>
      <c r="W1165" s="15" t="n">
        <v>2.094908695652174</v>
      </c>
      <c r="X1165" s="15" t="n">
        <v>0.9806962021342126</v>
      </c>
      <c r="Y1165" s="15" t="n">
        <v>0.116713124860664</v>
      </c>
      <c r="Z1165" s="15" t="n">
        <v>0.01217614152885878</v>
      </c>
      <c r="AA1165" s="15" t="n">
        <v>4.272481093271445</v>
      </c>
      <c r="AB1165" s="15" t="n">
        <v>1.151628203441542</v>
      </c>
      <c r="AC1165" s="15" t="n">
        <v>14.78312424895795</v>
      </c>
      <c r="AD1165" s="15" t="n">
        <v>60.56663049686773</v>
      </c>
      <c r="AE1165" s="15" t="n">
        <v>96.30117380607389</v>
      </c>
      <c r="AF1165" s="15" t="n">
        <v>127.2715434723034</v>
      </c>
      <c r="AH1165" s="42">
        <f>HIPERLINK($A$1 &amp; "\Dados\Magnet_fields_1165.txt.txt", "Magnet_fields_1165.txt")</f>
        <v/>
      </c>
      <c r="AI1165" t="n">
        <v>12611</v>
      </c>
      <c r="AJ1165" t="n">
        <v>31</v>
      </c>
      <c r="AK1165" s="42">
        <f>HIPERLINK($A$1 &amp; "\Dados\Magnet_3D_results_1165.txt.txt", "Magnet_3D_results_1165.txt")</f>
        <v/>
      </c>
      <c r="AL1165" s="42">
        <f>HIPERLINK($A$1 &amp; "\Dados\Magnet_fields_2D_1165.txt.txt", "Magnet_fields_2D_1165.txt")</f>
        <v/>
      </c>
    </row>
    <row r="1166">
      <c r="E1166" s="15" t="n">
        <v>143</v>
      </c>
      <c r="F1166" s="15" t="n">
        <v>176</v>
      </c>
      <c r="G1166" s="15" t="n">
        <v>424</v>
      </c>
      <c r="H1166" s="15" t="n">
        <v>28</v>
      </c>
      <c r="I1166" s="15" t="n">
        <v>151</v>
      </c>
      <c r="J1166" s="13" t="n">
        <v>25</v>
      </c>
      <c r="K1166" t="n">
        <v>55</v>
      </c>
      <c r="L1166" s="13" t="n">
        <v>2.5</v>
      </c>
      <c r="M1166" s="12" t="n"/>
      <c r="N1166" s="8" t="n">
        <v>1.5983831691008</v>
      </c>
      <c r="O1166" s="15" t="n">
        <v>1.332632078968706</v>
      </c>
      <c r="P1166" s="15" t="n">
        <v>1.517245182811702</v>
      </c>
      <c r="Q1166" s="15" t="n">
        <v>0.01367007018446477</v>
      </c>
      <c r="R1166" s="15" t="n">
        <v>0.05264274221039716</v>
      </c>
      <c r="S1166" s="15" t="n">
        <v>0.01395251925417784</v>
      </c>
      <c r="T1166" s="42">
        <f>HIPERLINK($A$1 &amp; "\Dados\Imagem_perfil_1166.png", "Imagem_perfil_1166")</f>
        <v/>
      </c>
      <c r="U1166" s="42">
        <f>HIPERLINK($A$1 &amp; "\Dados\Results_airgap1166.txt", "Results_airgap1166")</f>
        <v/>
      </c>
      <c r="V1166" s="19" t="n"/>
      <c r="W1166" s="15" t="n">
        <v>2.189994347826087</v>
      </c>
      <c r="X1166" s="15" t="n">
        <v>1.00819107688412</v>
      </c>
      <c r="Y1166" s="15" t="n">
        <v>0.0701876597272469</v>
      </c>
      <c r="Z1166" s="15" t="n">
        <v>0.02008948234694114</v>
      </c>
      <c r="AA1166" s="15" t="n">
        <v>5.241735028304367</v>
      </c>
      <c r="AB1166" s="15" t="n">
        <v>1.144226734150384</v>
      </c>
      <c r="AC1166" s="15" t="n">
        <v>10.8447098649911</v>
      </c>
      <c r="AD1166" s="15" t="n">
        <v>58.17328466837432</v>
      </c>
      <c r="AE1166" s="15" t="n">
        <v>96.81038894492272</v>
      </c>
      <c r="AF1166" s="15" t="n">
        <v>127.779397824632</v>
      </c>
      <c r="AH1166" s="42">
        <f>HIPERLINK($A$1 &amp; "\Dados\Magnet_fields_1166.txt.txt", "Magnet_fields_1166.txt")</f>
        <v/>
      </c>
      <c r="AI1166" t="n">
        <v>13516</v>
      </c>
      <c r="AJ1166" t="n">
        <v>32</v>
      </c>
      <c r="AK1166" s="42">
        <f>HIPERLINK($A$1 &amp; "\Dados\Magnet_3D_results_1166.txt.txt", "Magnet_3D_results_1166.txt")</f>
        <v/>
      </c>
      <c r="AL1166" s="42">
        <f>HIPERLINK($A$1 &amp; "\Dados\Magnet_fields_2D_1166.txt.txt", "Magnet_fields_2D_1166.txt")</f>
        <v/>
      </c>
    </row>
    <row r="1167">
      <c r="E1167" s="15" t="n">
        <v>135</v>
      </c>
      <c r="F1167" s="15" t="n">
        <v>171</v>
      </c>
      <c r="G1167" s="15" t="n">
        <v>383</v>
      </c>
      <c r="H1167" s="15" t="n">
        <v>44</v>
      </c>
      <c r="I1167" s="15" t="n">
        <v>151</v>
      </c>
      <c r="J1167" s="13" t="n">
        <v>25</v>
      </c>
      <c r="K1167" t="n">
        <v>45</v>
      </c>
      <c r="L1167" s="13" t="n">
        <v>2.5</v>
      </c>
      <c r="M1167" s="12" t="n"/>
      <c r="N1167" s="8" t="n">
        <v>1.491063776122128</v>
      </c>
      <c r="O1167" s="15" t="n">
        <v>1.218248024981504</v>
      </c>
      <c r="P1167" s="15" t="n">
        <v>1.410353203811826</v>
      </c>
      <c r="Q1167" s="15" t="n">
        <v>0.003349107914999848</v>
      </c>
      <c r="R1167" s="15" t="n">
        <v>0.03849748642406448</v>
      </c>
      <c r="S1167" s="15" t="n">
        <v>0.003622872741249578</v>
      </c>
      <c r="T1167" s="42">
        <f>HIPERLINK($A$1 &amp; "\Dados\Imagem_perfil_1167.png", "Imagem_perfil_1167")</f>
        <v/>
      </c>
      <c r="U1167" s="42">
        <f>HIPERLINK($A$1 &amp; "\Dados\Results_airgap1167.txt", "Results_airgap1167")</f>
        <v/>
      </c>
      <c r="V1167" s="19" t="n"/>
      <c r="W1167" s="15" t="n">
        <v>1.900662391304348</v>
      </c>
      <c r="X1167" s="15" t="n">
        <v>0.9546733855207702</v>
      </c>
      <c r="Y1167" s="15" t="n">
        <v>0.2961867253224498</v>
      </c>
      <c r="Z1167" s="15" t="n">
        <v>0</v>
      </c>
      <c r="AA1167" s="15" t="n">
        <v>0</v>
      </c>
      <c r="AB1167" s="15" t="n">
        <v>0.4104995619153267</v>
      </c>
      <c r="AC1167" s="15" t="n">
        <v>6.289066429609878</v>
      </c>
      <c r="AD1167" s="15" t="n">
        <v>39.710037606869</v>
      </c>
      <c r="AE1167" s="15" t="n">
        <v>87.8491636797302</v>
      </c>
      <c r="AF1167" s="15" t="n">
        <v>118.9918173843134</v>
      </c>
      <c r="AH1167" s="42">
        <f>HIPERLINK($A$1 &amp; "\Dados\Magnet_fields_1167.txt.txt", "Magnet_fields_1167.txt")</f>
        <v/>
      </c>
      <c r="AI1167" t="n">
        <v>6015</v>
      </c>
      <c r="AJ1167" t="n">
        <v>27</v>
      </c>
      <c r="AK1167" s="42">
        <f>HIPERLINK($A$1 &amp; "\Dados\Magnet_3D_results_1167.txt.txt", "Magnet_3D_results_1167.txt")</f>
        <v/>
      </c>
      <c r="AL1167" s="42">
        <f>HIPERLINK($A$1 &amp; "\Dados\Magnet_fields_2D_1167.txt.txt", "Magnet_fields_2D_1167.txt")</f>
        <v/>
      </c>
    </row>
    <row r="1168">
      <c r="E1168" s="15" t="n">
        <v>139</v>
      </c>
      <c r="F1168" s="15" t="n">
        <v>174</v>
      </c>
      <c r="G1168" s="15" t="n">
        <v>374</v>
      </c>
      <c r="H1168" s="15" t="n">
        <v>41</v>
      </c>
      <c r="I1168" s="15" t="n">
        <v>169</v>
      </c>
      <c r="J1168" s="13" t="n">
        <v>25</v>
      </c>
      <c r="K1168" t="n">
        <v>55</v>
      </c>
      <c r="L1168" s="13" t="n">
        <v>2.5</v>
      </c>
      <c r="M1168" s="12" t="n"/>
      <c r="N1168" s="8" t="n">
        <v>1.573179457357599</v>
      </c>
      <c r="O1168" s="15" t="n">
        <v>1.359718329283039</v>
      </c>
      <c r="P1168" s="15" t="n">
        <v>1.507478583205745</v>
      </c>
      <c r="Q1168" s="15" t="n">
        <v>0.011553500118779</v>
      </c>
      <c r="R1168" s="15" t="n">
        <v>0.04555556892581723</v>
      </c>
      <c r="S1168" s="15" t="n">
        <v>0.0113989810244239</v>
      </c>
      <c r="T1168" s="42">
        <f>HIPERLINK($A$1 &amp; "\Dados\Imagem_perfil_1168.png", "Imagem_perfil_1168")</f>
        <v/>
      </c>
      <c r="U1168" s="42">
        <f>HIPERLINK($A$1 &amp; "\Dados\Results_airgap1168.txt", "Results_airgap1168")</f>
        <v/>
      </c>
      <c r="V1168" s="19" t="n"/>
      <c r="W1168" s="15" t="n">
        <v>1.981706739130435</v>
      </c>
      <c r="X1168" s="15" t="n">
        <v>0.9701277547044899</v>
      </c>
      <c r="Y1168" s="15" t="n">
        <v>0.1757946617915064</v>
      </c>
      <c r="Z1168" s="15" t="n">
        <v>0.004474071238631296</v>
      </c>
      <c r="AA1168" s="15" t="n">
        <v>0</v>
      </c>
      <c r="AB1168" s="15" t="n">
        <v>0.6527042451691343</v>
      </c>
      <c r="AC1168" s="15" t="n">
        <v>13.91458176781102</v>
      </c>
      <c r="AD1168" s="15" t="n">
        <v>59.97983818546478</v>
      </c>
      <c r="AE1168" s="15" t="n">
        <v>95.47682728808215</v>
      </c>
      <c r="AF1168" s="15" t="n">
        <v>126.6617198818039</v>
      </c>
      <c r="AH1168" s="42">
        <f>HIPERLINK($A$1 &amp; "\Dados\Magnet_fields_1168.txt.txt", "Magnet_fields_1168.txt")</f>
        <v/>
      </c>
      <c r="AI1168" t="n">
        <v>10761</v>
      </c>
      <c r="AJ1168" t="n">
        <v>30</v>
      </c>
      <c r="AK1168" s="42">
        <f>HIPERLINK($A$1 &amp; "\Dados\Magnet_3D_results_1168.txt.txt", "Magnet_3D_results_1168.txt")</f>
        <v/>
      </c>
      <c r="AL1168" s="42">
        <f>HIPERLINK($A$1 &amp; "\Dados\Magnet_fields_2D_1168.txt.txt", "Magnet_fields_2D_1168.txt")</f>
        <v/>
      </c>
    </row>
    <row r="1169">
      <c r="E1169" s="15" t="n">
        <v>138</v>
      </c>
      <c r="F1169" s="15" t="n">
        <v>172</v>
      </c>
      <c r="G1169" s="15" t="n">
        <v>362</v>
      </c>
      <c r="H1169" s="15" t="n">
        <v>40</v>
      </c>
      <c r="I1169" s="15" t="n">
        <v>163</v>
      </c>
      <c r="J1169" s="13" t="n">
        <v>25</v>
      </c>
      <c r="K1169" t="n">
        <v>55</v>
      </c>
      <c r="L1169" s="13" t="n">
        <v>2.5</v>
      </c>
      <c r="M1169" s="12" t="n"/>
      <c r="N1169" s="8" t="n">
        <v>1.552475956994705</v>
      </c>
      <c r="O1169" s="15" t="n">
        <v>1.317704296063616</v>
      </c>
      <c r="P1169" s="15" t="n">
        <v>1.485005525767986</v>
      </c>
      <c r="Q1169" s="15" t="n">
        <v>0.01070911952839512</v>
      </c>
      <c r="R1169" s="15" t="n">
        <v>0.041795817353637</v>
      </c>
      <c r="S1169" s="15" t="n">
        <v>0.01058743605364855</v>
      </c>
      <c r="T1169" s="42">
        <f>HIPERLINK($A$1 &amp; "\Dados\Imagem_perfil_1169.png", "Imagem_perfil_1169")</f>
        <v/>
      </c>
      <c r="U1169" s="42">
        <f>HIPERLINK($A$1 &amp; "\Dados\Results_airgap1169.txt", "Results_airgap1169")</f>
        <v/>
      </c>
      <c r="V1169" s="19" t="n"/>
      <c r="W1169" s="15" t="n">
        <v>1.951018913043478</v>
      </c>
      <c r="X1169" s="15" t="n">
        <v>0.9739556796764255</v>
      </c>
      <c r="Y1169" s="15" t="n">
        <v>0.1912428153857564</v>
      </c>
      <c r="Z1169" s="15" t="n">
        <v>0</v>
      </c>
      <c r="AA1169" s="15" t="n">
        <v>0.0004685663256610153</v>
      </c>
      <c r="AB1169" s="15" t="n">
        <v>0.389849152160523</v>
      </c>
      <c r="AC1169" s="15" t="n">
        <v>13.2757479971167</v>
      </c>
      <c r="AD1169" s="15" t="n">
        <v>59.86766024554097</v>
      </c>
      <c r="AE1169" s="15" t="n">
        <v>95.37508698839925</v>
      </c>
      <c r="AF1169" s="15" t="n">
        <v>126.504568560169</v>
      </c>
      <c r="AH1169" s="42">
        <f>HIPERLINK($A$1 &amp; "\Dados\Magnet_fields_1169.txt.txt", "Magnet_fields_1169.txt")</f>
        <v/>
      </c>
      <c r="AI1169" t="n">
        <v>11532</v>
      </c>
      <c r="AJ1169" t="n">
        <v>31</v>
      </c>
      <c r="AK1169" s="42">
        <f>HIPERLINK($A$1 &amp; "\Dados\Magnet_3D_results_1169.txt.txt", "Magnet_3D_results_1169.txt")</f>
        <v/>
      </c>
      <c r="AL1169" s="42">
        <f>HIPERLINK($A$1 &amp; "\Dados\Magnet_fields_2D_1169.txt.txt", "Magnet_fields_2D_1169.txt")</f>
        <v/>
      </c>
    </row>
    <row r="1170">
      <c r="E1170" s="15" t="n">
        <v>145</v>
      </c>
      <c r="F1170" s="15" t="n">
        <v>176</v>
      </c>
      <c r="G1170" s="15" t="n">
        <v>390</v>
      </c>
      <c r="H1170" s="15" t="n">
        <v>36</v>
      </c>
      <c r="I1170" s="15" t="n">
        <v>149</v>
      </c>
      <c r="J1170" s="13" t="n">
        <v>25</v>
      </c>
      <c r="K1170" t="n">
        <v>60</v>
      </c>
      <c r="L1170" s="13" t="n">
        <v>2.5</v>
      </c>
      <c r="M1170" s="12" t="n"/>
      <c r="N1170" s="8" t="n">
        <v>1.613303373449201</v>
      </c>
      <c r="O1170" s="15" t="n">
        <v>1.307934864636641</v>
      </c>
      <c r="P1170" s="15" t="n">
        <v>1.519167877423067</v>
      </c>
      <c r="Q1170" s="15" t="n">
        <v>0.02021069435571464</v>
      </c>
      <c r="R1170" s="15" t="n">
        <v>0.04899637121239264</v>
      </c>
      <c r="S1170" s="15" t="n">
        <v>0.02045445537966658</v>
      </c>
      <c r="T1170" s="42">
        <f>HIPERLINK($A$1 &amp; "\Dados\Imagem_perfil_1170.png", "Imagem_perfil_1170")</f>
        <v/>
      </c>
      <c r="U1170" s="42">
        <f>HIPERLINK($A$1 &amp; "\Dados\Results_airgap1170.txt", "Results_airgap1170")</f>
        <v/>
      </c>
      <c r="V1170" s="19" t="n"/>
      <c r="W1170" s="15" t="n">
        <v>2.135128260869565</v>
      </c>
      <c r="X1170" s="15" t="n">
        <v>0.9974343736269431</v>
      </c>
      <c r="Y1170" s="15" t="n">
        <v>0.07564846421096751</v>
      </c>
      <c r="Z1170" s="15" t="n">
        <v>0.003568920443895393</v>
      </c>
      <c r="AA1170" s="15" t="n">
        <v>0.5909211025871818</v>
      </c>
      <c r="AB1170" s="15" t="n">
        <v>1.235762830017261</v>
      </c>
      <c r="AC1170" s="15" t="n">
        <v>19.19388577911072</v>
      </c>
      <c r="AD1170" s="15" t="n">
        <v>68.22673285476168</v>
      </c>
      <c r="AE1170" s="15" t="n">
        <v>100.9081703198013</v>
      </c>
      <c r="AF1170" s="15" t="n">
        <v>131.9088937631237</v>
      </c>
      <c r="AH1170" s="42">
        <f>HIPERLINK($A$1 &amp; "\Dados\Magnet_fields_1170.txt.txt", "Magnet_fields_1170.txt")</f>
        <v/>
      </c>
      <c r="AI1170" t="n">
        <v>8349</v>
      </c>
      <c r="AJ1170" t="n">
        <v>30</v>
      </c>
      <c r="AK1170" s="42">
        <f>HIPERLINK($A$1 &amp; "\Dados\Magnet_3D_results_1170.txt.txt", "Magnet_3D_results_1170.txt")</f>
        <v/>
      </c>
      <c r="AL1170" s="42">
        <f>HIPERLINK($A$1 &amp; "\Dados\Magnet_fields_2D_1170.txt.txt", "Magnet_fields_2D_1170.txt")</f>
        <v/>
      </c>
    </row>
    <row r="1171">
      <c r="E1171" s="15" t="n">
        <v>145</v>
      </c>
      <c r="F1171" s="15" t="n">
        <v>177</v>
      </c>
      <c r="G1171" s="15" t="n">
        <v>376</v>
      </c>
      <c r="H1171" s="15" t="n">
        <v>31</v>
      </c>
      <c r="I1171" s="15" t="n">
        <v>156</v>
      </c>
      <c r="J1171" s="13" t="n">
        <v>25</v>
      </c>
      <c r="K1171" t="n">
        <v>40</v>
      </c>
      <c r="L1171" s="13" t="n">
        <v>2.5</v>
      </c>
      <c r="M1171" s="12" t="n"/>
      <c r="N1171" s="8" t="n">
        <v>1.483712092837429</v>
      </c>
      <c r="O1171" s="15" t="n">
        <v>1.2519364585523</v>
      </c>
      <c r="P1171" s="15" t="n">
        <v>1.410112477385389</v>
      </c>
      <c r="Q1171" s="15" t="n">
        <v>0.001911289171970983</v>
      </c>
      <c r="R1171" s="15" t="n">
        <v>0.02411510716078017</v>
      </c>
      <c r="S1171" s="15" t="n">
        <v>0.00195712520036427</v>
      </c>
      <c r="T1171" s="42">
        <f>HIPERLINK($A$1 &amp; "\Dados\Imagem_perfil_1171.png", "Imagem_perfil_1171")</f>
        <v/>
      </c>
      <c r="U1171" s="42">
        <f>HIPERLINK($A$1 &amp; "\Dados\Results_airgap1171.txt", "Results_airgap1171")</f>
        <v/>
      </c>
      <c r="V1171" s="19" t="n"/>
      <c r="W1171" s="15" t="n">
        <v>1.820636304347826</v>
      </c>
      <c r="X1171" s="15" t="n">
        <v>0.9332859345370886</v>
      </c>
      <c r="Y1171" s="15" t="n">
        <v>0.4064460534228798</v>
      </c>
      <c r="Z1171" s="15" t="n">
        <v>0</v>
      </c>
      <c r="AA1171" s="15" t="n">
        <v>3.293606811402162</v>
      </c>
      <c r="AB1171" s="15" t="n">
        <v>0</v>
      </c>
      <c r="AC1171" s="15" t="n">
        <v>3.614237048305891</v>
      </c>
      <c r="AD1171" s="15" t="n">
        <v>28.11459602121163</v>
      </c>
      <c r="AE1171" s="15" t="n">
        <v>74.65555148136133</v>
      </c>
      <c r="AF1171" s="15" t="n">
        <v>112.2906994762548</v>
      </c>
      <c r="AH1171" s="42">
        <f>HIPERLINK($A$1 &amp; "\Dados\Magnet_fields_1171.txt.txt", "Magnet_fields_1171.txt")</f>
        <v/>
      </c>
      <c r="AI1171" t="n">
        <v>8468</v>
      </c>
      <c r="AJ1171" t="n">
        <v>29</v>
      </c>
      <c r="AK1171" s="42">
        <f>HIPERLINK($A$1 &amp; "\Dados\Magnet_3D_results_1171.txt.txt", "Magnet_3D_results_1171.txt")</f>
        <v/>
      </c>
      <c r="AL1171" s="42">
        <f>HIPERLINK($A$1 &amp; "\Dados\Magnet_fields_2D_1171.txt.txt", "Magnet_fields_2D_1171.txt")</f>
        <v/>
      </c>
    </row>
    <row r="1172">
      <c r="E1172" s="15" t="n">
        <v>143</v>
      </c>
      <c r="F1172" s="15" t="n">
        <v>190</v>
      </c>
      <c r="G1172" s="15" t="n">
        <v>389</v>
      </c>
      <c r="H1172" s="15" t="n">
        <v>38</v>
      </c>
      <c r="I1172" s="15" t="n">
        <v>159</v>
      </c>
      <c r="J1172" s="13" t="n">
        <v>25</v>
      </c>
      <c r="K1172" t="n">
        <v>55</v>
      </c>
      <c r="L1172" s="13" t="n">
        <v>2.5</v>
      </c>
      <c r="M1172" s="12" t="n"/>
      <c r="N1172" s="8" t="n">
        <v>1.332924380083182</v>
      </c>
      <c r="O1172" s="15" t="n">
        <v>1.113723274518582</v>
      </c>
      <c r="P1172" s="15" t="n">
        <v>1.265462560506576</v>
      </c>
      <c r="Q1172" s="15" t="n">
        <v>0.009625299102416711</v>
      </c>
      <c r="R1172" s="15" t="n">
        <v>0.04568768086779296</v>
      </c>
      <c r="S1172" s="15" t="n">
        <v>0.009961097566155111</v>
      </c>
      <c r="T1172" s="42">
        <f>HIPERLINK($A$1 &amp; "\Dados\Imagem_perfil_1172.png", "Imagem_perfil_1172")</f>
        <v/>
      </c>
      <c r="U1172" s="42">
        <f>HIPERLINK($A$1 &amp; "\Dados\Results_airgap1172.txt", "Results_airgap1172")</f>
        <v/>
      </c>
      <c r="V1172" s="19" t="n"/>
      <c r="W1172" s="15" t="n">
        <v>1.770852826086957</v>
      </c>
      <c r="X1172" s="15" t="n">
        <v>0.8619305374769062</v>
      </c>
      <c r="Y1172" s="15" t="n">
        <v>0.3694494504184515</v>
      </c>
      <c r="Z1172" s="15" t="n">
        <v>0</v>
      </c>
      <c r="AA1172" s="15" t="n">
        <v>0.1536685271430411</v>
      </c>
      <c r="AB1172" s="15" t="n">
        <v>0.5384721025006299</v>
      </c>
      <c r="AC1172" s="15" t="n">
        <v>12.66083760336027</v>
      </c>
      <c r="AD1172" s="15" t="n">
        <v>56.52787374270356</v>
      </c>
      <c r="AE1172" s="15" t="n">
        <v>93.665229139356</v>
      </c>
      <c r="AF1172" s="15" t="n">
        <v>125.5813764313688</v>
      </c>
      <c r="AH1172" s="42">
        <f>HIPERLINK($A$1 &amp; "\Dados\Magnet_fields_1172.txt.txt", "Magnet_fields_1172.txt")</f>
        <v/>
      </c>
      <c r="AI1172" t="n">
        <v>10790</v>
      </c>
      <c r="AJ1172" t="n">
        <v>31</v>
      </c>
      <c r="AK1172" s="42">
        <f>HIPERLINK($A$1 &amp; "\Dados\Magnet_3D_results_1172.txt.txt", "Magnet_3D_results_1172.txt")</f>
        <v/>
      </c>
      <c r="AL1172" s="42">
        <f>HIPERLINK($A$1 &amp; "\Dados\Magnet_fields_2D_1172.txt.txt", "Magnet_fields_2D_1172.txt")</f>
        <v/>
      </c>
    </row>
    <row r="1173">
      <c r="E1173" s="15" t="n">
        <v>140</v>
      </c>
      <c r="F1173" s="15" t="n">
        <v>174</v>
      </c>
      <c r="G1173" s="15" t="n">
        <v>383</v>
      </c>
      <c r="H1173" s="15" t="n">
        <v>29</v>
      </c>
      <c r="I1173" s="15" t="n">
        <v>140</v>
      </c>
      <c r="J1173" s="13" t="n">
        <v>25</v>
      </c>
      <c r="K1173" t="n">
        <v>45</v>
      </c>
      <c r="L1173" s="13" t="n">
        <v>2.5</v>
      </c>
      <c r="M1173" s="12" t="n"/>
      <c r="N1173" s="8" t="n">
        <v>1.463494979210266</v>
      </c>
      <c r="O1173" s="15" t="n">
        <v>1.13542099034535</v>
      </c>
      <c r="P1173" s="15" t="n">
        <v>1.370241053200008</v>
      </c>
      <c r="Q1173" s="15" t="n">
        <v>0.003251111400152928</v>
      </c>
      <c r="R1173" s="15" t="n">
        <v>0.03199733478249619</v>
      </c>
      <c r="S1173" s="15" t="n">
        <v>0.003570901123756652</v>
      </c>
      <c r="T1173" s="42">
        <f>HIPERLINK($A$1 &amp; "\Dados\Imagem_perfil_1173.png", "Imagem_perfil_1173")</f>
        <v/>
      </c>
      <c r="U1173" s="42">
        <f>HIPERLINK($A$1 &amp; "\Dados\Results_airgap1173.txt", "Results_airgap1173")</f>
        <v/>
      </c>
      <c r="V1173" s="19" t="n"/>
      <c r="W1173" s="15" t="n">
        <v>1.926765217391305</v>
      </c>
      <c r="X1173" s="15" t="n">
        <v>0.9656602047364699</v>
      </c>
      <c r="Y1173" s="15" t="n">
        <v>0.2723576565085409</v>
      </c>
      <c r="Z1173" s="15" t="n">
        <v>0</v>
      </c>
      <c r="AA1173" s="15" t="n">
        <v>2.955787044958045</v>
      </c>
      <c r="AB1173" s="15" t="n">
        <v>0.3462021908255457</v>
      </c>
      <c r="AC1173" s="15" t="n">
        <v>7.190998542706453</v>
      </c>
      <c r="AD1173" s="15" t="n">
        <v>40.4522900905395</v>
      </c>
      <c r="AE1173" s="15" t="n">
        <v>84.3718188670523</v>
      </c>
      <c r="AF1173" s="15" t="n">
        <v>117.8808227769062</v>
      </c>
      <c r="AH1173" s="42">
        <f>HIPERLINK($A$1 &amp; "\Dados\Magnet_fields_1173.txt.txt", "Magnet_fields_1173.txt")</f>
        <v/>
      </c>
      <c r="AI1173" t="n">
        <v>8096</v>
      </c>
      <c r="AJ1173" t="n">
        <v>29</v>
      </c>
      <c r="AK1173" s="42">
        <f>HIPERLINK($A$1 &amp; "\Dados\Magnet_3D_results_1173.txt.txt", "Magnet_3D_results_1173.txt")</f>
        <v/>
      </c>
      <c r="AL1173" s="42">
        <f>HIPERLINK($A$1 &amp; "\Dados\Magnet_fields_2D_1173.txt.txt", "Magnet_fields_2D_1173.txt")</f>
        <v/>
      </c>
    </row>
    <row r="1174">
      <c r="E1174" s="15" t="n">
        <v>135</v>
      </c>
      <c r="F1174" s="15" t="n">
        <v>175</v>
      </c>
      <c r="G1174" s="15" t="n">
        <v>429</v>
      </c>
      <c r="H1174" s="15" t="n">
        <v>43</v>
      </c>
      <c r="I1174" s="15" t="n">
        <v>143</v>
      </c>
      <c r="J1174" s="13" t="n">
        <v>25</v>
      </c>
      <c r="K1174" t="n">
        <v>55</v>
      </c>
      <c r="L1174" s="13" t="n">
        <v>2.5</v>
      </c>
      <c r="M1174" s="12" t="n"/>
      <c r="N1174" s="8" t="n">
        <v>1.512811087462003</v>
      </c>
      <c r="O1174" s="15" t="n">
        <v>1.201481035433416</v>
      </c>
      <c r="P1174" s="15" t="n">
        <v>1.423277207190063</v>
      </c>
      <c r="Q1174" s="15" t="n">
        <v>0.0146441937261359</v>
      </c>
      <c r="R1174" s="15" t="n">
        <v>0.06416431234984142</v>
      </c>
      <c r="S1174" s="15" t="n">
        <v>0.01537760526879484</v>
      </c>
      <c r="T1174" s="42">
        <f>HIPERLINK($A$1 &amp; "\Dados\Imagem_perfil_1174.png", "Imagem_perfil_1174")</f>
        <v/>
      </c>
      <c r="U1174" s="42">
        <f>HIPERLINK($A$1 &amp; "\Dados\Results_airgap1174.txt", "Results_airgap1174")</f>
        <v/>
      </c>
      <c r="V1174" s="19" t="n"/>
      <c r="W1174" s="15" t="n">
        <v>2.13156804347826</v>
      </c>
      <c r="X1174" s="15" t="n">
        <v>0.9918231260057832</v>
      </c>
      <c r="Y1174" s="15" t="n">
        <v>0.1177890048009493</v>
      </c>
      <c r="Z1174" s="15" t="n">
        <v>0</v>
      </c>
      <c r="AA1174" s="15" t="n">
        <v>0.00124864198873562</v>
      </c>
      <c r="AB1174" s="15" t="n">
        <v>1.841754134506377</v>
      </c>
      <c r="AC1174" s="15" t="n">
        <v>16.2547076670703</v>
      </c>
      <c r="AD1174" s="15" t="n">
        <v>57.83077293203132</v>
      </c>
      <c r="AE1174" s="15" t="n">
        <v>94.88161265492309</v>
      </c>
      <c r="AF1174" s="15" t="n">
        <v>127.0842527420891</v>
      </c>
      <c r="AH1174" s="42">
        <f>HIPERLINK($A$1 &amp; "\Dados\Magnet_fields_1174.txt.txt", "Magnet_fields_1174.txt")</f>
        <v/>
      </c>
      <c r="AI1174" t="n">
        <v>10241</v>
      </c>
      <c r="AJ1174" t="n">
        <v>30</v>
      </c>
      <c r="AK1174" s="42">
        <f>HIPERLINK($A$1 &amp; "\Dados\Magnet_3D_results_1174.txt.txt", "Magnet_3D_results_1174.txt")</f>
        <v/>
      </c>
      <c r="AL1174" s="42">
        <f>HIPERLINK($A$1 &amp; "\Dados\Magnet_fields_2D_1174.txt.txt", "Magnet_fields_2D_1174.txt")</f>
        <v/>
      </c>
    </row>
    <row r="1175">
      <c r="E1175" s="15" t="n">
        <v>137</v>
      </c>
      <c r="F1175" s="15" t="n">
        <v>177</v>
      </c>
      <c r="G1175" s="15" t="n">
        <v>353</v>
      </c>
      <c r="H1175" s="15" t="n">
        <v>35</v>
      </c>
      <c r="I1175" s="15" t="n">
        <v>163</v>
      </c>
      <c r="J1175" s="13" t="n">
        <v>25</v>
      </c>
      <c r="K1175" t="n">
        <v>55</v>
      </c>
      <c r="L1175" s="13" t="n">
        <v>2.5</v>
      </c>
      <c r="M1175" s="12" t="n"/>
      <c r="N1175" s="8" t="n">
        <v>1.402104932814986</v>
      </c>
      <c r="O1175" s="15" t="n">
        <v>1.174707262637375</v>
      </c>
      <c r="P1175" s="15" t="n">
        <v>1.333420314771382</v>
      </c>
      <c r="Q1175" s="15" t="n">
        <v>0.008569939572409827</v>
      </c>
      <c r="R1175" s="15" t="n">
        <v>0.03710612957266429</v>
      </c>
      <c r="S1175" s="15" t="n">
        <v>0.008782697209586219</v>
      </c>
      <c r="T1175" s="42">
        <f>HIPERLINK($A$1 &amp; "\Dados\Imagem_perfil_1175.png", "Imagem_perfil_1175")</f>
        <v/>
      </c>
      <c r="U1175" s="42">
        <f>HIPERLINK($A$1 &amp; "\Dados\Results_airgap1175.txt", "Results_airgap1175")</f>
        <v/>
      </c>
      <c r="V1175" s="19" t="n"/>
      <c r="W1175" s="15" t="n">
        <v>1.765982826086957</v>
      </c>
      <c r="X1175" s="15" t="n">
        <v>0.877607789798607</v>
      </c>
      <c r="Y1175" s="15" t="n">
        <v>0.3511896091849887</v>
      </c>
      <c r="Z1175" s="15" t="n">
        <v>0.004967316258029537</v>
      </c>
      <c r="AA1175" s="15" t="n">
        <v>0.446549523172714</v>
      </c>
      <c r="AB1175" s="15" t="n">
        <v>0</v>
      </c>
      <c r="AC1175" s="15" t="n">
        <v>10.42521886106276</v>
      </c>
      <c r="AD1175" s="15" t="n">
        <v>56.13766126301295</v>
      </c>
      <c r="AE1175" s="15" t="n">
        <v>93.82560264267467</v>
      </c>
      <c r="AF1175" s="15" t="n">
        <v>125.5017664232941</v>
      </c>
      <c r="AH1175" s="42">
        <f>HIPERLINK($A$1 &amp; "\Dados\Magnet_fields_1175.txt.txt", "Magnet_fields_1175.txt")</f>
        <v/>
      </c>
      <c r="AI1175" t="n">
        <v>10924</v>
      </c>
      <c r="AJ1175" t="n">
        <v>31</v>
      </c>
      <c r="AK1175" s="42">
        <f>HIPERLINK($A$1 &amp; "\Dados\Magnet_3D_results_1175.txt.txt", "Magnet_3D_results_1175.txt")</f>
        <v/>
      </c>
      <c r="AL1175" s="42">
        <f>HIPERLINK($A$1 &amp; "\Dados\Magnet_fields_2D_1175.txt.txt", "Magnet_fields_2D_1175.txt")</f>
        <v/>
      </c>
    </row>
    <row r="1176">
      <c r="E1176" s="15" t="n">
        <v>147</v>
      </c>
      <c r="F1176" s="15" t="n">
        <v>193</v>
      </c>
      <c r="G1176" s="15" t="n">
        <v>424</v>
      </c>
      <c r="H1176" s="15" t="n">
        <v>32</v>
      </c>
      <c r="I1176" s="15" t="n">
        <v>143</v>
      </c>
      <c r="J1176" s="13" t="n">
        <v>25</v>
      </c>
      <c r="K1176" t="n">
        <v>50</v>
      </c>
      <c r="L1176" s="13" t="n">
        <v>2.5</v>
      </c>
      <c r="M1176" s="12" t="n"/>
      <c r="N1176" s="8" t="n">
        <v>1.329700729308594</v>
      </c>
      <c r="O1176" s="15" t="n">
        <v>1.055691962007988</v>
      </c>
      <c r="P1176" s="15" t="n">
        <v>1.24934210797824</v>
      </c>
      <c r="Q1176" s="15" t="n">
        <v>0.004587852859891771</v>
      </c>
      <c r="R1176" s="15" t="n">
        <v>0.04521031321618819</v>
      </c>
      <c r="S1176" s="15" t="n">
        <v>0.005549199930252726</v>
      </c>
      <c r="T1176" s="42">
        <f>HIPERLINK($A$1 &amp; "\Dados\Imagem_perfil_1176.png", "Imagem_perfil_1176")</f>
        <v/>
      </c>
      <c r="U1176" s="42">
        <f>HIPERLINK($A$1 &amp; "\Dados\Results_airgap1176.txt", "Results_airgap1176")</f>
        <v/>
      </c>
      <c r="V1176" s="19" t="n"/>
      <c r="W1176" s="15" t="n">
        <v>1.869908260869566</v>
      </c>
      <c r="X1176" s="15" t="n">
        <v>0.8832077230174966</v>
      </c>
      <c r="Y1176" s="15" t="n">
        <v>0.3045920158049533</v>
      </c>
      <c r="Z1176" s="15" t="n">
        <v>0</v>
      </c>
      <c r="AA1176" s="15" t="n">
        <v>1.784184754095884</v>
      </c>
      <c r="AB1176" s="15" t="n">
        <v>0.6639547384326804</v>
      </c>
      <c r="AC1176" s="15" t="n">
        <v>9.336999825552454</v>
      </c>
      <c r="AD1176" s="15" t="n">
        <v>51.50417271631083</v>
      </c>
      <c r="AE1176" s="15" t="n">
        <v>92.59178604478083</v>
      </c>
      <c r="AF1176" s="15" t="n">
        <v>122.8499825058409</v>
      </c>
      <c r="AH1176" s="42">
        <f>HIPERLINK($A$1 &amp; "\Dados\Magnet_fields_1176.txt.txt", "Magnet_fields_1176.txt")</f>
        <v/>
      </c>
      <c r="AI1176" t="n">
        <v>8641</v>
      </c>
      <c r="AJ1176" t="n">
        <v>29</v>
      </c>
      <c r="AK1176" s="42">
        <f>HIPERLINK($A$1 &amp; "\Dados\Magnet_3D_results_1176.txt.txt", "Magnet_3D_results_1176.txt")</f>
        <v/>
      </c>
      <c r="AL1176" s="42">
        <f>HIPERLINK($A$1 &amp; "\Dados\Magnet_fields_2D_1176.txt.txt", "Magnet_fields_2D_1176.txt")</f>
        <v/>
      </c>
    </row>
    <row r="1177">
      <c r="E1177" s="15" t="n">
        <v>145</v>
      </c>
      <c r="F1177" s="15" t="n">
        <v>193</v>
      </c>
      <c r="G1177" s="15" t="n">
        <v>410</v>
      </c>
      <c r="H1177" s="15" t="n">
        <v>35</v>
      </c>
      <c r="I1177" s="15" t="n">
        <v>170</v>
      </c>
      <c r="J1177" s="13" t="n">
        <v>25</v>
      </c>
      <c r="K1177" t="n">
        <v>40</v>
      </c>
      <c r="L1177" s="13" t="n">
        <v>2.5</v>
      </c>
      <c r="M1177" s="12" t="n"/>
      <c r="N1177" s="8" t="n">
        <v>1.307132626354179</v>
      </c>
      <c r="O1177" s="15" t="n">
        <v>1.133741111817256</v>
      </c>
      <c r="P1177" s="15" t="n">
        <v>1.25546066453705</v>
      </c>
      <c r="Q1177" s="15" t="n">
        <v>0.001227762918877354</v>
      </c>
      <c r="R1177" s="15" t="n">
        <v>0.03342271350848957</v>
      </c>
      <c r="S1177" s="15" t="n">
        <v>0.001466258115965196</v>
      </c>
      <c r="T1177" s="42">
        <f>HIPERLINK($A$1 &amp; "\Dados\Imagem_perfil_1177.png", "Imagem_perfil_1177")</f>
        <v/>
      </c>
      <c r="U1177" s="42">
        <f>HIPERLINK($A$1 &amp; "\Dados\Results_airgap1177.txt", "Results_airgap1177")</f>
        <v/>
      </c>
      <c r="V1177" s="19" t="n"/>
      <c r="W1177" s="15" t="n">
        <v>1.654296304347826</v>
      </c>
      <c r="X1177" s="15" t="n">
        <v>0.8244089808422639</v>
      </c>
      <c r="Y1177" s="15" t="n">
        <v>0.612000110594508</v>
      </c>
      <c r="Z1177" s="15" t="n">
        <v>0.01802029844795229</v>
      </c>
      <c r="AA1177" s="15" t="n">
        <v>0.5656668859359266</v>
      </c>
      <c r="AB1177" s="15" t="n">
        <v>1.431741229738218</v>
      </c>
      <c r="AC1177" s="15" t="n">
        <v>8.540724599599917</v>
      </c>
      <c r="AD1177" s="15" t="n">
        <v>34.54000483445088</v>
      </c>
      <c r="AE1177" s="15" t="n">
        <v>79.37410376715286</v>
      </c>
      <c r="AF1177" s="15" t="n">
        <v>113.976035730285</v>
      </c>
      <c r="AH1177" s="42">
        <f>HIPERLINK($A$1 &amp; "\Dados\Magnet_fields_1177.txt.txt", "Magnet_fields_1177.txt")</f>
        <v/>
      </c>
      <c r="AI1177" t="n">
        <v>8197</v>
      </c>
      <c r="AJ1177" t="n">
        <v>29</v>
      </c>
      <c r="AK1177" s="42">
        <f>HIPERLINK($A$1 &amp; "\Dados\Magnet_3D_results_1177.txt.txt", "Magnet_3D_results_1177.txt")</f>
        <v/>
      </c>
      <c r="AL1177" s="42">
        <f>HIPERLINK($A$1 &amp; "\Dados\Magnet_fields_2D_1177.txt.txt", "Magnet_fields_2D_1177.txt")</f>
        <v/>
      </c>
    </row>
    <row r="1178">
      <c r="E1178" s="15" t="n">
        <v>141</v>
      </c>
      <c r="F1178" s="15" t="n">
        <v>180</v>
      </c>
      <c r="G1178" s="15" t="n">
        <v>418</v>
      </c>
      <c r="H1178" s="15" t="n">
        <v>45</v>
      </c>
      <c r="I1178" s="15" t="n">
        <v>149</v>
      </c>
      <c r="J1178" s="13" t="n">
        <v>25</v>
      </c>
      <c r="K1178" t="n">
        <v>60</v>
      </c>
      <c r="L1178" s="13" t="n">
        <v>2.5</v>
      </c>
      <c r="M1178" s="12" t="n"/>
      <c r="N1178" s="8" t="n">
        <v>1.545131030197652</v>
      </c>
      <c r="O1178" s="15" t="n">
        <v>1.257487395503851</v>
      </c>
      <c r="P1178" s="15" t="n">
        <v>1.457427094363716</v>
      </c>
      <c r="Q1178" s="15" t="n">
        <v>0.02383948910504614</v>
      </c>
      <c r="R1178" s="15" t="n">
        <v>0.06566209205839432</v>
      </c>
      <c r="S1178" s="15" t="n">
        <v>0.0235418810793539</v>
      </c>
      <c r="T1178" s="42">
        <f>HIPERLINK($A$1 &amp; "\Dados\Imagem_perfil_1178.png", "Imagem_perfil_1178")</f>
        <v/>
      </c>
      <c r="U1178" s="42">
        <f>HIPERLINK($A$1 &amp; "\Dados\Results_airgap1178.txt", "Results_airgap1178")</f>
        <v/>
      </c>
      <c r="V1178" s="19" t="n"/>
      <c r="W1178" s="15" t="n">
        <v>2.140719565217391</v>
      </c>
      <c r="X1178" s="15" t="n">
        <v>0.9981275564027087</v>
      </c>
      <c r="Y1178" s="15" t="n">
        <v>0.09341208204274876</v>
      </c>
      <c r="Z1178" s="15" t="n">
        <v>0</v>
      </c>
      <c r="AA1178" s="15" t="n">
        <v>0</v>
      </c>
      <c r="AB1178" s="15" t="n">
        <v>1.883387181180066</v>
      </c>
      <c r="AC1178" s="15" t="n">
        <v>24.61706952708083</v>
      </c>
      <c r="AD1178" s="15" t="n">
        <v>70.73094306813474</v>
      </c>
      <c r="AE1178" s="15" t="n">
        <v>100.9716669515293</v>
      </c>
      <c r="AF1178" s="15" t="n">
        <v>132.3139403523539</v>
      </c>
      <c r="AH1178" s="42">
        <f>HIPERLINK($A$1 &amp; "\Dados\Magnet_fields_1178.txt.txt", "Magnet_fields_1178.txt")</f>
        <v/>
      </c>
      <c r="AI1178" t="n">
        <v>7706</v>
      </c>
      <c r="AJ1178" t="n">
        <v>29</v>
      </c>
      <c r="AK1178" s="42">
        <f>HIPERLINK($A$1 &amp; "\Dados\Magnet_3D_results_1178.txt.txt", "Magnet_3D_results_1178.txt")</f>
        <v/>
      </c>
      <c r="AL1178" s="42">
        <f>HIPERLINK($A$1 &amp; "\Dados\Magnet_fields_2D_1178.txt.txt", "Magnet_fields_2D_1178.txt")</f>
        <v/>
      </c>
    </row>
    <row r="1179">
      <c r="E1179" s="15" t="n">
        <v>138</v>
      </c>
      <c r="F1179" s="15" t="n">
        <v>179</v>
      </c>
      <c r="G1179" s="15" t="n">
        <v>374</v>
      </c>
      <c r="H1179" s="15" t="n">
        <v>45</v>
      </c>
      <c r="I1179" s="15" t="n">
        <v>175</v>
      </c>
      <c r="J1179" s="13" t="n">
        <v>25</v>
      </c>
      <c r="K1179" t="n">
        <v>55</v>
      </c>
      <c r="L1179" s="13" t="n">
        <v>2.5</v>
      </c>
      <c r="M1179" s="12" t="n"/>
      <c r="N1179" s="8" t="n">
        <v>1.477963705024447</v>
      </c>
      <c r="O1179" s="15" t="n">
        <v>1.290717758840147</v>
      </c>
      <c r="P1179" s="15" t="n">
        <v>1.420441338173092</v>
      </c>
      <c r="Q1179" s="15" t="n">
        <v>0.01013707105951999</v>
      </c>
      <c r="R1179" s="15" t="n">
        <v>0.04723680487969666</v>
      </c>
      <c r="S1179" s="15" t="n">
        <v>0.01045650858257915</v>
      </c>
      <c r="T1179" s="42">
        <f>HIPERLINK($A$1 &amp; "\Dados\Imagem_perfil_1179.png", "Imagem_perfil_1179")</f>
        <v/>
      </c>
      <c r="U1179" s="42">
        <f>HIPERLINK($A$1 &amp; "\Dados\Results_airgap1179.txt", "Results_airgap1179")</f>
        <v/>
      </c>
      <c r="V1179" s="19" t="n"/>
      <c r="W1179" s="15" t="n">
        <v>1.850323043478261</v>
      </c>
      <c r="X1179" s="15" t="n">
        <v>0.9255988180999382</v>
      </c>
      <c r="Y1179" s="15" t="n">
        <v>0.2867668402758805</v>
      </c>
      <c r="Z1179" s="15" t="n">
        <v>0</v>
      </c>
      <c r="AA1179" s="15" t="n">
        <v>0.0006795672272190202</v>
      </c>
      <c r="AB1179" s="15" t="n">
        <v>0.8407800019894517</v>
      </c>
      <c r="AC1179" s="15" t="n">
        <v>12.49545711133904</v>
      </c>
      <c r="AD1179" s="15" t="n">
        <v>57.00693454800025</v>
      </c>
      <c r="AE1179" s="15" t="n">
        <v>94.15847204536873</v>
      </c>
      <c r="AF1179" s="15" t="n">
        <v>125.9407795502736</v>
      </c>
      <c r="AH1179" s="42">
        <f>HIPERLINK($A$1 &amp; "\Dados\Magnet_fields_1179.txt.txt", "Magnet_fields_1179.txt")</f>
        <v/>
      </c>
      <c r="AI1179" t="n">
        <v>10490</v>
      </c>
      <c r="AJ1179" t="n">
        <v>30</v>
      </c>
      <c r="AK1179" s="42">
        <f>HIPERLINK($A$1 &amp; "\Dados\Magnet_3D_results_1179.txt.txt", "Magnet_3D_results_1179.txt")</f>
        <v/>
      </c>
      <c r="AL1179" s="42">
        <f>HIPERLINK($A$1 &amp; "\Dados\Magnet_fields_2D_1179.txt.txt", "Magnet_fields_2D_1179.txt")</f>
        <v/>
      </c>
    </row>
    <row r="1180">
      <c r="E1180" s="15" t="n">
        <v>148</v>
      </c>
      <c r="F1180" s="15" t="n">
        <v>184</v>
      </c>
      <c r="G1180" s="15" t="n">
        <v>406</v>
      </c>
      <c r="H1180" s="15" t="n">
        <v>25</v>
      </c>
      <c r="I1180" s="15" t="n">
        <v>153</v>
      </c>
      <c r="J1180" s="13" t="n">
        <v>25</v>
      </c>
      <c r="K1180" t="n">
        <v>40</v>
      </c>
      <c r="L1180" s="13" t="n">
        <v>2.5</v>
      </c>
      <c r="M1180" s="12" t="n"/>
      <c r="N1180" s="8" t="n">
        <v>1.436938086637804</v>
      </c>
      <c r="O1180" s="15" t="n">
        <v>1.194052369714842</v>
      </c>
      <c r="P1180" s="15" t="n">
        <v>1.362439839548189</v>
      </c>
      <c r="Q1180" s="15" t="n">
        <v>0.001671170069955703</v>
      </c>
      <c r="R1180" s="15" t="n">
        <v>0.02714420054804051</v>
      </c>
      <c r="S1180" s="15" t="n">
        <v>0.001804977355041729</v>
      </c>
      <c r="T1180" s="42">
        <f>HIPERLINK($A$1 &amp; "\Dados\Imagem_perfil_1180.png", "Imagem_perfil_1180")</f>
        <v/>
      </c>
      <c r="U1180" s="42">
        <f>HIPERLINK($A$1 &amp; "\Dados\Results_airgap1180.txt", "Results_airgap1180")</f>
        <v/>
      </c>
      <c r="V1180" s="19" t="n"/>
      <c r="W1180" s="15" t="n">
        <v>1.840040434782608</v>
      </c>
      <c r="X1180" s="15" t="n">
        <v>0.9280488774009253</v>
      </c>
      <c r="Y1180" s="15" t="n">
        <v>0.4106836355632668</v>
      </c>
      <c r="Z1180" s="15" t="n">
        <v>0</v>
      </c>
      <c r="AA1180" s="15" t="n">
        <v>4.135710619765931</v>
      </c>
      <c r="AB1180" s="15" t="n">
        <v>0.5906489295743224</v>
      </c>
      <c r="AC1180" s="15" t="n">
        <v>6.182247828731056</v>
      </c>
      <c r="AD1180" s="15" t="n">
        <v>31.43281447135054</v>
      </c>
      <c r="AE1180" s="15" t="n">
        <v>76.14395301444007</v>
      </c>
      <c r="AF1180" s="15" t="n">
        <v>112.6262607331814</v>
      </c>
      <c r="AH1180" s="42">
        <f>HIPERLINK($A$1 &amp; "\Dados\Magnet_fields_1180.txt.txt", "Magnet_fields_1180.txt")</f>
        <v/>
      </c>
      <c r="AI1180" t="n">
        <v>9694</v>
      </c>
      <c r="AJ1180" t="n">
        <v>30</v>
      </c>
      <c r="AK1180" s="42">
        <f>HIPERLINK($A$1 &amp; "\Dados\Magnet_3D_results_1180.txt.txt", "Magnet_3D_results_1180.txt")</f>
        <v/>
      </c>
      <c r="AL1180" s="42">
        <f>HIPERLINK($A$1 &amp; "\Dados\Magnet_fields_2D_1180.txt.txt", "Magnet_fields_2D_1180.txt")</f>
        <v/>
      </c>
    </row>
    <row r="1181">
      <c r="E1181" s="15" t="n">
        <v>150</v>
      </c>
      <c r="F1181" s="15" t="n">
        <v>182</v>
      </c>
      <c r="G1181" s="15" t="n">
        <v>394</v>
      </c>
      <c r="H1181" s="15" t="n">
        <v>34</v>
      </c>
      <c r="I1181" s="15" t="n">
        <v>179</v>
      </c>
      <c r="J1181" s="13" t="n">
        <v>25</v>
      </c>
      <c r="K1181" t="n">
        <v>60</v>
      </c>
      <c r="L1181" s="13" t="n">
        <v>2.5</v>
      </c>
      <c r="M1181" s="12" t="n"/>
      <c r="N1181" s="8" t="n">
        <v>1.652773210929179</v>
      </c>
      <c r="O1181" s="15" t="n">
        <v>1.47265487028647</v>
      </c>
      <c r="P1181" s="15" t="n">
        <v>1.595887738216119</v>
      </c>
      <c r="Q1181" s="15" t="n">
        <v>0.01935236858321318</v>
      </c>
      <c r="R1181" s="15" t="n">
        <v>0.04715035688712806</v>
      </c>
      <c r="S1181" s="15" t="n">
        <v>0.01945460144585468</v>
      </c>
      <c r="T1181" s="42">
        <f>HIPERLINK($A$1 &amp; "\Dados\Imagem_perfil_1181.png", "Imagem_perfil_1181")</f>
        <v/>
      </c>
      <c r="U1181" s="42">
        <f>HIPERLINK($A$1 &amp; "\Dados\Results_airgap1181.txt", "Results_airgap1181")</f>
        <v/>
      </c>
      <c r="V1181" s="19" t="n"/>
      <c r="W1181" s="15" t="n">
        <v>2.090400652173913</v>
      </c>
      <c r="X1181" s="15" t="n">
        <v>1.019391883460214</v>
      </c>
      <c r="Y1181" s="15" t="n">
        <v>0.09398824222688865</v>
      </c>
      <c r="Z1181" s="15" t="n">
        <v>0.003763702564132138</v>
      </c>
      <c r="AA1181" s="15" t="n">
        <v>2.952068164025988</v>
      </c>
      <c r="AB1181" s="15" t="n">
        <v>0.9662873744814993</v>
      </c>
      <c r="AC1181" s="15" t="n">
        <v>18.87721757086451</v>
      </c>
      <c r="AD1181" s="15" t="n">
        <v>68.09360413325923</v>
      </c>
      <c r="AE1181" s="15" t="n">
        <v>100.6210226741328</v>
      </c>
      <c r="AF1181" s="15" t="n">
        <v>131.7102299636075</v>
      </c>
      <c r="AH1181" s="42">
        <f>HIPERLINK($A$1 &amp; "\Dados\Magnet_fields_1181.txt.txt", "Magnet_fields_1181.txt")</f>
        <v/>
      </c>
      <c r="AI1181" t="n">
        <v>8492</v>
      </c>
      <c r="AJ1181" t="n">
        <v>30</v>
      </c>
      <c r="AK1181" s="42">
        <f>HIPERLINK($A$1 &amp; "\Dados\Magnet_3D_results_1181.txt.txt", "Magnet_3D_results_1181.txt")</f>
        <v/>
      </c>
      <c r="AL1181" s="42">
        <f>HIPERLINK($A$1 &amp; "\Dados\Magnet_fields_2D_1181.txt.txt", "Magnet_fields_2D_1181.txt")</f>
        <v/>
      </c>
    </row>
    <row r="1182">
      <c r="E1182" s="15" t="n">
        <v>150</v>
      </c>
      <c r="F1182" s="15" t="n">
        <v>197</v>
      </c>
      <c r="G1182" s="15" t="n">
        <v>353</v>
      </c>
      <c r="H1182" s="15" t="n">
        <v>30</v>
      </c>
      <c r="I1182" s="15" t="n">
        <v>164</v>
      </c>
      <c r="J1182" s="13" t="n">
        <v>25</v>
      </c>
      <c r="K1182" t="n">
        <v>60</v>
      </c>
      <c r="L1182" s="13" t="n">
        <v>2.5</v>
      </c>
      <c r="M1182" s="12" t="n"/>
      <c r="N1182" s="8" t="n">
        <v>1.211174656595533</v>
      </c>
      <c r="O1182" s="15" t="n">
        <v>1.029318221627912</v>
      </c>
      <c r="P1182" s="15" t="n">
        <v>1.150947874777515</v>
      </c>
      <c r="Q1182" s="15" t="n">
        <v>0.01469153923550637</v>
      </c>
      <c r="R1182" s="15" t="n">
        <v>0.02961799287274402</v>
      </c>
      <c r="S1182" s="15" t="n">
        <v>0.01407777988257616</v>
      </c>
      <c r="T1182" s="42">
        <f>HIPERLINK($A$1 &amp; "\Dados\Imagem_perfil_1182.png", "Imagem_perfil_1182")</f>
        <v/>
      </c>
      <c r="U1182" s="42">
        <f>HIPERLINK($A$1 &amp; "\Dados\Results_airgap1182.txt", "Results_airgap1182")</f>
        <v/>
      </c>
      <c r="V1182" s="19" t="n"/>
      <c r="W1182" s="15" t="n">
        <v>1.562033913043479</v>
      </c>
      <c r="X1182" s="15" t="n">
        <v>0.777932153205153</v>
      </c>
      <c r="Y1182" s="15" t="n">
        <v>0.5423660615951752</v>
      </c>
      <c r="Z1182" s="15" t="n">
        <v>0.03434602647826865</v>
      </c>
      <c r="AA1182" s="15" t="n">
        <v>6.220058074295576</v>
      </c>
      <c r="AB1182" s="15" t="n">
        <v>0</v>
      </c>
      <c r="AC1182" s="15" t="n">
        <v>13.90392048091544</v>
      </c>
      <c r="AD1182" s="15" t="n">
        <v>65.07278111409492</v>
      </c>
      <c r="AE1182" s="15" t="n">
        <v>96.71258156194875</v>
      </c>
      <c r="AF1182" s="15" t="n">
        <v>128.4746023225272</v>
      </c>
      <c r="AH1182" s="42">
        <f>HIPERLINK($A$1 &amp; "\Dados\Magnet_fields_1182.txt.txt", "Magnet_fields_1182.txt")</f>
        <v/>
      </c>
      <c r="AI1182" t="n">
        <v>8277</v>
      </c>
      <c r="AJ1182" t="n">
        <v>29</v>
      </c>
      <c r="AK1182" s="42">
        <f>HIPERLINK($A$1 &amp; "\Dados\Magnet_3D_results_1182.txt.txt", "Magnet_3D_results_1182.txt")</f>
        <v/>
      </c>
      <c r="AL1182" s="42">
        <f>HIPERLINK($A$1 &amp; "\Dados\Magnet_fields_2D_1182.txt.txt", "Magnet_fields_2D_1182.txt")</f>
        <v/>
      </c>
    </row>
    <row r="1183">
      <c r="E1183" s="15" t="n">
        <v>149</v>
      </c>
      <c r="F1183" s="15" t="n">
        <v>191</v>
      </c>
      <c r="G1183" s="15" t="n">
        <v>417</v>
      </c>
      <c r="H1183" s="15" t="n">
        <v>25</v>
      </c>
      <c r="I1183" s="15" t="n">
        <v>149</v>
      </c>
      <c r="J1183" s="13" t="n">
        <v>25</v>
      </c>
      <c r="K1183" t="n">
        <v>50</v>
      </c>
      <c r="L1183" s="13" t="n">
        <v>2.5</v>
      </c>
      <c r="M1183" s="12" t="n"/>
      <c r="N1183" s="8" t="n">
        <v>1.385808283835745</v>
      </c>
      <c r="O1183" s="15" t="n">
        <v>1.118949226613515</v>
      </c>
      <c r="P1183" s="15" t="n">
        <v>1.3076320608678</v>
      </c>
      <c r="Q1183" s="15" t="n">
        <v>0.004072484190431836</v>
      </c>
      <c r="R1183" s="15" t="n">
        <v>0.04028206755306887</v>
      </c>
      <c r="S1183" s="15" t="n">
        <v>0.004838886706886191</v>
      </c>
      <c r="T1183" s="42">
        <f>HIPERLINK($A$1 &amp; "\Dados\Imagem_perfil_1183.png", "Imagem_perfil_1183")</f>
        <v/>
      </c>
      <c r="U1183" s="42">
        <f>HIPERLINK($A$1 &amp; "\Dados\Results_airgap1183.txt", "Results_airgap1183")</f>
        <v/>
      </c>
      <c r="V1183" s="19" t="n"/>
      <c r="W1183" s="15" t="n">
        <v>1.905863695652174</v>
      </c>
      <c r="X1183" s="15" t="n">
        <v>0.8864800825944655</v>
      </c>
      <c r="Y1183" s="15" t="n">
        <v>0.2633455829634058</v>
      </c>
      <c r="Z1183" s="15" t="n">
        <v>0.01110722089413492</v>
      </c>
      <c r="AA1183" s="15" t="n">
        <v>4.973991676011244</v>
      </c>
      <c r="AB1183" s="15" t="n">
        <v>0.5521048873552615</v>
      </c>
      <c r="AC1183" s="15" t="n">
        <v>8.769186816543469</v>
      </c>
      <c r="AD1183" s="15" t="n">
        <v>50.70057390541933</v>
      </c>
      <c r="AE1183" s="15" t="n">
        <v>92.51108068924285</v>
      </c>
      <c r="AF1183" s="15" t="n">
        <v>122.8237534701966</v>
      </c>
      <c r="AH1183" s="42">
        <f>HIPERLINK($A$1 &amp; "\Dados\Magnet_fields_1183.txt.txt", "Magnet_fields_1183.txt")</f>
        <v/>
      </c>
      <c r="AI1183" t="n">
        <v>9769</v>
      </c>
      <c r="AJ1183" t="n">
        <v>29</v>
      </c>
      <c r="AK1183" s="42">
        <f>HIPERLINK($A$1 &amp; "\Dados\Magnet_3D_results_1183.txt.txt", "Magnet_3D_results_1183.txt")</f>
        <v/>
      </c>
      <c r="AL1183" s="42">
        <f>HIPERLINK($A$1 &amp; "\Dados\Magnet_fields_2D_1183.txt.txt", "Magnet_fields_2D_1183.txt")</f>
        <v/>
      </c>
    </row>
    <row r="1184">
      <c r="E1184" s="15" t="n">
        <v>140</v>
      </c>
      <c r="F1184" s="15" t="n">
        <v>187</v>
      </c>
      <c r="G1184" s="15" t="n">
        <v>402</v>
      </c>
      <c r="H1184" s="15" t="n">
        <v>39</v>
      </c>
      <c r="I1184" s="15" t="n">
        <v>141</v>
      </c>
      <c r="J1184" s="13" t="n">
        <v>25</v>
      </c>
      <c r="K1184" t="n">
        <v>40</v>
      </c>
      <c r="L1184" s="13" t="n">
        <v>2.5</v>
      </c>
      <c r="M1184" s="12" t="n"/>
      <c r="N1184" s="8" t="n">
        <v>1.24208373537247</v>
      </c>
      <c r="O1184" s="15" t="n">
        <v>0.965391116910885</v>
      </c>
      <c r="P1184" s="15" t="n">
        <v>1.164608804844945</v>
      </c>
      <c r="Q1184" s="15" t="n">
        <v>0.001239985917307106</v>
      </c>
      <c r="R1184" s="15" t="n">
        <v>0.03329796970755975</v>
      </c>
      <c r="S1184" s="15" t="n">
        <v>0.002271949736525601</v>
      </c>
      <c r="T1184" s="42">
        <f>HIPERLINK($A$1 &amp; "\Dados\Imagem_perfil_1184.png", "Imagem_perfil_1184")</f>
        <v/>
      </c>
      <c r="U1184" s="42">
        <f>HIPERLINK($A$1 &amp; "\Dados\Results_airgap1184.txt", "Results_airgap1184")</f>
        <v/>
      </c>
      <c r="V1184" s="19" t="n"/>
      <c r="W1184" s="15" t="n">
        <v>1.675114565217392</v>
      </c>
      <c r="X1184" s="15" t="n">
        <v>0.8251376867659901</v>
      </c>
      <c r="Y1184" s="15" t="n">
        <v>0.6282291860654309</v>
      </c>
      <c r="Z1184" s="15" t="n">
        <v>0.009277594284905653</v>
      </c>
      <c r="AA1184" s="15" t="n">
        <v>0.01378177204721598</v>
      </c>
      <c r="AB1184" s="15" t="n">
        <v>2.494055941368338</v>
      </c>
      <c r="AC1184" s="15" t="n">
        <v>12.07887761183181</v>
      </c>
      <c r="AD1184" s="15" t="n">
        <v>37.46389499081</v>
      </c>
      <c r="AE1184" s="15" t="n">
        <v>76.1722919171609</v>
      </c>
      <c r="AF1184" s="15" t="n">
        <v>111.933088887732</v>
      </c>
      <c r="AH1184" s="42">
        <f>HIPERLINK($A$1 &amp; "\Dados\Magnet_fields_1184.txt.txt", "Magnet_fields_1184.txt")</f>
        <v/>
      </c>
      <c r="AI1184" t="n">
        <v>7335</v>
      </c>
      <c r="AJ1184" t="n">
        <v>28</v>
      </c>
      <c r="AK1184" s="42">
        <f>HIPERLINK($A$1 &amp; "\Dados\Magnet_3D_results_1184.txt.txt", "Magnet_3D_results_1184.txt")</f>
        <v/>
      </c>
      <c r="AL1184" s="42">
        <f>HIPERLINK($A$1 &amp; "\Dados\Magnet_fields_2D_1184.txt.txt", "Magnet_fields_2D_1184.txt")</f>
        <v/>
      </c>
    </row>
    <row r="1185">
      <c r="E1185" s="15" t="n">
        <v>136</v>
      </c>
      <c r="F1185" s="15" t="n">
        <v>177</v>
      </c>
      <c r="G1185" s="15" t="n">
        <v>367</v>
      </c>
      <c r="H1185" s="15" t="n">
        <v>44</v>
      </c>
      <c r="I1185" s="15" t="n">
        <v>171</v>
      </c>
      <c r="J1185" s="13" t="n">
        <v>25</v>
      </c>
      <c r="K1185" t="n">
        <v>40</v>
      </c>
      <c r="L1185" s="13" t="n">
        <v>2.5</v>
      </c>
      <c r="M1185" s="12" t="n"/>
      <c r="N1185" s="8" t="n">
        <v>1.380918213387124</v>
      </c>
      <c r="O1185" s="15" t="n">
        <v>1.201439955467081</v>
      </c>
      <c r="P1185" s="15" t="n">
        <v>1.330785101508513</v>
      </c>
      <c r="Q1185" s="15" t="n">
        <v>0.001349251860907269</v>
      </c>
      <c r="R1185" s="15" t="n">
        <v>0.0300789097290364</v>
      </c>
      <c r="S1185" s="15" t="n">
        <v>0.001439629109297969</v>
      </c>
      <c r="T1185" s="42">
        <f>HIPERLINK($A$1 &amp; "\Dados\Imagem_perfil_1185.png", "Imagem_perfil_1185")</f>
        <v/>
      </c>
      <c r="U1185" s="42">
        <f>HIPERLINK($A$1 &amp; "\Dados\Results_airgap1185.txt", "Results_airgap1185")</f>
        <v/>
      </c>
      <c r="V1185" s="19" t="n"/>
      <c r="W1185" s="15" t="n">
        <v>1.667672173913043</v>
      </c>
      <c r="X1185" s="15" t="n">
        <v>0.8434302340037282</v>
      </c>
      <c r="Y1185" s="15" t="n">
        <v>0.6017696434673004</v>
      </c>
      <c r="Z1185" s="15" t="n">
        <v>0.01577091873381728</v>
      </c>
      <c r="AA1185" s="15" t="n">
        <v>0.01014872152206695</v>
      </c>
      <c r="AB1185" s="15" t="n">
        <v>1.196807085428605</v>
      </c>
      <c r="AC1185" s="15" t="n">
        <v>8.115982961085637</v>
      </c>
      <c r="AD1185" s="15" t="n">
        <v>33.45581913423236</v>
      </c>
      <c r="AE1185" s="15" t="n">
        <v>76.33768701457261</v>
      </c>
      <c r="AF1185" s="15" t="n">
        <v>112.4709701300259</v>
      </c>
      <c r="AH1185" s="42">
        <f>HIPERLINK($A$1 &amp; "\Dados\Magnet_fields_1185.txt.txt", "Magnet_fields_1185.txt")</f>
        <v/>
      </c>
      <c r="AI1185" t="n">
        <v>7454</v>
      </c>
      <c r="AJ1185" t="n">
        <v>28</v>
      </c>
      <c r="AK1185" s="42">
        <f>HIPERLINK($A$1 &amp; "\Dados\Magnet_3D_results_1185.txt.txt", "Magnet_3D_results_1185.txt")</f>
        <v/>
      </c>
      <c r="AL1185" s="42">
        <f>HIPERLINK($A$1 &amp; "\Dados\Magnet_fields_2D_1185.txt.txt", "Magnet_fields_2D_1185.txt")</f>
        <v/>
      </c>
    </row>
    <row r="1186">
      <c r="E1186" s="15" t="n">
        <v>130</v>
      </c>
      <c r="F1186" s="15" t="n">
        <v>180</v>
      </c>
      <c r="G1186" s="15" t="n">
        <v>418</v>
      </c>
      <c r="H1186" s="15" t="n">
        <v>31</v>
      </c>
      <c r="I1186" s="15" t="n">
        <v>153</v>
      </c>
      <c r="J1186" s="13" t="n">
        <v>25</v>
      </c>
      <c r="K1186" t="n">
        <v>60</v>
      </c>
      <c r="L1186" s="13" t="n">
        <v>2.5</v>
      </c>
      <c r="M1186" s="12" t="n"/>
      <c r="N1186" s="8" t="n">
        <v>1.399336850020429</v>
      </c>
      <c r="O1186" s="15" t="n">
        <v>1.163014901547791</v>
      </c>
      <c r="P1186" s="15" t="n">
        <v>1.330390782430403</v>
      </c>
      <c r="Q1186" s="15" t="n">
        <v>0.02963486164413289</v>
      </c>
      <c r="R1186" s="15" t="n">
        <v>0.07016108856555482</v>
      </c>
      <c r="S1186" s="15" t="n">
        <v>0.03010684065785746</v>
      </c>
      <c r="T1186" s="42">
        <f>HIPERLINK($A$1 &amp; "\Dados\Imagem_perfil_1186.png", "Imagem_perfil_1186")</f>
        <v/>
      </c>
      <c r="U1186" s="42">
        <f>HIPERLINK($A$1 &amp; "\Dados\Results_airgap1186.txt", "Results_airgap1186")</f>
        <v/>
      </c>
      <c r="V1186" s="19" t="n"/>
      <c r="W1186" s="15" t="n">
        <v>1.995519782608696</v>
      </c>
      <c r="X1186" s="15" t="n">
        <v>0.9045454058606716</v>
      </c>
      <c r="Y1186" s="15" t="n">
        <v>0.1972186288262609</v>
      </c>
      <c r="Z1186" s="15" t="n">
        <v>0</v>
      </c>
      <c r="AA1186" s="15" t="n">
        <v>0.6242415577888281</v>
      </c>
      <c r="AB1186" s="15" t="n">
        <v>3.351140316777671</v>
      </c>
      <c r="AC1186" s="15" t="n">
        <v>27.37291497356108</v>
      </c>
      <c r="AD1186" s="15" t="n">
        <v>69.74652755429825</v>
      </c>
      <c r="AE1186" s="15" t="n">
        <v>99.7001071347152</v>
      </c>
      <c r="AF1186" s="15" t="n">
        <v>132.1382703145301</v>
      </c>
      <c r="AH1186" s="42">
        <f>HIPERLINK($A$1 &amp; "\Dados\Magnet_fields_1186.txt.txt", "Magnet_fields_1186.txt")</f>
        <v/>
      </c>
      <c r="AI1186" t="n">
        <v>9617</v>
      </c>
      <c r="AJ1186" t="n">
        <v>30</v>
      </c>
      <c r="AK1186" s="42">
        <f>HIPERLINK($A$1 &amp; "\Dados\Magnet_3D_results_1186.txt.txt", "Magnet_3D_results_1186.txt")</f>
        <v/>
      </c>
      <c r="AL1186" s="42">
        <f>HIPERLINK($A$1 &amp; "\Dados\Magnet_fields_2D_1186.txt.txt", "Magnet_fields_2D_1186.txt")</f>
        <v/>
      </c>
    </row>
    <row r="1187">
      <c r="E1187" s="15" t="n">
        <v>148</v>
      </c>
      <c r="F1187" s="15" t="n">
        <v>198</v>
      </c>
      <c r="G1187" s="15" t="n">
        <v>403</v>
      </c>
      <c r="H1187" s="15" t="n">
        <v>30</v>
      </c>
      <c r="I1187" s="15" t="n">
        <v>140</v>
      </c>
      <c r="J1187" s="13" t="n">
        <v>25</v>
      </c>
      <c r="K1187" t="n">
        <v>55</v>
      </c>
      <c r="L1187" s="13" t="n">
        <v>2.5</v>
      </c>
      <c r="M1187" s="12" t="n"/>
      <c r="N1187" s="8" t="n">
        <v>1.21756152113465</v>
      </c>
      <c r="O1187" s="15" t="n">
        <v>0.9396942648195729</v>
      </c>
      <c r="P1187" s="15" t="n">
        <v>1.135239159107636</v>
      </c>
      <c r="Q1187" s="15" t="n">
        <v>0.008919467459111746</v>
      </c>
      <c r="R1187" s="15" t="n">
        <v>0.04210823585120495</v>
      </c>
      <c r="S1187" s="15" t="n">
        <v>0.01014768575925786</v>
      </c>
      <c r="T1187" s="42">
        <f>HIPERLINK($A$1 &amp; "\Dados\Imagem_perfil_1187.png", "Imagem_perfil_1187")</f>
        <v/>
      </c>
      <c r="U1187" s="42">
        <f>HIPERLINK($A$1 &amp; "\Dados\Results_airgap1187.txt", "Results_airgap1187")</f>
        <v/>
      </c>
      <c r="V1187" s="19" t="n"/>
      <c r="W1187" s="15" t="n">
        <v>1.748861956521739</v>
      </c>
      <c r="X1187" s="15" t="n">
        <v>0.7896287416077977</v>
      </c>
      <c r="Y1187" s="15" t="n">
        <v>0.3942100016746977</v>
      </c>
      <c r="Z1187" s="15" t="n">
        <v>0</v>
      </c>
      <c r="AA1187" s="15" t="n">
        <v>4.966595577875805</v>
      </c>
      <c r="AB1187" s="15" t="n">
        <v>0.8465377842288858</v>
      </c>
      <c r="AC1187" s="15" t="n">
        <v>12.9632573187166</v>
      </c>
      <c r="AD1187" s="15" t="n">
        <v>55.94774251498171</v>
      </c>
      <c r="AE1187" s="15" t="n">
        <v>93.04854861587627</v>
      </c>
      <c r="AF1187" s="15" t="n">
        <v>125.3826985694245</v>
      </c>
      <c r="AH1187" s="42">
        <f>HIPERLINK($A$1 &amp; "\Dados\Magnet_fields_1187.txt.txt", "Magnet_fields_1187.txt")</f>
        <v/>
      </c>
      <c r="AI1187" t="n">
        <v>12508</v>
      </c>
      <c r="AJ1187" t="n">
        <v>30</v>
      </c>
      <c r="AK1187" s="42">
        <f>HIPERLINK($A$1 &amp; "\Dados\Magnet_3D_results_1187.txt.txt", "Magnet_3D_results_1187.txt")</f>
        <v/>
      </c>
      <c r="AL1187" s="42">
        <f>HIPERLINK($A$1 &amp; "\Dados\Magnet_fields_2D_1187.txt.txt", "Magnet_fields_2D_1187.txt")</f>
        <v/>
      </c>
    </row>
    <row r="1188">
      <c r="E1188" s="15" t="n">
        <v>145</v>
      </c>
      <c r="F1188" s="15" t="n">
        <v>192</v>
      </c>
      <c r="G1188" s="15" t="n">
        <v>403</v>
      </c>
      <c r="H1188" s="15" t="n">
        <v>43</v>
      </c>
      <c r="I1188" s="15" t="n">
        <v>157</v>
      </c>
      <c r="J1188" s="13" t="n">
        <v>25</v>
      </c>
      <c r="K1188" t="n">
        <v>60</v>
      </c>
      <c r="L1188" s="13" t="n">
        <v>2.5</v>
      </c>
      <c r="M1188" s="12" t="n"/>
      <c r="N1188" s="8" t="n">
        <v>1.370826920222772</v>
      </c>
      <c r="O1188" s="15" t="n">
        <v>1.155639496049784</v>
      </c>
      <c r="P1188" s="15" t="n">
        <v>1.296175794320453</v>
      </c>
      <c r="Q1188" s="15" t="n">
        <v>0.02035767819940544</v>
      </c>
      <c r="R1188" s="15" t="n">
        <v>0.05586941274477798</v>
      </c>
      <c r="S1188" s="15" t="n">
        <v>0.02013112854260456</v>
      </c>
      <c r="T1188" s="42">
        <f>HIPERLINK($A$1 &amp; "\Dados\Imagem_perfil_1188.png", "Imagem_perfil_1188")</f>
        <v/>
      </c>
      <c r="U1188" s="42">
        <f>HIPERLINK($A$1 &amp; "\Dados\Results_airgap1188.txt", "Results_airgap1188")</f>
        <v/>
      </c>
      <c r="V1188" s="19" t="n"/>
      <c r="W1188" s="15" t="n">
        <v>1.853995869565218</v>
      </c>
      <c r="X1188" s="15" t="n">
        <v>0.8879745921296757</v>
      </c>
      <c r="Y1188" s="15" t="n">
        <v>0.2871451967238625</v>
      </c>
      <c r="Z1188" s="15" t="n">
        <v>0</v>
      </c>
      <c r="AA1188" s="15" t="n">
        <v>0</v>
      </c>
      <c r="AB1188" s="15" t="n">
        <v>0.565087203083188</v>
      </c>
      <c r="AC1188" s="15" t="n">
        <v>17.32722638650624</v>
      </c>
      <c r="AD1188" s="15" t="n">
        <v>66.80530891184368</v>
      </c>
      <c r="AE1188" s="15" t="n">
        <v>99.12870411934601</v>
      </c>
      <c r="AF1188" s="15" t="n">
        <v>130.8228473421802</v>
      </c>
      <c r="AH1188" s="42">
        <f>HIPERLINK($A$1 &amp; "\Dados\Magnet_fields_1188.txt.txt", "Magnet_fields_1188.txt")</f>
        <v/>
      </c>
      <c r="AI1188" t="n">
        <v>7109</v>
      </c>
      <c r="AJ1188" t="n">
        <v>29</v>
      </c>
      <c r="AK1188" s="42">
        <f>HIPERLINK($A$1 &amp; "\Dados\Magnet_3D_results_1188.txt.txt", "Magnet_3D_results_1188.txt")</f>
        <v/>
      </c>
      <c r="AL1188" s="42">
        <f>HIPERLINK($A$1 &amp; "\Dados\Magnet_fields_2D_1188.txt.txt", "Magnet_fields_2D_1188.txt")</f>
        <v/>
      </c>
    </row>
    <row r="1189">
      <c r="E1189" s="15" t="n">
        <v>147</v>
      </c>
      <c r="F1189" s="15" t="n">
        <v>193</v>
      </c>
      <c r="G1189" s="15" t="n">
        <v>423</v>
      </c>
      <c r="H1189" s="15" t="n">
        <v>33</v>
      </c>
      <c r="I1189" s="15" t="n">
        <v>168</v>
      </c>
      <c r="J1189" s="13" t="n">
        <v>25</v>
      </c>
      <c r="K1189" t="n">
        <v>50</v>
      </c>
      <c r="L1189" s="13" t="n">
        <v>2.5</v>
      </c>
      <c r="M1189" s="12" t="n"/>
      <c r="N1189" s="8" t="n">
        <v>1.410075928156345</v>
      </c>
      <c r="O1189" s="15" t="n">
        <v>1.198347784351737</v>
      </c>
      <c r="P1189" s="15" t="n">
        <v>1.350993337621694</v>
      </c>
      <c r="Q1189" s="15" t="n">
        <v>0.004871973199079189</v>
      </c>
      <c r="R1189" s="15" t="n">
        <v>0.04701221049556138</v>
      </c>
      <c r="S1189" s="15" t="n">
        <v>0.005327672291362481</v>
      </c>
      <c r="T1189" s="42">
        <f>HIPERLINK($A$1 &amp; "\Dados\Imagem_perfil_1189.png", "Imagem_perfil_1189")</f>
        <v/>
      </c>
      <c r="U1189" s="42">
        <f>HIPERLINK($A$1 &amp; "\Dados\Results_airgap1189.txt", "Results_airgap1189")</f>
        <v/>
      </c>
      <c r="V1189" s="19" t="n"/>
      <c r="W1189" s="15" t="n">
        <v>1.866548043478261</v>
      </c>
      <c r="X1189" s="15" t="n">
        <v>0.922813608245282</v>
      </c>
      <c r="Y1189" s="15" t="n">
        <v>0.3061296532769591</v>
      </c>
      <c r="Z1189" s="15" t="n">
        <v>0</v>
      </c>
      <c r="AA1189" s="15" t="n">
        <v>1.418079639908613</v>
      </c>
      <c r="AB1189" s="15" t="n">
        <v>0.56818871599701</v>
      </c>
      <c r="AC1189" s="15" t="n">
        <v>9.22048570050103</v>
      </c>
      <c r="AD1189" s="15" t="n">
        <v>51.86329032185085</v>
      </c>
      <c r="AE1189" s="15" t="n">
        <v>92.82197342455748</v>
      </c>
      <c r="AF1189" s="15" t="n">
        <v>122.8729210218559</v>
      </c>
      <c r="AH1189" s="42">
        <f>HIPERLINK($A$1 &amp; "\Dados\Magnet_fields_1189.txt.txt", "Magnet_fields_1189.txt")</f>
        <v/>
      </c>
      <c r="AI1189" t="n">
        <v>7766</v>
      </c>
      <c r="AJ1189" t="n">
        <v>29</v>
      </c>
      <c r="AK1189" s="42">
        <f>HIPERLINK($A$1 &amp; "\Dados\Magnet_3D_results_1189.txt.txt", "Magnet_3D_results_1189.txt")</f>
        <v/>
      </c>
      <c r="AL1189" s="42">
        <f>HIPERLINK($A$1 &amp; "\Dados\Magnet_fields_2D_1189.txt.txt", "Magnet_fields_2D_1189.txt")</f>
        <v/>
      </c>
    </row>
    <row r="1190">
      <c r="E1190" s="15" t="n">
        <v>147</v>
      </c>
      <c r="F1190" s="15" t="n">
        <v>187</v>
      </c>
      <c r="G1190" s="15" t="n">
        <v>394</v>
      </c>
      <c r="H1190" s="15" t="n">
        <v>31</v>
      </c>
      <c r="I1190" s="15" t="n">
        <v>151</v>
      </c>
      <c r="J1190" s="13" t="n">
        <v>25</v>
      </c>
      <c r="K1190" t="n">
        <v>55</v>
      </c>
      <c r="L1190" s="13" t="n">
        <v>2.5</v>
      </c>
      <c r="M1190" s="12" t="n"/>
      <c r="N1190" s="8" t="n">
        <v>1.438133469731649</v>
      </c>
      <c r="O1190" s="15" t="n">
        <v>1.190613083226704</v>
      </c>
      <c r="P1190" s="15" t="n">
        <v>1.363954317769539</v>
      </c>
      <c r="Q1190" s="15" t="n">
        <v>0.008041001896981641</v>
      </c>
      <c r="R1190" s="15" t="n">
        <v>0.04262360710024616</v>
      </c>
      <c r="S1190" s="15" t="n">
        <v>0.008671091369763819</v>
      </c>
      <c r="T1190" s="42">
        <f>HIPERLINK($A$1 &amp; "\Dados\Imagem_perfil_1190.png", "Imagem_perfil_1190")</f>
        <v/>
      </c>
      <c r="U1190" s="42">
        <f>HIPERLINK($A$1 &amp; "\Dados\Results_airgap1190.txt", "Results_airgap1190")</f>
        <v/>
      </c>
      <c r="V1190" s="19" t="n"/>
      <c r="W1190" s="15" t="n">
        <v>1.929949565217392</v>
      </c>
      <c r="X1190" s="15" t="n">
        <v>0.9416920395794836</v>
      </c>
      <c r="Y1190" s="15" t="n">
        <v>0.2180941106156478</v>
      </c>
      <c r="Z1190" s="15" t="n">
        <v>0.002062221969312416</v>
      </c>
      <c r="AA1190" s="15" t="n">
        <v>1.963920960441397</v>
      </c>
      <c r="AB1190" s="15" t="n">
        <v>0.5130927769927796</v>
      </c>
      <c r="AC1190" s="15" t="n">
        <v>16.84116868230811</v>
      </c>
      <c r="AD1190" s="15" t="n">
        <v>62.51294342082313</v>
      </c>
      <c r="AE1190" s="15" t="n">
        <v>95.33134394523738</v>
      </c>
      <c r="AF1190" s="15" t="n">
        <v>126.4274848715678</v>
      </c>
      <c r="AH1190" s="42">
        <f>HIPERLINK($A$1 &amp; "\Dados\Magnet_fields_1190.txt.txt", "Magnet_fields_1190.txt")</f>
        <v/>
      </c>
      <c r="AI1190" t="n">
        <v>12032</v>
      </c>
      <c r="AJ1190" t="n">
        <v>30</v>
      </c>
      <c r="AK1190" s="42">
        <f>HIPERLINK($A$1 &amp; "\Dados\Magnet_3D_results_1190.txt.txt", "Magnet_3D_results_1190.txt")</f>
        <v/>
      </c>
      <c r="AL1190" s="42">
        <f>HIPERLINK($A$1 &amp; "\Dados\Magnet_fields_2D_1190.txt.txt", "Magnet_fields_2D_1190.txt")</f>
        <v/>
      </c>
    </row>
    <row r="1191">
      <c r="E1191" s="15" t="n">
        <v>142</v>
      </c>
      <c r="F1191" s="15" t="n">
        <v>184</v>
      </c>
      <c r="G1191" s="15" t="n">
        <v>399</v>
      </c>
      <c r="H1191" s="15" t="n">
        <v>35</v>
      </c>
      <c r="I1191" s="15" t="n">
        <v>150</v>
      </c>
      <c r="J1191" s="13" t="n">
        <v>25</v>
      </c>
      <c r="K1191" t="n">
        <v>55</v>
      </c>
      <c r="L1191" s="13" t="n">
        <v>2.5</v>
      </c>
      <c r="M1191" s="12" t="n"/>
      <c r="N1191" s="8" t="n">
        <v>1.439655040890841</v>
      </c>
      <c r="O1191" s="15" t="n">
        <v>1.172078234604786</v>
      </c>
      <c r="P1191" s="15" t="n">
        <v>1.359873545530851</v>
      </c>
      <c r="Q1191" s="15" t="n">
        <v>0.009313113179229081</v>
      </c>
      <c r="R1191" s="15" t="n">
        <v>0.04936165520800385</v>
      </c>
      <c r="S1191" s="15" t="n">
        <v>0.009824297208051141</v>
      </c>
      <c r="T1191" s="42">
        <f>HIPERLINK($A$1 &amp; "\Dados\Imagem_perfil_1191.png", "Imagem_perfil_1191")</f>
        <v/>
      </c>
      <c r="U1191" s="42">
        <f>HIPERLINK($A$1 &amp; "\Dados\Results_airgap1191.txt", "Results_airgap1191")</f>
        <v/>
      </c>
      <c r="V1191" s="19" t="n"/>
      <c r="W1191" s="15" t="n">
        <v>1.940845</v>
      </c>
      <c r="X1191" s="15" t="n">
        <v>0.9319619202639785</v>
      </c>
      <c r="Y1191" s="15" t="n">
        <v>0.2216022469818265</v>
      </c>
      <c r="Z1191" s="15" t="n">
        <v>0.007319214839400581</v>
      </c>
      <c r="AA1191" s="15" t="n">
        <v>0.02529039414496321</v>
      </c>
      <c r="AB1191" s="15" t="n">
        <v>0.3460157582647514</v>
      </c>
      <c r="AC1191" s="15" t="n">
        <v>16.09035732021372</v>
      </c>
      <c r="AD1191" s="15" t="n">
        <v>64.53198114322061</v>
      </c>
      <c r="AE1191" s="15" t="n">
        <v>96.77099419550251</v>
      </c>
      <c r="AF1191" s="15" t="n">
        <v>126.9549338371817</v>
      </c>
      <c r="AH1191" s="42">
        <f>HIPERLINK($A$1 &amp; "\Dados\Magnet_fields_1191.txt.txt", "Magnet_fields_1191.txt")</f>
        <v/>
      </c>
      <c r="AI1191" t="n">
        <v>11213</v>
      </c>
      <c r="AJ1191" t="n">
        <v>30</v>
      </c>
      <c r="AK1191" s="42">
        <f>HIPERLINK($A$1 &amp; "\Dados\Magnet_3D_results_1191.txt.txt", "Magnet_3D_results_1191.txt")</f>
        <v/>
      </c>
      <c r="AL1191" s="42">
        <f>HIPERLINK($A$1 &amp; "\Dados\Magnet_fields_2D_1191.txt.txt", "Magnet_fields_2D_1191.txt")</f>
        <v/>
      </c>
    </row>
    <row r="1192">
      <c r="E1192" s="15" t="n">
        <v>143</v>
      </c>
      <c r="F1192" s="15" t="n">
        <v>175</v>
      </c>
      <c r="G1192" s="15" t="n">
        <v>428</v>
      </c>
      <c r="H1192" s="15" t="n">
        <v>43</v>
      </c>
      <c r="I1192" s="15" t="n">
        <v>161</v>
      </c>
      <c r="J1192" s="13" t="n">
        <v>25</v>
      </c>
      <c r="K1192" t="n">
        <v>45</v>
      </c>
      <c r="L1192" s="13" t="n">
        <v>2.5</v>
      </c>
      <c r="M1192" s="12" t="n"/>
      <c r="N1192" s="8" t="n">
        <v>1.667614523291106</v>
      </c>
      <c r="O1192" s="15" t="n">
        <v>1.433617300420484</v>
      </c>
      <c r="P1192" s="15" t="n">
        <v>1.600612774174803</v>
      </c>
      <c r="Q1192" s="15" t="n">
        <v>0.005019577838870784</v>
      </c>
      <c r="R1192" s="15" t="n">
        <v>0.04630890771217763</v>
      </c>
      <c r="S1192" s="15" t="n">
        <v>0.005104005464929125</v>
      </c>
      <c r="T1192" s="42">
        <f>HIPERLINK($A$1 &amp; "\Dados\Imagem_perfil_1192.png", "Imagem_perfil_1192")</f>
        <v/>
      </c>
      <c r="U1192" s="42">
        <f>HIPERLINK($A$1 &amp; "\Dados\Results_airgap1192.txt", "Results_airgap1192")</f>
        <v/>
      </c>
      <c r="V1192" s="19" t="n"/>
      <c r="W1192" s="15" t="n">
        <v>2.132108260869565</v>
      </c>
      <c r="X1192" s="15" t="n">
        <v>1.034474181370087</v>
      </c>
      <c r="Y1192" s="15" t="n">
        <v>0.1254145079463413</v>
      </c>
      <c r="Z1192" s="15" t="n">
        <v>0</v>
      </c>
      <c r="AA1192" s="15" t="n">
        <v>0</v>
      </c>
      <c r="AB1192" s="15" t="n">
        <v>0.2924047410372036</v>
      </c>
      <c r="AC1192" s="15" t="n">
        <v>7.602912600791194</v>
      </c>
      <c r="AD1192" s="15" t="n">
        <v>47.31005956282214</v>
      </c>
      <c r="AE1192" s="15" t="n">
        <v>89.70386983759437</v>
      </c>
      <c r="AF1192" s="15" t="n">
        <v>119.6057453586905</v>
      </c>
      <c r="AH1192" s="42">
        <f>HIPERLINK($A$1 &amp; "\Dados\Magnet_fields_1192.txt.txt", "Magnet_fields_1192.txt")</f>
        <v/>
      </c>
      <c r="AI1192" t="n">
        <v>6564</v>
      </c>
      <c r="AJ1192" t="n">
        <v>28</v>
      </c>
      <c r="AK1192" s="42">
        <f>HIPERLINK($A$1 &amp; "\Dados\Magnet_3D_results_1192.txt.txt", "Magnet_3D_results_1192.txt")</f>
        <v/>
      </c>
      <c r="AL1192" s="42">
        <f>HIPERLINK($A$1 &amp; "\Dados\Magnet_fields_2D_1192.txt.txt", "Magnet_fields_2D_1192.txt")</f>
        <v/>
      </c>
    </row>
    <row r="1193">
      <c r="E1193" s="15" t="n">
        <v>142</v>
      </c>
      <c r="F1193" s="15" t="n">
        <v>187</v>
      </c>
      <c r="G1193" s="15" t="n">
        <v>384</v>
      </c>
      <c r="H1193" s="15" t="n">
        <v>43</v>
      </c>
      <c r="I1193" s="15" t="n">
        <v>160</v>
      </c>
      <c r="J1193" s="13" t="n">
        <v>25</v>
      </c>
      <c r="K1193" t="n">
        <v>40</v>
      </c>
      <c r="L1193" s="13" t="n">
        <v>2.5</v>
      </c>
      <c r="M1193" s="12" t="n"/>
      <c r="N1193" s="8" t="n">
        <v>1.295263277274549</v>
      </c>
      <c r="O1193" s="15" t="n">
        <v>1.091612592882903</v>
      </c>
      <c r="P1193" s="15" t="n">
        <v>1.234902537131256</v>
      </c>
      <c r="Q1193" s="15" t="n">
        <v>0.00120740269949023</v>
      </c>
      <c r="R1193" s="15" t="n">
        <v>0.03062682871259366</v>
      </c>
      <c r="S1193" s="15" t="n">
        <v>0.001463781275384329</v>
      </c>
      <c r="T1193" s="42">
        <f>HIPERLINK($A$1 &amp; "\Dados\Imagem_perfil_1193.png", "Imagem_perfil_1193")</f>
        <v/>
      </c>
      <c r="U1193" s="42">
        <f>HIPERLINK($A$1 &amp; "\Dados\Results_airgap1193.txt", "Results_airgap1193")</f>
        <v/>
      </c>
      <c r="V1193" s="19" t="n"/>
      <c r="W1193" s="15" t="n">
        <v>1.636490217391304</v>
      </c>
      <c r="X1193" s="15" t="n">
        <v>0.8374148879790261</v>
      </c>
      <c r="Y1193" s="15" t="n">
        <v>0.5977821133668094</v>
      </c>
      <c r="Z1193" s="15" t="n">
        <v>0.005801867883111702</v>
      </c>
      <c r="AA1193" s="15" t="n">
        <v>0.007502866137773177</v>
      </c>
      <c r="AB1193" s="15" t="n">
        <v>0.7104688051658489</v>
      </c>
      <c r="AC1193" s="15" t="n">
        <v>7.210120889130596</v>
      </c>
      <c r="AD1193" s="15" t="n">
        <v>35.54367524736659</v>
      </c>
      <c r="AE1193" s="15" t="n">
        <v>80.84312991305443</v>
      </c>
      <c r="AF1193" s="15" t="n">
        <v>114.1335877359566</v>
      </c>
      <c r="AH1193" s="42">
        <f>HIPERLINK($A$1 &amp; "\Dados\Magnet_fields_1193.txt.txt", "Magnet_fields_1193.txt")</f>
        <v/>
      </c>
      <c r="AI1193" t="n">
        <v>6876</v>
      </c>
      <c r="AJ1193" t="n">
        <v>28</v>
      </c>
      <c r="AK1193" s="42">
        <f>HIPERLINK($A$1 &amp; "\Dados\Magnet_3D_results_1193.txt.txt", "Magnet_3D_results_1193.txt")</f>
        <v/>
      </c>
      <c r="AL1193" s="42">
        <f>HIPERLINK($A$1 &amp; "\Dados\Magnet_fields_2D_1193.txt.txt", "Magnet_fields_2D_1193.txt")</f>
        <v/>
      </c>
    </row>
    <row r="1194">
      <c r="E1194" s="15" t="n">
        <v>134</v>
      </c>
      <c r="F1194" s="15" t="n">
        <v>182</v>
      </c>
      <c r="G1194" s="15" t="n">
        <v>402</v>
      </c>
      <c r="H1194" s="15" t="n">
        <v>34</v>
      </c>
      <c r="I1194" s="15" t="n">
        <v>165</v>
      </c>
      <c r="J1194" s="13" t="n">
        <v>25</v>
      </c>
      <c r="K1194" t="n">
        <v>50</v>
      </c>
      <c r="L1194" s="13" t="n">
        <v>2.5</v>
      </c>
      <c r="M1194" s="12" t="n"/>
      <c r="N1194" s="8" t="n">
        <v>1.380913307868748</v>
      </c>
      <c r="O1194" s="15" t="n">
        <v>1.171339647435982</v>
      </c>
      <c r="P1194" s="15" t="n">
        <v>1.325200898605739</v>
      </c>
      <c r="Q1194" s="15" t="n">
        <v>0.006008791623905854</v>
      </c>
      <c r="R1194" s="15" t="n">
        <v>0.05055515929823157</v>
      </c>
      <c r="S1194" s="15" t="n">
        <v>0.006591141922766971</v>
      </c>
      <c r="T1194" s="42">
        <f>HIPERLINK($A$1 &amp; "\Dados\Imagem_perfil_1194.png", "Imagem_perfil_1194")</f>
        <v/>
      </c>
      <c r="U1194" s="42">
        <f>HIPERLINK($A$1 &amp; "\Dados\Results_airgap1194.txt", "Results_airgap1194")</f>
        <v/>
      </c>
      <c r="V1194" s="19" t="n"/>
      <c r="W1194" s="15" t="n">
        <v>1.834174347826087</v>
      </c>
      <c r="X1194" s="15" t="n">
        <v>0.8707288809933764</v>
      </c>
      <c r="Y1194" s="15" t="n">
        <v>0.349317469451527</v>
      </c>
      <c r="Z1194" s="15" t="n">
        <v>0.001627045100419899</v>
      </c>
      <c r="AA1194" s="15" t="n">
        <v>0.03292628015704905</v>
      </c>
      <c r="AB1194" s="15" t="n">
        <v>1.50269624800517</v>
      </c>
      <c r="AC1194" s="15" t="n">
        <v>13.61344594812319</v>
      </c>
      <c r="AD1194" s="15" t="n">
        <v>55.1667195537247</v>
      </c>
      <c r="AE1194" s="15" t="n">
        <v>92.65773525752525</v>
      </c>
      <c r="AF1194" s="15" t="n">
        <v>122.8047130835557</v>
      </c>
      <c r="AH1194" s="42">
        <f>HIPERLINK($A$1 &amp; "\Dados\Magnet_fields_1194.txt.txt", "Magnet_fields_1194.txt")</f>
        <v/>
      </c>
      <c r="AI1194" t="n">
        <v>7544</v>
      </c>
      <c r="AJ1194" t="n">
        <v>29</v>
      </c>
      <c r="AK1194" s="42">
        <f>HIPERLINK($A$1 &amp; "\Dados\Magnet_3D_results_1194.txt.txt", "Magnet_3D_results_1194.txt")</f>
        <v/>
      </c>
      <c r="AL1194" s="42">
        <f>HIPERLINK($A$1 &amp; "\Dados\Magnet_fields_2D_1194.txt.txt", "Magnet_fields_2D_1194.txt")</f>
        <v/>
      </c>
    </row>
    <row r="1195">
      <c r="E1195" s="15" t="n">
        <v>148</v>
      </c>
      <c r="F1195" s="15" t="n">
        <v>184</v>
      </c>
      <c r="G1195" s="15" t="n">
        <v>394</v>
      </c>
      <c r="H1195" s="15" t="n">
        <v>38</v>
      </c>
      <c r="I1195" s="15" t="n">
        <v>179</v>
      </c>
      <c r="J1195" s="13" t="n">
        <v>25</v>
      </c>
      <c r="K1195" t="n">
        <v>55</v>
      </c>
      <c r="L1195" s="13" t="n">
        <v>2.5</v>
      </c>
      <c r="M1195" s="12" t="n"/>
      <c r="N1195" s="8" t="n">
        <v>1.575198524859019</v>
      </c>
      <c r="O1195" s="15" t="n">
        <v>1.406164286523653</v>
      </c>
      <c r="P1195" s="15" t="n">
        <v>1.521199429776817</v>
      </c>
      <c r="Q1195" s="15" t="n">
        <v>0.0101718413815074</v>
      </c>
      <c r="R1195" s="15" t="n">
        <v>0.04566606318688416</v>
      </c>
      <c r="S1195" s="15" t="n">
        <v>0.01016363253539804</v>
      </c>
      <c r="T1195" s="42">
        <f>HIPERLINK($A$1 &amp; "\Dados\Imagem_perfil_1195.png", "Imagem_perfil_1195")</f>
        <v/>
      </c>
      <c r="U1195" s="42">
        <f>HIPERLINK($A$1 &amp; "\Dados\Results_airgap1195.txt", "Results_airgap1195")</f>
        <v/>
      </c>
      <c r="V1195" s="19" t="n"/>
      <c r="W1195" s="15" t="n">
        <v>1.989916739130434</v>
      </c>
      <c r="X1195" s="15" t="n">
        <v>0.9722387054288629</v>
      </c>
      <c r="Y1195" s="15" t="n">
        <v>0.1671697266881897</v>
      </c>
      <c r="Z1195" s="15" t="n">
        <v>0</v>
      </c>
      <c r="AA1195" s="15" t="n">
        <v>0.1876055568334667</v>
      </c>
      <c r="AB1195" s="15" t="n">
        <v>0.7098175950415115</v>
      </c>
      <c r="AC1195" s="15" t="n">
        <v>13.84992196220042</v>
      </c>
      <c r="AD1195" s="15" t="n">
        <v>59.9795388127737</v>
      </c>
      <c r="AE1195" s="15" t="n">
        <v>95.55638133532895</v>
      </c>
      <c r="AF1195" s="15" t="n">
        <v>126.7024132373972</v>
      </c>
      <c r="AH1195" s="42">
        <f>HIPERLINK($A$1 &amp; "\Dados\Magnet_fields_1195.txt.txt", "Magnet_fields_1195.txt")</f>
        <v/>
      </c>
      <c r="AI1195" t="n">
        <v>11851</v>
      </c>
      <c r="AJ1195" t="n">
        <v>30</v>
      </c>
      <c r="AK1195" s="42">
        <f>HIPERLINK($A$1 &amp; "\Dados\Magnet_3D_results_1195.txt.txt", "Magnet_3D_results_1195.txt")</f>
        <v/>
      </c>
      <c r="AL1195" s="42">
        <f>HIPERLINK($A$1 &amp; "\Dados\Magnet_fields_2D_1195.txt.txt", "Magnet_fields_2D_1195.txt")</f>
        <v/>
      </c>
    </row>
    <row r="1196">
      <c r="E1196" s="15" t="n">
        <v>126</v>
      </c>
      <c r="F1196" s="15" t="n">
        <v>175</v>
      </c>
      <c r="G1196" s="15" t="n">
        <v>422</v>
      </c>
      <c r="H1196" s="15" t="n">
        <v>39</v>
      </c>
      <c r="I1196" s="15" t="n">
        <v>149</v>
      </c>
      <c r="J1196" s="13" t="n">
        <v>25</v>
      </c>
      <c r="K1196" t="n">
        <v>50</v>
      </c>
      <c r="L1196" s="13" t="n">
        <v>2.5</v>
      </c>
      <c r="M1196" s="12" t="n"/>
      <c r="N1196" s="8" t="n">
        <v>1.368234501776721</v>
      </c>
      <c r="O1196" s="15" t="n">
        <v>1.123512737318801</v>
      </c>
      <c r="P1196" s="15" t="n">
        <v>1.297964534656273</v>
      </c>
      <c r="Q1196" s="15" t="n">
        <v>0.0085004211806628</v>
      </c>
      <c r="R1196" s="15" t="n">
        <v>0.06073806071905039</v>
      </c>
      <c r="S1196" s="15" t="n">
        <v>0.009628025151051628</v>
      </c>
      <c r="T1196" s="42">
        <f>HIPERLINK($A$1 &amp; "\Dados\Imagem_perfil_1196.png", "Imagem_perfil_1196")</f>
        <v/>
      </c>
      <c r="U1196" s="42">
        <f>HIPERLINK($A$1 &amp; "\Dados\Results_airgap1196.txt", "Results_airgap1196")</f>
        <v/>
      </c>
      <c r="V1196" s="19" t="n"/>
      <c r="W1196" s="15" t="n">
        <v>1.919007391304348</v>
      </c>
      <c r="X1196" s="15" t="n">
        <v>0.8803582965222152</v>
      </c>
      <c r="Y1196" s="15" t="n">
        <v>0.3075278162154697</v>
      </c>
      <c r="Z1196" s="15" t="n">
        <v>0.001199562566471412</v>
      </c>
      <c r="AA1196" s="15" t="n">
        <v>0.01544094001776029</v>
      </c>
      <c r="AB1196" s="15" t="n">
        <v>2.722837372529555</v>
      </c>
      <c r="AC1196" s="15" t="n">
        <v>15.38056783391144</v>
      </c>
      <c r="AD1196" s="15" t="n">
        <v>52.89327714505083</v>
      </c>
      <c r="AE1196" s="15" t="n">
        <v>91.78028717897953</v>
      </c>
      <c r="AF1196" s="15" t="n">
        <v>123.0323430594319</v>
      </c>
      <c r="AH1196" s="42">
        <f>HIPERLINK($A$1 &amp; "\Dados\Magnet_fields_1196.txt.txt", "Magnet_fields_1196.txt")</f>
        <v/>
      </c>
      <c r="AI1196" t="n">
        <v>7024</v>
      </c>
      <c r="AJ1196" t="n">
        <v>29</v>
      </c>
      <c r="AK1196" s="42">
        <f>HIPERLINK($A$1 &amp; "\Dados\Magnet_3D_results_1196.txt.txt", "Magnet_3D_results_1196.txt")</f>
        <v/>
      </c>
      <c r="AL1196" s="42">
        <f>HIPERLINK($A$1 &amp; "\Dados\Magnet_fields_2D_1196.txt.txt", "Magnet_fields_2D_1196.txt")</f>
        <v/>
      </c>
    </row>
    <row r="1197">
      <c r="E1197" s="15" t="n">
        <v>140</v>
      </c>
      <c r="F1197" s="15" t="n">
        <v>175</v>
      </c>
      <c r="G1197" s="15" t="n">
        <v>418</v>
      </c>
      <c r="H1197" s="15" t="n">
        <v>34</v>
      </c>
      <c r="I1197" s="15" t="n">
        <v>167</v>
      </c>
      <c r="J1197" s="13" t="n">
        <v>25</v>
      </c>
      <c r="K1197" t="n">
        <v>40</v>
      </c>
      <c r="L1197" s="13" t="n">
        <v>2.5</v>
      </c>
      <c r="M1197" s="12" t="n"/>
      <c r="N1197" s="8" t="n">
        <v>1.546516706178405</v>
      </c>
      <c r="O1197" s="15" t="n">
        <v>1.331688977077294</v>
      </c>
      <c r="P1197" s="15" t="n">
        <v>1.481278561292104</v>
      </c>
      <c r="Q1197" s="15" t="n">
        <v>0.002140144811657907</v>
      </c>
      <c r="R1197" s="15" t="n">
        <v>0.03598748312260328</v>
      </c>
      <c r="S1197" s="15" t="n">
        <v>0.002171552143136329</v>
      </c>
      <c r="T1197" s="42">
        <f>HIPERLINK($A$1 &amp; "\Dados\Imagem_perfil_1197.png", "Imagem_perfil_1197")</f>
        <v/>
      </c>
      <c r="U1197" s="42">
        <f>HIPERLINK($A$1 &amp; "\Dados\Results_airgap1197.txt", "Results_airgap1197")</f>
        <v/>
      </c>
      <c r="V1197" s="19" t="n"/>
      <c r="W1197" s="15" t="n">
        <v>1.92874347826087</v>
      </c>
      <c r="X1197" s="15" t="n">
        <v>0.9946196957784007</v>
      </c>
      <c r="Y1197" s="15" t="n">
        <v>0.3528941861758285</v>
      </c>
      <c r="Z1197" s="15" t="n">
        <v>0.003523764742632586</v>
      </c>
      <c r="AA1197" s="15" t="n">
        <v>1.551225236658872</v>
      </c>
      <c r="AB1197" s="15" t="n">
        <v>1.125900525303275</v>
      </c>
      <c r="AC1197" s="15" t="n">
        <v>7.784390529732692</v>
      </c>
      <c r="AD1197" s="15" t="n">
        <v>33.66465525774324</v>
      </c>
      <c r="AE1197" s="15" t="n">
        <v>77.60633044613111</v>
      </c>
      <c r="AF1197" s="15" t="n">
        <v>113.1781691987507</v>
      </c>
      <c r="AH1197" s="42">
        <f>HIPERLINK($A$1 &amp; "\Dados\Magnet_fields_1197.txt.txt", "Magnet_fields_1197.txt")</f>
        <v/>
      </c>
      <c r="AI1197" t="n">
        <v>8801</v>
      </c>
      <c r="AJ1197" t="n">
        <v>29</v>
      </c>
      <c r="AK1197" s="42">
        <f>HIPERLINK($A$1 &amp; "\Dados\Magnet_3D_results_1197.txt.txt", "Magnet_3D_results_1197.txt")</f>
        <v/>
      </c>
      <c r="AL1197" s="42">
        <f>HIPERLINK($A$1 &amp; "\Dados\Magnet_fields_2D_1197.txt.txt", "Magnet_fields_2D_1197.txt")</f>
        <v/>
      </c>
    </row>
    <row r="1198">
      <c r="E1198" s="15" t="n">
        <v>123</v>
      </c>
      <c r="F1198" s="15" t="n">
        <v>172</v>
      </c>
      <c r="G1198" s="15" t="n">
        <v>422</v>
      </c>
      <c r="H1198" s="15" t="n">
        <v>31</v>
      </c>
      <c r="I1198" s="15" t="n">
        <v>178</v>
      </c>
      <c r="J1198" s="13" t="n">
        <v>25</v>
      </c>
      <c r="K1198" t="n">
        <v>55</v>
      </c>
      <c r="L1198" s="13" t="n">
        <v>2.5</v>
      </c>
      <c r="M1198" s="12" t="n"/>
      <c r="N1198" s="8" t="n">
        <v>1.508129421633478</v>
      </c>
      <c r="O1198" s="15" t="n">
        <v>1.320672606982548</v>
      </c>
      <c r="P1198" s="15" t="n">
        <v>1.449582618291664</v>
      </c>
      <c r="Q1198" s="15" t="n">
        <v>0.0206800800263846</v>
      </c>
      <c r="R1198" s="15" t="n">
        <v>0.07271266902261159</v>
      </c>
      <c r="S1198" s="15" t="n">
        <v>0.0206947986329246</v>
      </c>
      <c r="T1198" s="42">
        <f>HIPERLINK($A$1 &amp; "\Dados\Imagem_perfil_1198.png", "Imagem_perfil_1198")</f>
        <v/>
      </c>
      <c r="U1198" s="42">
        <f>HIPERLINK($A$1 &amp; "\Dados\Results_airgap1198.txt", "Results_airgap1198")</f>
        <v/>
      </c>
      <c r="V1198" s="19" t="n"/>
      <c r="W1198" s="15" t="n">
        <v>2.005325869565218</v>
      </c>
      <c r="X1198" s="15" t="n">
        <v>0.9406377039157714</v>
      </c>
      <c r="Y1198" s="15" t="n">
        <v>0.2187651096943887</v>
      </c>
      <c r="Z1198" s="15" t="n">
        <v>0.004350934558279054</v>
      </c>
      <c r="AA1198" s="15" t="n">
        <v>0.1383349263505627</v>
      </c>
      <c r="AB1198" s="15" t="n">
        <v>3.061651749781358</v>
      </c>
      <c r="AC1198" s="15" t="n">
        <v>19.89313511813105</v>
      </c>
      <c r="AD1198" s="15" t="n">
        <v>61.16736824577797</v>
      </c>
      <c r="AE1198" s="15" t="n">
        <v>96.04618533848661</v>
      </c>
      <c r="AF1198" s="15" t="n">
        <v>127.2830848088438</v>
      </c>
      <c r="AH1198" s="42">
        <f>HIPERLINK($A$1 &amp; "\Dados\Magnet_fields_1198.txt.txt", "Magnet_fields_1198.txt")</f>
        <v/>
      </c>
      <c r="AI1198" t="n">
        <v>12648</v>
      </c>
      <c r="AJ1198" t="n">
        <v>31</v>
      </c>
      <c r="AK1198" s="42">
        <f>HIPERLINK($A$1 &amp; "\Dados\Magnet_3D_results_1198.txt.txt", "Magnet_3D_results_1198.txt")</f>
        <v/>
      </c>
      <c r="AL1198" s="42">
        <f>HIPERLINK($A$1 &amp; "\Dados\Magnet_fields_2D_1198.txt.txt", "Magnet_fields_2D_1198.txt")</f>
        <v/>
      </c>
    </row>
    <row r="1199">
      <c r="E1199" s="15" t="n">
        <v>132</v>
      </c>
      <c r="F1199" s="15" t="n">
        <v>173</v>
      </c>
      <c r="G1199" s="15" t="n">
        <v>415</v>
      </c>
      <c r="H1199" s="15" t="n">
        <v>34</v>
      </c>
      <c r="I1199" s="15" t="n">
        <v>148</v>
      </c>
      <c r="J1199" s="13" t="n">
        <v>25</v>
      </c>
      <c r="K1199" t="n">
        <v>40</v>
      </c>
      <c r="L1199" s="13" t="n">
        <v>2.5</v>
      </c>
      <c r="M1199" s="12" t="n"/>
      <c r="N1199" s="8" t="n">
        <v>1.392175148226046</v>
      </c>
      <c r="O1199" s="15" t="n">
        <v>1.124360612708646</v>
      </c>
      <c r="P1199" s="15" t="n">
        <v>1.309111404620627</v>
      </c>
      <c r="Q1199" s="15" t="n">
        <v>0.001666517004818313</v>
      </c>
      <c r="R1199" s="15" t="n">
        <v>0.03871237094498486</v>
      </c>
      <c r="S1199" s="15" t="n">
        <v>0.002216941670528985</v>
      </c>
      <c r="T1199" s="42">
        <f>HIPERLINK($A$1 &amp; "\Dados\Imagem_perfil_1199.png", "Imagem_perfil_1199")</f>
        <v/>
      </c>
      <c r="U1199" s="42">
        <f>HIPERLINK($A$1 &amp; "\Dados\Results_airgap1199.txt", "Results_airgap1199")</f>
        <v/>
      </c>
      <c r="V1199" s="19" t="n"/>
      <c r="W1199" s="15" t="n">
        <v>1.829806304347826</v>
      </c>
      <c r="X1199" s="15" t="n">
        <v>0.8891320448746977</v>
      </c>
      <c r="Y1199" s="15" t="n">
        <v>0.4850706912248656</v>
      </c>
      <c r="Z1199" s="15" t="n">
        <v>0.01081107184346629</v>
      </c>
      <c r="AA1199" s="15" t="n">
        <v>0.4344281146889747</v>
      </c>
      <c r="AB1199" s="15" t="n">
        <v>2.466052099246403</v>
      </c>
      <c r="AC1199" s="15" t="n">
        <v>10.99597108575239</v>
      </c>
      <c r="AD1199" s="15" t="n">
        <v>36.19204884043513</v>
      </c>
      <c r="AE1199" s="15" t="n">
        <v>77.35562548101045</v>
      </c>
      <c r="AF1199" s="15" t="n">
        <v>113.0387967596625</v>
      </c>
      <c r="AH1199" s="42">
        <f>HIPERLINK($A$1 &amp; "\Dados\Magnet_fields_1199.txt.txt", "Magnet_fields_1199.txt")</f>
        <v/>
      </c>
      <c r="AI1199" t="n">
        <v>8419</v>
      </c>
      <c r="AJ1199" t="n">
        <v>29</v>
      </c>
      <c r="AK1199" s="42">
        <f>HIPERLINK($A$1 &amp; "\Dados\Magnet_3D_results_1199.txt.txt", "Magnet_3D_results_1199.txt")</f>
        <v/>
      </c>
      <c r="AL1199" s="42">
        <f>HIPERLINK($A$1 &amp; "\Dados\Magnet_fields_2D_1199.txt.txt", "Magnet_fields_2D_1199.txt")</f>
        <v/>
      </c>
    </row>
    <row r="1200">
      <c r="E1200" s="15" t="n">
        <v>137</v>
      </c>
      <c r="F1200" s="15" t="n">
        <v>171</v>
      </c>
      <c r="G1200" s="15" t="n">
        <v>412</v>
      </c>
      <c r="H1200" s="15" t="n">
        <v>28</v>
      </c>
      <c r="I1200" s="15" t="n">
        <v>164</v>
      </c>
      <c r="J1200" s="13" t="n">
        <v>25</v>
      </c>
      <c r="K1200" t="n">
        <v>45</v>
      </c>
      <c r="L1200" s="13" t="n">
        <v>2.5</v>
      </c>
      <c r="M1200" s="12" t="n"/>
      <c r="N1200" s="8" t="n">
        <v>1.602139285981297</v>
      </c>
      <c r="O1200" s="15" t="n">
        <v>1.39603860776085</v>
      </c>
      <c r="P1200" s="15" t="n">
        <v>1.548808530533982</v>
      </c>
      <c r="Q1200" s="15" t="n">
        <v>0.004209018771031223</v>
      </c>
      <c r="R1200" s="15" t="n">
        <v>0.04110609544910018</v>
      </c>
      <c r="S1200" s="15" t="n">
        <v>0.004294504998664929</v>
      </c>
      <c r="T1200" s="42">
        <f>HIPERLINK($A$1 &amp; "\Dados\Imagem_perfil_1200.png", "Imagem_perfil_1200")</f>
        <v/>
      </c>
      <c r="U1200" s="42">
        <f>HIPERLINK($A$1 &amp; "\Dados\Results_airgap1200.txt", "Results_airgap1200")</f>
        <v/>
      </c>
      <c r="V1200" s="19" t="n"/>
      <c r="W1200" s="15" t="n">
        <v>2.046762608695652</v>
      </c>
      <c r="X1200" s="15" t="n">
        <v>1.018589623946217</v>
      </c>
      <c r="Y1200" s="15" t="n">
        <v>0.2025835712945588</v>
      </c>
      <c r="Z1200" s="15" t="n">
        <v>0</v>
      </c>
      <c r="AA1200" s="15" t="n">
        <v>3.213676880553752</v>
      </c>
      <c r="AB1200" s="15" t="n">
        <v>0.8503140611519914</v>
      </c>
      <c r="AC1200" s="15" t="n">
        <v>8.417238926704799</v>
      </c>
      <c r="AD1200" s="15" t="n">
        <v>41.93356470495193</v>
      </c>
      <c r="AE1200" s="15" t="n">
        <v>85.59452928960687</v>
      </c>
      <c r="AF1200" s="15" t="n">
        <v>118.4309507520695</v>
      </c>
      <c r="AH1200" s="42">
        <f>HIPERLINK($A$1 &amp; "\Dados\Magnet_fields_1200.txt.txt", "Magnet_fields_1200.txt")</f>
        <v/>
      </c>
      <c r="AI1200" t="n">
        <v>8943</v>
      </c>
      <c r="AJ1200" t="n">
        <v>29</v>
      </c>
      <c r="AK1200" s="42">
        <f>HIPERLINK($A$1 &amp; "\Dados\Magnet_3D_results_1200.txt.txt", "Magnet_3D_results_1200.txt")</f>
        <v/>
      </c>
      <c r="AL1200" s="42">
        <f>HIPERLINK($A$1 &amp; "\Dados\Magnet_fields_2D_1200.txt.txt", "Magnet_fields_2D_1200.txt")</f>
        <v/>
      </c>
    </row>
    <row r="1201">
      <c r="E1201" s="15" t="n">
        <v>125</v>
      </c>
      <c r="F1201" s="15" t="n">
        <v>172</v>
      </c>
      <c r="G1201" s="15" t="n">
        <v>406</v>
      </c>
      <c r="H1201" s="15" t="n">
        <v>28</v>
      </c>
      <c r="I1201" s="15" t="n">
        <v>166</v>
      </c>
      <c r="J1201" s="13" t="n">
        <v>25</v>
      </c>
      <c r="K1201" t="n">
        <v>45</v>
      </c>
      <c r="L1201" s="13" t="n">
        <v>2.5</v>
      </c>
      <c r="M1201" s="12" t="n"/>
      <c r="N1201" s="8" t="n">
        <v>1.386579232311003</v>
      </c>
      <c r="O1201" s="15" t="n">
        <v>1.16393675667936</v>
      </c>
      <c r="P1201" s="15" t="n">
        <v>1.321390233645087</v>
      </c>
      <c r="Q1201" s="15" t="n">
        <v>0.003840026167994219</v>
      </c>
      <c r="R1201" s="15" t="n">
        <v>0.04771726803400769</v>
      </c>
      <c r="S1201" s="15" t="n">
        <v>0.004352515005135027</v>
      </c>
      <c r="T1201" s="42">
        <f>HIPERLINK($A$1 &amp; "\Dados\Imagem_perfil_1201.png", "Imagem_perfil_1201")</f>
        <v/>
      </c>
      <c r="U1201" s="42">
        <f>HIPERLINK($A$1 &amp; "\Dados\Results_airgap1201.txt", "Results_airgap1201")</f>
        <v/>
      </c>
      <c r="V1201" s="19" t="n"/>
      <c r="W1201" s="15" t="n">
        <v>1.819611086956522</v>
      </c>
      <c r="X1201" s="15" t="n">
        <v>0.874868364608516</v>
      </c>
      <c r="Y1201" s="15" t="n">
        <v>0.4300832047668889</v>
      </c>
      <c r="Z1201" s="15" t="n">
        <v>0</v>
      </c>
      <c r="AA1201" s="15" t="n">
        <v>1.768684653171637</v>
      </c>
      <c r="AB1201" s="15" t="n">
        <v>2.632124196007244</v>
      </c>
      <c r="AC1201" s="15" t="n">
        <v>12.47300617565348</v>
      </c>
      <c r="AD1201" s="15" t="n">
        <v>43.94290004481858</v>
      </c>
      <c r="AE1201" s="15" t="n">
        <v>86.38711841892709</v>
      </c>
      <c r="AF1201" s="15" t="n">
        <v>118.8502063365094</v>
      </c>
      <c r="AH1201" s="42">
        <f>HIPERLINK($A$1 &amp; "\Dados\Magnet_fields_1201.txt.txt", "Magnet_fields_1201.txt")</f>
        <v/>
      </c>
      <c r="AI1201" t="n">
        <v>9159</v>
      </c>
      <c r="AJ1201" t="n">
        <v>30</v>
      </c>
      <c r="AK1201" s="42">
        <f>HIPERLINK($A$1 &amp; "\Dados\Magnet_3D_results_1201.txt.txt", "Magnet_3D_results_1201.txt")</f>
        <v/>
      </c>
      <c r="AL1201" s="42">
        <f>HIPERLINK($A$1 &amp; "\Dados\Magnet_fields_2D_1201.txt.txt", "Magnet_fields_2D_1201.txt")</f>
        <v/>
      </c>
    </row>
    <row r="1202">
      <c r="E1202" s="15" t="n">
        <v>142</v>
      </c>
      <c r="F1202" s="15" t="n">
        <v>182</v>
      </c>
      <c r="G1202" s="15" t="n">
        <v>400</v>
      </c>
      <c r="H1202" s="15" t="n">
        <v>31</v>
      </c>
      <c r="I1202" s="15" t="n">
        <v>170</v>
      </c>
      <c r="J1202" s="13" t="n">
        <v>25</v>
      </c>
      <c r="K1202" t="n">
        <v>45</v>
      </c>
      <c r="L1202" s="13" t="n">
        <v>2.5</v>
      </c>
      <c r="M1202" s="12" t="n"/>
      <c r="N1202" s="8" t="n">
        <v>1.482787197239389</v>
      </c>
      <c r="O1202" s="15" t="n">
        <v>1.291170929514425</v>
      </c>
      <c r="P1202" s="15" t="n">
        <v>1.427684754700064</v>
      </c>
      <c r="Q1202" s="15" t="n">
        <v>0.002859404732974004</v>
      </c>
      <c r="R1202" s="15" t="n">
        <v>0.03819475102680611</v>
      </c>
      <c r="S1202" s="15" t="n">
        <v>0.003002811818817385</v>
      </c>
      <c r="T1202" s="42">
        <f>HIPERLINK($A$1 &amp; "\Dados\Imagem_perfil_1202.png", "Imagem_perfil_1202")</f>
        <v/>
      </c>
      <c r="U1202" s="42">
        <f>HIPERLINK($A$1 &amp; "\Dados\Results_airgap1202.txt", "Results_airgap1202")</f>
        <v/>
      </c>
      <c r="V1202" s="19" t="n"/>
      <c r="W1202" s="15" t="n">
        <v>1.886446956521739</v>
      </c>
      <c r="X1202" s="15" t="n">
        <v>0.9371791623159688</v>
      </c>
      <c r="Y1202" s="15" t="n">
        <v>0.3073388848433766</v>
      </c>
      <c r="Z1202" s="15" t="n">
        <v>0</v>
      </c>
      <c r="AA1202" s="15" t="n">
        <v>1.01051572816685</v>
      </c>
      <c r="AB1202" s="15" t="n">
        <v>1.210467286629608</v>
      </c>
      <c r="AC1202" s="15" t="n">
        <v>11.6800134747672</v>
      </c>
      <c r="AD1202" s="15" t="n">
        <v>46.75980588025617</v>
      </c>
      <c r="AE1202" s="15" t="n">
        <v>85.6535468447708</v>
      </c>
      <c r="AF1202" s="15" t="n">
        <v>117.7826904624895</v>
      </c>
      <c r="AH1202" s="42">
        <f>HIPERLINK($A$1 &amp; "\Dados\Magnet_fields_1202.txt.txt", "Magnet_fields_1202.txt")</f>
        <v/>
      </c>
      <c r="AI1202" t="n">
        <v>7671</v>
      </c>
      <c r="AJ1202" t="n">
        <v>29</v>
      </c>
      <c r="AK1202" s="42">
        <f>HIPERLINK($A$1 &amp; "\Dados\Magnet_3D_results_1202.txt.txt", "Magnet_3D_results_1202.txt")</f>
        <v/>
      </c>
      <c r="AL1202" s="42">
        <f>HIPERLINK($A$1 &amp; "\Dados\Magnet_fields_2D_1202.txt.txt", "Magnet_fields_2D_1202.txt")</f>
        <v/>
      </c>
    </row>
    <row r="1203">
      <c r="E1203" s="15" t="n">
        <v>125</v>
      </c>
      <c r="F1203" s="15" t="n">
        <v>170</v>
      </c>
      <c r="G1203" s="15" t="n">
        <v>372</v>
      </c>
      <c r="H1203" s="15" t="n">
        <v>37</v>
      </c>
      <c r="I1203" s="15" t="n">
        <v>156</v>
      </c>
      <c r="J1203" s="13" t="n">
        <v>25</v>
      </c>
      <c r="K1203" t="n">
        <v>50</v>
      </c>
      <c r="L1203" s="13" t="n">
        <v>2.5</v>
      </c>
      <c r="M1203" s="12" t="n"/>
      <c r="N1203" s="8" t="n">
        <v>1.386699495137752</v>
      </c>
      <c r="O1203" s="15" t="n">
        <v>1.15965814760426</v>
      </c>
      <c r="P1203" s="15" t="n">
        <v>1.317000561724597</v>
      </c>
      <c r="Q1203" s="15" t="n">
        <v>0.007100559868323146</v>
      </c>
      <c r="R1203" s="15" t="n">
        <v>0.04678973988358331</v>
      </c>
      <c r="S1203" s="15" t="n">
        <v>0.007337413820346127</v>
      </c>
      <c r="T1203" s="42">
        <f>HIPERLINK($A$1 &amp; "\Dados\Imagem_perfil_1203.png", "Imagem_perfil_1203")</f>
        <v/>
      </c>
      <c r="U1203" s="42">
        <f>HIPERLINK($A$1 &amp; "\Dados\Results_airgap1203.txt", "Results_airgap1203")</f>
        <v/>
      </c>
      <c r="V1203" s="19" t="n"/>
      <c r="W1203" s="15" t="n">
        <v>1.825910652173913</v>
      </c>
      <c r="X1203" s="15" t="n">
        <v>0.8921497365962974</v>
      </c>
      <c r="Y1203" s="15" t="n">
        <v>0.3590606848429834</v>
      </c>
      <c r="Z1203" s="15" t="n">
        <v>0.00174441847310984</v>
      </c>
      <c r="AA1203" s="15" t="n">
        <v>0</v>
      </c>
      <c r="AB1203" s="15" t="n">
        <v>2.687890535149656</v>
      </c>
      <c r="AC1203" s="15" t="n">
        <v>16.79682151838506</v>
      </c>
      <c r="AD1203" s="15" t="n">
        <v>52.85402667487697</v>
      </c>
      <c r="AE1203" s="15" t="n">
        <v>88.72647005231018</v>
      </c>
      <c r="AF1203" s="15" t="n">
        <v>121.4472422755191</v>
      </c>
      <c r="AH1203" s="42">
        <f>HIPERLINK($A$1 &amp; "\Dados\Magnet_fields_1203.txt.txt", "Magnet_fields_1203.txt")</f>
        <v/>
      </c>
      <c r="AI1203" t="n">
        <v>7111</v>
      </c>
      <c r="AJ1203" t="n">
        <v>28</v>
      </c>
      <c r="AK1203" s="42">
        <f>HIPERLINK($A$1 &amp; "\Dados\Magnet_3D_results_1203.txt.txt", "Magnet_3D_results_1203.txt")</f>
        <v/>
      </c>
      <c r="AL1203" s="42">
        <f>HIPERLINK($A$1 &amp; "\Dados\Magnet_fields_2D_1203.txt.txt", "Magnet_fields_2D_1203.txt")</f>
        <v/>
      </c>
    </row>
    <row r="1204">
      <c r="E1204" s="15" t="n">
        <v>150</v>
      </c>
      <c r="F1204" s="15" t="n">
        <v>181</v>
      </c>
      <c r="G1204" s="15" t="n">
        <v>395</v>
      </c>
      <c r="H1204" s="15" t="n">
        <v>39</v>
      </c>
      <c r="I1204" s="15" t="n">
        <v>165</v>
      </c>
      <c r="J1204" s="13" t="n">
        <v>25</v>
      </c>
      <c r="K1204" t="n">
        <v>40</v>
      </c>
      <c r="L1204" s="13" t="n">
        <v>2.5</v>
      </c>
      <c r="M1204" s="12" t="n"/>
      <c r="N1204" s="8" t="n">
        <v>1.549268904932836</v>
      </c>
      <c r="O1204" s="15" t="n">
        <v>1.339172351860093</v>
      </c>
      <c r="P1204" s="15" t="n">
        <v>1.48574561241179</v>
      </c>
      <c r="Q1204" s="15" t="n">
        <v>0.00226774963834234</v>
      </c>
      <c r="R1204" s="15" t="n">
        <v>0.02760563285008275</v>
      </c>
      <c r="S1204" s="15" t="n">
        <v>0.002289862063944189</v>
      </c>
      <c r="T1204" s="42">
        <f>HIPERLINK($A$1 &amp; "\Dados\Imagem_perfil_1204.png", "Imagem_perfil_1204")</f>
        <v/>
      </c>
      <c r="U1204" s="42">
        <f>HIPERLINK($A$1 &amp; "\Dados\Results_airgap1204.txt", "Results_airgap1204")</f>
        <v/>
      </c>
      <c r="V1204" s="19" t="n"/>
      <c r="W1204" s="15" t="n">
        <v>1.886820434782609</v>
      </c>
      <c r="X1204" s="15" t="n">
        <v>0.9622190293399884</v>
      </c>
      <c r="Y1204" s="15" t="n">
        <v>0.3374268274295915</v>
      </c>
      <c r="Z1204" s="15" t="n">
        <v>0</v>
      </c>
      <c r="AA1204" s="15" t="n">
        <v>0.845653832825388</v>
      </c>
      <c r="AB1204" s="15" t="n">
        <v>0</v>
      </c>
      <c r="AC1204" s="15" t="n">
        <v>3.432200093280351</v>
      </c>
      <c r="AD1204" s="15" t="n">
        <v>28.41221286753179</v>
      </c>
      <c r="AE1204" s="15" t="n">
        <v>75.60482038140746</v>
      </c>
      <c r="AF1204" s="15" t="n">
        <v>112.65459767621</v>
      </c>
      <c r="AH1204" s="42">
        <f>HIPERLINK($A$1 &amp; "\Dados\Magnet_fields_1204.txt.txt", "Magnet_fields_1204.txt")</f>
        <v/>
      </c>
      <c r="AI1204" t="n">
        <v>8116</v>
      </c>
      <c r="AJ1204" t="n">
        <v>29</v>
      </c>
      <c r="AK1204" s="42">
        <f>HIPERLINK($A$1 &amp; "\Dados\Magnet_3D_results_1204.txt.txt", "Magnet_3D_results_1204.txt")</f>
        <v/>
      </c>
      <c r="AL1204" s="42">
        <f>HIPERLINK($A$1 &amp; "\Dados\Magnet_fields_2D_1204.txt.txt", "Magnet_fields_2D_1204.txt")</f>
        <v/>
      </c>
    </row>
    <row r="1205">
      <c r="E1205" s="15" t="n">
        <v>150</v>
      </c>
      <c r="F1205" s="15" t="n">
        <v>186</v>
      </c>
      <c r="G1205" s="15" t="n">
        <v>403</v>
      </c>
      <c r="H1205" s="15" t="n">
        <v>30</v>
      </c>
      <c r="I1205" s="15" t="n">
        <v>176</v>
      </c>
      <c r="J1205" s="13" t="n">
        <v>25</v>
      </c>
      <c r="K1205" t="n">
        <v>45</v>
      </c>
      <c r="L1205" s="13" t="n">
        <v>2.5</v>
      </c>
      <c r="M1205" s="12" t="n"/>
      <c r="N1205" s="8" t="n">
        <v>1.533545272137229</v>
      </c>
      <c r="O1205" s="15" t="n">
        <v>1.358529925407579</v>
      </c>
      <c r="P1205" s="15" t="n">
        <v>1.491375964994245</v>
      </c>
      <c r="Q1205" s="15" t="n">
        <v>0.00312232111768591</v>
      </c>
      <c r="R1205" s="15" t="n">
        <v>0.03378191053411906</v>
      </c>
      <c r="S1205" s="15" t="n">
        <v>0.003147993069694997</v>
      </c>
      <c r="T1205" s="42">
        <f>HIPERLINK($A$1 &amp; "\Dados\Imagem_perfil_1205.png", "Imagem_perfil_1205")</f>
        <v/>
      </c>
      <c r="U1205" s="42">
        <f>HIPERLINK($A$1 &amp; "\Dados\Results_airgap1205.txt", "Results_airgap1205")</f>
        <v/>
      </c>
      <c r="V1205" s="19" t="n"/>
      <c r="W1205" s="15" t="n">
        <v>1.919681304347826</v>
      </c>
      <c r="X1205" s="15" t="n">
        <v>0.9817649673245158</v>
      </c>
      <c r="Y1205" s="15" t="n">
        <v>0.2667843106431761</v>
      </c>
      <c r="Z1205" s="15" t="n">
        <v>0</v>
      </c>
      <c r="AA1205" s="15" t="n">
        <v>2.746300993447474</v>
      </c>
      <c r="AB1205" s="15" t="n">
        <v>0.04680290311309859</v>
      </c>
      <c r="AC1205" s="15" t="n">
        <v>7.521215836495942</v>
      </c>
      <c r="AD1205" s="15" t="n">
        <v>42.97171596333369</v>
      </c>
      <c r="AE1205" s="15" t="n">
        <v>85.45915300606526</v>
      </c>
      <c r="AF1205" s="15" t="n">
        <v>117.9321366355038</v>
      </c>
      <c r="AH1205" s="42">
        <f>HIPERLINK($A$1 &amp; "\Dados\Magnet_fields_1205.txt.txt", "Magnet_fields_1205.txt")</f>
        <v/>
      </c>
      <c r="AI1205" t="n">
        <v>8575</v>
      </c>
      <c r="AJ1205" t="n">
        <v>30</v>
      </c>
      <c r="AK1205" s="42">
        <f>HIPERLINK($A$1 &amp; "\Dados\Magnet_3D_results_1205.txt.txt", "Magnet_3D_results_1205.txt")</f>
        <v/>
      </c>
      <c r="AL1205" s="42">
        <f>HIPERLINK($A$1 &amp; "\Dados\Magnet_fields_2D_1205.txt.txt", "Magnet_fields_2D_1205.txt")</f>
        <v/>
      </c>
    </row>
    <row r="1206">
      <c r="E1206" s="15" t="n">
        <v>140</v>
      </c>
      <c r="F1206" s="15" t="n">
        <v>186</v>
      </c>
      <c r="G1206" s="15" t="n">
        <v>383</v>
      </c>
      <c r="H1206" s="15" t="n">
        <v>38</v>
      </c>
      <c r="I1206" s="15" t="n">
        <v>143</v>
      </c>
      <c r="J1206" s="13" t="n">
        <v>25</v>
      </c>
      <c r="K1206" t="n">
        <v>50</v>
      </c>
      <c r="L1206" s="13" t="n">
        <v>2.5</v>
      </c>
      <c r="M1206" s="12" t="n"/>
      <c r="N1206" s="8" t="n">
        <v>1.28389243088348</v>
      </c>
      <c r="O1206" s="15" t="n">
        <v>1.030793978203014</v>
      </c>
      <c r="P1206" s="15" t="n">
        <v>1.21466182356643</v>
      </c>
      <c r="Q1206" s="15" t="n">
        <v>0.004653646259623967</v>
      </c>
      <c r="R1206" s="15" t="n">
        <v>0.03966660817738542</v>
      </c>
      <c r="S1206" s="15" t="n">
        <v>0.005572938457102107</v>
      </c>
      <c r="T1206" s="42">
        <f>HIPERLINK($A$1 &amp; "\Dados\Imagem_perfil_1206.png", "Imagem_perfil_1206")</f>
        <v/>
      </c>
      <c r="U1206" s="42">
        <f>HIPERLINK($A$1 &amp; "\Dados\Results_airgap1206.txt", "Results_airgap1206")</f>
        <v/>
      </c>
      <c r="V1206" s="19" t="n"/>
      <c r="W1206" s="15" t="n">
        <v>1.75957152173913</v>
      </c>
      <c r="X1206" s="15" t="n">
        <v>0.8398310598831561</v>
      </c>
      <c r="Y1206" s="15" t="n">
        <v>0.411039198288785</v>
      </c>
      <c r="Z1206" s="15" t="n">
        <v>0.0002788063727273036</v>
      </c>
      <c r="AA1206" s="15" t="n">
        <v>0.1318045993905969</v>
      </c>
      <c r="AB1206" s="15" t="n">
        <v>1.698191107488643</v>
      </c>
      <c r="AC1206" s="15" t="n">
        <v>13.89032483782829</v>
      </c>
      <c r="AD1206" s="15" t="n">
        <v>48.84966714703109</v>
      </c>
      <c r="AE1206" s="15" t="n">
        <v>86.52950643178119</v>
      </c>
      <c r="AF1206" s="15" t="n">
        <v>120.5380428760273</v>
      </c>
      <c r="AH1206" s="42">
        <f>HIPERLINK($A$1 &amp; "\Dados\Magnet_fields_1206.txt.txt", "Magnet_fields_1206.txt")</f>
        <v/>
      </c>
      <c r="AI1206" t="n">
        <v>6708</v>
      </c>
      <c r="AJ1206" t="n">
        <v>29</v>
      </c>
      <c r="AK1206" s="42">
        <f>HIPERLINK($A$1 &amp; "\Dados\Magnet_3D_results_1206.txt.txt", "Magnet_3D_results_1206.txt")</f>
        <v/>
      </c>
      <c r="AL1206" s="42">
        <f>HIPERLINK($A$1 &amp; "\Dados\Magnet_fields_2D_1206.txt.txt", "Magnet_fields_2D_1206.txt")</f>
        <v/>
      </c>
    </row>
    <row r="1207">
      <c r="E1207" s="15" t="n">
        <v>146</v>
      </c>
      <c r="F1207" s="15" t="n">
        <v>184</v>
      </c>
      <c r="G1207" s="15" t="n">
        <v>367</v>
      </c>
      <c r="H1207" s="15" t="n">
        <v>28</v>
      </c>
      <c r="I1207" s="15" t="n">
        <v>152</v>
      </c>
      <c r="J1207" s="13" t="n">
        <v>25</v>
      </c>
      <c r="K1207" t="n">
        <v>55</v>
      </c>
      <c r="L1207" s="13" t="n">
        <v>2.5</v>
      </c>
      <c r="M1207" s="12" t="n"/>
      <c r="N1207" s="8" t="n">
        <v>1.39135794556766</v>
      </c>
      <c r="O1207" s="15" t="n">
        <v>1.131295814437468</v>
      </c>
      <c r="P1207" s="15" t="n">
        <v>1.31808755774531</v>
      </c>
      <c r="Q1207" s="15" t="n">
        <v>0.006883268830055181</v>
      </c>
      <c r="R1207" s="15" t="n">
        <v>0.03215675534116907</v>
      </c>
      <c r="S1207" s="15" t="n">
        <v>0.007043981031650745</v>
      </c>
      <c r="T1207" s="42">
        <f>HIPERLINK($A$1 &amp; "\Dados\Imagem_perfil_1207.png", "Imagem_perfil_1207")</f>
        <v/>
      </c>
      <c r="U1207" s="42">
        <f>HIPERLINK($A$1 &amp; "\Dados\Results_airgap1207.txt", "Results_airgap1207")</f>
        <v/>
      </c>
      <c r="V1207" s="19" t="n"/>
      <c r="W1207" s="15" t="n">
        <v>1.829174347826087</v>
      </c>
      <c r="X1207" s="15" t="n">
        <v>0.8855168298338539</v>
      </c>
      <c r="Y1207" s="15" t="n">
        <v>0.2807914617620623</v>
      </c>
      <c r="Z1207" s="15" t="n">
        <v>0.003857265279800246</v>
      </c>
      <c r="AA1207" s="15" t="n">
        <v>6.367584679265108</v>
      </c>
      <c r="AB1207" s="15" t="n">
        <v>0.4995229358699251</v>
      </c>
      <c r="AC1207" s="15" t="n">
        <v>13.64130440486111</v>
      </c>
      <c r="AD1207" s="15" t="n">
        <v>56.00461610504342</v>
      </c>
      <c r="AE1207" s="15" t="n">
        <v>92.47355244420784</v>
      </c>
      <c r="AF1207" s="15" t="n">
        <v>125.2701689720219</v>
      </c>
      <c r="AH1207" s="42">
        <f>HIPERLINK($A$1 &amp; "\Dados\Magnet_fields_1207.txt.txt", "Magnet_fields_1207.txt")</f>
        <v/>
      </c>
      <c r="AI1207" t="n">
        <v>12332</v>
      </c>
      <c r="AJ1207" t="n">
        <v>30</v>
      </c>
      <c r="AK1207" s="42">
        <f>HIPERLINK($A$1 &amp; "\Dados\Magnet_3D_results_1207.txt.txt", "Magnet_3D_results_1207.txt")</f>
        <v/>
      </c>
      <c r="AL1207" s="42">
        <f>HIPERLINK($A$1 &amp; "\Dados\Magnet_fields_2D_1207.txt.txt", "Magnet_fields_2D_1207.txt")</f>
        <v/>
      </c>
    </row>
    <row r="1208">
      <c r="E1208" s="15" t="n">
        <v>139</v>
      </c>
      <c r="F1208" s="15" t="n">
        <v>171</v>
      </c>
      <c r="G1208" s="15" t="n">
        <v>428</v>
      </c>
      <c r="H1208" s="15" t="n">
        <v>38</v>
      </c>
      <c r="I1208" s="15" t="n">
        <v>171</v>
      </c>
      <c r="J1208" s="13" t="n">
        <v>25</v>
      </c>
      <c r="K1208" t="n">
        <v>55</v>
      </c>
      <c r="L1208" s="13" t="n">
        <v>2.5</v>
      </c>
      <c r="M1208" s="12" t="n"/>
      <c r="N1208" s="8" t="n">
        <v>1.742942599687929</v>
      </c>
      <c r="O1208" s="15" t="n">
        <v>1.540946854024875</v>
      </c>
      <c r="P1208" s="15" t="n">
        <v>1.68520084793251</v>
      </c>
      <c r="Q1208" s="15" t="n">
        <v>0.01807746385879223</v>
      </c>
      <c r="R1208" s="15" t="n">
        <v>0.06499844650912392</v>
      </c>
      <c r="S1208" s="15" t="n">
        <v>0.01819236789923441</v>
      </c>
      <c r="T1208" s="42">
        <f>HIPERLINK($A$1 &amp; "\Dados\Imagem_perfil_1208.png", "Imagem_perfil_1208")</f>
        <v/>
      </c>
      <c r="U1208" s="42">
        <f>HIPERLINK($A$1 &amp; "\Dados\Results_airgap1208.txt", "Results_airgap1208")</f>
        <v/>
      </c>
      <c r="V1208" s="19" t="n"/>
      <c r="W1208" s="15" t="n">
        <v>2.272104565217391</v>
      </c>
      <c r="X1208" s="15" t="n">
        <v>1.074225814695934</v>
      </c>
      <c r="Y1208" s="15" t="n">
        <v>0.03881778485033749</v>
      </c>
      <c r="Z1208" s="15" t="n">
        <v>0.03974163603285989</v>
      </c>
      <c r="AA1208" s="15" t="n">
        <v>0.1778095237792963</v>
      </c>
      <c r="AB1208" s="15" t="n">
        <v>1.113888922597886</v>
      </c>
      <c r="AC1208" s="15" t="n">
        <v>11.1980049331791</v>
      </c>
      <c r="AD1208" s="15" t="n">
        <v>66.50216918531906</v>
      </c>
      <c r="AE1208" s="15" t="n">
        <v>100.3765308484496</v>
      </c>
      <c r="AF1208" s="15" t="n">
        <v>128.7682284856727</v>
      </c>
      <c r="AH1208" s="42">
        <f>HIPERLINK($A$1 &amp; "\Dados\Magnet_fields_1208.txt.txt", "Magnet_fields_1208.txt")</f>
        <v/>
      </c>
      <c r="AI1208" t="n">
        <v>12152</v>
      </c>
      <c r="AJ1208" t="n">
        <v>31</v>
      </c>
      <c r="AK1208" s="42">
        <f>HIPERLINK($A$1 &amp; "\Dados\Magnet_3D_results_1208.txt.txt", "Magnet_3D_results_1208.txt")</f>
        <v/>
      </c>
      <c r="AL1208" s="42">
        <f>HIPERLINK($A$1 &amp; "\Dados\Magnet_fields_2D_1208.txt.txt", "Magnet_fields_2D_1208.txt")</f>
        <v/>
      </c>
    </row>
    <row r="1209">
      <c r="E1209" s="15" t="n">
        <v>129</v>
      </c>
      <c r="F1209" s="15" t="n">
        <v>174</v>
      </c>
      <c r="G1209" s="15" t="n">
        <v>425</v>
      </c>
      <c r="H1209" s="15" t="n">
        <v>43</v>
      </c>
      <c r="I1209" s="15" t="n">
        <v>169</v>
      </c>
      <c r="J1209" s="13" t="n">
        <v>25</v>
      </c>
      <c r="K1209" t="n">
        <v>45</v>
      </c>
      <c r="L1209" s="13" t="n">
        <v>2.5</v>
      </c>
      <c r="M1209" s="12" t="n"/>
      <c r="N1209" s="8" t="n">
        <v>1.471010032099425</v>
      </c>
      <c r="O1209" s="15" t="n">
        <v>1.271765921486719</v>
      </c>
      <c r="P1209" s="15" t="n">
        <v>1.410574774710617</v>
      </c>
      <c r="Q1209" s="15" t="n">
        <v>0.003895911295939007</v>
      </c>
      <c r="R1209" s="15" t="n">
        <v>0.0538848426600942</v>
      </c>
      <c r="S1209" s="15" t="n">
        <v>0.00417945046324533</v>
      </c>
      <c r="T1209" s="42">
        <f>HIPERLINK($A$1 &amp; "\Dados\Imagem_perfil_1209.png", "Imagem_perfil_1209")</f>
        <v/>
      </c>
      <c r="U1209" s="42">
        <f>HIPERLINK($A$1 &amp; "\Dados\Results_airgap1209.txt", "Results_airgap1209")</f>
        <v/>
      </c>
      <c r="V1209" s="19" t="n"/>
      <c r="W1209" s="15" t="n">
        <v>1.909176086956522</v>
      </c>
      <c r="X1209" s="15" t="n">
        <v>0.9184355398061094</v>
      </c>
      <c r="Y1209" s="15" t="n">
        <v>0.3255117502263452</v>
      </c>
      <c r="Z1209" s="15" t="n">
        <v>0</v>
      </c>
      <c r="AA1209" s="15" t="n">
        <v>0</v>
      </c>
      <c r="AB1209" s="15" t="n">
        <v>2.036085021384317</v>
      </c>
      <c r="AC1209" s="15" t="n">
        <v>11.62876666819561</v>
      </c>
      <c r="AD1209" s="15" t="n">
        <v>47.33398299719867</v>
      </c>
      <c r="AE1209" s="15" t="n">
        <v>90.01913138020748</v>
      </c>
      <c r="AF1209" s="15" t="n">
        <v>119.8614490636343</v>
      </c>
      <c r="AH1209" s="42">
        <f>HIPERLINK($A$1 &amp; "\Dados\Magnet_fields_1209.txt.txt", "Magnet_fields_1209.txt")</f>
        <v/>
      </c>
      <c r="AI1209" t="n">
        <v>6578</v>
      </c>
      <c r="AJ1209" t="n">
        <v>28</v>
      </c>
      <c r="AK1209" s="42">
        <f>HIPERLINK($A$1 &amp; "\Dados\Magnet_3D_results_1209.txt.txt", "Magnet_3D_results_1209.txt")</f>
        <v/>
      </c>
      <c r="AL1209" s="42">
        <f>HIPERLINK($A$1 &amp; "\Dados\Magnet_fields_2D_1209.txt.txt", "Magnet_fields_2D_1209.txt")</f>
        <v/>
      </c>
    </row>
    <row r="1210">
      <c r="E1210" s="15" t="n">
        <v>150</v>
      </c>
      <c r="F1210" s="15" t="n">
        <v>193</v>
      </c>
      <c r="G1210" s="15" t="n">
        <v>363</v>
      </c>
      <c r="H1210" s="15" t="n">
        <v>40</v>
      </c>
      <c r="I1210" s="15" t="n">
        <v>148</v>
      </c>
      <c r="J1210" s="13" t="n">
        <v>25</v>
      </c>
      <c r="K1210" t="n">
        <v>55</v>
      </c>
      <c r="L1210" s="13" t="n">
        <v>2.5</v>
      </c>
      <c r="M1210" s="12" t="n"/>
      <c r="N1210" s="8" t="n">
        <v>1.307223039227231</v>
      </c>
      <c r="O1210" s="15" t="n">
        <v>1.047266216715169</v>
      </c>
      <c r="P1210" s="15" t="n">
        <v>1.23041278841245</v>
      </c>
      <c r="Q1210" s="15" t="n">
        <v>0.006139754358177615</v>
      </c>
      <c r="R1210" s="15" t="n">
        <v>0.03460741999759549</v>
      </c>
      <c r="S1210" s="15" t="n">
        <v>0.007033227591705795</v>
      </c>
      <c r="T1210" s="42">
        <f>HIPERLINK($A$1 &amp; "\Dados\Imagem_perfil_1210.png", "Imagem_perfil_1210")</f>
        <v/>
      </c>
      <c r="U1210" s="42">
        <f>HIPERLINK($A$1 &amp; "\Dados\Results_airgap1210.txt", "Results_airgap1210")</f>
        <v/>
      </c>
      <c r="V1210" s="19" t="n"/>
      <c r="W1210" s="15" t="n">
        <v>1.693276739130435</v>
      </c>
      <c r="X1210" s="15" t="n">
        <v>0.8501130172913524</v>
      </c>
      <c r="Y1210" s="15" t="n">
        <v>0.4127454927512663</v>
      </c>
      <c r="Z1210" s="15" t="n">
        <v>0.009222964324777176</v>
      </c>
      <c r="AA1210" s="15" t="n">
        <v>0</v>
      </c>
      <c r="AB1210" s="15" t="n">
        <v>0</v>
      </c>
      <c r="AC1210" s="15" t="n">
        <v>13.32973454944087</v>
      </c>
      <c r="AD1210" s="15" t="n">
        <v>63.22659589646246</v>
      </c>
      <c r="AE1210" s="15" t="n">
        <v>94.8146176282758</v>
      </c>
      <c r="AF1210" s="15" t="n">
        <v>125.1361620439114</v>
      </c>
      <c r="AH1210" s="42">
        <f>HIPERLINK($A$1 &amp; "\Dados\Magnet_fields_1210.txt.txt", "Magnet_fields_1210.txt")</f>
        <v/>
      </c>
      <c r="AI1210" t="n">
        <v>10308</v>
      </c>
      <c r="AJ1210" t="n">
        <v>29</v>
      </c>
      <c r="AK1210" s="42">
        <f>HIPERLINK($A$1 &amp; "\Dados\Magnet_3D_results_1210.txt.txt", "Magnet_3D_results_1210.txt")</f>
        <v/>
      </c>
      <c r="AL1210" s="42">
        <f>HIPERLINK($A$1 &amp; "\Dados\Magnet_fields_2D_1210.txt.txt", "Magnet_fields_2D_1210.txt")</f>
        <v/>
      </c>
    </row>
    <row r="1211">
      <c r="E1211" s="15" t="n">
        <v>134</v>
      </c>
      <c r="F1211" s="15" t="n">
        <v>175</v>
      </c>
      <c r="G1211" s="15" t="n">
        <v>356</v>
      </c>
      <c r="H1211" s="15" t="n">
        <v>38</v>
      </c>
      <c r="I1211" s="15" t="n">
        <v>160</v>
      </c>
      <c r="J1211" s="13" t="n">
        <v>25</v>
      </c>
      <c r="K1211" t="n">
        <v>50</v>
      </c>
      <c r="L1211" s="13" t="n">
        <v>2.5</v>
      </c>
      <c r="M1211" s="12" t="n"/>
      <c r="N1211" s="8" t="n">
        <v>1.398169333240018</v>
      </c>
      <c r="O1211" s="15" t="n">
        <v>1.173733664629387</v>
      </c>
      <c r="P1211" s="15" t="n">
        <v>1.324344354972499</v>
      </c>
      <c r="Q1211" s="15" t="n">
        <v>0.004851699817518346</v>
      </c>
      <c r="R1211" s="15" t="n">
        <v>0.03634016661467661</v>
      </c>
      <c r="S1211" s="15" t="n">
        <v>0.005440364623325761</v>
      </c>
      <c r="T1211" s="42">
        <f>HIPERLINK($A$1 &amp; "\Dados\Imagem_perfil_1211.png", "Imagem_perfil_1211")</f>
        <v/>
      </c>
      <c r="U1211" s="42">
        <f>HIPERLINK($A$1 &amp; "\Dados\Results_airgap1211.txt", "Results_airgap1211")</f>
        <v/>
      </c>
      <c r="V1211" s="19" t="n"/>
      <c r="W1211" s="15" t="n">
        <v>1.761388913043478</v>
      </c>
      <c r="X1211" s="15" t="n">
        <v>0.8911620408377295</v>
      </c>
      <c r="Y1211" s="15" t="n">
        <v>0.3950257320829053</v>
      </c>
      <c r="Z1211" s="15" t="n">
        <v>0</v>
      </c>
      <c r="AA1211" s="15" t="n">
        <v>0</v>
      </c>
      <c r="AB1211" s="15" t="n">
        <v>0.9975916049918678</v>
      </c>
      <c r="AC1211" s="15" t="n">
        <v>11.69573491674219</v>
      </c>
      <c r="AD1211" s="15" t="n">
        <v>47.09660901424719</v>
      </c>
      <c r="AE1211" s="15" t="n">
        <v>86.04114287878846</v>
      </c>
      <c r="AF1211" s="15" t="n">
        <v>120.398410464905</v>
      </c>
      <c r="AH1211" s="42">
        <f>HIPERLINK($A$1 &amp; "\Dados\Magnet_fields_1211.txt.txt", "Magnet_fields_1211.txt")</f>
        <v/>
      </c>
      <c r="AI1211" t="n">
        <v>6617</v>
      </c>
      <c r="AJ1211" t="n">
        <v>29</v>
      </c>
      <c r="AK1211" s="42">
        <f>HIPERLINK($A$1 &amp; "\Dados\Magnet_3D_results_1211.txt.txt", "Magnet_3D_results_1211.txt")</f>
        <v/>
      </c>
      <c r="AL1211" s="42">
        <f>HIPERLINK($A$1 &amp; "\Dados\Magnet_fields_2D_1211.txt.txt", "Magnet_fields_2D_1211.txt")</f>
        <v/>
      </c>
    </row>
    <row r="1212">
      <c r="E1212" s="15" t="n">
        <v>148</v>
      </c>
      <c r="F1212" s="15" t="n">
        <v>183</v>
      </c>
      <c r="G1212" s="15" t="n">
        <v>377</v>
      </c>
      <c r="H1212" s="15" t="n">
        <v>45</v>
      </c>
      <c r="I1212" s="15" t="n">
        <v>159</v>
      </c>
      <c r="J1212" s="13" t="n">
        <v>25</v>
      </c>
      <c r="K1212" t="n">
        <v>45</v>
      </c>
      <c r="L1212" s="13" t="n">
        <v>2.5</v>
      </c>
      <c r="M1212" s="12" t="n"/>
      <c r="N1212" s="8" t="n">
        <v>1.491521528746405</v>
      </c>
      <c r="O1212" s="15" t="n">
        <v>1.29292731716226</v>
      </c>
      <c r="P1212" s="15" t="n">
        <v>1.438716115249442</v>
      </c>
      <c r="Q1212" s="15" t="n">
        <v>0.002956153202058201</v>
      </c>
      <c r="R1212" s="15" t="n">
        <v>0.0319845283137039</v>
      </c>
      <c r="S1212" s="15" t="n">
        <v>0.003034731841519445</v>
      </c>
      <c r="T1212" s="42">
        <f>HIPERLINK($A$1 &amp; "\Dados\Imagem_perfil_1212.png", "Imagem_perfil_1212")</f>
        <v/>
      </c>
      <c r="U1212" s="42">
        <f>HIPERLINK($A$1 &amp; "\Dados\Results_airgap1212.txt", "Results_airgap1212")</f>
        <v/>
      </c>
      <c r="V1212" s="19" t="n"/>
      <c r="W1212" s="15" t="n">
        <v>1.856451304347826</v>
      </c>
      <c r="X1212" s="15" t="n">
        <v>0.9600409924705314</v>
      </c>
      <c r="Y1212" s="15" t="n">
        <v>0.3030507529095507</v>
      </c>
      <c r="Z1212" s="15" t="n">
        <v>0</v>
      </c>
      <c r="AA1212" s="15" t="n">
        <v>0</v>
      </c>
      <c r="AB1212" s="15" t="n">
        <v>0</v>
      </c>
      <c r="AC1212" s="15" t="n">
        <v>7.452222999346964</v>
      </c>
      <c r="AD1212" s="15" t="n">
        <v>43.65492231051253</v>
      </c>
      <c r="AE1212" s="15" t="n">
        <v>85.21956318756547</v>
      </c>
      <c r="AF1212" s="15" t="n">
        <v>117.579626721329</v>
      </c>
      <c r="AH1212" s="42">
        <f>HIPERLINK($A$1 &amp; "\Dados\Magnet_fields_1212.txt.txt", "Magnet_fields_1212.txt")</f>
        <v/>
      </c>
      <c r="AI1212" t="n">
        <v>5748</v>
      </c>
      <c r="AJ1212" t="n">
        <v>28</v>
      </c>
      <c r="AK1212" s="42">
        <f>HIPERLINK($A$1 &amp; "\Dados\Magnet_3D_results_1212.txt.txt", "Magnet_3D_results_1212.txt")</f>
        <v/>
      </c>
      <c r="AL1212" s="42">
        <f>HIPERLINK($A$1 &amp; "\Dados\Magnet_fields_2D_1212.txt.txt", "Magnet_fields_2D_1212.txt")</f>
        <v/>
      </c>
    </row>
    <row r="1213">
      <c r="E1213" s="15" t="n">
        <v>137</v>
      </c>
      <c r="F1213" s="15" t="n">
        <v>177</v>
      </c>
      <c r="G1213" s="15" t="n">
        <v>428</v>
      </c>
      <c r="H1213" s="15" t="n">
        <v>37</v>
      </c>
      <c r="I1213" s="15" t="n">
        <v>167</v>
      </c>
      <c r="J1213" s="13" t="n">
        <v>25</v>
      </c>
      <c r="K1213" t="n">
        <v>55</v>
      </c>
      <c r="L1213" s="13" t="n">
        <v>2.6</v>
      </c>
      <c r="M1213" s="12" t="n"/>
      <c r="N1213" s="8" t="n">
        <v>1.580446543511506</v>
      </c>
      <c r="O1213" s="15" t="n">
        <v>1.345621411249454</v>
      </c>
      <c r="P1213" s="15" t="n">
        <v>1.508672923738626</v>
      </c>
      <c r="Q1213" s="15" t="n">
        <v>0.01446830573284689</v>
      </c>
      <c r="R1213" s="15" t="n">
        <v>0.06401078036382193</v>
      </c>
      <c r="S1213" s="15" t="n">
        <v>0.01475069302434916</v>
      </c>
      <c r="T1213" s="42">
        <f>HIPERLINK($A$1 &amp; "\Dados\Imagem_perfil_1213.png", "Imagem_perfil_1213")</f>
        <v/>
      </c>
      <c r="U1213" s="42">
        <f>HIPERLINK($A$1 &amp; "\Dados\Results_airgap1213.txt", "Results_airgap1213")</f>
        <v/>
      </c>
      <c r="V1213" s="19" t="n"/>
      <c r="W1213" s="15" t="n">
        <v>2.108715652173914</v>
      </c>
      <c r="X1213" s="15" t="n">
        <v>1.008068783521464</v>
      </c>
      <c r="Y1213" s="15" t="n">
        <v>0.1792795268582817</v>
      </c>
      <c r="Z1213" s="15" t="n">
        <v>0</v>
      </c>
      <c r="AA1213" s="15" t="n">
        <v>0.1125346025690068</v>
      </c>
      <c r="AB1213" s="15" t="n">
        <v>1.273930392114066</v>
      </c>
      <c r="AC1213" s="15" t="n">
        <v>13.8107626836832</v>
      </c>
      <c r="AD1213" s="15" t="n">
        <v>59.41508249610501</v>
      </c>
      <c r="AE1213" s="15" t="n">
        <v>96.75692904244991</v>
      </c>
      <c r="AF1213" s="15" t="n">
        <v>127.5296173037743</v>
      </c>
      <c r="AH1213" s="42">
        <f>HIPERLINK($A$1 &amp; "\Dados\Magnet_fields_1213.txt.txt", "Magnet_fields_1213.txt")</f>
        <v/>
      </c>
      <c r="AI1213" t="n">
        <v>12347</v>
      </c>
      <c r="AJ1213" t="n">
        <v>31</v>
      </c>
      <c r="AK1213" s="42">
        <f>HIPERLINK($A$1 &amp; "\Dados\Magnet_3D_results_1213.txt.txt", "Magnet_3D_results_1213.txt")</f>
        <v/>
      </c>
      <c r="AL1213" s="42">
        <f>HIPERLINK($A$1 &amp; "\Dados\Magnet_fields_2D_1213.txt.txt", "Magnet_fields_2D_1213.txt")</f>
        <v/>
      </c>
    </row>
    <row r="1214">
      <c r="E1214" s="15" t="n">
        <v>150</v>
      </c>
      <c r="F1214" s="15" t="n">
        <v>186</v>
      </c>
      <c r="G1214" s="15" t="n">
        <v>368</v>
      </c>
      <c r="H1214" s="15" t="n">
        <v>27</v>
      </c>
      <c r="I1214" s="15" t="n">
        <v>174</v>
      </c>
      <c r="J1214" s="13" t="n">
        <v>25</v>
      </c>
      <c r="K1214" t="n">
        <v>50</v>
      </c>
      <c r="L1214" s="13" t="n">
        <v>2.6</v>
      </c>
      <c r="M1214" s="12" t="n"/>
      <c r="N1214" s="8" t="n">
        <v>1.439140374213715</v>
      </c>
      <c r="O1214" s="15" t="n">
        <v>1.262938420772901</v>
      </c>
      <c r="P1214" s="15" t="n">
        <v>1.379014349589375</v>
      </c>
      <c r="Q1214" s="15" t="n">
        <v>0.004058763300825935</v>
      </c>
      <c r="R1214" s="15" t="n">
        <v>0.026501349994326</v>
      </c>
      <c r="S1214" s="15" t="n">
        <v>0.003956231086401713</v>
      </c>
      <c r="T1214" s="42">
        <f>HIPERLINK($A$1 &amp; "\Dados\Imagem_perfil_1214.png", "Imagem_perfil_1214")</f>
        <v/>
      </c>
      <c r="U1214" s="42">
        <f>HIPERLINK($A$1 &amp; "\Dados\Results_airgap1214.txt", "Results_airgap1214")</f>
        <v/>
      </c>
      <c r="V1214" s="19" t="n"/>
      <c r="W1214" s="15" t="n">
        <v>1.787479782608696</v>
      </c>
      <c r="X1214" s="15" t="n">
        <v>0.8724591716790749</v>
      </c>
      <c r="Y1214" s="15" t="n">
        <v>0.3994040071242486</v>
      </c>
      <c r="Z1214" s="15" t="n">
        <v>0.002442833132550738</v>
      </c>
      <c r="AA1214" s="15" t="n">
        <v>7.317434481081417</v>
      </c>
      <c r="AB1214" s="15" t="n">
        <v>0</v>
      </c>
      <c r="AC1214" s="15" t="n">
        <v>5.955326030825787</v>
      </c>
      <c r="AD1214" s="15" t="n">
        <v>43.10205493940887</v>
      </c>
      <c r="AE1214" s="15" t="n">
        <v>87.49472632291197</v>
      </c>
      <c r="AF1214" s="15" t="n">
        <v>121.0690158391461</v>
      </c>
      <c r="AH1214" s="42">
        <f>HIPERLINK($A$1 &amp; "\Dados\Magnet_fields_1214.txt.txt", "Magnet_fields_1214.txt")</f>
        <v/>
      </c>
      <c r="AI1214" t="n">
        <v>9264</v>
      </c>
      <c r="AJ1214" t="n">
        <v>29</v>
      </c>
      <c r="AK1214" s="42">
        <f>HIPERLINK($A$1 &amp; "\Dados\Magnet_3D_results_1214.txt.txt", "Magnet_3D_results_1214.txt")</f>
        <v/>
      </c>
      <c r="AL1214" s="42">
        <f>HIPERLINK($A$1 &amp; "\Dados\Magnet_fields_2D_1214.txt.txt", "Magnet_fields_2D_1214.txt")</f>
        <v/>
      </c>
    </row>
    <row r="1215">
      <c r="E1215" s="15" t="n">
        <v>150</v>
      </c>
      <c r="F1215" s="15" t="n">
        <v>181</v>
      </c>
      <c r="G1215" s="15" t="n">
        <v>425</v>
      </c>
      <c r="H1215" s="15" t="n">
        <v>27</v>
      </c>
      <c r="I1215" s="15" t="n">
        <v>170</v>
      </c>
      <c r="J1215" s="13" t="n">
        <v>25</v>
      </c>
      <c r="K1215" t="n">
        <v>60</v>
      </c>
      <c r="L1215" s="13" t="n">
        <v>2.6</v>
      </c>
      <c r="M1215" s="12" t="n"/>
      <c r="N1215" s="8" t="n">
        <v>1.698882435889389</v>
      </c>
      <c r="O1215" s="15" t="n">
        <v>1.49012050942648</v>
      </c>
      <c r="P1215" s="15" t="n">
        <v>1.634318624916837</v>
      </c>
      <c r="Q1215" s="15" t="n">
        <v>0.02447448082406254</v>
      </c>
      <c r="R1215" s="15" t="n">
        <v>0.05579121030187875</v>
      </c>
      <c r="S1215" s="15" t="n">
        <v>0.02406120434460658</v>
      </c>
      <c r="T1215" s="42">
        <f>HIPERLINK($A$1 &amp; "\Dados\Imagem_perfil_1215.png", "Imagem_perfil_1215")</f>
        <v/>
      </c>
      <c r="U1215" s="42">
        <f>HIPERLINK($A$1 &amp; "\Dados\Results_airgap1215.txt", "Results_airgap1215")</f>
        <v/>
      </c>
      <c r="V1215" s="19" t="n"/>
      <c r="W1215" s="15" t="n">
        <v>2.25634347826087</v>
      </c>
      <c r="X1215" s="15" t="n">
        <v>1.043917355622213</v>
      </c>
      <c r="Y1215" s="15" t="n">
        <v>0.06417187280103923</v>
      </c>
      <c r="Z1215" s="15" t="n">
        <v>0.01560785767594042</v>
      </c>
      <c r="AA1215" s="15" t="n">
        <v>6.021939059968733</v>
      </c>
      <c r="AB1215" s="15" t="n">
        <v>1.407090444900444</v>
      </c>
      <c r="AC1215" s="15" t="n">
        <v>19.52624034610652</v>
      </c>
      <c r="AD1215" s="15" t="n">
        <v>68.91316928476326</v>
      </c>
      <c r="AE1215" s="15" t="n">
        <v>101.9085935111402</v>
      </c>
      <c r="AF1215" s="15" t="n">
        <v>132.5547022687845</v>
      </c>
      <c r="AH1215" s="42">
        <f>HIPERLINK($A$1 &amp; "\Dados\Magnet_fields_1215.txt.txt", "Magnet_fields_1215.txt")</f>
        <v/>
      </c>
      <c r="AI1215" t="n">
        <v>11367</v>
      </c>
      <c r="AJ1215" t="n">
        <v>30</v>
      </c>
      <c r="AK1215" s="42">
        <f>HIPERLINK($A$1 &amp; "\Dados\Magnet_3D_results_1215.txt.txt", "Magnet_3D_results_1215.txt")</f>
        <v/>
      </c>
      <c r="AL1215" s="42">
        <f>HIPERLINK($A$1 &amp; "\Dados\Magnet_fields_2D_1215.txt.txt", "Magnet_fields_2D_1215.txt")</f>
        <v/>
      </c>
    </row>
    <row r="1216">
      <c r="E1216" s="15" t="n">
        <v>139</v>
      </c>
      <c r="F1216" s="15" t="n">
        <v>184</v>
      </c>
      <c r="G1216" s="15" t="n">
        <v>366</v>
      </c>
      <c r="H1216" s="15" t="n">
        <v>30</v>
      </c>
      <c r="I1216" s="15" t="n">
        <v>160</v>
      </c>
      <c r="J1216" s="13" t="n">
        <v>25</v>
      </c>
      <c r="K1216" t="n">
        <v>45</v>
      </c>
      <c r="L1216" s="13" t="n">
        <v>2.6</v>
      </c>
      <c r="M1216" s="12" t="n"/>
      <c r="N1216" s="8" t="n">
        <v>1.298090520219313</v>
      </c>
      <c r="O1216" s="15" t="n">
        <v>1.097318885589219</v>
      </c>
      <c r="P1216" s="15" t="n">
        <v>1.24396988314907</v>
      </c>
      <c r="Q1216" s="15" t="n">
        <v>0.002111189744627782</v>
      </c>
      <c r="R1216" s="15" t="n">
        <v>0.03140830087737383</v>
      </c>
      <c r="S1216" s="15" t="n">
        <v>0.002431618200145451</v>
      </c>
      <c r="T1216" s="42">
        <f>HIPERLINK($A$1 &amp; "\Dados\Imagem_perfil_1216.png", "Imagem_perfil_1216")</f>
        <v/>
      </c>
      <c r="U1216" s="42">
        <f>HIPERLINK($A$1 &amp; "\Dados\Results_airgap1216.txt", "Results_airgap1216")</f>
        <v/>
      </c>
      <c r="V1216" s="19" t="n"/>
      <c r="W1216" s="15" t="n">
        <v>1.662263913043478</v>
      </c>
      <c r="X1216" s="15" t="n">
        <v>0.8434209733542808</v>
      </c>
      <c r="Y1216" s="15" t="n">
        <v>0.5856874293984208</v>
      </c>
      <c r="Z1216" s="15" t="n">
        <v>0</v>
      </c>
      <c r="AA1216" s="15" t="n">
        <v>0.6927453465257488</v>
      </c>
      <c r="AB1216" s="15" t="n">
        <v>0.387373708513989</v>
      </c>
      <c r="AC1216" s="15" t="n">
        <v>8.659077444220383</v>
      </c>
      <c r="AD1216" s="15" t="n">
        <v>45.97944762131829</v>
      </c>
      <c r="AE1216" s="15" t="n">
        <v>86.91857594891114</v>
      </c>
      <c r="AF1216" s="15" t="n">
        <v>117.8212008981449</v>
      </c>
      <c r="AH1216" s="42">
        <f>HIPERLINK($A$1 &amp; "\Dados\Magnet_fields_1216.txt.txt", "Magnet_fields_1216.txt")</f>
        <v/>
      </c>
      <c r="AI1216" t="n">
        <v>7093</v>
      </c>
      <c r="AJ1216" t="n">
        <v>29</v>
      </c>
      <c r="AK1216" s="42">
        <f>HIPERLINK($A$1 &amp; "\Dados\Magnet_3D_results_1216.txt.txt", "Magnet_3D_results_1216.txt")</f>
        <v/>
      </c>
      <c r="AL1216" s="42">
        <f>HIPERLINK($A$1 &amp; "\Dados\Magnet_fields_2D_1216.txt.txt", "Magnet_fields_2D_1216.txt")</f>
        <v/>
      </c>
    </row>
    <row r="1217">
      <c r="E1217" s="15" t="n">
        <v>149</v>
      </c>
      <c r="F1217" s="15" t="n">
        <v>182</v>
      </c>
      <c r="G1217" s="15" t="n">
        <v>408</v>
      </c>
      <c r="H1217" s="15" t="n">
        <v>45</v>
      </c>
      <c r="I1217" s="15" t="n">
        <v>166</v>
      </c>
      <c r="J1217" s="13" t="n">
        <v>25</v>
      </c>
      <c r="K1217" t="n">
        <v>40</v>
      </c>
      <c r="L1217" s="13" t="n">
        <v>2.6</v>
      </c>
      <c r="M1217" s="12" t="n"/>
      <c r="N1217" s="8" t="n">
        <v>1.553883108155465</v>
      </c>
      <c r="O1217" s="15" t="n">
        <v>1.334410493698195</v>
      </c>
      <c r="P1217" s="15" t="n">
        <v>1.489995010099769</v>
      </c>
      <c r="Q1217" s="15" t="n">
        <v>0.002189440627521379</v>
      </c>
      <c r="R1217" s="15" t="n">
        <v>0.03161169855292183</v>
      </c>
      <c r="S1217" s="15" t="n">
        <v>0.002231188005701214</v>
      </c>
      <c r="T1217" s="42">
        <f>HIPERLINK($A$1 &amp; "\Dados\Imagem_perfil_1217.png", "Imagem_perfil_1217")</f>
        <v/>
      </c>
      <c r="U1217" s="42">
        <f>HIPERLINK($A$1 &amp; "\Dados\Results_airgap1217.txt", "Results_airgap1217")</f>
        <v/>
      </c>
      <c r="V1217" s="19" t="n"/>
      <c r="W1217" s="15" t="n">
        <v>1.898491304347826</v>
      </c>
      <c r="X1217" s="15" t="n">
        <v>0.9777697750143217</v>
      </c>
      <c r="Y1217" s="15" t="n">
        <v>0.4146899000849658</v>
      </c>
      <c r="Z1217" s="15" t="n">
        <v>0.0002103184972723956</v>
      </c>
      <c r="AA1217" s="15" t="n">
        <v>0.005775231327927594</v>
      </c>
      <c r="AB1217" s="15" t="n">
        <v>0.01952202304163645</v>
      </c>
      <c r="AC1217" s="15" t="n">
        <v>5.262588026369654</v>
      </c>
      <c r="AD1217" s="15" t="n">
        <v>30.1867685351543</v>
      </c>
      <c r="AE1217" s="15" t="n">
        <v>76.40197385349647</v>
      </c>
      <c r="AF1217" s="15" t="n">
        <v>112.8740922865037</v>
      </c>
      <c r="AH1217" s="42">
        <f>HIPERLINK($A$1 &amp; "\Dados\Magnet_fields_1217.txt.txt", "Magnet_fields_1217.txt")</f>
        <v/>
      </c>
      <c r="AI1217" t="n">
        <v>7438</v>
      </c>
      <c r="AJ1217" t="n">
        <v>30</v>
      </c>
      <c r="AK1217" s="42">
        <f>HIPERLINK($A$1 &amp; "\Dados\Magnet_3D_results_1217.txt.txt", "Magnet_3D_results_1217.txt")</f>
        <v/>
      </c>
      <c r="AL1217" s="42">
        <f>HIPERLINK($A$1 &amp; "\Dados\Magnet_fields_2D_1217.txt.txt", "Magnet_fields_2D_1217.txt")</f>
        <v/>
      </c>
    </row>
    <row r="1218">
      <c r="E1218" s="15" t="n">
        <v>149</v>
      </c>
      <c r="F1218" s="15" t="n">
        <v>192</v>
      </c>
      <c r="G1218" s="15" t="n">
        <v>419</v>
      </c>
      <c r="H1218" s="15" t="n">
        <v>25</v>
      </c>
      <c r="I1218" s="15" t="n">
        <v>143</v>
      </c>
      <c r="J1218" s="13" t="n">
        <v>25</v>
      </c>
      <c r="K1218" t="n">
        <v>45</v>
      </c>
      <c r="L1218" s="13" t="n">
        <v>2.6</v>
      </c>
      <c r="M1218" s="12" t="n"/>
      <c r="N1218" s="8" t="n">
        <v>1.319222958895569</v>
      </c>
      <c r="O1218" s="15" t="n">
        <v>1.032166042389963</v>
      </c>
      <c r="P1218" s="15" t="n">
        <v>1.245191182568117</v>
      </c>
      <c r="Q1218" s="15" t="n">
        <v>0.002202847677922342</v>
      </c>
      <c r="R1218" s="15" t="n">
        <v>0.03487427825965465</v>
      </c>
      <c r="S1218" s="15" t="n">
        <v>0.002935794562185043</v>
      </c>
      <c r="T1218" s="42">
        <f>HIPERLINK($A$1 &amp; "\Dados\Imagem_perfil_1218.png", "Imagem_perfil_1218")</f>
        <v/>
      </c>
      <c r="U1218" s="42">
        <f>HIPERLINK($A$1 &amp; "\Dados\Results_airgap1218.txt", "Results_airgap1218")</f>
        <v/>
      </c>
      <c r="V1218" s="19" t="n"/>
      <c r="W1218" s="15" t="n">
        <v>1.828956304347826</v>
      </c>
      <c r="X1218" s="15" t="n">
        <v>0.8544511626897169</v>
      </c>
      <c r="Y1218" s="15" t="n">
        <v>0.4297416622629715</v>
      </c>
      <c r="Z1218" s="15" t="n">
        <v>0</v>
      </c>
      <c r="AA1218" s="15" t="n">
        <v>4.261756328164878</v>
      </c>
      <c r="AB1218" s="15" t="n">
        <v>0.711654981381306</v>
      </c>
      <c r="AC1218" s="15" t="n">
        <v>6.360065853581832</v>
      </c>
      <c r="AD1218" s="15" t="n">
        <v>40.71264000419451</v>
      </c>
      <c r="AE1218" s="15" t="n">
        <v>87.62564077665962</v>
      </c>
      <c r="AF1218" s="15" t="n">
        <v>118.8948624656054</v>
      </c>
      <c r="AH1218" s="42">
        <f>HIPERLINK($A$1 &amp; "\Dados\Magnet_fields_1218.txt.txt", "Magnet_fields_1218.txt")</f>
        <v/>
      </c>
      <c r="AI1218" t="n">
        <v>9251</v>
      </c>
      <c r="AJ1218" t="n">
        <v>30</v>
      </c>
      <c r="AK1218" s="42">
        <f>HIPERLINK($A$1 &amp; "\Dados\Magnet_3D_results_1218.txt.txt", "Magnet_3D_results_1218.txt")</f>
        <v/>
      </c>
      <c r="AL1218" s="42">
        <f>HIPERLINK($A$1 &amp; "\Dados\Magnet_fields_2D_1218.txt.txt", "Magnet_fields_2D_1218.txt")</f>
        <v/>
      </c>
    </row>
    <row r="1219">
      <c r="E1219" s="15" t="n">
        <v>143</v>
      </c>
      <c r="F1219" s="15" t="n">
        <v>181</v>
      </c>
      <c r="G1219" s="15" t="n">
        <v>363</v>
      </c>
      <c r="H1219" s="15" t="n">
        <v>38</v>
      </c>
      <c r="I1219" s="15" t="n">
        <v>154</v>
      </c>
      <c r="J1219" s="13" t="n">
        <v>25</v>
      </c>
      <c r="K1219" t="n">
        <v>40</v>
      </c>
      <c r="L1219" s="13" t="n">
        <v>2.6</v>
      </c>
      <c r="M1219" s="12" t="n"/>
      <c r="N1219" s="8" t="n">
        <v>1.336302205536376</v>
      </c>
      <c r="O1219" s="15" t="n">
        <v>1.095502311148666</v>
      </c>
      <c r="P1219" s="15" t="n">
        <v>1.265825156982159</v>
      </c>
      <c r="Q1219" s="15" t="n">
        <v>0.00130970764984497</v>
      </c>
      <c r="R1219" s="15" t="n">
        <v>0.02547777442657289</v>
      </c>
      <c r="S1219" s="15" t="n">
        <v>0.001499005553618446</v>
      </c>
      <c r="T1219" s="42">
        <f>HIPERLINK($A$1 &amp; "\Dados\Imagem_perfil_1219.png", "Imagem_perfil_1219")</f>
        <v/>
      </c>
      <c r="U1219" s="42">
        <f>HIPERLINK($A$1 &amp; "\Dados\Results_airgap1219.txt", "Results_airgap1219")</f>
        <v/>
      </c>
      <c r="V1219" s="19" t="n"/>
      <c r="W1219" s="15" t="n">
        <v>1.659539565217391</v>
      </c>
      <c r="X1219" s="15" t="n">
        <v>0.8367660497172544</v>
      </c>
      <c r="Y1219" s="15" t="n">
        <v>0.5990985526213816</v>
      </c>
      <c r="Z1219" s="15" t="n">
        <v>0</v>
      </c>
      <c r="AA1219" s="15" t="n">
        <v>0.190566365974738</v>
      </c>
      <c r="AB1219" s="15" t="n">
        <v>0.1377934176501468</v>
      </c>
      <c r="AC1219" s="15" t="n">
        <v>2.659794894878103</v>
      </c>
      <c r="AD1219" s="15" t="n">
        <v>27.72708092226157</v>
      </c>
      <c r="AE1219" s="15" t="n">
        <v>80.11202961562583</v>
      </c>
      <c r="AF1219" s="15" t="n">
        <v>114.4473196353239</v>
      </c>
      <c r="AH1219" s="42">
        <f>HIPERLINK($A$1 &amp; "\Dados\Magnet_fields_1219.txt.txt", "Magnet_fields_1219.txt")</f>
        <v/>
      </c>
      <c r="AI1219" t="n">
        <v>7321</v>
      </c>
      <c r="AJ1219" t="n">
        <v>29</v>
      </c>
      <c r="AK1219" s="42">
        <f>HIPERLINK($A$1 &amp; "\Dados\Magnet_3D_results_1219.txt.txt", "Magnet_3D_results_1219.txt")</f>
        <v/>
      </c>
      <c r="AL1219" s="42">
        <f>HIPERLINK($A$1 &amp; "\Dados\Magnet_fields_2D_1219.txt.txt", "Magnet_fields_2D_1219.txt")</f>
        <v/>
      </c>
    </row>
    <row r="1220">
      <c r="E1220" s="15" t="n">
        <v>137</v>
      </c>
      <c r="F1220" s="15" t="n">
        <v>170</v>
      </c>
      <c r="G1220" s="15" t="n">
        <v>360</v>
      </c>
      <c r="H1220" s="15" t="n">
        <v>31</v>
      </c>
      <c r="I1220" s="15" t="n">
        <v>146</v>
      </c>
      <c r="J1220" s="13" t="n">
        <v>25</v>
      </c>
      <c r="K1220" t="n">
        <v>60</v>
      </c>
      <c r="L1220" s="13" t="n">
        <v>2.6</v>
      </c>
      <c r="M1220" s="12" t="n"/>
      <c r="N1220" s="8" t="n">
        <v>1.519921154191844</v>
      </c>
      <c r="O1220" s="15" t="n">
        <v>1.213791176589217</v>
      </c>
      <c r="P1220" s="15" t="n">
        <v>1.427179473214147</v>
      </c>
      <c r="Q1220" s="15" t="n">
        <v>0.01862048019960645</v>
      </c>
      <c r="R1220" s="15" t="n">
        <v>0.04093743518720589</v>
      </c>
      <c r="S1220" s="15" t="n">
        <v>0.0180404579093471</v>
      </c>
      <c r="T1220" s="42">
        <f>HIPERLINK($A$1 &amp; "\Dados\Imagem_perfil_1220.png", "Imagem_perfil_1220")</f>
        <v/>
      </c>
      <c r="U1220" s="42">
        <f>HIPERLINK($A$1 &amp; "\Dados\Results_airgap1220.txt", "Results_airgap1220")</f>
        <v/>
      </c>
      <c r="V1220" s="19" t="n"/>
      <c r="W1220" s="15" t="n">
        <v>2.000731956521739</v>
      </c>
      <c r="X1220" s="15" t="n">
        <v>0.9524018732285643</v>
      </c>
      <c r="Y1220" s="15" t="n">
        <v>0.1984067086077971</v>
      </c>
      <c r="Z1220" s="15" t="n">
        <v>0</v>
      </c>
      <c r="AA1220" s="15" t="n">
        <v>3.207484084787453</v>
      </c>
      <c r="AB1220" s="15" t="n">
        <v>0.9895082282506533</v>
      </c>
      <c r="AC1220" s="15" t="n">
        <v>18.93725910589804</v>
      </c>
      <c r="AD1220" s="15" t="n">
        <v>66.5035252690089</v>
      </c>
      <c r="AE1220" s="15" t="n">
        <v>99.19558377728609</v>
      </c>
      <c r="AF1220" s="15" t="n">
        <v>131.0373025877729</v>
      </c>
      <c r="AH1220" s="42">
        <f>HIPERLINK($A$1 &amp; "\Dados\Magnet_fields_1220.txt.txt", "Magnet_fields_1220.txt")</f>
        <v/>
      </c>
      <c r="AI1220" t="n">
        <v>8749</v>
      </c>
      <c r="AJ1220" t="n">
        <v>132</v>
      </c>
      <c r="AK1220" s="42">
        <f>HIPERLINK($A$1 &amp; "\Dados\Magnet_3D_results_1220.txt.txt", "Magnet_3D_results_1220.txt")</f>
        <v/>
      </c>
      <c r="AL1220" s="42">
        <f>HIPERLINK($A$1 &amp; "\Dados\Magnet_fields_2D_1220.txt.txt", "Magnet_fields_2D_1220.txt")</f>
        <v/>
      </c>
    </row>
    <row r="1221">
      <c r="E1221" s="15" t="n">
        <v>131</v>
      </c>
      <c r="F1221" s="15" t="n">
        <v>173</v>
      </c>
      <c r="G1221" s="15" t="n">
        <v>367</v>
      </c>
      <c r="H1221" s="15" t="n">
        <v>27</v>
      </c>
      <c r="I1221" s="15" t="n">
        <v>156</v>
      </c>
      <c r="J1221" s="13" t="n">
        <v>25</v>
      </c>
      <c r="K1221" t="n">
        <v>50</v>
      </c>
      <c r="L1221" s="13" t="n">
        <v>2.6</v>
      </c>
      <c r="M1221" s="12" t="n"/>
      <c r="N1221" s="8" t="n">
        <v>1.388843003760909</v>
      </c>
      <c r="O1221" s="15" t="n">
        <v>1.157863133862954</v>
      </c>
      <c r="P1221" s="15" t="n">
        <v>1.320031748379451</v>
      </c>
      <c r="Q1221" s="15" t="n">
        <v>0.005359523839992528</v>
      </c>
      <c r="R1221" s="15" t="n">
        <v>0.03740562646482038</v>
      </c>
      <c r="S1221" s="15" t="n">
        <v>0.005645874679773449</v>
      </c>
      <c r="T1221" s="42">
        <f>HIPERLINK($A$1 &amp; "\Dados\Imagem_perfil_1221.png", "Imagem_perfil_1221")</f>
        <v/>
      </c>
      <c r="U1221" s="42">
        <f>HIPERLINK($A$1 &amp; "\Dados\Results_airgap1221.txt", "Results_airgap1221")</f>
        <v/>
      </c>
      <c r="V1221" s="19" t="n"/>
      <c r="W1221" s="15" t="n">
        <v>1.813838260869565</v>
      </c>
      <c r="X1221" s="15" t="n">
        <v>0.8714546671873583</v>
      </c>
      <c r="Y1221" s="15" t="n">
        <v>0.4289017151071378</v>
      </c>
      <c r="Z1221" s="15" t="n">
        <v>0</v>
      </c>
      <c r="AA1221" s="15" t="n">
        <v>4.039273370462803</v>
      </c>
      <c r="AB1221" s="15" t="n">
        <v>1.791144279286353</v>
      </c>
      <c r="AC1221" s="15" t="n">
        <v>13.12467972211747</v>
      </c>
      <c r="AD1221" s="15" t="n">
        <v>48.64757107651337</v>
      </c>
      <c r="AE1221" s="15" t="n">
        <v>87.30110768332872</v>
      </c>
      <c r="AF1221" s="15" t="n">
        <v>121.0174604653543</v>
      </c>
      <c r="AH1221" s="42">
        <f>HIPERLINK($A$1 &amp; "\Dados\Magnet_fields_1221.txt.txt", "Magnet_fields_1221.txt")</f>
        <v/>
      </c>
      <c r="AI1221" t="n">
        <v>8642</v>
      </c>
      <c r="AJ1221" t="n">
        <v>29</v>
      </c>
      <c r="AK1221" s="42">
        <f>HIPERLINK($A$1 &amp; "\Dados\Magnet_3D_results_1221.txt.txt", "Magnet_3D_results_1221.txt")</f>
        <v/>
      </c>
      <c r="AL1221" s="42">
        <f>HIPERLINK($A$1 &amp; "\Dados\Magnet_fields_2D_1221.txt.txt", "Magnet_fields_2D_1221.txt")</f>
        <v/>
      </c>
    </row>
    <row r="1222">
      <c r="E1222" s="15" t="n">
        <v>139</v>
      </c>
      <c r="F1222" s="15" t="n">
        <v>188</v>
      </c>
      <c r="G1222" s="15" t="n">
        <v>382</v>
      </c>
      <c r="H1222" s="15" t="n">
        <v>41</v>
      </c>
      <c r="I1222" s="15" t="n">
        <v>174</v>
      </c>
      <c r="J1222" s="13" t="n">
        <v>25</v>
      </c>
      <c r="K1222" t="n">
        <v>60</v>
      </c>
      <c r="L1222" s="13" t="n">
        <v>2.6</v>
      </c>
      <c r="M1222" s="12" t="n"/>
      <c r="N1222" s="8" t="n">
        <v>1.35996088557381</v>
      </c>
      <c r="O1222" s="15" t="n">
        <v>1.181594165870962</v>
      </c>
      <c r="P1222" s="15" t="n">
        <v>1.305383049194328</v>
      </c>
      <c r="Q1222" s="15" t="n">
        <v>0.02389599770553133</v>
      </c>
      <c r="R1222" s="15" t="n">
        <v>0.05315535658386958</v>
      </c>
      <c r="S1222" s="15" t="n">
        <v>0.02284556523802595</v>
      </c>
      <c r="T1222" s="42">
        <f>HIPERLINK($A$1 &amp; "\Dados\Imagem_perfil_1222.png", "Imagem_perfil_1222")</f>
        <v/>
      </c>
      <c r="U1222" s="42">
        <f>HIPERLINK($A$1 &amp; "\Dados\Results_airgap1222.txt", "Results_airgap1222")</f>
        <v/>
      </c>
      <c r="V1222" s="19" t="n"/>
      <c r="W1222" s="15" t="n">
        <v>1.756998913043478</v>
      </c>
      <c r="X1222" s="15" t="n">
        <v>0.8534893744591107</v>
      </c>
      <c r="Y1222" s="15" t="n">
        <v>0.444249178054538</v>
      </c>
      <c r="Z1222" s="15" t="n">
        <v>0.02997660980722509</v>
      </c>
      <c r="AA1222" s="15" t="n">
        <v>0</v>
      </c>
      <c r="AB1222" s="15" t="n">
        <v>0.2051356942671393</v>
      </c>
      <c r="AC1222" s="15" t="n">
        <v>16.94499754407095</v>
      </c>
      <c r="AD1222" s="15" t="n">
        <v>66.37591798602402</v>
      </c>
      <c r="AE1222" s="15" t="n">
        <v>98.56230102427445</v>
      </c>
      <c r="AF1222" s="15" t="n">
        <v>130.224666924669</v>
      </c>
      <c r="AH1222" s="42">
        <f>HIPERLINK($A$1 &amp; "\Dados\Magnet_fields_1222.txt.txt", "Magnet_fields_1222.txt")</f>
        <v/>
      </c>
      <c r="AI1222" t="n">
        <v>7739</v>
      </c>
      <c r="AJ1222" t="n">
        <v>29</v>
      </c>
      <c r="AK1222" s="42">
        <f>HIPERLINK($A$1 &amp; "\Dados\Magnet_3D_results_1222.txt.txt", "Magnet_3D_results_1222.txt")</f>
        <v/>
      </c>
      <c r="AL1222" s="42">
        <f>HIPERLINK($A$1 &amp; "\Dados\Magnet_fields_2D_1222.txt.txt", "Magnet_fields_2D_1222.txt")</f>
        <v/>
      </c>
    </row>
    <row r="1223">
      <c r="E1223" s="15" t="n">
        <v>131</v>
      </c>
      <c r="F1223" s="15" t="n">
        <v>173</v>
      </c>
      <c r="G1223" s="15" t="n">
        <v>380</v>
      </c>
      <c r="H1223" s="15" t="n">
        <v>28</v>
      </c>
      <c r="I1223" s="15" t="n">
        <v>169</v>
      </c>
      <c r="J1223" s="13" t="n">
        <v>25</v>
      </c>
      <c r="K1223" t="n">
        <v>45</v>
      </c>
      <c r="L1223" s="13" t="n">
        <v>2.6</v>
      </c>
      <c r="M1223" s="12" t="n"/>
      <c r="N1223" s="8" t="n">
        <v>1.428748111264616</v>
      </c>
      <c r="O1223" s="15" t="n">
        <v>1.233925853171935</v>
      </c>
      <c r="P1223" s="15" t="n">
        <v>1.373215928513013</v>
      </c>
      <c r="Q1223" s="15" t="n">
        <v>0.002975701389643378</v>
      </c>
      <c r="R1223" s="15" t="n">
        <v>0.03732062815403856</v>
      </c>
      <c r="S1223" s="15" t="n">
        <v>0.003100836004281054</v>
      </c>
      <c r="T1223" s="42">
        <f>HIPERLINK($A$1 &amp; "\Dados\Imagem_perfil_1223.png", "Imagem_perfil_1223")</f>
        <v/>
      </c>
      <c r="U1223" s="42">
        <f>HIPERLINK($A$1 &amp; "\Dados\Results_airgap1223.txt", "Results_airgap1223")</f>
        <v/>
      </c>
      <c r="V1223" s="19" t="n"/>
      <c r="W1223" s="15" t="n">
        <v>1.809494782608695</v>
      </c>
      <c r="X1223" s="15" t="n">
        <v>0.8775341227098699</v>
      </c>
      <c r="Y1223" s="15" t="n">
        <v>0.4928207851011607</v>
      </c>
      <c r="Z1223" s="15" t="n">
        <v>0</v>
      </c>
      <c r="AA1223" s="15" t="n">
        <v>2.870502057709739</v>
      </c>
      <c r="AB1223" s="15" t="n">
        <v>2.03733101038717</v>
      </c>
      <c r="AC1223" s="15" t="n">
        <v>12.46373712617472</v>
      </c>
      <c r="AD1223" s="15" t="n">
        <v>42.51444734285396</v>
      </c>
      <c r="AE1223" s="15" t="n">
        <v>82.30418212329241</v>
      </c>
      <c r="AF1223" s="15" t="n">
        <v>116.8366297945163</v>
      </c>
      <c r="AH1223" s="42">
        <f>HIPERLINK($A$1 &amp; "\Dados\Magnet_fields_1223.txt.txt", "Magnet_fields_1223.txt")</f>
        <v/>
      </c>
      <c r="AI1223" t="n">
        <v>8362</v>
      </c>
      <c r="AJ1223" t="n">
        <v>29</v>
      </c>
      <c r="AK1223" s="42">
        <f>HIPERLINK($A$1 &amp; "\Dados\Magnet_3D_results_1223.txt.txt", "Magnet_3D_results_1223.txt")</f>
        <v/>
      </c>
      <c r="AL1223" s="42">
        <f>HIPERLINK($A$1 &amp; "\Dados\Magnet_fields_2D_1223.txt.txt", "Magnet_fields_2D_1223.txt")</f>
        <v/>
      </c>
    </row>
    <row r="1224">
      <c r="E1224" s="15" t="n">
        <v>135</v>
      </c>
      <c r="F1224" s="15" t="n">
        <v>177</v>
      </c>
      <c r="G1224" s="15" t="n">
        <v>357</v>
      </c>
      <c r="H1224" s="15" t="n">
        <v>41</v>
      </c>
      <c r="I1224" s="15" t="n">
        <v>145</v>
      </c>
      <c r="J1224" s="13" t="n">
        <v>25</v>
      </c>
      <c r="K1224" t="n">
        <v>55</v>
      </c>
      <c r="L1224" s="13" t="n">
        <v>2.6</v>
      </c>
      <c r="M1224" s="12" t="n"/>
      <c r="N1224" s="8" t="n">
        <v>1.348781565770296</v>
      </c>
      <c r="O1224" s="15" t="n">
        <v>1.069479792373215</v>
      </c>
      <c r="P1224" s="15" t="n">
        <v>1.263946232472631</v>
      </c>
      <c r="Q1224" s="15" t="n">
        <v>0.009131179571020071</v>
      </c>
      <c r="R1224" s="15" t="n">
        <v>0.04038155116964342</v>
      </c>
      <c r="S1224" s="15" t="n">
        <v>0.009781645123425943</v>
      </c>
      <c r="T1224" s="42">
        <f>HIPERLINK($A$1 &amp; "\Dados\Imagem_perfil_1224.png", "Imagem_perfil_1224")</f>
        <v/>
      </c>
      <c r="U1224" s="42">
        <f>HIPERLINK($A$1 &amp; "\Dados\Results_airgap1224.txt", "Results_airgap1224")</f>
        <v/>
      </c>
      <c r="V1224" s="19" t="n"/>
      <c r="W1224" s="15" t="n">
        <v>1.777625</v>
      </c>
      <c r="X1224" s="15" t="n">
        <v>0.8903435973853858</v>
      </c>
      <c r="Y1224" s="15" t="n">
        <v>0.4184363609858304</v>
      </c>
      <c r="Z1224" s="15" t="n">
        <v>0</v>
      </c>
      <c r="AA1224" s="15" t="n">
        <v>0.02533358185043858</v>
      </c>
      <c r="AB1224" s="15" t="n">
        <v>1.024885188279969</v>
      </c>
      <c r="AC1224" s="15" t="n">
        <v>14.8147511273672</v>
      </c>
      <c r="AD1224" s="15" t="n">
        <v>55.63168881806451</v>
      </c>
      <c r="AE1224" s="15" t="n">
        <v>91.62603347368284</v>
      </c>
      <c r="AF1224" s="15" t="n">
        <v>124.8296509246957</v>
      </c>
      <c r="AH1224" s="42">
        <f>HIPERLINK($A$1 &amp; "\Dados\Magnet_fields_1224.txt.txt", "Magnet_fields_1224.txt")</f>
        <v/>
      </c>
      <c r="AI1224" t="n">
        <v>9969</v>
      </c>
      <c r="AJ1224" t="n">
        <v>29</v>
      </c>
      <c r="AK1224" s="42">
        <f>HIPERLINK($A$1 &amp; "\Dados\Magnet_3D_results_1224.txt.txt", "Magnet_3D_results_1224.txt")</f>
        <v/>
      </c>
      <c r="AL1224" s="42">
        <f>HIPERLINK($A$1 &amp; "\Dados\Magnet_fields_2D_1224.txt.txt", "Magnet_fields_2D_1224.txt")</f>
        <v/>
      </c>
    </row>
    <row r="1225">
      <c r="E1225" s="15" t="n">
        <v>136</v>
      </c>
      <c r="F1225" s="15" t="n">
        <v>180</v>
      </c>
      <c r="G1225" s="15" t="n">
        <v>409</v>
      </c>
      <c r="H1225" s="15" t="n">
        <v>27</v>
      </c>
      <c r="I1225" s="15" t="n">
        <v>153</v>
      </c>
      <c r="J1225" s="13" t="n">
        <v>25</v>
      </c>
      <c r="K1225" t="n">
        <v>55</v>
      </c>
      <c r="L1225" s="13" t="n">
        <v>2.6</v>
      </c>
      <c r="M1225" s="12" t="n"/>
      <c r="N1225" s="8" t="n">
        <v>1.433890982180816</v>
      </c>
      <c r="O1225" s="15" t="n">
        <v>1.159193311536312</v>
      </c>
      <c r="P1225" s="15" t="n">
        <v>1.352158118206682</v>
      </c>
      <c r="Q1225" s="15" t="n">
        <v>0.01124483162595039</v>
      </c>
      <c r="R1225" s="15" t="n">
        <v>0.05421587240843904</v>
      </c>
      <c r="S1225" s="15" t="n">
        <v>0.01189580352459242</v>
      </c>
      <c r="T1225" s="42">
        <f>HIPERLINK($A$1 &amp; "\Dados\Imagem_perfil_1225.png", "Imagem_perfil_1225")</f>
        <v/>
      </c>
      <c r="U1225" s="42">
        <f>HIPERLINK($A$1 &amp; "\Dados\Results_airgap1225.txt", "Results_airgap1225")</f>
        <v/>
      </c>
      <c r="V1225" s="19" t="n"/>
      <c r="W1225" s="15" t="n">
        <v>1.971725434782609</v>
      </c>
      <c r="X1225" s="15" t="n">
        <v>0.91255420068571</v>
      </c>
      <c r="Y1225" s="15" t="n">
        <v>0.2701721799337174</v>
      </c>
      <c r="Z1225" s="15" t="n">
        <v>0.01670881730851746</v>
      </c>
      <c r="AA1225" s="15" t="n">
        <v>2.959202576131249</v>
      </c>
      <c r="AB1225" s="15" t="n">
        <v>0.950573777417196</v>
      </c>
      <c r="AC1225" s="15" t="n">
        <v>15.25018833010709</v>
      </c>
      <c r="AD1225" s="15" t="n">
        <v>63.1052643973096</v>
      </c>
      <c r="AE1225" s="15" t="n">
        <v>97.07473614954058</v>
      </c>
      <c r="AF1225" s="15" t="n">
        <v>127.2841850821789</v>
      </c>
      <c r="AH1225" s="42">
        <f>HIPERLINK($A$1 &amp; "\Dados\Magnet_fields_1225.txt.txt", "Magnet_fields_1225.txt")</f>
        <v/>
      </c>
      <c r="AI1225" t="n">
        <v>12798</v>
      </c>
      <c r="AJ1225" t="n">
        <v>30</v>
      </c>
      <c r="AK1225" s="42">
        <f>HIPERLINK($A$1 &amp; "\Dados\Magnet_3D_results_1225.txt.txt", "Magnet_3D_results_1225.txt")</f>
        <v/>
      </c>
      <c r="AL1225" s="42">
        <f>HIPERLINK($A$1 &amp; "\Dados\Magnet_fields_2D_1225.txt.txt", "Magnet_fields_2D_1225.txt")</f>
        <v/>
      </c>
    </row>
    <row r="1226">
      <c r="E1226" s="15" t="n">
        <v>145</v>
      </c>
      <c r="F1226" s="15" t="n">
        <v>182</v>
      </c>
      <c r="G1226" s="15" t="n">
        <v>404</v>
      </c>
      <c r="H1226" s="15" t="n">
        <v>29</v>
      </c>
      <c r="I1226" s="15" t="n">
        <v>165</v>
      </c>
      <c r="J1226" s="13" t="n">
        <v>25</v>
      </c>
      <c r="K1226" t="n">
        <v>40</v>
      </c>
      <c r="L1226" s="13" t="n">
        <v>2.6</v>
      </c>
      <c r="M1226" s="12" t="n"/>
      <c r="N1226" s="8" t="n">
        <v>1.444427641889692</v>
      </c>
      <c r="O1226" s="15" t="n">
        <v>1.249865069072757</v>
      </c>
      <c r="P1226" s="15" t="n">
        <v>1.393948094557439</v>
      </c>
      <c r="Q1226" s="15" t="n">
        <v>0.001645483771904568</v>
      </c>
      <c r="R1226" s="15" t="n">
        <v>0.02956417729470174</v>
      </c>
      <c r="S1226" s="15" t="n">
        <v>0.001724429714428018</v>
      </c>
      <c r="T1226" s="42">
        <f>HIPERLINK($A$1 &amp; "\Dados\Imagem_perfil_1226.png", "Imagem_perfil_1226")</f>
        <v/>
      </c>
      <c r="U1226" s="42">
        <f>HIPERLINK($A$1 &amp; "\Dados\Results_airgap1226.txt", "Results_airgap1226")</f>
        <v/>
      </c>
      <c r="V1226" s="19" t="n"/>
      <c r="W1226" s="15" t="n">
        <v>1.826347826086957</v>
      </c>
      <c r="X1226" s="15" t="n">
        <v>0.8924776652852582</v>
      </c>
      <c r="Y1226" s="15" t="n">
        <v>0.5080262325630266</v>
      </c>
      <c r="Z1226" s="15" t="n">
        <v>0.006369480731503331</v>
      </c>
      <c r="AA1226" s="15" t="n">
        <v>3.238861154618875</v>
      </c>
      <c r="AB1226" s="15" t="n">
        <v>0.994599042186334</v>
      </c>
      <c r="AC1226" s="15" t="n">
        <v>7.024068477929158</v>
      </c>
      <c r="AD1226" s="15" t="n">
        <v>31.8357594610861</v>
      </c>
      <c r="AE1226" s="15" t="n">
        <v>76.00476233382867</v>
      </c>
      <c r="AF1226" s="15" t="n">
        <v>112.6342367843305</v>
      </c>
      <c r="AH1226" s="42">
        <f>HIPERLINK($A$1 &amp; "\Dados\Magnet_fields_1226.txt.txt", "Magnet_fields_1226.txt")</f>
        <v/>
      </c>
      <c r="AI1226" t="n">
        <v>9567</v>
      </c>
      <c r="AJ1226" t="n">
        <v>29</v>
      </c>
      <c r="AK1226" s="42">
        <f>HIPERLINK($A$1 &amp; "\Dados\Magnet_3D_results_1226.txt.txt", "Magnet_3D_results_1226.txt")</f>
        <v/>
      </c>
      <c r="AL1226" s="42">
        <f>HIPERLINK($A$1 &amp; "\Dados\Magnet_fields_2D_1226.txt.txt", "Magnet_fields_2D_1226.txt")</f>
        <v/>
      </c>
    </row>
    <row r="1227">
      <c r="E1227" s="15" t="n">
        <v>138</v>
      </c>
      <c r="F1227" s="15" t="n">
        <v>175</v>
      </c>
      <c r="G1227" s="15" t="n">
        <v>392</v>
      </c>
      <c r="H1227" s="15" t="n">
        <v>40</v>
      </c>
      <c r="I1227" s="15" t="n">
        <v>145</v>
      </c>
      <c r="J1227" s="13" t="n">
        <v>25</v>
      </c>
      <c r="K1227" t="n">
        <v>40</v>
      </c>
      <c r="L1227" s="13" t="n">
        <v>2.6</v>
      </c>
      <c r="M1227" s="12" t="n"/>
      <c r="N1227" s="8" t="n">
        <v>1.396712974865644</v>
      </c>
      <c r="O1227" s="15" t="n">
        <v>1.112246972525301</v>
      </c>
      <c r="P1227" s="15" t="n">
        <v>1.318397754481837</v>
      </c>
      <c r="Q1227" s="15" t="n">
        <v>0.001641063714822067</v>
      </c>
      <c r="R1227" s="15" t="n">
        <v>0.03244954506926129</v>
      </c>
      <c r="S1227" s="15" t="n">
        <v>0.002001485841707226</v>
      </c>
      <c r="T1227" s="42">
        <f>HIPERLINK($A$1 &amp; "\Dados\Imagem_perfil_1227.png", "Imagem_perfil_1227")</f>
        <v/>
      </c>
      <c r="U1227" s="42">
        <f>HIPERLINK($A$1 &amp; "\Dados\Results_airgap1227.txt", "Results_airgap1227")</f>
        <v/>
      </c>
      <c r="V1227" s="19" t="n"/>
      <c r="W1227" s="15" t="n">
        <v>1.803871956521739</v>
      </c>
      <c r="X1227" s="15" t="n">
        <v>0.9002807277760942</v>
      </c>
      <c r="Y1227" s="15" t="n">
        <v>0.469479267469545</v>
      </c>
      <c r="Z1227" s="15" t="n">
        <v>0</v>
      </c>
      <c r="AA1227" s="15" t="n">
        <v>0.1574600020913486</v>
      </c>
      <c r="AB1227" s="15" t="n">
        <v>0.813972990542715</v>
      </c>
      <c r="AC1227" s="15" t="n">
        <v>4.623767252907917</v>
      </c>
      <c r="AD1227" s="15" t="n">
        <v>30.47822479044305</v>
      </c>
      <c r="AE1227" s="15" t="n">
        <v>83.55930824161079</v>
      </c>
      <c r="AF1227" s="15" t="n">
        <v>115.7857502941459</v>
      </c>
      <c r="AH1227" s="42">
        <f>HIPERLINK($A$1 &amp; "\Dados\Magnet_fields_1227.txt.txt", "Magnet_fields_1227.txt")</f>
        <v/>
      </c>
      <c r="AI1227" t="n">
        <v>7342</v>
      </c>
      <c r="AJ1227" t="n">
        <v>28</v>
      </c>
      <c r="AK1227" s="42">
        <f>HIPERLINK($A$1 &amp; "\Dados\Magnet_3D_results_1227.txt.txt", "Magnet_3D_results_1227.txt")</f>
        <v/>
      </c>
      <c r="AL1227" s="42">
        <f>HIPERLINK($A$1 &amp; "\Dados\Magnet_fields_2D_1227.txt.txt", "Magnet_fields_2D_1227.txt")</f>
        <v/>
      </c>
    </row>
    <row r="1228">
      <c r="E1228" s="15" t="n">
        <v>144</v>
      </c>
      <c r="F1228" s="15" t="n">
        <v>184</v>
      </c>
      <c r="G1228" s="15" t="n">
        <v>359</v>
      </c>
      <c r="H1228" s="15" t="n">
        <v>38</v>
      </c>
      <c r="I1228" s="15" t="n">
        <v>152</v>
      </c>
      <c r="J1228" s="13" t="n">
        <v>25</v>
      </c>
      <c r="K1228" t="n">
        <v>55</v>
      </c>
      <c r="L1228" s="13" t="n">
        <v>2.6</v>
      </c>
      <c r="M1228" s="12" t="n"/>
      <c r="N1228" s="8" t="n">
        <v>1.380682671121063</v>
      </c>
      <c r="O1228" s="15" t="n">
        <v>1.123137033606196</v>
      </c>
      <c r="P1228" s="15" t="n">
        <v>1.303618287593983</v>
      </c>
      <c r="Q1228" s="15" t="n">
        <v>0.007269149683468709</v>
      </c>
      <c r="R1228" s="15" t="n">
        <v>0.03600349822561468</v>
      </c>
      <c r="S1228" s="15" t="n">
        <v>0.007336862636857889</v>
      </c>
      <c r="T1228" s="42">
        <f>HIPERLINK($A$1 &amp; "\Dados\Imagem_perfil_1228.png", "Imagem_perfil_1228")</f>
        <v/>
      </c>
      <c r="U1228" s="42">
        <f>HIPERLINK($A$1 &amp; "\Dados\Results_airgap1228.txt", "Results_airgap1228")</f>
        <v/>
      </c>
      <c r="V1228" s="19" t="n"/>
      <c r="W1228" s="15" t="n">
        <v>1.778772608695652</v>
      </c>
      <c r="X1228" s="15" t="n">
        <v>0.9049746941736693</v>
      </c>
      <c r="Y1228" s="15" t="n">
        <v>0.3995229565147985</v>
      </c>
      <c r="Z1228" s="15" t="n">
        <v>0</v>
      </c>
      <c r="AA1228" s="15" t="n">
        <v>0.05267715659026077</v>
      </c>
      <c r="AB1228" s="15" t="n">
        <v>0.05269532605480407</v>
      </c>
      <c r="AC1228" s="15" t="n">
        <v>15.7231650645915</v>
      </c>
      <c r="AD1228" s="15" t="n">
        <v>61.09927870317361</v>
      </c>
      <c r="AE1228" s="15" t="n">
        <v>93.85150117174538</v>
      </c>
      <c r="AF1228" s="15" t="n">
        <v>125.3248185074916</v>
      </c>
      <c r="AH1228" s="42">
        <f>HIPERLINK($A$1 &amp; "\Dados\Magnet_fields_1228.txt.txt", "Magnet_fields_1228.txt")</f>
        <v/>
      </c>
      <c r="AI1228" t="n">
        <v>10022</v>
      </c>
      <c r="AJ1228" t="n">
        <v>30</v>
      </c>
      <c r="AK1228" s="42">
        <f>HIPERLINK($A$1 &amp; "\Dados\Magnet_3D_results_1228.txt.txt", "Magnet_3D_results_1228.txt")</f>
        <v/>
      </c>
      <c r="AL1228" s="42">
        <f>HIPERLINK($A$1 &amp; "\Dados\Magnet_fields_2D_1228.txt.txt", "Magnet_fields_2D_1228.txt")</f>
        <v/>
      </c>
    </row>
    <row r="1229">
      <c r="E1229" s="15" t="n">
        <v>143</v>
      </c>
      <c r="F1229" s="15" t="n">
        <v>174</v>
      </c>
      <c r="G1229" s="15" t="n">
        <v>406</v>
      </c>
      <c r="H1229" s="15" t="n">
        <v>33</v>
      </c>
      <c r="I1229" s="15" t="n">
        <v>147</v>
      </c>
      <c r="J1229" s="13" t="n">
        <v>25</v>
      </c>
      <c r="K1229" t="n">
        <v>55</v>
      </c>
      <c r="L1229" s="13" t="n">
        <v>2.6</v>
      </c>
      <c r="M1229" s="12" t="n"/>
      <c r="N1229" s="8" t="n">
        <v>1.632878502980181</v>
      </c>
      <c r="O1229" s="15" t="n">
        <v>1.317463273040956</v>
      </c>
      <c r="P1229" s="15" t="n">
        <v>1.539129822653677</v>
      </c>
      <c r="Q1229" s="15" t="n">
        <v>0.01363454044235475</v>
      </c>
      <c r="R1229" s="15" t="n">
        <v>0.04954293458574024</v>
      </c>
      <c r="S1229" s="15" t="n">
        <v>0.01411833064204841</v>
      </c>
      <c r="T1229" s="42">
        <f>HIPERLINK($A$1 &amp; "\Dados\Imagem_perfil_1229.png", "Imagem_perfil_1229")</f>
        <v/>
      </c>
      <c r="U1229" s="42">
        <f>HIPERLINK($A$1 &amp; "\Dados\Results_airgap1229.txt", "Results_airgap1229")</f>
        <v/>
      </c>
      <c r="V1229" s="19" t="n"/>
      <c r="W1229" s="15" t="n">
        <v>2.186428478260869</v>
      </c>
      <c r="X1229" s="15" t="n">
        <v>1.044083364503118</v>
      </c>
      <c r="Y1229" s="15" t="n">
        <v>0.1034743025854156</v>
      </c>
      <c r="Z1229" s="15" t="n">
        <v>0.002520046615332501</v>
      </c>
      <c r="AA1229" s="15" t="n">
        <v>1.235314297228053</v>
      </c>
      <c r="AB1229" s="15" t="n">
        <v>0.7060457535186758</v>
      </c>
      <c r="AC1229" s="15" t="n">
        <v>13.58161644498659</v>
      </c>
      <c r="AD1229" s="15" t="n">
        <v>61.59197431589121</v>
      </c>
      <c r="AE1229" s="15" t="n">
        <v>97.5956606325872</v>
      </c>
      <c r="AF1229" s="15" t="n">
        <v>127.8755917876543</v>
      </c>
      <c r="AH1229" s="42">
        <f>HIPERLINK($A$1 &amp; "\Dados\Magnet_fields_1229.txt.txt", "Magnet_fields_1229.txt")</f>
        <v/>
      </c>
      <c r="AI1229" t="n">
        <v>11481</v>
      </c>
      <c r="AJ1229" t="n">
        <v>30</v>
      </c>
      <c r="AK1229" s="42">
        <f>HIPERLINK($A$1 &amp; "\Dados\Magnet_3D_results_1229.txt.txt", "Magnet_3D_results_1229.txt")</f>
        <v/>
      </c>
      <c r="AL1229" s="42">
        <f>HIPERLINK($A$1 &amp; "\Dados\Magnet_fields_2D_1229.txt.txt", "Magnet_fields_2D_1229.txt")</f>
        <v/>
      </c>
    </row>
    <row r="1230">
      <c r="E1230" s="15" t="n">
        <v>142</v>
      </c>
      <c r="F1230" s="15" t="n">
        <v>183</v>
      </c>
      <c r="G1230" s="15" t="n">
        <v>357</v>
      </c>
      <c r="H1230" s="15" t="n">
        <v>37</v>
      </c>
      <c r="I1230" s="15" t="n">
        <v>179</v>
      </c>
      <c r="J1230" s="13" t="n">
        <v>25</v>
      </c>
      <c r="K1230" t="n">
        <v>60</v>
      </c>
      <c r="L1230" s="13" t="n">
        <v>2.6</v>
      </c>
      <c r="M1230" s="12" t="n"/>
      <c r="N1230" s="8" t="n">
        <v>1.446942499031235</v>
      </c>
      <c r="O1230" s="15" t="n">
        <v>1.259901136926356</v>
      </c>
      <c r="P1230" s="15" t="n">
        <v>1.388390533845911</v>
      </c>
      <c r="Q1230" s="15" t="n">
        <v>0.01652148626210097</v>
      </c>
      <c r="R1230" s="15" t="n">
        <v>0.0404045698123929</v>
      </c>
      <c r="S1230" s="15" t="n">
        <v>0.01634486810619071</v>
      </c>
      <c r="T1230" s="42">
        <f>HIPERLINK($A$1 &amp; "\Dados\Imagem_perfil_1230.png", "Imagem_perfil_1230")</f>
        <v/>
      </c>
      <c r="U1230" s="42">
        <f>HIPERLINK($A$1 &amp; "\Dados\Results_airgap1230.txt", "Results_airgap1230")</f>
        <v/>
      </c>
      <c r="V1230" s="19" t="n"/>
      <c r="W1230" s="15" t="n">
        <v>1.791474565217391</v>
      </c>
      <c r="X1230" s="15" t="n">
        <v>0.903756927295679</v>
      </c>
      <c r="Y1230" s="15" t="n">
        <v>0.3807366077693594</v>
      </c>
      <c r="Z1230" s="15" t="n">
        <v>0</v>
      </c>
      <c r="AA1230" s="15" t="n">
        <v>1.088055202525964</v>
      </c>
      <c r="AB1230" s="15" t="n">
        <v>0.802430367961553</v>
      </c>
      <c r="AC1230" s="15" t="n">
        <v>22.48880590225165</v>
      </c>
      <c r="AD1230" s="15" t="n">
        <v>67.50878145637844</v>
      </c>
      <c r="AE1230" s="15" t="n">
        <v>97.41348243550759</v>
      </c>
      <c r="AF1230" s="15" t="n">
        <v>129.6140589008067</v>
      </c>
      <c r="AH1230" s="42">
        <f>HIPERLINK($A$1 &amp; "\Dados\Magnet_fields_1230.txt.txt", "Magnet_fields_1230.txt")</f>
        <v/>
      </c>
      <c r="AI1230" t="n">
        <v>7580</v>
      </c>
      <c r="AJ1230" t="n">
        <v>28</v>
      </c>
      <c r="AK1230" s="42">
        <f>HIPERLINK($A$1 &amp; "\Dados\Magnet_3D_results_1230.txt.txt", "Magnet_3D_results_1230.txt")</f>
        <v/>
      </c>
      <c r="AL1230" s="42">
        <f>HIPERLINK($A$1 &amp; "\Dados\Magnet_fields_2D_1230.txt.txt", "Magnet_fields_2D_1230.txt")</f>
        <v/>
      </c>
    </row>
    <row r="1231">
      <c r="E1231" s="15" t="n">
        <v>125</v>
      </c>
      <c r="F1231" s="15" t="n">
        <v>174</v>
      </c>
      <c r="G1231" s="15" t="n">
        <v>355</v>
      </c>
      <c r="H1231" s="15" t="n">
        <v>43</v>
      </c>
      <c r="I1231" s="15" t="n">
        <v>179</v>
      </c>
      <c r="J1231" s="13" t="n">
        <v>25</v>
      </c>
      <c r="K1231" t="n">
        <v>50</v>
      </c>
      <c r="L1231" s="13" t="n">
        <v>2.6</v>
      </c>
      <c r="M1231" s="12" t="n"/>
      <c r="N1231" s="8" t="n">
        <v>1.339195407091293</v>
      </c>
      <c r="O1231" s="15" t="n">
        <v>1.180715344379093</v>
      </c>
      <c r="P1231" s="15" t="n">
        <v>1.291312883357009</v>
      </c>
      <c r="Q1231" s="15" t="n">
        <v>0.007344278355795577</v>
      </c>
      <c r="R1231" s="15" t="n">
        <v>0.04383299371469665</v>
      </c>
      <c r="S1231" s="15" t="n">
        <v>0.007562980810479629</v>
      </c>
      <c r="T1231" s="42">
        <f>HIPERLINK($A$1 &amp; "\Dados\Imagem_perfil_1231.png", "Imagem_perfil_1231")</f>
        <v/>
      </c>
      <c r="U1231" s="42">
        <f>HIPERLINK($A$1 &amp; "\Dados\Results_airgap1231.txt", "Results_airgap1231")</f>
        <v/>
      </c>
      <c r="V1231" s="19" t="n"/>
      <c r="W1231" s="15" t="n">
        <v>1.663038695652175</v>
      </c>
      <c r="X1231" s="15" t="n">
        <v>0.8329821293902587</v>
      </c>
      <c r="Y1231" s="15" t="n">
        <v>0.5947263628803454</v>
      </c>
      <c r="Z1231" s="15" t="n">
        <v>0.001902162203488766</v>
      </c>
      <c r="AA1231" s="15" t="n">
        <v>0.002309037222842856</v>
      </c>
      <c r="AB1231" s="15" t="n">
        <v>1.458824371092119</v>
      </c>
      <c r="AC1231" s="15" t="n">
        <v>13.14550197424307</v>
      </c>
      <c r="AD1231" s="15" t="n">
        <v>51.97763427219009</v>
      </c>
      <c r="AE1231" s="15" t="n">
        <v>89.9698388223073</v>
      </c>
      <c r="AF1231" s="15" t="n">
        <v>121.5910844342964</v>
      </c>
      <c r="AH1231" s="42">
        <f>HIPERLINK($A$1 &amp; "\Dados\Magnet_fields_1231.txt.txt", "Magnet_fields_1231.txt")</f>
        <v/>
      </c>
      <c r="AI1231" t="n">
        <v>6325</v>
      </c>
      <c r="AJ1231" t="n">
        <v>28</v>
      </c>
      <c r="AK1231" s="42">
        <f>HIPERLINK($A$1 &amp; "\Dados\Magnet_3D_results_1231.txt.txt", "Magnet_3D_results_1231.txt")</f>
        <v/>
      </c>
      <c r="AL1231" s="42">
        <f>HIPERLINK($A$1 &amp; "\Dados\Magnet_fields_2D_1231.txt.txt", "Magnet_fields_2D_1231.txt")</f>
        <v/>
      </c>
    </row>
    <row r="1232">
      <c r="E1232" s="15" t="n">
        <v>133</v>
      </c>
      <c r="F1232" s="15" t="n">
        <v>171</v>
      </c>
      <c r="G1232" s="15" t="n">
        <v>367</v>
      </c>
      <c r="H1232" s="15" t="n">
        <v>26</v>
      </c>
      <c r="I1232" s="15" t="n">
        <v>169</v>
      </c>
      <c r="J1232" s="13" t="n">
        <v>25</v>
      </c>
      <c r="K1232" t="n">
        <v>55</v>
      </c>
      <c r="L1232" s="13" t="n">
        <v>2.6</v>
      </c>
      <c r="M1232" s="12" t="n"/>
      <c r="N1232" s="8" t="n">
        <v>1.502833153416374</v>
      </c>
      <c r="O1232" s="15" t="n">
        <v>1.276567457350068</v>
      </c>
      <c r="P1232" s="15" t="n">
        <v>1.43080777203863</v>
      </c>
      <c r="Q1232" s="15" t="n">
        <v>0.01027526466014557</v>
      </c>
      <c r="R1232" s="15" t="n">
        <v>0.04172633536048392</v>
      </c>
      <c r="S1232" s="15" t="n">
        <v>0.01029819403090752</v>
      </c>
      <c r="T1232" s="42">
        <f>HIPERLINK($A$1 &amp; "\Dados\Imagem_perfil_1232.png", "Imagem_perfil_1232")</f>
        <v/>
      </c>
      <c r="U1232" s="42">
        <f>HIPERLINK($A$1 &amp; "\Dados\Results_airgap1232.txt", "Results_airgap1232")</f>
        <v/>
      </c>
      <c r="V1232" s="19" t="n"/>
      <c r="W1232" s="15" t="n">
        <v>1.913097173913044</v>
      </c>
      <c r="X1232" s="15" t="n">
        <v>0.9421696878986099</v>
      </c>
      <c r="Y1232" s="15" t="n">
        <v>0.2943478895320234</v>
      </c>
      <c r="Z1232" s="15" t="n">
        <v>0.02072000573110273</v>
      </c>
      <c r="AA1232" s="15" t="n">
        <v>4.9489798527643</v>
      </c>
      <c r="AB1232" s="15" t="n">
        <v>0.391525826192641</v>
      </c>
      <c r="AC1232" s="15" t="n">
        <v>11.38393826161362</v>
      </c>
      <c r="AD1232" s="15" t="n">
        <v>60.9230958314003</v>
      </c>
      <c r="AE1232" s="15" t="n">
        <v>96.68026896750521</v>
      </c>
      <c r="AF1232" s="15" t="n">
        <v>126.8902765520089</v>
      </c>
      <c r="AH1232" s="42">
        <f>HIPERLINK($A$1 &amp; "\Dados\Magnet_fields_1232.txt.txt", "Magnet_fields_1232.txt")</f>
        <v/>
      </c>
      <c r="AI1232" t="n">
        <v>13274</v>
      </c>
      <c r="AJ1232" t="n">
        <v>31</v>
      </c>
      <c r="AK1232" s="42">
        <f>HIPERLINK($A$1 &amp; "\Dados\Magnet_3D_results_1232.txt.txt", "Magnet_3D_results_1232.txt")</f>
        <v/>
      </c>
      <c r="AL1232" s="42">
        <f>HIPERLINK($A$1 &amp; "\Dados\Magnet_fields_2D_1232.txt.txt", "Magnet_fields_2D_1232.txt")</f>
        <v/>
      </c>
    </row>
    <row r="1233">
      <c r="E1233" s="15" t="n">
        <v>150</v>
      </c>
      <c r="F1233" s="15" t="n">
        <v>182</v>
      </c>
      <c r="G1233" s="15" t="n">
        <v>390</v>
      </c>
      <c r="H1233" s="15" t="n">
        <v>44</v>
      </c>
      <c r="I1233" s="15" t="n">
        <v>140</v>
      </c>
      <c r="J1233" s="13" t="n">
        <v>25</v>
      </c>
      <c r="K1233" t="n">
        <v>45</v>
      </c>
      <c r="L1233" s="13" t="n">
        <v>2.6</v>
      </c>
      <c r="M1233" s="12" t="n"/>
      <c r="N1233" s="8" t="n">
        <v>1.494417037967441</v>
      </c>
      <c r="O1233" s="15" t="n">
        <v>1.152837021276377</v>
      </c>
      <c r="P1233" s="15" t="n">
        <v>1.397648717193491</v>
      </c>
      <c r="Q1233" s="15" t="n">
        <v>0.003536036199492379</v>
      </c>
      <c r="R1233" s="15" t="n">
        <v>0.0323027235494073</v>
      </c>
      <c r="S1233" s="15" t="n">
        <v>0.00392447296423922</v>
      </c>
      <c r="T1233" s="42">
        <f>HIPERLINK($A$1 &amp; "\Dados\Imagem_perfil_1233.png", "Imagem_perfil_1233")</f>
        <v/>
      </c>
      <c r="U1233" s="42">
        <f>HIPERLINK($A$1 &amp; "\Dados\Results_airgap1233.txt", "Results_airgap1233")</f>
        <v/>
      </c>
      <c r="V1233" s="19" t="n"/>
      <c r="W1233" s="15" t="n">
        <v>1.939242173913043</v>
      </c>
      <c r="X1233" s="15" t="n">
        <v>0.9776712989885766</v>
      </c>
      <c r="Y1233" s="15" t="n">
        <v>0.2969610798705524</v>
      </c>
      <c r="Z1233" s="15" t="n">
        <v>0</v>
      </c>
      <c r="AA1233" s="15" t="n">
        <v>0</v>
      </c>
      <c r="AB1233" s="15" t="n">
        <v>0</v>
      </c>
      <c r="AC1233" s="15" t="n">
        <v>5.622054955196917</v>
      </c>
      <c r="AD1233" s="15" t="n">
        <v>39.57034512682284</v>
      </c>
      <c r="AE1233" s="15" t="n">
        <v>84.38655772769984</v>
      </c>
      <c r="AF1233" s="15" t="n">
        <v>117.8752532517656</v>
      </c>
      <c r="AH1233" s="42">
        <f>HIPERLINK($A$1 &amp; "\Dados\Magnet_fields_1233.txt.txt", "Magnet_fields_1233.txt")</f>
        <v/>
      </c>
      <c r="AI1233" t="n">
        <v>6092</v>
      </c>
      <c r="AJ1233" t="n">
        <v>28</v>
      </c>
      <c r="AK1233" s="42">
        <f>HIPERLINK($A$1 &amp; "\Dados\Magnet_3D_results_1233.txt.txt", "Magnet_3D_results_1233.txt")</f>
        <v/>
      </c>
      <c r="AL1233" s="42">
        <f>HIPERLINK($A$1 &amp; "\Dados\Magnet_fields_2D_1233.txt.txt", "Magnet_fields_2D_1233.txt")</f>
        <v/>
      </c>
    </row>
    <row r="1234">
      <c r="E1234" s="15" t="n">
        <v>134</v>
      </c>
      <c r="F1234" s="15" t="n">
        <v>174</v>
      </c>
      <c r="G1234" s="15" t="n">
        <v>371</v>
      </c>
      <c r="H1234" s="15" t="n">
        <v>25</v>
      </c>
      <c r="I1234" s="15" t="n">
        <v>151</v>
      </c>
      <c r="J1234" s="13" t="n">
        <v>25</v>
      </c>
      <c r="K1234" t="n">
        <v>55</v>
      </c>
      <c r="L1234" s="13" t="n">
        <v>2.6</v>
      </c>
      <c r="M1234" s="12" t="n"/>
      <c r="N1234" s="8" t="n">
        <v>1.417214426276073</v>
      </c>
      <c r="O1234" s="15" t="n">
        <v>1.133146450109059</v>
      </c>
      <c r="P1234" s="15" t="n">
        <v>1.328880106945087</v>
      </c>
      <c r="Q1234" s="15" t="n">
        <v>0.009274266645860615</v>
      </c>
      <c r="R1234" s="15" t="n">
        <v>0.03963570789506166</v>
      </c>
      <c r="S1234" s="15" t="n">
        <v>0.01017964238587714</v>
      </c>
      <c r="T1234" s="42">
        <f>HIPERLINK($A$1 &amp; "\Dados\Imagem_perfil_1234.png", "Imagem_perfil_1234")</f>
        <v/>
      </c>
      <c r="U1234" s="42">
        <f>HIPERLINK($A$1 &amp; "\Dados\Results_airgap1234.txt", "Results_airgap1234")</f>
        <v/>
      </c>
      <c r="V1234" s="19" t="n"/>
      <c r="W1234" s="15" t="n">
        <v>1.897214130434783</v>
      </c>
      <c r="X1234" s="15" t="n">
        <v>0.9107542875325438</v>
      </c>
      <c r="Y1234" s="15" t="n">
        <v>0.3146395005251146</v>
      </c>
      <c r="Z1234" s="15" t="n">
        <v>0.001477910317060598</v>
      </c>
      <c r="AA1234" s="15" t="n">
        <v>6.088236151955031</v>
      </c>
      <c r="AB1234" s="15" t="n">
        <v>1.385196859761159</v>
      </c>
      <c r="AC1234" s="15" t="n">
        <v>15.76617537776379</v>
      </c>
      <c r="AD1234" s="15" t="n">
        <v>56.92171905304465</v>
      </c>
      <c r="AE1234" s="15" t="n">
        <v>92.82226917470932</v>
      </c>
      <c r="AF1234" s="15" t="n">
        <v>125.7068626022996</v>
      </c>
      <c r="AH1234" s="42">
        <f>HIPERLINK($A$1 &amp; "\Dados\Magnet_fields_1234.txt.txt", "Magnet_fields_1234.txt")</f>
        <v/>
      </c>
      <c r="AI1234" t="n">
        <v>12411</v>
      </c>
      <c r="AJ1234" t="n">
        <v>30</v>
      </c>
      <c r="AK1234" s="42">
        <f>HIPERLINK($A$1 &amp; "\Dados\Magnet_3D_results_1234.txt.txt", "Magnet_3D_results_1234.txt")</f>
        <v/>
      </c>
      <c r="AL1234" s="42">
        <f>HIPERLINK($A$1 &amp; "\Dados\Magnet_fields_2D_1234.txt.txt", "Magnet_fields_2D_1234.txt")</f>
        <v/>
      </c>
    </row>
    <row r="1235">
      <c r="E1235" s="15" t="n">
        <v>136</v>
      </c>
      <c r="F1235" s="15" t="n">
        <v>183</v>
      </c>
      <c r="G1235" s="15" t="n">
        <v>382</v>
      </c>
      <c r="H1235" s="15" t="n">
        <v>26</v>
      </c>
      <c r="I1235" s="15" t="n">
        <v>178</v>
      </c>
      <c r="J1235" s="13" t="n">
        <v>25</v>
      </c>
      <c r="K1235" t="n">
        <v>55</v>
      </c>
      <c r="L1235" s="13" t="n">
        <v>2.6</v>
      </c>
      <c r="M1235" s="12" t="n"/>
      <c r="N1235" s="8" t="n">
        <v>1.403117388895419</v>
      </c>
      <c r="O1235" s="15" t="n">
        <v>1.228535841514485</v>
      </c>
      <c r="P1235" s="15" t="n">
        <v>1.34522271402644</v>
      </c>
      <c r="Q1235" s="15" t="n">
        <v>0.01119233641597798</v>
      </c>
      <c r="R1235" s="15" t="n">
        <v>0.04647111792803828</v>
      </c>
      <c r="S1235" s="15" t="n">
        <v>0.01103214333151275</v>
      </c>
      <c r="T1235" s="42">
        <f>HIPERLINK($A$1 &amp; "\Dados\Imagem_perfil_1235.png", "Imagem_perfil_1235")</f>
        <v/>
      </c>
      <c r="U1235" s="42">
        <f>HIPERLINK($A$1 &amp; "\Dados\Results_airgap1235.txt", "Results_airgap1235")</f>
        <v/>
      </c>
      <c r="V1235" s="19" t="n"/>
      <c r="W1235" s="15" t="n">
        <v>1.804495</v>
      </c>
      <c r="X1235" s="15" t="n">
        <v>0.8735297412839826</v>
      </c>
      <c r="Y1235" s="15" t="n">
        <v>0.4075813892523754</v>
      </c>
      <c r="Z1235" s="15" t="n">
        <v>0.01784867091035431</v>
      </c>
      <c r="AA1235" s="15" t="n">
        <v>3.013605217104378</v>
      </c>
      <c r="AB1235" s="15" t="n">
        <v>0.2066601181340187</v>
      </c>
      <c r="AC1235" s="15" t="n">
        <v>16.33808268903394</v>
      </c>
      <c r="AD1235" s="15" t="n">
        <v>64.50347011800496</v>
      </c>
      <c r="AE1235" s="15" t="n">
        <v>96.37683650655337</v>
      </c>
      <c r="AF1235" s="15" t="n">
        <v>126.4298778100993</v>
      </c>
      <c r="AH1235" s="42">
        <f>HIPERLINK($A$1 &amp; "\Dados\Magnet_fields_1235.txt.txt", "Magnet_fields_1235.txt")</f>
        <v/>
      </c>
      <c r="AI1235" t="n">
        <v>12919</v>
      </c>
      <c r="AJ1235" t="n">
        <v>31</v>
      </c>
      <c r="AK1235" s="42">
        <f>HIPERLINK($A$1 &amp; "\Dados\Magnet_3D_results_1235.txt.txt", "Magnet_3D_results_1235.txt")</f>
        <v/>
      </c>
      <c r="AL1235" s="42">
        <f>HIPERLINK($A$1 &amp; "\Dados\Magnet_fields_2D_1235.txt.txt", "Magnet_fields_2D_1235.txt")</f>
        <v/>
      </c>
    </row>
    <row r="1236">
      <c r="E1236" s="15" t="n">
        <v>142</v>
      </c>
      <c r="F1236" s="15" t="n">
        <v>172</v>
      </c>
      <c r="G1236" s="15" t="n">
        <v>378</v>
      </c>
      <c r="H1236" s="15" t="n">
        <v>32</v>
      </c>
      <c r="I1236" s="15" t="n">
        <v>158</v>
      </c>
      <c r="J1236" s="13" t="n">
        <v>25</v>
      </c>
      <c r="K1236" t="n">
        <v>40</v>
      </c>
      <c r="L1236" s="13" t="n">
        <v>2.6</v>
      </c>
      <c r="M1236" s="12" t="n"/>
      <c r="N1236" s="8" t="n">
        <v>1.547853006654644</v>
      </c>
      <c r="O1236" s="15" t="n">
        <v>1.317135707379733</v>
      </c>
      <c r="P1236" s="15" t="n">
        <v>1.482402216791404</v>
      </c>
      <c r="Q1236" s="15" t="n">
        <v>0.002311617066309904</v>
      </c>
      <c r="R1236" s="15" t="n">
        <v>0.02669159476030186</v>
      </c>
      <c r="S1236" s="15" t="n">
        <v>0.002352727492425607</v>
      </c>
      <c r="T1236" s="42">
        <f>HIPERLINK($A$1 &amp; "\Dados\Imagem_perfil_1236.png", "Imagem_perfil_1236")</f>
        <v/>
      </c>
      <c r="U1236" s="42">
        <f>HIPERLINK($A$1 &amp; "\Dados\Results_airgap1236.txt", "Results_airgap1236")</f>
        <v/>
      </c>
      <c r="V1236" s="19" t="n"/>
      <c r="W1236" s="15" t="n">
        <v>1.899537608695652</v>
      </c>
      <c r="X1236" s="15" t="n">
        <v>0.9695925205459338</v>
      </c>
      <c r="Y1236" s="15" t="n">
        <v>0.3912684734865663</v>
      </c>
      <c r="Z1236" s="15" t="n">
        <v>0.000212041806162503</v>
      </c>
      <c r="AA1236" s="15" t="n">
        <v>1.978295576428459</v>
      </c>
      <c r="AB1236" s="15" t="n">
        <v>0</v>
      </c>
      <c r="AC1236" s="15" t="n">
        <v>4.446848688240962</v>
      </c>
      <c r="AD1236" s="15" t="n">
        <v>30.9910045973666</v>
      </c>
      <c r="AE1236" s="15" t="n">
        <v>77.01570816149629</v>
      </c>
      <c r="AF1236" s="15" t="n">
        <v>112.9049783866045</v>
      </c>
      <c r="AH1236" s="42">
        <f>HIPERLINK($A$1 &amp; "\Dados\Magnet_fields_1236.txt.txt", "Magnet_fields_1236.txt")</f>
        <v/>
      </c>
      <c r="AI1236" t="n">
        <v>8587</v>
      </c>
      <c r="AJ1236" t="n">
        <v>29</v>
      </c>
      <c r="AK1236" s="42">
        <f>HIPERLINK($A$1 &amp; "\Dados\Magnet_3D_results_1236.txt.txt", "Magnet_3D_results_1236.txt")</f>
        <v/>
      </c>
      <c r="AL1236" s="42">
        <f>HIPERLINK($A$1 &amp; "\Dados\Magnet_fields_2D_1236.txt.txt", "Magnet_fields_2D_1236.txt")</f>
        <v/>
      </c>
    </row>
    <row r="1237">
      <c r="E1237" s="15" t="n">
        <v>140</v>
      </c>
      <c r="F1237" s="15" t="n">
        <v>172</v>
      </c>
      <c r="G1237" s="15" t="n">
        <v>371</v>
      </c>
      <c r="H1237" s="15" t="n">
        <v>36</v>
      </c>
      <c r="I1237" s="15" t="n">
        <v>169</v>
      </c>
      <c r="J1237" s="13" t="n">
        <v>25</v>
      </c>
      <c r="K1237" t="n">
        <v>55</v>
      </c>
      <c r="L1237" s="13" t="n">
        <v>2.6</v>
      </c>
      <c r="M1237" s="12" t="n"/>
      <c r="N1237" s="8" t="n">
        <v>1.609502169879097</v>
      </c>
      <c r="O1237" s="15" t="n">
        <v>1.396569196375084</v>
      </c>
      <c r="P1237" s="15" t="n">
        <v>1.544474346731704</v>
      </c>
      <c r="Q1237" s="15" t="n">
        <v>0.01130407014106502</v>
      </c>
      <c r="R1237" s="15" t="n">
        <v>0.04298739826414959</v>
      </c>
      <c r="S1237" s="15" t="n">
        <v>0.01139435761502549</v>
      </c>
      <c r="T1237" s="42">
        <f>HIPERLINK($A$1 &amp; "\Dados\Imagem_perfil_1237.png", "Imagem_perfil_1237")</f>
        <v/>
      </c>
      <c r="U1237" s="42">
        <f>HIPERLINK($A$1 &amp; "\Dados\Results_airgap1237.txt", "Results_airgap1237")</f>
        <v/>
      </c>
      <c r="V1237" s="19" t="n"/>
      <c r="W1237" s="15" t="n">
        <v>2.006964347826087</v>
      </c>
      <c r="X1237" s="15" t="n">
        <v>0.9739634258281413</v>
      </c>
      <c r="Y1237" s="15" t="n">
        <v>0.1970216752528944</v>
      </c>
      <c r="Z1237" s="15" t="n">
        <v>0.03095566554281599</v>
      </c>
      <c r="AA1237" s="15" t="n">
        <v>0.1438422734319459</v>
      </c>
      <c r="AB1237" s="15" t="n">
        <v>0.03726322213472422</v>
      </c>
      <c r="AC1237" s="15" t="n">
        <v>9.237623307366411</v>
      </c>
      <c r="AD1237" s="15" t="n">
        <v>62.19107327284106</v>
      </c>
      <c r="AE1237" s="15" t="n">
        <v>97.5586305630606</v>
      </c>
      <c r="AF1237" s="15" t="n">
        <v>127.3209991978517</v>
      </c>
      <c r="AH1237" s="42">
        <f>HIPERLINK($A$1 &amp; "\Dados\Magnet_fields_1237.txt.txt", "Magnet_fields_1237.txt")</f>
        <v/>
      </c>
      <c r="AI1237" t="n">
        <v>12040</v>
      </c>
      <c r="AJ1237" t="n">
        <v>31</v>
      </c>
      <c r="AK1237" s="42">
        <f>HIPERLINK($A$1 &amp; "\Dados\Magnet_3D_results_1237.txt.txt", "Magnet_3D_results_1237.txt")</f>
        <v/>
      </c>
      <c r="AL1237" s="42">
        <f>HIPERLINK($A$1 &amp; "\Dados\Magnet_fields_2D_1237.txt.txt", "Magnet_fields_2D_1237.txt")</f>
        <v/>
      </c>
    </row>
    <row r="1238">
      <c r="E1238" s="15" t="n">
        <v>150</v>
      </c>
      <c r="F1238" s="15" t="n">
        <v>190</v>
      </c>
      <c r="G1238" s="15" t="n">
        <v>410</v>
      </c>
      <c r="H1238" s="15" t="n">
        <v>28</v>
      </c>
      <c r="I1238" s="15" t="n">
        <v>158</v>
      </c>
      <c r="J1238" s="13" t="n">
        <v>25</v>
      </c>
      <c r="K1238" t="n">
        <v>55</v>
      </c>
      <c r="L1238" s="13" t="n">
        <v>2.6</v>
      </c>
      <c r="M1238" s="12" t="n"/>
      <c r="N1238" s="8" t="n">
        <v>1.477565664045342</v>
      </c>
      <c r="O1238" s="15" t="n">
        <v>1.239083392426785</v>
      </c>
      <c r="P1238" s="15" t="n">
        <v>1.404109778897173</v>
      </c>
      <c r="Q1238" s="15" t="n">
        <v>0.008369242764939139</v>
      </c>
      <c r="R1238" s="15" t="n">
        <v>0.04477525838036358</v>
      </c>
      <c r="S1238" s="15" t="n">
        <v>0.008777225612730845</v>
      </c>
      <c r="T1238" s="42">
        <f>HIPERLINK($A$1 &amp; "\Dados\Imagem_perfil_1238.png", "Imagem_perfil_1238")</f>
        <v/>
      </c>
      <c r="U1238" s="42">
        <f>HIPERLINK($A$1 &amp; "\Dados\Results_airgap1238.txt", "Results_airgap1238")</f>
        <v/>
      </c>
      <c r="V1238" s="19" t="n"/>
      <c r="W1238" s="15" t="n">
        <v>1.981456739130435</v>
      </c>
      <c r="X1238" s="15" t="n">
        <v>0.9495629936475085</v>
      </c>
      <c r="Y1238" s="15" t="n">
        <v>0.2359879085748658</v>
      </c>
      <c r="Z1238" s="15" t="n">
        <v>0.01029703640902706</v>
      </c>
      <c r="AA1238" s="15" t="n">
        <v>4.321388225620636</v>
      </c>
      <c r="AB1238" s="15" t="n">
        <v>0.6381653016865454</v>
      </c>
      <c r="AC1238" s="15" t="n">
        <v>17.05399359084316</v>
      </c>
      <c r="AD1238" s="15" t="n">
        <v>62.96914340959793</v>
      </c>
      <c r="AE1238" s="15" t="n">
        <v>95.81721017318914</v>
      </c>
      <c r="AF1238" s="15" t="n">
        <v>126.7455657079512</v>
      </c>
      <c r="AH1238" s="42">
        <f>HIPERLINK($A$1 &amp; "\Dados\Magnet_fields_1238.txt.txt", "Magnet_fields_1238.txt")</f>
        <v/>
      </c>
      <c r="AI1238" t="n">
        <v>12039</v>
      </c>
      <c r="AJ1238" t="n">
        <v>31</v>
      </c>
      <c r="AK1238" s="42">
        <f>HIPERLINK($A$1 &amp; "\Dados\Magnet_3D_results_1238.txt.txt", "Magnet_3D_results_1238.txt")</f>
        <v/>
      </c>
      <c r="AL1238" s="42">
        <f>HIPERLINK($A$1 &amp; "\Dados\Magnet_fields_2D_1238.txt.txt", "Magnet_fields_2D_1238.txt")</f>
        <v/>
      </c>
    </row>
    <row r="1239">
      <c r="E1239" s="15" t="n">
        <v>146</v>
      </c>
      <c r="F1239" s="15" t="n">
        <v>192</v>
      </c>
      <c r="G1239" s="15" t="n">
        <v>396</v>
      </c>
      <c r="H1239" s="15" t="n">
        <v>45</v>
      </c>
      <c r="I1239" s="15" t="n">
        <v>153</v>
      </c>
      <c r="J1239" s="13" t="n">
        <v>25</v>
      </c>
      <c r="K1239" t="n">
        <v>60</v>
      </c>
      <c r="L1239" s="13" t="n">
        <v>2.6</v>
      </c>
      <c r="M1239" s="12" t="n"/>
      <c r="N1239" s="8" t="n">
        <v>1.344744554898644</v>
      </c>
      <c r="O1239" s="15" t="n">
        <v>1.103016363105075</v>
      </c>
      <c r="P1239" s="15" t="n">
        <v>1.277366379617623</v>
      </c>
      <c r="Q1239" s="15" t="n">
        <v>0.01876635343052037</v>
      </c>
      <c r="R1239" s="15" t="n">
        <v>0.05246709720959133</v>
      </c>
      <c r="S1239" s="15" t="n">
        <v>0.01921545522201313</v>
      </c>
      <c r="T1239" s="42">
        <f>HIPERLINK($A$1 &amp; "\Dados\Imagem_perfil_1239.png", "Imagem_perfil_1239")</f>
        <v/>
      </c>
      <c r="U1239" s="42">
        <f>HIPERLINK($A$1 &amp; "\Dados\Results_airgap1239.txt", "Results_airgap1239")</f>
        <v/>
      </c>
      <c r="V1239" s="19" t="n"/>
      <c r="W1239" s="15" t="n">
        <v>1.831408043478261</v>
      </c>
      <c r="X1239" s="15" t="n">
        <v>0.8833497706169072</v>
      </c>
      <c r="Y1239" s="15" t="n">
        <v>0.3620938204368635</v>
      </c>
      <c r="Z1239" s="15" t="n">
        <v>0.004511194396212012</v>
      </c>
      <c r="AA1239" s="15" t="n">
        <v>0</v>
      </c>
      <c r="AB1239" s="15" t="n">
        <v>0.3875603248962007</v>
      </c>
      <c r="AC1239" s="15" t="n">
        <v>16.64145335948336</v>
      </c>
      <c r="AD1239" s="15" t="n">
        <v>66.65187461700944</v>
      </c>
      <c r="AE1239" s="15" t="n">
        <v>98.89681545509133</v>
      </c>
      <c r="AF1239" s="15" t="n">
        <v>130.5431092810386</v>
      </c>
      <c r="AH1239" s="42">
        <f>HIPERLINK($A$1 &amp; "\Dados\Magnet_fields_1239.txt.txt", "Magnet_fields_1239.txt")</f>
        <v/>
      </c>
      <c r="AI1239" t="n">
        <v>7385</v>
      </c>
      <c r="AJ1239" t="n">
        <v>28</v>
      </c>
      <c r="AK1239" s="42">
        <f>HIPERLINK($A$1 &amp; "\Dados\Magnet_3D_results_1239.txt.txt", "Magnet_3D_results_1239.txt")</f>
        <v/>
      </c>
      <c r="AL1239" s="42">
        <f>HIPERLINK($A$1 &amp; "\Dados\Magnet_fields_2D_1239.txt.txt", "Magnet_fields_2D_1239.txt")</f>
        <v/>
      </c>
    </row>
    <row r="1240">
      <c r="E1240" s="15" t="n">
        <v>144</v>
      </c>
      <c r="F1240" s="15" t="n">
        <v>185</v>
      </c>
      <c r="G1240" s="15" t="n">
        <v>386</v>
      </c>
      <c r="H1240" s="15" t="n">
        <v>28</v>
      </c>
      <c r="I1240" s="15" t="n">
        <v>172</v>
      </c>
      <c r="J1240" s="13" t="n">
        <v>25</v>
      </c>
      <c r="K1240" t="n">
        <v>55</v>
      </c>
      <c r="L1240" s="13" t="n">
        <v>2.6</v>
      </c>
      <c r="M1240" s="12" t="n"/>
      <c r="N1240" s="8" t="n">
        <v>1.474609838879163</v>
      </c>
      <c r="O1240" s="15" t="n">
        <v>1.271247780322266</v>
      </c>
      <c r="P1240" s="15" t="n">
        <v>1.414822517174316</v>
      </c>
      <c r="Q1240" s="15" t="n">
        <v>0.008619726009885833</v>
      </c>
      <c r="R1240" s="15" t="n">
        <v>0.04256184271175092</v>
      </c>
      <c r="S1240" s="15" t="n">
        <v>0.00873211376228732</v>
      </c>
      <c r="T1240" s="42">
        <f>HIPERLINK($A$1 &amp; "\Dados\Imagem_perfil_1240.png", "Imagem_perfil_1240")</f>
        <v/>
      </c>
      <c r="U1240" s="42">
        <f>HIPERLINK($A$1 &amp; "\Dados\Results_airgap1240.txt", "Results_airgap1240")</f>
        <v/>
      </c>
      <c r="V1240" s="19" t="n"/>
      <c r="W1240" s="15" t="n">
        <v>1.883332608695652</v>
      </c>
      <c r="X1240" s="15" t="n">
        <v>0.9462593802087106</v>
      </c>
      <c r="Y1240" s="15" t="n">
        <v>0.3150997486359086</v>
      </c>
      <c r="Z1240" s="15" t="n">
        <v>0.02897946070498059</v>
      </c>
      <c r="AA1240" s="15" t="n">
        <v>3.38956046639465</v>
      </c>
      <c r="AB1240" s="15" t="n">
        <v>0.03088628733750816</v>
      </c>
      <c r="AC1240" s="15" t="n">
        <v>14.29225845966114</v>
      </c>
      <c r="AD1240" s="15" t="n">
        <v>64.21942316467889</v>
      </c>
      <c r="AE1240" s="15" t="n">
        <v>96.67004538050534</v>
      </c>
      <c r="AF1240" s="15" t="n">
        <v>126.6524348873975</v>
      </c>
      <c r="AH1240" s="42">
        <f>HIPERLINK($A$1 &amp; "\Dados\Magnet_fields_1240.txt.txt", "Magnet_fields_1240.txt")</f>
        <v/>
      </c>
      <c r="AI1240" t="n">
        <v>12557</v>
      </c>
      <c r="AJ1240" t="n">
        <v>30</v>
      </c>
      <c r="AK1240" s="42">
        <f>HIPERLINK($A$1 &amp; "\Dados\Magnet_3D_results_1240.txt.txt", "Magnet_3D_results_1240.txt")</f>
        <v/>
      </c>
      <c r="AL1240" s="42">
        <f>HIPERLINK($A$1 &amp; "\Dados\Magnet_fields_2D_1240.txt.txt", "Magnet_fields_2D_1240.txt")</f>
        <v/>
      </c>
    </row>
    <row r="1241">
      <c r="E1241" s="15" t="n">
        <v>130</v>
      </c>
      <c r="F1241" s="15" t="n">
        <v>172</v>
      </c>
      <c r="G1241" s="15" t="n">
        <v>429</v>
      </c>
      <c r="H1241" s="15" t="n">
        <v>38</v>
      </c>
      <c r="I1241" s="15" t="n">
        <v>158</v>
      </c>
      <c r="J1241" s="13" t="n">
        <v>25</v>
      </c>
      <c r="K1241" t="n">
        <v>60</v>
      </c>
      <c r="L1241" s="13" t="n">
        <v>2.6</v>
      </c>
      <c r="M1241" s="12" t="n"/>
      <c r="N1241" s="8" t="n">
        <v>1.550024154897502</v>
      </c>
      <c r="O1241" s="15" t="n">
        <v>1.319737842491825</v>
      </c>
      <c r="P1241" s="15" t="n">
        <v>1.475390215457415</v>
      </c>
      <c r="Q1241" s="15" t="n">
        <v>0.03264974796846131</v>
      </c>
      <c r="R1241" s="15" t="n">
        <v>0.07779490272222073</v>
      </c>
      <c r="S1241" s="15" t="n">
        <v>0.03239293321788109</v>
      </c>
      <c r="T1241" s="42">
        <f>HIPERLINK($A$1 &amp; "\Dados\Imagem_perfil_1241.png", "Imagem_perfil_1241")</f>
        <v/>
      </c>
      <c r="U1241" s="42">
        <f>HIPERLINK($A$1 &amp; "\Dados\Results_airgap1241.txt", "Results_airgap1241")</f>
        <v/>
      </c>
      <c r="V1241" s="19" t="n"/>
      <c r="W1241" s="15" t="n">
        <v>2.162523695652174</v>
      </c>
      <c r="X1241" s="15" t="n">
        <v>0.9961990435002634</v>
      </c>
      <c r="Y1241" s="15" t="n">
        <v>0.146871665315893</v>
      </c>
      <c r="Z1241" s="15" t="n">
        <v>0.01736772478051115</v>
      </c>
      <c r="AA1241" s="15" t="n">
        <v>0.006331197967233223</v>
      </c>
      <c r="AB1241" s="15" t="n">
        <v>1.61555801443263</v>
      </c>
      <c r="AC1241" s="15" t="n">
        <v>18.70662621259502</v>
      </c>
      <c r="AD1241" s="15" t="n">
        <v>67.73605978649303</v>
      </c>
      <c r="AE1241" s="15" t="n">
        <v>101.1724511358964</v>
      </c>
      <c r="AF1241" s="15" t="n">
        <v>132.6267452473881</v>
      </c>
      <c r="AH1241" s="42">
        <f>HIPERLINK($A$1 &amp; "\Dados\Magnet_fields_1241.txt.txt", "Magnet_fields_1241.txt")</f>
        <v/>
      </c>
      <c r="AI1241" t="n">
        <v>8123</v>
      </c>
      <c r="AJ1241" t="n">
        <v>29</v>
      </c>
      <c r="AK1241" s="42">
        <f>HIPERLINK($A$1 &amp; "\Dados\Magnet_3D_results_1241.txt.txt", "Magnet_3D_results_1241.txt")</f>
        <v/>
      </c>
      <c r="AL1241" s="42">
        <f>HIPERLINK($A$1 &amp; "\Dados\Magnet_fields_2D_1241.txt.txt", "Magnet_fields_2D_1241.txt")</f>
        <v/>
      </c>
    </row>
    <row r="1242">
      <c r="E1242" s="15" t="n">
        <v>144</v>
      </c>
      <c r="F1242" s="15" t="n">
        <v>181</v>
      </c>
      <c r="G1242" s="15" t="n">
        <v>429</v>
      </c>
      <c r="H1242" s="15" t="n">
        <v>28</v>
      </c>
      <c r="I1242" s="15" t="n">
        <v>180</v>
      </c>
      <c r="J1242" s="13" t="n">
        <v>25</v>
      </c>
      <c r="K1242" t="n">
        <v>45</v>
      </c>
      <c r="L1242" s="13" t="n">
        <v>2.6</v>
      </c>
      <c r="M1242" s="12" t="n"/>
      <c r="N1242" s="8" t="n">
        <v>1.597776208596404</v>
      </c>
      <c r="O1242" s="15" t="n">
        <v>1.410383399554846</v>
      </c>
      <c r="P1242" s="15" t="n">
        <v>1.536209843666173</v>
      </c>
      <c r="Q1242" s="15" t="n">
        <v>0.003679437821257736</v>
      </c>
      <c r="R1242" s="15" t="n">
        <v>0.04240283072769195</v>
      </c>
      <c r="S1242" s="15" t="n">
        <v>0.003790235113938696</v>
      </c>
      <c r="T1242" s="42">
        <f>HIPERLINK($A$1 &amp; "\Dados\Imagem_perfil_1242.png", "Imagem_perfil_1242")</f>
        <v/>
      </c>
      <c r="U1242" s="42">
        <f>HIPERLINK($A$1 &amp; "\Dados\Results_airgap1242.txt", "Results_airgap1242")</f>
        <v/>
      </c>
      <c r="V1242" s="19" t="n"/>
      <c r="W1242" s="15" t="n">
        <v>2.01190195652174</v>
      </c>
      <c r="X1242" s="15" t="n">
        <v>1.001392759284742</v>
      </c>
      <c r="Y1242" s="15" t="n">
        <v>0.2885903638054688</v>
      </c>
      <c r="Z1242" s="15" t="n">
        <v>0</v>
      </c>
      <c r="AA1242" s="15" t="n">
        <v>3.463196969921833</v>
      </c>
      <c r="AB1242" s="15" t="n">
        <v>0.999063439121088</v>
      </c>
      <c r="AC1242" s="15" t="n">
        <v>9.151850177897376</v>
      </c>
      <c r="AD1242" s="15" t="n">
        <v>42.27728519598818</v>
      </c>
      <c r="AE1242" s="15" t="n">
        <v>85.36800562444681</v>
      </c>
      <c r="AF1242" s="15" t="n">
        <v>118.3635688940684</v>
      </c>
      <c r="AH1242" s="42">
        <f>HIPERLINK($A$1 &amp; "\Dados\Magnet_fields_1242.txt.txt", "Magnet_fields_1242.txt")</f>
        <v/>
      </c>
      <c r="AI1242" t="n">
        <v>9975</v>
      </c>
      <c r="AJ1242" t="n">
        <v>30</v>
      </c>
      <c r="AK1242" s="42">
        <f>HIPERLINK($A$1 &amp; "\Dados\Magnet_3D_results_1242.txt.txt", "Magnet_3D_results_1242.txt")</f>
        <v/>
      </c>
      <c r="AL1242" s="42">
        <f>HIPERLINK($A$1 &amp; "\Dados\Magnet_fields_2D_1242.txt.txt", "Magnet_fields_2D_1242.txt")</f>
        <v/>
      </c>
    </row>
    <row r="1243">
      <c r="E1243" s="15" t="n">
        <v>142</v>
      </c>
      <c r="F1243" s="15" t="n">
        <v>183</v>
      </c>
      <c r="G1243" s="15" t="n">
        <v>412</v>
      </c>
      <c r="H1243" s="15" t="n">
        <v>25</v>
      </c>
      <c r="I1243" s="15" t="n">
        <v>161</v>
      </c>
      <c r="J1243" s="13" t="n">
        <v>25</v>
      </c>
      <c r="K1243" t="n">
        <v>40</v>
      </c>
      <c r="L1243" s="13" t="n">
        <v>2.6</v>
      </c>
      <c r="M1243" s="12" t="n"/>
      <c r="N1243" s="8" t="n">
        <v>1.389474389221999</v>
      </c>
      <c r="O1243" s="15" t="n">
        <v>1.177933465722382</v>
      </c>
      <c r="P1243" s="15" t="n">
        <v>1.327742293313196</v>
      </c>
      <c r="Q1243" s="15" t="n">
        <v>0.001428133525166524</v>
      </c>
      <c r="R1243" s="15" t="n">
        <v>0.03218653614128034</v>
      </c>
      <c r="S1243" s="15" t="n">
        <v>0.00158717211141478</v>
      </c>
      <c r="T1243" s="42">
        <f>HIPERLINK($A$1 &amp; "\Dados\Imagem_perfil_1243.png", "Imagem_perfil_1243")</f>
        <v/>
      </c>
      <c r="U1243" s="42">
        <f>HIPERLINK($A$1 &amp; "\Dados\Results_airgap1243.txt", "Results_airgap1243")</f>
        <v/>
      </c>
      <c r="V1243" s="19" t="n"/>
      <c r="W1243" s="15" t="n">
        <v>1.784353260869565</v>
      </c>
      <c r="X1243" s="15" t="n">
        <v>0.8544056108042034</v>
      </c>
      <c r="Y1243" s="15" t="n">
        <v>0.5294742618093708</v>
      </c>
      <c r="Z1243" s="15" t="n">
        <v>0.004583755197697622</v>
      </c>
      <c r="AA1243" s="15" t="n">
        <v>2.98404139014357</v>
      </c>
      <c r="AB1243" s="15" t="n">
        <v>1.370282357463177</v>
      </c>
      <c r="AC1243" s="15" t="n">
        <v>7.19033837425676</v>
      </c>
      <c r="AD1243" s="15" t="n">
        <v>32.71894890564455</v>
      </c>
      <c r="AE1243" s="15" t="n">
        <v>80.92185610548235</v>
      </c>
      <c r="AF1243" s="15" t="n">
        <v>114.8598708481657</v>
      </c>
      <c r="AH1243" s="42">
        <f>HIPERLINK($A$1 &amp; "\Dados\Magnet_fields_1243.txt.txt", "Magnet_fields_1243.txt")</f>
        <v/>
      </c>
      <c r="AI1243" t="n">
        <v>10816</v>
      </c>
      <c r="AJ1243" t="n">
        <v>31</v>
      </c>
      <c r="AK1243" s="42">
        <f>HIPERLINK($A$1 &amp; "\Dados\Magnet_3D_results_1243.txt.txt", "Magnet_3D_results_1243.txt")</f>
        <v/>
      </c>
      <c r="AL1243" s="42">
        <f>HIPERLINK($A$1 &amp; "\Dados\Magnet_fields_2D_1243.txt.txt", "Magnet_fields_2D_1243.txt")</f>
        <v/>
      </c>
    </row>
    <row r="1244">
      <c r="E1244" s="15" t="n">
        <v>142</v>
      </c>
      <c r="F1244" s="15" t="n">
        <v>173</v>
      </c>
      <c r="G1244" s="15" t="n">
        <v>423</v>
      </c>
      <c r="H1244" s="15" t="n">
        <v>41</v>
      </c>
      <c r="I1244" s="15" t="n">
        <v>153</v>
      </c>
      <c r="J1244" s="13" t="n">
        <v>25</v>
      </c>
      <c r="K1244" t="n">
        <v>60</v>
      </c>
      <c r="L1244" s="13" t="n">
        <v>2.6</v>
      </c>
      <c r="M1244" s="12" t="n"/>
      <c r="N1244" s="8" t="n">
        <v>1.702678419805872</v>
      </c>
      <c r="O1244" s="15" t="n">
        <v>1.398567904347819</v>
      </c>
      <c r="P1244" s="15" t="n">
        <v>1.612446341185347</v>
      </c>
      <c r="Q1244" s="15" t="n">
        <v>0.02948544199425528</v>
      </c>
      <c r="R1244" s="15" t="n">
        <v>0.06655878237793673</v>
      </c>
      <c r="S1244" s="15" t="n">
        <v>0.02980556185738093</v>
      </c>
      <c r="T1244" s="42">
        <f>HIPERLINK($A$1 &amp; "\Dados\Imagem_perfil_1244.png", "Imagem_perfil_1244")</f>
        <v/>
      </c>
      <c r="U1244" s="42">
        <f>HIPERLINK($A$1 &amp; "\Dados\Results_airgap1244.txt", "Results_airgap1244")</f>
        <v/>
      </c>
      <c r="V1244" s="19" t="n"/>
      <c r="W1244" s="15" t="n">
        <v>2.312839347826087</v>
      </c>
      <c r="X1244" s="15" t="n">
        <v>1.041479547003431</v>
      </c>
      <c r="Y1244" s="15" t="n">
        <v>0.04862084254862113</v>
      </c>
      <c r="Z1244" s="15" t="n">
        <v>0</v>
      </c>
      <c r="AA1244" s="15" t="n">
        <v>0</v>
      </c>
      <c r="AB1244" s="15" t="n">
        <v>1.74768394293174</v>
      </c>
      <c r="AC1244" s="15" t="n">
        <v>20.42819972032068</v>
      </c>
      <c r="AD1244" s="15" t="n">
        <v>68.75625008822968</v>
      </c>
      <c r="AE1244" s="15" t="n">
        <v>101.8713774971042</v>
      </c>
      <c r="AF1244" s="15" t="n">
        <v>132.6713161801665</v>
      </c>
      <c r="AH1244" s="42">
        <f>HIPERLINK($A$1 &amp; "\Dados\Magnet_fields_1244.txt.txt", "Magnet_fields_1244.txt")</f>
        <v/>
      </c>
      <c r="AI1244" t="n">
        <v>8661</v>
      </c>
      <c r="AJ1244" t="n">
        <v>29</v>
      </c>
      <c r="AK1244" s="42">
        <f>HIPERLINK($A$1 &amp; "\Dados\Magnet_3D_results_1244.txt.txt", "Magnet_3D_results_1244.txt")</f>
        <v/>
      </c>
      <c r="AL1244" s="42">
        <f>HIPERLINK($A$1 &amp; "\Dados\Magnet_fields_2D_1244.txt.txt", "Magnet_fields_2D_1244.txt")</f>
        <v/>
      </c>
    </row>
    <row r="1245">
      <c r="E1245" s="15" t="n">
        <v>147</v>
      </c>
      <c r="F1245" s="15" t="n">
        <v>191</v>
      </c>
      <c r="G1245" s="15" t="n">
        <v>398</v>
      </c>
      <c r="H1245" s="15" t="n">
        <v>30</v>
      </c>
      <c r="I1245" s="15" t="n">
        <v>164</v>
      </c>
      <c r="J1245" s="13" t="n">
        <v>25</v>
      </c>
      <c r="K1245" t="n">
        <v>40</v>
      </c>
      <c r="L1245" s="13" t="n">
        <v>2.6</v>
      </c>
      <c r="M1245" s="12" t="n"/>
      <c r="N1245" s="8" t="n">
        <v>1.31623102035567</v>
      </c>
      <c r="O1245" s="15" t="n">
        <v>1.128836759753785</v>
      </c>
      <c r="P1245" s="15" t="n">
        <v>1.254107011869612</v>
      </c>
      <c r="Q1245" s="15" t="n">
        <v>0.001143996802820165</v>
      </c>
      <c r="R1245" s="15" t="n">
        <v>0.02868529162498799</v>
      </c>
      <c r="S1245" s="15" t="n">
        <v>0.001358794138473143</v>
      </c>
      <c r="T1245" s="42">
        <f>HIPERLINK($A$1 &amp; "\Dados\Imagem_perfil_1245.png", "Imagem_perfil_1245")</f>
        <v/>
      </c>
      <c r="U1245" s="42">
        <f>HIPERLINK($A$1 &amp; "\Dados\Results_airgap1245.txt", "Results_airgap1245")</f>
        <v/>
      </c>
      <c r="V1245" s="19" t="n"/>
      <c r="W1245" s="15" t="n">
        <v>1.673598043478261</v>
      </c>
      <c r="X1245" s="15" t="n">
        <v>0.8282929765244453</v>
      </c>
      <c r="Y1245" s="15" t="n">
        <v>0.6439540990648116</v>
      </c>
      <c r="Z1245" s="15" t="n">
        <v>0.00132885329488279</v>
      </c>
      <c r="AA1245" s="15" t="n">
        <v>2.347212645384853</v>
      </c>
      <c r="AB1245" s="15" t="n">
        <v>0.9982810608578949</v>
      </c>
      <c r="AC1245" s="15" t="n">
        <v>6.802510569210154</v>
      </c>
      <c r="AD1245" s="15" t="n">
        <v>32.32463800846352</v>
      </c>
      <c r="AE1245" s="15" t="n">
        <v>78.86939386782618</v>
      </c>
      <c r="AF1245" s="15" t="n">
        <v>113.8257268675913</v>
      </c>
      <c r="AH1245" s="42">
        <f>HIPERLINK($A$1 &amp; "\Dados\Magnet_fields_1245.txt.txt", "Magnet_fields_1245.txt")</f>
        <v/>
      </c>
      <c r="AI1245" t="n">
        <v>8656</v>
      </c>
      <c r="AJ1245" t="n">
        <v>29</v>
      </c>
      <c r="AK1245" s="42">
        <f>HIPERLINK($A$1 &amp; "\Dados\Magnet_3D_results_1245.txt.txt", "Magnet_3D_results_1245.txt")</f>
        <v/>
      </c>
      <c r="AL1245" s="42">
        <f>HIPERLINK($A$1 &amp; "\Dados\Magnet_fields_2D_1245.txt.txt", "Magnet_fields_2D_1245.txt")</f>
        <v/>
      </c>
    </row>
    <row r="1246">
      <c r="E1246" s="15" t="n">
        <v>135</v>
      </c>
      <c r="F1246" s="15" t="n">
        <v>176</v>
      </c>
      <c r="G1246" s="15" t="n">
        <v>376</v>
      </c>
      <c r="H1246" s="15" t="n">
        <v>30</v>
      </c>
      <c r="I1246" s="15" t="n">
        <v>168</v>
      </c>
      <c r="J1246" s="13" t="n">
        <v>25</v>
      </c>
      <c r="K1246" t="n">
        <v>45</v>
      </c>
      <c r="L1246" s="13" t="n">
        <v>2.6</v>
      </c>
      <c r="M1246" s="12" t="n"/>
      <c r="N1246" s="8" t="n">
        <v>1.403993817913121</v>
      </c>
      <c r="O1246" s="15" t="n">
        <v>1.204057429149899</v>
      </c>
      <c r="P1246" s="15" t="n">
        <v>1.360015642036074</v>
      </c>
      <c r="Q1246" s="15" t="n">
        <v>0.002571564683402226</v>
      </c>
      <c r="R1246" s="15" t="n">
        <v>0.03423524107708958</v>
      </c>
      <c r="S1246" s="15" t="n">
        <v>0.002803601591913523</v>
      </c>
      <c r="T1246" s="42">
        <f>HIPERLINK($A$1 &amp; "\Dados\Imagem_perfil_1246.png", "Imagem_perfil_1246")</f>
        <v/>
      </c>
      <c r="U1246" s="42">
        <f>HIPERLINK($A$1 &amp; "\Dados\Results_airgap1246.txt", "Results_airgap1246")</f>
        <v/>
      </c>
      <c r="V1246" s="19" t="n"/>
      <c r="W1246" s="15" t="n">
        <v>1.781830434782609</v>
      </c>
      <c r="X1246" s="15" t="n">
        <v>0.9093879070486213</v>
      </c>
      <c r="Y1246" s="15" t="n">
        <v>0.5068331949990644</v>
      </c>
      <c r="Z1246" s="15" t="n">
        <v>0</v>
      </c>
      <c r="AA1246" s="15" t="n">
        <v>3.159307694881322</v>
      </c>
      <c r="AB1246" s="15" t="n">
        <v>1.53057363253245</v>
      </c>
      <c r="AC1246" s="15" t="n">
        <v>9.758948724628397</v>
      </c>
      <c r="AD1246" s="15" t="n">
        <v>39.76670902066788</v>
      </c>
      <c r="AE1246" s="15" t="n">
        <v>81.61620498773104</v>
      </c>
      <c r="AF1246" s="15" t="n">
        <v>116.6703517270332</v>
      </c>
      <c r="AH1246" s="42">
        <f>HIPERLINK($A$1 &amp; "\Dados\Magnet_fields_1246.txt.txt", "Magnet_fields_1246.txt")</f>
        <v/>
      </c>
      <c r="AI1246" t="n">
        <v>8012</v>
      </c>
      <c r="AJ1246" t="n">
        <v>28</v>
      </c>
      <c r="AK1246" s="42">
        <f>HIPERLINK($A$1 &amp; "\Dados\Magnet_3D_results_1246.txt.txt", "Magnet_3D_results_1246.txt")</f>
        <v/>
      </c>
      <c r="AL1246" s="42">
        <f>HIPERLINK($A$1 &amp; "\Dados\Magnet_fields_2D_1246.txt.txt", "Magnet_fields_2D_1246.txt")</f>
        <v/>
      </c>
    </row>
    <row r="1247">
      <c r="E1247" s="15" t="n">
        <v>150</v>
      </c>
      <c r="F1247" s="15" t="n">
        <v>194</v>
      </c>
      <c r="G1247" s="15" t="n">
        <v>364</v>
      </c>
      <c r="H1247" s="15" t="n">
        <v>45</v>
      </c>
      <c r="I1247" s="15" t="n">
        <v>164</v>
      </c>
      <c r="J1247" s="13" t="n">
        <v>25</v>
      </c>
      <c r="K1247" t="n">
        <v>40</v>
      </c>
      <c r="L1247" s="13" t="n">
        <v>2.6</v>
      </c>
      <c r="M1247" s="12" t="n"/>
      <c r="N1247" s="8" t="n">
        <v>1.247217256200509</v>
      </c>
      <c r="O1247" s="15" t="n">
        <v>1.061983222256177</v>
      </c>
      <c r="P1247" s="15" t="n">
        <v>1.1912375643476</v>
      </c>
      <c r="Q1247" s="15" t="n">
        <v>0.0009927682719769327</v>
      </c>
      <c r="R1247" s="15" t="n">
        <v>0.02383865017177116</v>
      </c>
      <c r="S1247" s="15" t="n">
        <v>0.001153717684424303</v>
      </c>
      <c r="T1247" s="42">
        <f>HIPERLINK($A$1 &amp; "\Dados\Imagem_perfil_1247.png", "Imagem_perfil_1247")</f>
        <v/>
      </c>
      <c r="U1247" s="42">
        <f>HIPERLINK($A$1 &amp; "\Dados\Results_airgap1247.txt", "Results_airgap1247")</f>
        <v/>
      </c>
      <c r="V1247" s="19" t="n"/>
      <c r="W1247" s="15" t="n">
        <v>1.53016847826087</v>
      </c>
      <c r="X1247" s="15" t="n">
        <v>0.7904109595236888</v>
      </c>
      <c r="Y1247" s="15" t="n">
        <v>0.7757630072827131</v>
      </c>
      <c r="Z1247" s="15" t="n">
        <v>0.005238995324587987</v>
      </c>
      <c r="AA1247" s="15" t="n">
        <v>0</v>
      </c>
      <c r="AB1247" s="15" t="n">
        <v>0</v>
      </c>
      <c r="AC1247" s="15" t="n">
        <v>3.853958024952492</v>
      </c>
      <c r="AD1247" s="15" t="n">
        <v>28.46132837828992</v>
      </c>
      <c r="AE1247" s="15" t="n">
        <v>76.46018920291455</v>
      </c>
      <c r="AF1247" s="15" t="n">
        <v>112.8499922401926</v>
      </c>
      <c r="AH1247" s="42">
        <f>HIPERLINK($A$1 &amp; "\Dados\Magnet_fields_1247.txt.txt", "Magnet_fields_1247.txt")</f>
        <v/>
      </c>
      <c r="AI1247" t="n">
        <v>6773</v>
      </c>
      <c r="AJ1247" t="n">
        <v>28</v>
      </c>
      <c r="AK1247" s="42">
        <f>HIPERLINK($A$1 &amp; "\Dados\Magnet_3D_results_1247.txt.txt", "Magnet_3D_results_1247.txt")</f>
        <v/>
      </c>
      <c r="AL1247" s="42">
        <f>HIPERLINK($A$1 &amp; "\Dados\Magnet_fields_2D_1247.txt.txt", "Magnet_fields_2D_1247.txt")</f>
        <v/>
      </c>
    </row>
    <row r="1248">
      <c r="E1248" s="15" t="n">
        <v>131</v>
      </c>
      <c r="F1248" s="15" t="n">
        <v>180</v>
      </c>
      <c r="G1248" s="15" t="n">
        <v>427</v>
      </c>
      <c r="H1248" s="15" t="n">
        <v>40</v>
      </c>
      <c r="I1248" s="15" t="n">
        <v>150</v>
      </c>
      <c r="J1248" s="13" t="n">
        <v>25</v>
      </c>
      <c r="K1248" t="n">
        <v>45</v>
      </c>
      <c r="L1248" s="13" t="n">
        <v>2.6</v>
      </c>
      <c r="M1248" s="12" t="n"/>
      <c r="N1248" s="8" t="n">
        <v>1.356173152052575</v>
      </c>
      <c r="O1248" s="15" t="n">
        <v>1.106912883297925</v>
      </c>
      <c r="P1248" s="15" t="n">
        <v>1.276400516084818</v>
      </c>
      <c r="Q1248" s="15" t="n">
        <v>0.00364669248454479</v>
      </c>
      <c r="R1248" s="15" t="n">
        <v>0.05171119678400513</v>
      </c>
      <c r="S1248" s="15" t="n">
        <v>0.004896954028555585</v>
      </c>
      <c r="T1248" s="42">
        <f>HIPERLINK($A$1 &amp; "\Dados\Imagem_perfil_1248.png", "Imagem_perfil_1248")</f>
        <v/>
      </c>
      <c r="U1248" s="42">
        <f>HIPERLINK($A$1 &amp; "\Dados\Results_airgap1248.txt", "Results_airgap1248")</f>
        <v/>
      </c>
      <c r="V1248" s="19" t="n"/>
      <c r="W1248" s="15" t="n">
        <v>1.856409782608695</v>
      </c>
      <c r="X1248" s="15" t="n">
        <v>0.8789119910907525</v>
      </c>
      <c r="Y1248" s="15" t="n">
        <v>0.4276257834463453</v>
      </c>
      <c r="Z1248" s="15" t="n">
        <v>0</v>
      </c>
      <c r="AA1248" s="15" t="n">
        <v>0</v>
      </c>
      <c r="AB1248" s="15" t="n">
        <v>2.925756917718663</v>
      </c>
      <c r="AC1248" s="15" t="n">
        <v>15.91873594159449</v>
      </c>
      <c r="AD1248" s="15" t="n">
        <v>51.95848645578354</v>
      </c>
      <c r="AE1248" s="15" t="n">
        <v>89.31728278960027</v>
      </c>
      <c r="AF1248" s="15" t="n">
        <v>119.1501509965436</v>
      </c>
      <c r="AH1248" s="42">
        <f>HIPERLINK($A$1 &amp; "\Dados\Magnet_fields_1248.txt.txt", "Magnet_fields_1248.txt")</f>
        <v/>
      </c>
      <c r="AI1248" t="n">
        <v>6441</v>
      </c>
      <c r="AJ1248" t="n">
        <v>28</v>
      </c>
      <c r="AK1248" s="42">
        <f>HIPERLINK($A$1 &amp; "\Dados\Magnet_3D_results_1248.txt.txt", "Magnet_3D_results_1248.txt")</f>
        <v/>
      </c>
      <c r="AL1248" s="42">
        <f>HIPERLINK($A$1 &amp; "\Dados\Magnet_fields_2D_1248.txt.txt", "Magnet_fields_2D_1248.txt")</f>
        <v/>
      </c>
    </row>
    <row r="1249">
      <c r="E1249" s="15" t="n">
        <v>127</v>
      </c>
      <c r="F1249" s="15" t="n">
        <v>171</v>
      </c>
      <c r="G1249" s="15" t="n">
        <v>366</v>
      </c>
      <c r="H1249" s="15" t="n">
        <v>45</v>
      </c>
      <c r="I1249" s="15" t="n">
        <v>166</v>
      </c>
      <c r="J1249" s="13" t="n">
        <v>25</v>
      </c>
      <c r="K1249" t="n">
        <v>45</v>
      </c>
      <c r="L1249" s="13" t="n">
        <v>2.6</v>
      </c>
      <c r="M1249" s="12" t="n"/>
      <c r="N1249" s="8" t="n">
        <v>1.392199437248658</v>
      </c>
      <c r="O1249" s="15" t="n">
        <v>1.175039972293838</v>
      </c>
      <c r="P1249" s="15" t="n">
        <v>1.325314552292877</v>
      </c>
      <c r="Q1249" s="15" t="n">
        <v>0.003215110181184087</v>
      </c>
      <c r="R1249" s="15" t="n">
        <v>0.03985783894106929</v>
      </c>
      <c r="S1249" s="15" t="n">
        <v>0.003419835307616441</v>
      </c>
      <c r="T1249" s="42">
        <f>HIPERLINK($A$1 &amp; "\Dados\Imagem_perfil_1249.png", "Imagem_perfil_1249")</f>
        <v/>
      </c>
      <c r="U1249" s="42">
        <f>HIPERLINK($A$1 &amp; "\Dados\Results_airgap1249.txt", "Results_airgap1249")</f>
        <v/>
      </c>
      <c r="V1249" s="19" t="n"/>
      <c r="W1249" s="15" t="n">
        <v>1.741424565217391</v>
      </c>
      <c r="X1249" s="15" t="n">
        <v>0.855926568144492</v>
      </c>
      <c r="Y1249" s="15" t="n">
        <v>0.5499555200856112</v>
      </c>
      <c r="Z1249" s="15" t="n">
        <v>0.001402690661002775</v>
      </c>
      <c r="AA1249" s="15" t="n">
        <v>0</v>
      </c>
      <c r="AB1249" s="15" t="n">
        <v>2.271792009723457</v>
      </c>
      <c r="AC1249" s="15" t="n">
        <v>12.87999093312608</v>
      </c>
      <c r="AD1249" s="15" t="n">
        <v>44.62438202548312</v>
      </c>
      <c r="AE1249" s="15" t="n">
        <v>83.9024907594244</v>
      </c>
      <c r="AF1249" s="15" t="n">
        <v>117.2094153278872</v>
      </c>
      <c r="AH1249" s="42">
        <f>HIPERLINK($A$1 &amp; "\Dados\Magnet_fields_1249.txt.txt", "Magnet_fields_1249.txt")</f>
        <v/>
      </c>
      <c r="AI1249" t="n">
        <v>5721</v>
      </c>
      <c r="AJ1249" t="n">
        <v>27</v>
      </c>
      <c r="AK1249" s="42">
        <f>HIPERLINK($A$1 &amp; "\Dados\Magnet_3D_results_1249.txt.txt", "Magnet_3D_results_1249.txt")</f>
        <v/>
      </c>
      <c r="AL1249" s="42">
        <f>HIPERLINK($A$1 &amp; "\Dados\Magnet_fields_2D_1249.txt.txt", "Magnet_fields_2D_1249.txt")</f>
        <v/>
      </c>
    </row>
    <row r="1250">
      <c r="E1250" s="15" t="n">
        <v>133</v>
      </c>
      <c r="F1250" s="15" t="n">
        <v>178</v>
      </c>
      <c r="G1250" s="15" t="n">
        <v>352</v>
      </c>
      <c r="H1250" s="15" t="n">
        <v>38</v>
      </c>
      <c r="I1250" s="15" t="n">
        <v>174</v>
      </c>
      <c r="J1250" s="13" t="n">
        <v>25</v>
      </c>
      <c r="K1250" t="n">
        <v>40</v>
      </c>
      <c r="L1250" s="13" t="n">
        <v>2.6</v>
      </c>
      <c r="M1250" s="12" t="n"/>
      <c r="N1250" s="8" t="n">
        <v>1.300207639942007</v>
      </c>
      <c r="O1250" s="15" t="n">
        <v>1.132823806478167</v>
      </c>
      <c r="P1250" s="15" t="n">
        <v>1.251293443901369</v>
      </c>
      <c r="Q1250" s="15" t="n">
        <v>0.001258377498718713</v>
      </c>
      <c r="R1250" s="15" t="n">
        <v>0.02778264288272227</v>
      </c>
      <c r="S1250" s="15" t="n">
        <v>0.001366842536972523</v>
      </c>
      <c r="T1250" s="42">
        <f>HIPERLINK($A$1 &amp; "\Dados\Imagem_perfil_1250.png", "Imagem_perfil_1250")</f>
        <v/>
      </c>
      <c r="U1250" s="42">
        <f>HIPERLINK($A$1 &amp; "\Dados\Results_airgap1250.txt", "Results_airgap1250")</f>
        <v/>
      </c>
      <c r="V1250" s="19" t="n"/>
      <c r="W1250" s="15" t="n">
        <v>1.563802608695652</v>
      </c>
      <c r="X1250" s="15" t="n">
        <v>0.7892406654939532</v>
      </c>
      <c r="Y1250" s="15" t="n">
        <v>0.8147652095563093</v>
      </c>
      <c r="Z1250" s="15" t="n">
        <v>0.03580477480015137</v>
      </c>
      <c r="AA1250" s="15" t="n">
        <v>0.01501417260508401</v>
      </c>
      <c r="AB1250" s="15" t="n">
        <v>1.997779922885594</v>
      </c>
      <c r="AC1250" s="15" t="n">
        <v>10.86349913041283</v>
      </c>
      <c r="AD1250" s="15" t="n">
        <v>36.01916161881523</v>
      </c>
      <c r="AE1250" s="15" t="n">
        <v>74.91197040924349</v>
      </c>
      <c r="AF1250" s="15" t="n">
        <v>111.2659117502279</v>
      </c>
      <c r="AH1250" s="42">
        <f>HIPERLINK($A$1 &amp; "\Dados\Magnet_fields_1250.txt.txt", "Magnet_fields_1250.txt")</f>
        <v/>
      </c>
      <c r="AI1250" t="n">
        <v>7448</v>
      </c>
      <c r="AJ1250" t="n">
        <v>28</v>
      </c>
      <c r="AK1250" s="42">
        <f>HIPERLINK($A$1 &amp; "\Dados\Magnet_3D_results_1250.txt.txt", "Magnet_3D_results_1250.txt")</f>
        <v/>
      </c>
      <c r="AL1250" s="42">
        <f>HIPERLINK($A$1 &amp; "\Dados\Magnet_fields_2D_1250.txt.txt", "Magnet_fields_2D_1250.txt")</f>
        <v/>
      </c>
    </row>
    <row r="1251">
      <c r="E1251" s="15" t="n">
        <v>136</v>
      </c>
      <c r="F1251" s="15" t="n">
        <v>185</v>
      </c>
      <c r="G1251" s="15" t="n">
        <v>360</v>
      </c>
      <c r="H1251" s="15" t="n">
        <v>36</v>
      </c>
      <c r="I1251" s="15" t="n">
        <v>144</v>
      </c>
      <c r="J1251" s="13" t="n">
        <v>25</v>
      </c>
      <c r="K1251" t="n">
        <v>45</v>
      </c>
      <c r="L1251" s="13" t="n">
        <v>2.6</v>
      </c>
      <c r="M1251" s="12" t="n"/>
      <c r="N1251" s="8" t="n">
        <v>1.184747909962285</v>
      </c>
      <c r="O1251" s="15" t="n">
        <v>0.9491124834140716</v>
      </c>
      <c r="P1251" s="15" t="n">
        <v>1.117389631663099</v>
      </c>
      <c r="Q1251" s="15" t="n">
        <v>0.002321509201043476</v>
      </c>
      <c r="R1251" s="15" t="n">
        <v>0.03209325030948414</v>
      </c>
      <c r="S1251" s="15" t="n">
        <v>0.003282557405372444</v>
      </c>
      <c r="T1251" s="42">
        <f>HIPERLINK($A$1 &amp; "\Dados\Imagem_perfil_1251.png", "Imagem_perfil_1251")</f>
        <v/>
      </c>
      <c r="U1251" s="42">
        <f>HIPERLINK($A$1 &amp; "\Dados\Results_airgap1251.txt", "Results_airgap1251")</f>
        <v/>
      </c>
      <c r="V1251" s="19" t="n"/>
      <c r="W1251" s="15" t="n">
        <v>1.565191086956522</v>
      </c>
      <c r="X1251" s="15" t="n">
        <v>0.7733066126663287</v>
      </c>
      <c r="Y1251" s="15" t="n">
        <v>0.7095992574021772</v>
      </c>
      <c r="Z1251" s="15" t="n">
        <v>0</v>
      </c>
      <c r="AA1251" s="15" t="n">
        <v>0.001932979327597647</v>
      </c>
      <c r="AB1251" s="15" t="n">
        <v>0.3261468116988207</v>
      </c>
      <c r="AC1251" s="15" t="n">
        <v>7.215660652139229</v>
      </c>
      <c r="AD1251" s="15" t="n">
        <v>42.25451074934528</v>
      </c>
      <c r="AE1251" s="15" t="n">
        <v>86.38567939894233</v>
      </c>
      <c r="AF1251" s="15" t="n">
        <v>117.9936473225928</v>
      </c>
      <c r="AH1251" s="42">
        <f>HIPERLINK($A$1 &amp; "\Dados\Magnet_fields_1251.txt.txt", "Magnet_fields_1251.txt")</f>
        <v/>
      </c>
      <c r="AI1251" t="n">
        <v>6988</v>
      </c>
      <c r="AJ1251" t="n">
        <v>28</v>
      </c>
      <c r="AK1251" s="42">
        <f>HIPERLINK($A$1 &amp; "\Dados\Magnet_3D_results_1251.txt.txt", "Magnet_3D_results_1251.txt")</f>
        <v/>
      </c>
      <c r="AL1251" s="42">
        <f>HIPERLINK($A$1 &amp; "\Dados\Magnet_fields_2D_1251.txt.txt", "Magnet_fields_2D_1251.txt")</f>
        <v/>
      </c>
    </row>
    <row r="1252">
      <c r="E1252" s="15" t="n">
        <v>127</v>
      </c>
      <c r="F1252" s="15" t="n">
        <v>171</v>
      </c>
      <c r="G1252" s="15" t="n">
        <v>401</v>
      </c>
      <c r="H1252" s="15" t="n">
        <v>35</v>
      </c>
      <c r="I1252" s="15" t="n">
        <v>156</v>
      </c>
      <c r="J1252" s="13" t="n">
        <v>25</v>
      </c>
      <c r="K1252" t="n">
        <v>55</v>
      </c>
      <c r="L1252" s="13" t="n">
        <v>2.6</v>
      </c>
      <c r="M1252" s="12" t="n"/>
      <c r="N1252" s="8" t="n">
        <v>1.47596188549098</v>
      </c>
      <c r="O1252" s="15" t="n">
        <v>1.221119651975801</v>
      </c>
      <c r="P1252" s="15" t="n">
        <v>1.398178548364477</v>
      </c>
      <c r="Q1252" s="15" t="n">
        <v>0.01561781313951199</v>
      </c>
      <c r="R1252" s="15" t="n">
        <v>0.06083104293955269</v>
      </c>
      <c r="S1252" s="15" t="n">
        <v>0.01576188461241107</v>
      </c>
      <c r="T1252" s="42">
        <f>HIPERLINK($A$1 &amp; "\Dados\Imagem_perfil_1252.png", "Imagem_perfil_1252")</f>
        <v/>
      </c>
      <c r="U1252" s="42">
        <f>HIPERLINK($A$1 &amp; "\Dados\Results_airgap1252.txt", "Results_airgap1252")</f>
        <v/>
      </c>
      <c r="V1252" s="19" t="n"/>
      <c r="W1252" s="15" t="n">
        <v>2.006804565217391</v>
      </c>
      <c r="X1252" s="15" t="n">
        <v>0.9645692307686998</v>
      </c>
      <c r="Y1252" s="15" t="n">
        <v>0.2530206006112952</v>
      </c>
      <c r="Z1252" s="15" t="n">
        <v>0.0008654378413736695</v>
      </c>
      <c r="AA1252" s="15" t="n">
        <v>0.04140132832199313</v>
      </c>
      <c r="AB1252" s="15" t="n">
        <v>2.993271244367298</v>
      </c>
      <c r="AC1252" s="15" t="n">
        <v>20.04233686525322</v>
      </c>
      <c r="AD1252" s="15" t="n">
        <v>59.98578260400254</v>
      </c>
      <c r="AE1252" s="15" t="n">
        <v>94.35672955044792</v>
      </c>
      <c r="AF1252" s="15" t="n">
        <v>126.5415907825961</v>
      </c>
      <c r="AH1252" s="42">
        <f>HIPERLINK($A$1 &amp; "\Dados\Magnet_fields_1252.txt.txt", "Magnet_fields_1252.txt")</f>
        <v/>
      </c>
      <c r="AI1252" t="n">
        <v>11090</v>
      </c>
      <c r="AJ1252" t="n">
        <v>30</v>
      </c>
      <c r="AK1252" s="42">
        <f>HIPERLINK($A$1 &amp; "\Dados\Magnet_3D_results_1252.txt.txt", "Magnet_3D_results_1252.txt")</f>
        <v/>
      </c>
      <c r="AL1252" s="42">
        <f>HIPERLINK($A$1 &amp; "\Dados\Magnet_fields_2D_1252.txt.txt", "Magnet_fields_2D_1252.txt")</f>
        <v/>
      </c>
    </row>
    <row r="1253">
      <c r="E1253" s="15" t="n">
        <v>138</v>
      </c>
      <c r="F1253" s="15" t="n">
        <v>180</v>
      </c>
      <c r="G1253" s="15" t="n">
        <v>370</v>
      </c>
      <c r="H1253" s="15" t="n">
        <v>27</v>
      </c>
      <c r="I1253" s="15" t="n">
        <v>168</v>
      </c>
      <c r="J1253" s="13" t="n">
        <v>25</v>
      </c>
      <c r="K1253" t="n">
        <v>50</v>
      </c>
      <c r="L1253" s="13" t="n">
        <v>2.6</v>
      </c>
      <c r="M1253" s="12" t="n"/>
      <c r="N1253" s="8" t="n">
        <v>1.3978471737982</v>
      </c>
      <c r="O1253" s="15" t="n">
        <v>1.193509249918549</v>
      </c>
      <c r="P1253" s="15" t="n">
        <v>1.329923025257542</v>
      </c>
      <c r="Q1253" s="15" t="n">
        <v>0.004641914719082618</v>
      </c>
      <c r="R1253" s="15" t="n">
        <v>0.03387207921657315</v>
      </c>
      <c r="S1253" s="15" t="n">
        <v>0.004755198672569968</v>
      </c>
      <c r="T1253" s="42">
        <f>HIPERLINK($A$1 &amp; "\Dados\Imagem_perfil_1253.png", "Imagem_perfil_1253")</f>
        <v/>
      </c>
      <c r="U1253" s="42">
        <f>HIPERLINK($A$1 &amp; "\Dados\Results_airgap1253.txt", "Results_airgap1253")</f>
        <v/>
      </c>
      <c r="V1253" s="19" t="n"/>
      <c r="W1253" s="15" t="n">
        <v>1.778340869565217</v>
      </c>
      <c r="X1253" s="15" t="n">
        <v>0.9037331380375904</v>
      </c>
      <c r="Y1253" s="15" t="n">
        <v>0.4499230968510114</v>
      </c>
      <c r="Z1253" s="15" t="n">
        <v>0</v>
      </c>
      <c r="AA1253" s="15" t="n">
        <v>5.238705545355217</v>
      </c>
      <c r="AB1253" s="15" t="n">
        <v>1.228320573120333</v>
      </c>
      <c r="AC1253" s="15" t="n">
        <v>11.35009774599598</v>
      </c>
      <c r="AD1253" s="15" t="n">
        <v>46.89026088699971</v>
      </c>
      <c r="AE1253" s="15" t="n">
        <v>86.39623528380014</v>
      </c>
      <c r="AF1253" s="15" t="n">
        <v>120.6114257492832</v>
      </c>
      <c r="AH1253" s="42">
        <f>HIPERLINK($A$1 &amp; "\Dados\Magnet_fields_1253.txt.txt", "Magnet_fields_1253.txt")</f>
        <v/>
      </c>
      <c r="AI1253" t="n">
        <v>8688</v>
      </c>
      <c r="AJ1253" t="n">
        <v>29</v>
      </c>
      <c r="AK1253" s="42">
        <f>HIPERLINK($A$1 &amp; "\Dados\Magnet_3D_results_1253.txt.txt", "Magnet_3D_results_1253.txt")</f>
        <v/>
      </c>
      <c r="AL1253" s="42">
        <f>HIPERLINK($A$1 &amp; "\Dados\Magnet_fields_2D_1253.txt.txt", "Magnet_fields_2D_1253.txt")</f>
        <v/>
      </c>
    </row>
    <row r="1254">
      <c r="E1254" s="15" t="n">
        <v>131</v>
      </c>
      <c r="F1254" s="15" t="n">
        <v>179</v>
      </c>
      <c r="G1254" s="15" t="n">
        <v>390</v>
      </c>
      <c r="H1254" s="15" t="n">
        <v>26</v>
      </c>
      <c r="I1254" s="15" t="n">
        <v>178</v>
      </c>
      <c r="J1254" s="13" t="n">
        <v>25</v>
      </c>
      <c r="K1254" t="n">
        <v>55</v>
      </c>
      <c r="L1254" s="13" t="n">
        <v>2.6</v>
      </c>
      <c r="M1254" s="12" t="n"/>
      <c r="N1254" s="8" t="n">
        <v>1.414676416974317</v>
      </c>
      <c r="O1254" s="15" t="n">
        <v>1.238065659563155</v>
      </c>
      <c r="P1254" s="15" t="n">
        <v>1.352760550384973</v>
      </c>
      <c r="Q1254" s="15" t="n">
        <v>0.0139202305325082</v>
      </c>
      <c r="R1254" s="15" t="n">
        <v>0.05151448348427034</v>
      </c>
      <c r="S1254" s="15" t="n">
        <v>0.01375136906002268</v>
      </c>
      <c r="T1254" s="42">
        <f>HIPERLINK($A$1 &amp; "\Dados\Imagem_perfil_1254.png", "Imagem_perfil_1254")</f>
        <v/>
      </c>
      <c r="U1254" s="42">
        <f>HIPERLINK($A$1 &amp; "\Dados\Results_airgap1254.txt", "Results_airgap1254")</f>
        <v/>
      </c>
      <c r="V1254" s="19" t="n"/>
      <c r="W1254" s="15" t="n">
        <v>1.837964565217391</v>
      </c>
      <c r="X1254" s="15" t="n">
        <v>0.8625686268559793</v>
      </c>
      <c r="Y1254" s="15" t="n">
        <v>0.3969627885478131</v>
      </c>
      <c r="Z1254" s="15" t="n">
        <v>0.01213305313731311</v>
      </c>
      <c r="AA1254" s="15" t="n">
        <v>4.567140956717717</v>
      </c>
      <c r="AB1254" s="15" t="n">
        <v>1.381977020456687</v>
      </c>
      <c r="AC1254" s="15" t="n">
        <v>14.92867847636487</v>
      </c>
      <c r="AD1254" s="15" t="n">
        <v>59.55348789631635</v>
      </c>
      <c r="AE1254" s="15" t="n">
        <v>95.43597182483956</v>
      </c>
      <c r="AF1254" s="15" t="n">
        <v>126.5181694085609</v>
      </c>
      <c r="AH1254" s="42">
        <f>HIPERLINK($A$1 &amp; "\Dados\Magnet_fields_1254.txt.txt", "Magnet_fields_1254.txt")</f>
        <v/>
      </c>
      <c r="AI1254" t="n">
        <v>13135</v>
      </c>
      <c r="AJ1254" t="n">
        <v>31</v>
      </c>
      <c r="AK1254" s="42">
        <f>HIPERLINK($A$1 &amp; "\Dados\Magnet_3D_results_1254.txt.txt", "Magnet_3D_results_1254.txt")</f>
        <v/>
      </c>
      <c r="AL1254" s="42">
        <f>HIPERLINK($A$1 &amp; "\Dados\Magnet_fields_2D_1254.txt.txt", "Magnet_fields_2D_1254.txt")</f>
        <v/>
      </c>
    </row>
    <row r="1255">
      <c r="E1255" s="15" t="n">
        <v>141</v>
      </c>
      <c r="F1255" s="15" t="n">
        <v>179</v>
      </c>
      <c r="G1255" s="15" t="n">
        <v>370</v>
      </c>
      <c r="H1255" s="15" t="n">
        <v>45</v>
      </c>
      <c r="I1255" s="15" t="n">
        <v>151</v>
      </c>
      <c r="J1255" s="13" t="n">
        <v>25</v>
      </c>
      <c r="K1255" t="n">
        <v>60</v>
      </c>
      <c r="L1255" s="13" t="n">
        <v>2.6</v>
      </c>
      <c r="M1255" s="12" t="n"/>
      <c r="N1255" s="8" t="n">
        <v>1.486384681817175</v>
      </c>
      <c r="O1255" s="15" t="n">
        <v>1.213416892665278</v>
      </c>
      <c r="P1255" s="15" t="n">
        <v>1.402263889357981</v>
      </c>
      <c r="Q1255" s="15" t="n">
        <v>0.01714883212618961</v>
      </c>
      <c r="R1255" s="15" t="n">
        <v>0.04746130644773292</v>
      </c>
      <c r="S1255" s="15" t="n">
        <v>0.01731499352719565</v>
      </c>
      <c r="T1255" s="42">
        <f>HIPERLINK($A$1 &amp; "\Dados\Imagem_perfil_1255.png", "Imagem_perfil_1255")</f>
        <v/>
      </c>
      <c r="U1255" s="42">
        <f>HIPERLINK($A$1 &amp; "\Dados\Results_airgap1255.txt", "Results_airgap1255")</f>
        <v/>
      </c>
      <c r="V1255" s="19" t="n"/>
      <c r="W1255" s="15" t="n">
        <v>1.932433043478261</v>
      </c>
      <c r="X1255" s="15" t="n">
        <v>0.9532163369918213</v>
      </c>
      <c r="Y1255" s="15" t="n">
        <v>0.2647667776873004</v>
      </c>
      <c r="Z1255" s="15" t="n">
        <v>0</v>
      </c>
      <c r="AA1255" s="15" t="n">
        <v>0</v>
      </c>
      <c r="AB1255" s="15" t="n">
        <v>1.121720982625149</v>
      </c>
      <c r="AC1255" s="15" t="n">
        <v>23.09822201891635</v>
      </c>
      <c r="AD1255" s="15" t="n">
        <v>69.91322955163214</v>
      </c>
      <c r="AE1255" s="15" t="n">
        <v>99.2625531258217</v>
      </c>
      <c r="AF1255" s="15" t="n">
        <v>130.5870944264753</v>
      </c>
      <c r="AH1255" s="42">
        <f>HIPERLINK($A$1 &amp; "\Dados\Magnet_fields_1255.txt.txt", "Magnet_fields_1255.txt")</f>
        <v/>
      </c>
      <c r="AI1255" t="n">
        <v>7695</v>
      </c>
      <c r="AJ1255" t="n">
        <v>29</v>
      </c>
      <c r="AK1255" s="42">
        <f>HIPERLINK($A$1 &amp; "\Dados\Magnet_3D_results_1255.txt.txt", "Magnet_3D_results_1255.txt")</f>
        <v/>
      </c>
      <c r="AL1255" s="42">
        <f>HIPERLINK($A$1 &amp; "\Dados\Magnet_fields_2D_1255.txt.txt", "Magnet_fields_2D_1255.txt")</f>
        <v/>
      </c>
    </row>
    <row r="1256">
      <c r="E1256" s="15" t="n">
        <v>137</v>
      </c>
      <c r="F1256" s="15" t="n">
        <v>173</v>
      </c>
      <c r="G1256" s="15" t="n">
        <v>381</v>
      </c>
      <c r="H1256" s="15" t="n">
        <v>40</v>
      </c>
      <c r="I1256" s="15" t="n">
        <v>141</v>
      </c>
      <c r="J1256" s="13" t="n">
        <v>25</v>
      </c>
      <c r="K1256" t="n">
        <v>55</v>
      </c>
      <c r="L1256" s="13" t="n">
        <v>2.6</v>
      </c>
      <c r="M1256" s="12" t="n"/>
      <c r="N1256" s="8" t="n">
        <v>1.49279992893528</v>
      </c>
      <c r="O1256" s="15" t="n">
        <v>1.176046455336473</v>
      </c>
      <c r="P1256" s="15" t="n">
        <v>1.40099612581306</v>
      </c>
      <c r="Q1256" s="15" t="n">
        <v>0.01089572577629132</v>
      </c>
      <c r="R1256" s="15" t="n">
        <v>0.04631018136592024</v>
      </c>
      <c r="S1256" s="15" t="n">
        <v>0.01149432500444447</v>
      </c>
      <c r="T1256" s="42">
        <f>HIPERLINK($A$1 &amp; "\Dados\Imagem_perfil_1256.png", "Imagem_perfil_1256")</f>
        <v/>
      </c>
      <c r="U1256" s="42">
        <f>HIPERLINK($A$1 &amp; "\Dados\Results_airgap1256.txt", "Results_airgap1256")</f>
        <v/>
      </c>
      <c r="V1256" s="19" t="n"/>
      <c r="W1256" s="15" t="n">
        <v>2.008627608695653</v>
      </c>
      <c r="X1256" s="15" t="n">
        <v>0.9884132393989142</v>
      </c>
      <c r="Y1256" s="15" t="n">
        <v>0.2182418862167315</v>
      </c>
      <c r="Z1256" s="15" t="n">
        <v>0</v>
      </c>
      <c r="AA1256" s="15" t="n">
        <v>0.01733383432342292</v>
      </c>
      <c r="AB1256" s="15" t="n">
        <v>1.398131053147927</v>
      </c>
      <c r="AC1256" s="15" t="n">
        <v>15.54751585701252</v>
      </c>
      <c r="AD1256" s="15" t="n">
        <v>57.41948358373993</v>
      </c>
      <c r="AE1256" s="15" t="n">
        <v>93.9231037533583</v>
      </c>
      <c r="AF1256" s="15" t="n">
        <v>126.3643455257357</v>
      </c>
      <c r="AH1256" s="42">
        <f>HIPERLINK($A$1 &amp; "\Dados\Magnet_fields_1256.txt.txt", "Magnet_fields_1256.txt")</f>
        <v/>
      </c>
      <c r="AI1256" t="n">
        <v>10018</v>
      </c>
      <c r="AJ1256" t="n">
        <v>30</v>
      </c>
      <c r="AK1256" s="42">
        <f>HIPERLINK($A$1 &amp; "\Dados\Magnet_3D_results_1256.txt.txt", "Magnet_3D_results_1256.txt")</f>
        <v/>
      </c>
      <c r="AL1256" s="42">
        <f>HIPERLINK($A$1 &amp; "\Dados\Magnet_fields_2D_1256.txt.txt", "Magnet_fields_2D_1256.txt")</f>
        <v/>
      </c>
    </row>
    <row r="1257">
      <c r="E1257" s="15" t="n">
        <v>137</v>
      </c>
      <c r="F1257" s="15" t="n">
        <v>186</v>
      </c>
      <c r="G1257" s="15" t="n">
        <v>359</v>
      </c>
      <c r="H1257" s="15" t="n">
        <v>45</v>
      </c>
      <c r="I1257" s="15" t="n">
        <v>163</v>
      </c>
      <c r="J1257" s="13" t="n">
        <v>25</v>
      </c>
      <c r="K1257" t="n">
        <v>45</v>
      </c>
      <c r="L1257" s="13" t="n">
        <v>2.6</v>
      </c>
      <c r="M1257" s="12" t="n"/>
      <c r="N1257" s="8" t="n">
        <v>1.239031543982018</v>
      </c>
      <c r="O1257" s="15" t="n">
        <v>1.036093167885299</v>
      </c>
      <c r="P1257" s="15" t="n">
        <v>1.178001488779708</v>
      </c>
      <c r="Q1257" s="15" t="n">
        <v>0.002468954295571548</v>
      </c>
      <c r="R1257" s="15" t="n">
        <v>0.03290149930016841</v>
      </c>
      <c r="S1257" s="15" t="n">
        <v>0.002758635239186132</v>
      </c>
      <c r="T1257" s="42">
        <f>HIPERLINK($A$1 &amp; "\Dados\Imagem_perfil_1257.png", "Imagem_perfil_1257")</f>
        <v/>
      </c>
      <c r="U1257" s="42">
        <f>HIPERLINK($A$1 &amp; "\Dados\Results_airgap1257.txt", "Results_airgap1257")</f>
        <v/>
      </c>
      <c r="V1257" s="19" t="n"/>
      <c r="W1257" s="15" t="n">
        <v>1.555333478260869</v>
      </c>
      <c r="X1257" s="15" t="n">
        <v>0.7790314667504241</v>
      </c>
      <c r="Y1257" s="15" t="n">
        <v>0.7184402232326903</v>
      </c>
      <c r="Z1257" s="15" t="n">
        <v>0.001416693630102204</v>
      </c>
      <c r="AA1257" s="15" t="n">
        <v>0</v>
      </c>
      <c r="AB1257" s="15" t="n">
        <v>0.2006949297436157</v>
      </c>
      <c r="AC1257" s="15" t="n">
        <v>6.846054108836734</v>
      </c>
      <c r="AD1257" s="15" t="n">
        <v>42.01541381849319</v>
      </c>
      <c r="AE1257" s="15" t="n">
        <v>86.25413551670268</v>
      </c>
      <c r="AF1257" s="15" t="n">
        <v>117.859832014821</v>
      </c>
      <c r="AH1257" s="42">
        <f>HIPERLINK($A$1 &amp; "\Dados\Magnet_fields_1257.txt.txt", "Magnet_fields_1257.txt")</f>
        <v/>
      </c>
      <c r="AI1257" t="n">
        <v>6179</v>
      </c>
      <c r="AJ1257" t="n">
        <v>27</v>
      </c>
      <c r="AK1257" s="42">
        <f>HIPERLINK($A$1 &amp; "\Dados\Magnet_3D_results_1257.txt.txt", "Magnet_3D_results_1257.txt")</f>
        <v/>
      </c>
      <c r="AL1257" s="42">
        <f>HIPERLINK($A$1 &amp; "\Dados\Magnet_fields_2D_1257.txt.txt", "Magnet_fields_2D_1257.txt")</f>
        <v/>
      </c>
    </row>
    <row r="1258">
      <c r="E1258" s="15" t="n">
        <v>139</v>
      </c>
      <c r="F1258" s="15" t="n">
        <v>170</v>
      </c>
      <c r="G1258" s="15" t="n">
        <v>395</v>
      </c>
      <c r="H1258" s="15" t="n">
        <v>27</v>
      </c>
      <c r="I1258" s="15" t="n">
        <v>146</v>
      </c>
      <c r="J1258" s="13" t="n">
        <v>25</v>
      </c>
      <c r="K1258" t="n">
        <v>60</v>
      </c>
      <c r="L1258" s="13" t="n">
        <v>2.6</v>
      </c>
      <c r="M1258" s="12" t="n"/>
      <c r="N1258" s="8" t="n">
        <v>1.625525170438355</v>
      </c>
      <c r="O1258" s="15" t="n">
        <v>1.313021323911843</v>
      </c>
      <c r="P1258" s="15" t="n">
        <v>1.531385732096134</v>
      </c>
      <c r="Q1258" s="15" t="n">
        <v>0.02187147465623263</v>
      </c>
      <c r="R1258" s="15" t="n">
        <v>0.05280329126550756</v>
      </c>
      <c r="S1258" s="15" t="n">
        <v>0.02282472250444353</v>
      </c>
      <c r="T1258" s="42">
        <f>HIPERLINK($A$1 &amp; "\Dados\Imagem_perfil_1258.png", "Imagem_perfil_1258")</f>
        <v/>
      </c>
      <c r="U1258" s="42">
        <f>HIPERLINK($A$1 &amp; "\Dados\Results_airgap1258.txt", "Results_airgap1258")</f>
        <v/>
      </c>
      <c r="V1258" s="19" t="n"/>
      <c r="W1258" s="15" t="n">
        <v>2.201027608695652</v>
      </c>
      <c r="X1258" s="15" t="n">
        <v>1.021865023825869</v>
      </c>
      <c r="Y1258" s="15" t="n">
        <v>0.09361216323181537</v>
      </c>
      <c r="Z1258" s="15" t="n">
        <v>0.02000385979825634</v>
      </c>
      <c r="AA1258" s="15" t="n">
        <v>3.377731853654098</v>
      </c>
      <c r="AB1258" s="15" t="n">
        <v>0.1930984614422456</v>
      </c>
      <c r="AC1258" s="15" t="n">
        <v>17.74586352477928</v>
      </c>
      <c r="AD1258" s="15" t="n">
        <v>74.96360637188852</v>
      </c>
      <c r="AE1258" s="15" t="n">
        <v>103.2104892461634</v>
      </c>
      <c r="AF1258" s="15" t="n">
        <v>132.8074221503775</v>
      </c>
      <c r="AH1258" s="42">
        <f>HIPERLINK($A$1 &amp; "\Dados\Magnet_fields_1258.txt.txt", "Magnet_fields_1258.txt")</f>
        <v/>
      </c>
      <c r="AI1258" t="n">
        <v>10030</v>
      </c>
      <c r="AJ1258" t="n">
        <v>30</v>
      </c>
      <c r="AK1258" s="42">
        <f>HIPERLINK($A$1 &amp; "\Dados\Magnet_3D_results_1258.txt.txt", "Magnet_3D_results_1258.txt")</f>
        <v/>
      </c>
      <c r="AL1258" s="42">
        <f>HIPERLINK($A$1 &amp; "\Dados\Magnet_fields_2D_1258.txt.txt", "Magnet_fields_2D_1258.txt")</f>
        <v/>
      </c>
    </row>
    <row r="1259">
      <c r="E1259" s="15" t="n">
        <v>138</v>
      </c>
      <c r="F1259" s="15" t="n">
        <v>173</v>
      </c>
      <c r="G1259" s="15" t="n">
        <v>384</v>
      </c>
      <c r="H1259" s="15" t="n">
        <v>26</v>
      </c>
      <c r="I1259" s="15" t="n">
        <v>141</v>
      </c>
      <c r="J1259" s="13" t="n">
        <v>25</v>
      </c>
      <c r="K1259" t="n">
        <v>55</v>
      </c>
      <c r="L1259" s="13" t="n">
        <v>2.6</v>
      </c>
      <c r="M1259" s="12" t="n"/>
      <c r="N1259" s="8" t="n">
        <v>1.49253809841995</v>
      </c>
      <c r="O1259" s="15" t="n">
        <v>1.16432636655965</v>
      </c>
      <c r="P1259" s="15" t="n">
        <v>1.400639984711363</v>
      </c>
      <c r="Q1259" s="15" t="n">
        <v>0.01042869575547455</v>
      </c>
      <c r="R1259" s="15" t="n">
        <v>0.04217298336554857</v>
      </c>
      <c r="S1259" s="15" t="n">
        <v>0.01054998480572355</v>
      </c>
      <c r="T1259" s="42">
        <f>HIPERLINK($A$1 &amp; "\Dados\Imagem_perfil_1259.png", "Imagem_perfil_1259")</f>
        <v/>
      </c>
      <c r="U1259" s="42">
        <f>HIPERLINK($A$1 &amp; "\Dados\Results_airgap1259.txt", "Results_airgap1259")</f>
        <v/>
      </c>
      <c r="V1259" s="19" t="n"/>
      <c r="W1259" s="15" t="n">
        <v>2.037040652173913</v>
      </c>
      <c r="X1259" s="15" t="n">
        <v>0.9626819991185078</v>
      </c>
      <c r="Y1259" s="15" t="n">
        <v>0.1976679485983831</v>
      </c>
      <c r="Z1259" s="15" t="n">
        <v>0.01612780184410146</v>
      </c>
      <c r="AA1259" s="15" t="n">
        <v>5.197949057011816</v>
      </c>
      <c r="AB1259" s="15" t="n">
        <v>0.9793870398643495</v>
      </c>
      <c r="AC1259" s="15" t="n">
        <v>14.56109330913138</v>
      </c>
      <c r="AD1259" s="15" t="n">
        <v>60.21683577748447</v>
      </c>
      <c r="AE1259" s="15" t="n">
        <v>95.77485372014692</v>
      </c>
      <c r="AF1259" s="15" t="n">
        <v>126.9574727473026</v>
      </c>
      <c r="AH1259" s="42">
        <f>HIPERLINK($A$1 &amp; "\Dados\Magnet_fields_1259.txt.txt", "Magnet_fields_1259.txt")</f>
        <v/>
      </c>
      <c r="AI1259" t="n">
        <v>12199</v>
      </c>
      <c r="AJ1259" t="n">
        <v>30</v>
      </c>
      <c r="AK1259" s="42">
        <f>HIPERLINK($A$1 &amp; "\Dados\Magnet_3D_results_1259.txt.txt", "Magnet_3D_results_1259.txt")</f>
        <v/>
      </c>
      <c r="AL1259" s="42">
        <f>HIPERLINK($A$1 &amp; "\Dados\Magnet_fields_2D_1259.txt.txt", "Magnet_fields_2D_1259.txt")</f>
        <v/>
      </c>
    </row>
    <row r="1260">
      <c r="E1260" s="15" t="n">
        <v>143</v>
      </c>
      <c r="F1260" s="15" t="n">
        <v>188</v>
      </c>
      <c r="G1260" s="15" t="n">
        <v>402</v>
      </c>
      <c r="H1260" s="15" t="n">
        <v>44</v>
      </c>
      <c r="I1260" s="15" t="n">
        <v>140</v>
      </c>
      <c r="J1260" s="13" t="n">
        <v>25</v>
      </c>
      <c r="K1260" t="n">
        <v>50</v>
      </c>
      <c r="L1260" s="13" t="n">
        <v>2.6</v>
      </c>
      <c r="M1260" s="12" t="n"/>
      <c r="N1260" s="8" t="n">
        <v>1.316756417034271</v>
      </c>
      <c r="O1260" s="15" t="n">
        <v>1.028563928934892</v>
      </c>
      <c r="P1260" s="15" t="n">
        <v>1.229494039519834</v>
      </c>
      <c r="Q1260" s="15" t="n">
        <v>0.004584805411822586</v>
      </c>
      <c r="R1260" s="15" t="n">
        <v>0.0441814357970351</v>
      </c>
      <c r="S1260" s="15" t="n">
        <v>0.005905034387373523</v>
      </c>
      <c r="T1260" s="42">
        <f>HIPERLINK($A$1 &amp; "\Dados\Imagem_perfil_1260.png", "Imagem_perfil_1260")</f>
        <v/>
      </c>
      <c r="U1260" s="42">
        <f>HIPERLINK($A$1 &amp; "\Dados\Results_airgap1260.txt", "Results_airgap1260")</f>
        <v/>
      </c>
      <c r="V1260" s="19" t="n"/>
      <c r="W1260" s="15" t="n">
        <v>1.824224347826087</v>
      </c>
      <c r="X1260" s="15" t="n">
        <v>0.8952099323548711</v>
      </c>
      <c r="Y1260" s="15" t="n">
        <v>0.4093891443605886</v>
      </c>
      <c r="Z1260" s="15" t="n">
        <v>0</v>
      </c>
      <c r="AA1260" s="15" t="n">
        <v>0.001321440788063481</v>
      </c>
      <c r="AB1260" s="15" t="n">
        <v>0.9998756692881821</v>
      </c>
      <c r="AC1260" s="15" t="n">
        <v>8.80522301742603</v>
      </c>
      <c r="AD1260" s="15" t="n">
        <v>50.93546320537894</v>
      </c>
      <c r="AE1260" s="15" t="n">
        <v>92.29164632744295</v>
      </c>
      <c r="AF1260" s="15" t="n">
        <v>122.6053361509048</v>
      </c>
      <c r="AH1260" s="42">
        <f>HIPERLINK($A$1 &amp; "\Dados\Magnet_fields_1260.txt.txt", "Magnet_fields_1260.txt")</f>
        <v/>
      </c>
      <c r="AI1260" t="n">
        <v>6991</v>
      </c>
      <c r="AJ1260" t="n">
        <v>29</v>
      </c>
      <c r="AK1260" s="42">
        <f>HIPERLINK($A$1 &amp; "\Dados\Magnet_3D_results_1260.txt.txt", "Magnet_3D_results_1260.txt")</f>
        <v/>
      </c>
      <c r="AL1260" s="42">
        <f>HIPERLINK($A$1 &amp; "\Dados\Magnet_fields_2D_1260.txt.txt", "Magnet_fields_2D_1260.txt")</f>
        <v/>
      </c>
    </row>
    <row r="1261">
      <c r="E1261" s="15" t="n">
        <v>143</v>
      </c>
      <c r="F1261" s="15" t="n">
        <v>186</v>
      </c>
      <c r="G1261" s="15" t="n">
        <v>377</v>
      </c>
      <c r="H1261" s="15" t="n">
        <v>27</v>
      </c>
      <c r="I1261" s="15" t="n">
        <v>140</v>
      </c>
      <c r="J1261" s="13" t="n">
        <v>25</v>
      </c>
      <c r="K1261" t="n">
        <v>40</v>
      </c>
      <c r="L1261" s="13" t="n">
        <v>2.6</v>
      </c>
      <c r="M1261" s="12" t="n"/>
      <c r="N1261" s="8" t="n">
        <v>1.231402726146578</v>
      </c>
      <c r="O1261" s="15" t="n">
        <v>0.9648751280974683</v>
      </c>
      <c r="P1261" s="15" t="n">
        <v>1.147112680983746</v>
      </c>
      <c r="Q1261" s="15" t="n">
        <v>0.001050026933610087</v>
      </c>
      <c r="R1261" s="15" t="n">
        <v>0.02529863438678927</v>
      </c>
      <c r="S1261" s="15" t="n">
        <v>0.001719387313836899</v>
      </c>
      <c r="T1261" s="42">
        <f>HIPERLINK($A$1 &amp; "\Dados\Imagem_perfil_1261.png", "Imagem_perfil_1261")</f>
        <v/>
      </c>
      <c r="U1261" s="42">
        <f>HIPERLINK($A$1 &amp; "\Dados\Results_airgap1261.txt", "Results_airgap1261")</f>
        <v/>
      </c>
      <c r="V1261" s="19" t="n"/>
      <c r="W1261" s="15" t="n">
        <v>1.635058043478261</v>
      </c>
      <c r="X1261" s="15" t="n">
        <v>0.8272854218206921</v>
      </c>
      <c r="Y1261" s="15" t="n">
        <v>0.6646724759788581</v>
      </c>
      <c r="Z1261" s="15" t="n">
        <v>0.0004281592131917947</v>
      </c>
      <c r="AA1261" s="15" t="n">
        <v>2.472462488587482</v>
      </c>
      <c r="AB1261" s="15" t="n">
        <v>0.599334139660032</v>
      </c>
      <c r="AC1261" s="15" t="n">
        <v>5.805285937675944</v>
      </c>
      <c r="AD1261" s="15" t="n">
        <v>32.4722669293837</v>
      </c>
      <c r="AE1261" s="15" t="n">
        <v>79.99718832931514</v>
      </c>
      <c r="AF1261" s="15" t="n">
        <v>114.1237310637226</v>
      </c>
      <c r="AH1261" s="42">
        <f>HIPERLINK($A$1 &amp; "\Dados\Magnet_fields_1261.txt.txt", "Magnet_fields_1261.txt")</f>
        <v/>
      </c>
      <c r="AI1261" t="n">
        <v>8974</v>
      </c>
      <c r="AJ1261" t="n">
        <v>29</v>
      </c>
      <c r="AK1261" s="42">
        <f>HIPERLINK($A$1 &amp; "\Dados\Magnet_3D_results_1261.txt.txt", "Magnet_3D_results_1261.txt")</f>
        <v/>
      </c>
      <c r="AL1261" s="42">
        <f>HIPERLINK($A$1 &amp; "\Dados\Magnet_fields_2D_1261.txt.txt", "Magnet_fields_2D_1261.txt")</f>
        <v/>
      </c>
    </row>
    <row r="1262">
      <c r="E1262" s="15" t="n">
        <v>132</v>
      </c>
      <c r="F1262" s="15" t="n">
        <v>173</v>
      </c>
      <c r="G1262" s="15" t="n">
        <v>371</v>
      </c>
      <c r="H1262" s="15" t="n">
        <v>26</v>
      </c>
      <c r="I1262" s="15" t="n">
        <v>166</v>
      </c>
      <c r="J1262" s="13" t="n">
        <v>25</v>
      </c>
      <c r="K1262" t="n">
        <v>60</v>
      </c>
      <c r="L1262" s="13" t="n">
        <v>2.6</v>
      </c>
      <c r="M1262" s="12" t="n"/>
      <c r="N1262" s="8" t="n">
        <v>1.461491387211383</v>
      </c>
      <c r="O1262" s="15" t="n">
        <v>1.258905387509682</v>
      </c>
      <c r="P1262" s="15" t="n">
        <v>1.395757519689047</v>
      </c>
      <c r="Q1262" s="15" t="n">
        <v>0.02223156280220595</v>
      </c>
      <c r="R1262" s="15" t="n">
        <v>0.0467544790884773</v>
      </c>
      <c r="S1262" s="15" t="n">
        <v>0.02176940436939641</v>
      </c>
      <c r="T1262" s="42">
        <f>HIPERLINK($A$1 &amp; "\Dados\Imagem_perfil_1262.png", "Imagem_perfil_1262")</f>
        <v/>
      </c>
      <c r="U1262" s="42">
        <f>HIPERLINK($A$1 &amp; "\Dados\Results_airgap1262.txt", "Results_airgap1262")</f>
        <v/>
      </c>
      <c r="V1262" s="19" t="n"/>
      <c r="W1262" s="15" t="n">
        <v>1.920691086956522</v>
      </c>
      <c r="X1262" s="15" t="n">
        <v>0.9192163897707829</v>
      </c>
      <c r="Y1262" s="15" t="n">
        <v>0.2838945562677741</v>
      </c>
      <c r="Z1262" s="15" t="n">
        <v>0.01009661669077286</v>
      </c>
      <c r="AA1262" s="15" t="n">
        <v>6.263349653676059</v>
      </c>
      <c r="AB1262" s="15" t="n">
        <v>1.737618776753661</v>
      </c>
      <c r="AC1262" s="15" t="n">
        <v>19.73599049588138</v>
      </c>
      <c r="AD1262" s="15" t="n">
        <v>64.57321904165451</v>
      </c>
      <c r="AE1262" s="15" t="n">
        <v>97.52782939532672</v>
      </c>
      <c r="AF1262" s="15" t="n">
        <v>130.388679742329</v>
      </c>
      <c r="AH1262" s="42">
        <f>HIPERLINK($A$1 &amp; "\Dados\Magnet_fields_1262.txt.txt", "Magnet_fields_1262.txt")</f>
        <v/>
      </c>
      <c r="AI1262" t="n">
        <v>9758</v>
      </c>
      <c r="AJ1262" t="n">
        <v>30</v>
      </c>
      <c r="AK1262" s="42">
        <f>HIPERLINK($A$1 &amp; "\Dados\Magnet_3D_results_1262.txt.txt", "Magnet_3D_results_1262.txt")</f>
        <v/>
      </c>
      <c r="AL1262" s="42">
        <f>HIPERLINK($A$1 &amp; "\Dados\Magnet_fields_2D_1262.txt.txt", "Magnet_fields_2D_1262.txt")</f>
        <v/>
      </c>
    </row>
    <row r="1263">
      <c r="E1263" s="15" t="n">
        <v>147</v>
      </c>
      <c r="F1263" s="15" t="n">
        <v>184</v>
      </c>
      <c r="G1263" s="15" t="n">
        <v>412</v>
      </c>
      <c r="H1263" s="15" t="n">
        <v>41</v>
      </c>
      <c r="I1263" s="15" t="n">
        <v>160</v>
      </c>
      <c r="J1263" s="13" t="n">
        <v>25</v>
      </c>
      <c r="K1263" t="n">
        <v>40</v>
      </c>
      <c r="L1263" s="13" t="n">
        <v>2.6</v>
      </c>
      <c r="M1263" s="12" t="n"/>
      <c r="N1263" s="8" t="n">
        <v>1.458740211944512</v>
      </c>
      <c r="O1263" s="15" t="n">
        <v>1.231548381674342</v>
      </c>
      <c r="P1263" s="15" t="n">
        <v>1.389545836285276</v>
      </c>
      <c r="Q1263" s="15" t="n">
        <v>0.001762778268534669</v>
      </c>
      <c r="R1263" s="15" t="n">
        <v>0.03263201615154499</v>
      </c>
      <c r="S1263" s="15" t="n">
        <v>0.001870797045629918</v>
      </c>
      <c r="T1263" s="42">
        <f>HIPERLINK($A$1 &amp; "\Dados\Imagem_perfil_1263.png", "Imagem_perfil_1263")</f>
        <v/>
      </c>
      <c r="U1263" s="42">
        <f>HIPERLINK($A$1 &amp; "\Dados\Results_airgap1263.txt", "Results_airgap1263")</f>
        <v/>
      </c>
      <c r="V1263" s="19" t="n"/>
      <c r="W1263" s="15" t="n">
        <v>1.837190434782608</v>
      </c>
      <c r="X1263" s="15" t="n">
        <v>0.9342969525662406</v>
      </c>
      <c r="Y1263" s="15" t="n">
        <v>0.5113541820640765</v>
      </c>
      <c r="Z1263" s="15" t="n">
        <v>0.00102445279891375</v>
      </c>
      <c r="AA1263" s="15" t="n">
        <v>0.09482967593316417</v>
      </c>
      <c r="AB1263" s="15" t="n">
        <v>0.9201882606457992</v>
      </c>
      <c r="AC1263" s="15" t="n">
        <v>6.925706976261508</v>
      </c>
      <c r="AD1263" s="15" t="n">
        <v>30.50612423017902</v>
      </c>
      <c r="AE1263" s="15" t="n">
        <v>74.95716021715118</v>
      </c>
      <c r="AF1263" s="15" t="n">
        <v>112.4793533718662</v>
      </c>
      <c r="AH1263" s="42">
        <f>HIPERLINK($A$1 &amp; "\Dados\Magnet_fields_1263.txt.txt", "Magnet_fields_1263.txt")</f>
        <v/>
      </c>
      <c r="AI1263" t="n">
        <v>7456</v>
      </c>
      <c r="AJ1263" t="n">
        <v>29</v>
      </c>
      <c r="AK1263" s="42">
        <f>HIPERLINK($A$1 &amp; "\Dados\Magnet_3D_results_1263.txt.txt", "Magnet_3D_results_1263.txt")</f>
        <v/>
      </c>
      <c r="AL1263" s="42">
        <f>HIPERLINK($A$1 &amp; "\Dados\Magnet_fields_2D_1263.txt.txt", "Magnet_fields_2D_1263.txt")</f>
        <v/>
      </c>
    </row>
    <row r="1264">
      <c r="E1264" s="15" t="n">
        <v>138</v>
      </c>
      <c r="F1264" s="15" t="n">
        <v>176</v>
      </c>
      <c r="G1264" s="15" t="n">
        <v>409</v>
      </c>
      <c r="H1264" s="15" t="n">
        <v>27</v>
      </c>
      <c r="I1264" s="15" t="n">
        <v>172</v>
      </c>
      <c r="J1264" s="13" t="n">
        <v>25</v>
      </c>
      <c r="K1264" t="n">
        <v>50</v>
      </c>
      <c r="L1264" s="13" t="n">
        <v>2.6</v>
      </c>
      <c r="M1264" s="12" t="n"/>
      <c r="N1264" s="8" t="n">
        <v>1.552680805576564</v>
      </c>
      <c r="O1264" s="15" t="n">
        <v>1.368693370569694</v>
      </c>
      <c r="P1264" s="15" t="n">
        <v>1.505122261796425</v>
      </c>
      <c r="Q1264" s="15" t="n">
        <v>0.006106504813301361</v>
      </c>
      <c r="R1264" s="15" t="n">
        <v>0.04719394634567869</v>
      </c>
      <c r="S1264" s="15" t="n">
        <v>0.006255053084588934</v>
      </c>
      <c r="T1264" s="42">
        <f>HIPERLINK($A$1 &amp; "\Dados\Imagem_perfil_1264.png", "Imagem_perfil_1264")</f>
        <v/>
      </c>
      <c r="U1264" s="42">
        <f>HIPERLINK($A$1 &amp; "\Dados\Results_airgap1264.txt", "Results_airgap1264")</f>
        <v/>
      </c>
      <c r="V1264" s="19" t="n"/>
      <c r="W1264" s="15" t="n">
        <v>2.005223695652174</v>
      </c>
      <c r="X1264" s="15" t="n">
        <v>0.9687579977656163</v>
      </c>
      <c r="Y1264" s="15" t="n">
        <v>0.2554237965815523</v>
      </c>
      <c r="Z1264" s="15" t="n">
        <v>0.01209483139636405</v>
      </c>
      <c r="AA1264" s="15" t="n">
        <v>3.933019841786052</v>
      </c>
      <c r="AB1264" s="15" t="n">
        <v>0.8857960603122363</v>
      </c>
      <c r="AC1264" s="15" t="n">
        <v>7.625865345343426</v>
      </c>
      <c r="AD1264" s="15" t="n">
        <v>50.35394826905614</v>
      </c>
      <c r="AE1264" s="15" t="n">
        <v>93.69555855229578</v>
      </c>
      <c r="AF1264" s="15" t="n">
        <v>123.4870505847464</v>
      </c>
      <c r="AH1264" s="42">
        <f>HIPERLINK($A$1 &amp; "\Dados\Magnet_fields_1264.txt.txt", "Magnet_fields_1264.txt")</f>
        <v/>
      </c>
      <c r="AI1264" t="n">
        <v>9681</v>
      </c>
      <c r="AJ1264" t="n">
        <v>29</v>
      </c>
      <c r="AK1264" s="42">
        <f>HIPERLINK($A$1 &amp; "\Dados\Magnet_3D_results_1264.txt.txt", "Magnet_3D_results_1264.txt")</f>
        <v/>
      </c>
      <c r="AL1264" s="42">
        <f>HIPERLINK($A$1 &amp; "\Dados\Magnet_fields_2D_1264.txt.txt", "Magnet_fields_2D_1264.txt")</f>
        <v/>
      </c>
    </row>
    <row r="1265">
      <c r="E1265" s="15" t="n">
        <v>138</v>
      </c>
      <c r="F1265" s="15" t="n">
        <v>188</v>
      </c>
      <c r="G1265" s="15" t="n">
        <v>430</v>
      </c>
      <c r="H1265" s="15" t="n">
        <v>45</v>
      </c>
      <c r="I1265" s="15" t="n">
        <v>144</v>
      </c>
      <c r="J1265" s="13" t="n">
        <v>25</v>
      </c>
      <c r="K1265" t="n">
        <v>55</v>
      </c>
      <c r="L1265" s="13" t="n">
        <v>2.6</v>
      </c>
      <c r="M1265" s="12" t="n"/>
      <c r="N1265" s="8" t="n">
        <v>1.346626458992036</v>
      </c>
      <c r="O1265" s="15" t="n">
        <v>1.085509066875555</v>
      </c>
      <c r="P1265" s="15" t="n">
        <v>1.274282361713885</v>
      </c>
      <c r="Q1265" s="15" t="n">
        <v>0.01345327863321181</v>
      </c>
      <c r="R1265" s="15" t="n">
        <v>0.06267620346892927</v>
      </c>
      <c r="S1265" s="15" t="n">
        <v>0.01458412980752876</v>
      </c>
      <c r="T1265" s="42">
        <f>HIPERLINK($A$1 &amp; "\Dados\Imagem_perfil_1265.png", "Imagem_perfil_1265")</f>
        <v/>
      </c>
      <c r="U1265" s="42">
        <f>HIPERLINK($A$1 &amp; "\Dados\Results_airgap1265.txt", "Results_airgap1265")</f>
        <v/>
      </c>
      <c r="V1265" s="19" t="n"/>
      <c r="W1265" s="15" t="n">
        <v>1.935252391304347</v>
      </c>
      <c r="X1265" s="15" t="n">
        <v>0.8920128657816467</v>
      </c>
      <c r="Y1265" s="15" t="n">
        <v>0.3142756871591417</v>
      </c>
      <c r="Z1265" s="15" t="n">
        <v>0.0007449280857793399</v>
      </c>
      <c r="AA1265" s="15" t="n">
        <v>0.007095158821575934</v>
      </c>
      <c r="AB1265" s="15" t="n">
        <v>2.117432742339572</v>
      </c>
      <c r="AC1265" s="15" t="n">
        <v>17.65319018121174</v>
      </c>
      <c r="AD1265" s="15" t="n">
        <v>60.8533234062909</v>
      </c>
      <c r="AE1265" s="15" t="n">
        <v>95.47518092878218</v>
      </c>
      <c r="AF1265" s="15" t="n">
        <v>126.7484624196679</v>
      </c>
      <c r="AH1265" s="42">
        <f>HIPERLINK($A$1 &amp; "\Dados\Magnet_fields_1265.txt.txt", "Magnet_fields_1265.txt")</f>
        <v/>
      </c>
      <c r="AI1265" t="n">
        <v>9922</v>
      </c>
      <c r="AJ1265" t="n">
        <v>30</v>
      </c>
      <c r="AK1265" s="42">
        <f>HIPERLINK($A$1 &amp; "\Dados\Magnet_3D_results_1265.txt.txt", "Magnet_3D_results_1265.txt")</f>
        <v/>
      </c>
      <c r="AL1265" s="42">
        <f>HIPERLINK($A$1 &amp; "\Dados\Magnet_fields_2D_1265.txt.txt", "Magnet_fields_2D_1265.txt")</f>
        <v/>
      </c>
    </row>
    <row r="1266">
      <c r="E1266" s="15" t="n">
        <v>137</v>
      </c>
      <c r="F1266" s="15" t="n">
        <v>174</v>
      </c>
      <c r="G1266" s="15" t="n">
        <v>422</v>
      </c>
      <c r="H1266" s="15" t="n">
        <v>40</v>
      </c>
      <c r="I1266" s="15" t="n">
        <v>151</v>
      </c>
      <c r="J1266" s="13" t="n">
        <v>25</v>
      </c>
      <c r="K1266" t="n">
        <v>55</v>
      </c>
      <c r="L1266" s="13" t="n">
        <v>2.6</v>
      </c>
      <c r="M1266" s="12" t="n"/>
      <c r="N1266" s="8" t="n">
        <v>1.593586151820327</v>
      </c>
      <c r="O1266" s="15" t="n">
        <v>1.296241460367734</v>
      </c>
      <c r="P1266" s="15" t="n">
        <v>1.511626880504144</v>
      </c>
      <c r="Q1266" s="15" t="n">
        <v>0.01441603113712039</v>
      </c>
      <c r="R1266" s="15" t="n">
        <v>0.06198293167817203</v>
      </c>
      <c r="S1266" s="15" t="n">
        <v>0.01471584338753918</v>
      </c>
      <c r="T1266" s="42">
        <f>HIPERLINK($A$1 &amp; "\Dados\Imagem_perfil_1266.png", "Imagem_perfil_1266")</f>
        <v/>
      </c>
      <c r="U1266" s="42">
        <f>HIPERLINK($A$1 &amp; "\Dados\Results_airgap1266.txt", "Results_airgap1266")</f>
        <v/>
      </c>
      <c r="V1266" s="19" t="n"/>
      <c r="W1266" s="15" t="n">
        <v>2.180763043478261</v>
      </c>
      <c r="X1266" s="15" t="n">
        <v>1.042119466949925</v>
      </c>
      <c r="Y1266" s="15" t="n">
        <v>0.1250923011437584</v>
      </c>
      <c r="Z1266" s="15" t="n">
        <v>0</v>
      </c>
      <c r="AA1266" s="15" t="n">
        <v>0.0008718986717509259</v>
      </c>
      <c r="AB1266" s="15" t="n">
        <v>1.45701861854593</v>
      </c>
      <c r="AC1266" s="15" t="n">
        <v>18.47837010217873</v>
      </c>
      <c r="AD1266" s="15" t="n">
        <v>63.96327251397047</v>
      </c>
      <c r="AE1266" s="15" t="n">
        <v>97.32342706909428</v>
      </c>
      <c r="AF1266" s="15" t="n">
        <v>127.7517683289753</v>
      </c>
      <c r="AH1266" s="42">
        <f>HIPERLINK($A$1 &amp; "\Dados\Magnet_fields_1266.txt.txt", "Magnet_fields_1266.txt")</f>
        <v/>
      </c>
      <c r="AI1266" t="n">
        <v>10338</v>
      </c>
      <c r="AJ1266" t="n">
        <v>30</v>
      </c>
      <c r="AK1266" s="42">
        <f>HIPERLINK($A$1 &amp; "\Dados\Magnet_3D_results_1266.txt.txt", "Magnet_3D_results_1266.txt")</f>
        <v/>
      </c>
      <c r="AL1266" s="42">
        <f>HIPERLINK($A$1 &amp; "\Dados\Magnet_fields_2D_1266.txt.txt", "Magnet_fields_2D_1266.txt")</f>
        <v/>
      </c>
    </row>
    <row r="1267">
      <c r="E1267" s="15" t="n">
        <v>135</v>
      </c>
      <c r="F1267" s="15" t="n">
        <v>181</v>
      </c>
      <c r="G1267" s="15" t="n">
        <v>379</v>
      </c>
      <c r="H1267" s="15" t="n">
        <v>42</v>
      </c>
      <c r="I1267" s="15" t="n">
        <v>158</v>
      </c>
      <c r="J1267" s="13" t="n">
        <v>25</v>
      </c>
      <c r="K1267" t="n">
        <v>55</v>
      </c>
      <c r="L1267" s="13" t="n">
        <v>2.6</v>
      </c>
      <c r="M1267" s="12" t="n"/>
      <c r="N1267" s="8" t="n">
        <v>1.379745453633475</v>
      </c>
      <c r="O1267" s="15" t="n">
        <v>1.169830768671084</v>
      </c>
      <c r="P1267" s="15" t="n">
        <v>1.313963205521978</v>
      </c>
      <c r="Q1267" s="15" t="n">
        <v>0.01076944476985657</v>
      </c>
      <c r="R1267" s="15" t="n">
        <v>0.04990423482310272</v>
      </c>
      <c r="S1267" s="15" t="n">
        <v>0.01121870101271857</v>
      </c>
      <c r="T1267" s="42">
        <f>HIPERLINK($A$1 &amp; "\Dados\Imagem_perfil_1267.png", "Imagem_perfil_1267")</f>
        <v/>
      </c>
      <c r="U1267" s="42">
        <f>HIPERLINK($A$1 &amp; "\Dados\Results_airgap1267.txt", "Results_airgap1267")</f>
        <v/>
      </c>
      <c r="V1267" s="19" t="n"/>
      <c r="W1267" s="15" t="n">
        <v>1.814063260869565</v>
      </c>
      <c r="X1267" s="15" t="n">
        <v>0.8682086162692475</v>
      </c>
      <c r="Y1267" s="15" t="n">
        <v>0.3982171615597921</v>
      </c>
      <c r="Z1267" s="15" t="n">
        <v>0.005098985581347239</v>
      </c>
      <c r="AA1267" s="15" t="n">
        <v>0</v>
      </c>
      <c r="AB1267" s="15" t="n">
        <v>0.4426838762076306</v>
      </c>
      <c r="AC1267" s="15" t="n">
        <v>15.72010296325578</v>
      </c>
      <c r="AD1267" s="15" t="n">
        <v>63.6044313138979</v>
      </c>
      <c r="AE1267" s="15" t="n">
        <v>96.15965497056077</v>
      </c>
      <c r="AF1267" s="15" t="n">
        <v>126.3869233325821</v>
      </c>
      <c r="AH1267" s="42">
        <f>HIPERLINK($A$1 &amp; "\Dados\Magnet_fields_1267.txt.txt", "Magnet_fields_1267.txt")</f>
        <v/>
      </c>
      <c r="AI1267" t="n">
        <v>10662</v>
      </c>
      <c r="AJ1267" t="n">
        <v>29</v>
      </c>
      <c r="AK1267" s="42">
        <f>HIPERLINK($A$1 &amp; "\Dados\Magnet_3D_results_1267.txt.txt", "Magnet_3D_results_1267.txt")</f>
        <v/>
      </c>
      <c r="AL1267" s="42">
        <f>HIPERLINK($A$1 &amp; "\Dados\Magnet_fields_2D_1267.txt.txt", "Magnet_fields_2D_1267.txt")</f>
        <v/>
      </c>
    </row>
    <row r="1268">
      <c r="E1268" s="15" t="n">
        <v>147</v>
      </c>
      <c r="F1268" s="15" t="n">
        <v>181</v>
      </c>
      <c r="G1268" s="15" t="n">
        <v>365</v>
      </c>
      <c r="H1268" s="15" t="n">
        <v>39</v>
      </c>
      <c r="I1268" s="15" t="n">
        <v>147</v>
      </c>
      <c r="J1268" s="13" t="n">
        <v>25</v>
      </c>
      <c r="K1268" t="n">
        <v>45</v>
      </c>
      <c r="L1268" s="13" t="n">
        <v>2.6</v>
      </c>
      <c r="M1268" s="12" t="n"/>
      <c r="N1268" s="8" t="n">
        <v>1.451125592550674</v>
      </c>
      <c r="O1268" s="15" t="n">
        <v>1.192774593856318</v>
      </c>
      <c r="P1268" s="15" t="n">
        <v>1.380326443617875</v>
      </c>
      <c r="Q1268" s="15" t="n">
        <v>0.002756443666851607</v>
      </c>
      <c r="R1268" s="15" t="n">
        <v>0.02869274323281631</v>
      </c>
      <c r="S1268" s="15" t="n">
        <v>0.003033961290071197</v>
      </c>
      <c r="T1268" s="42">
        <f>HIPERLINK($A$1 &amp; "\Dados\Imagem_perfil_1268.png", "Imagem_perfil_1268")</f>
        <v/>
      </c>
      <c r="U1268" s="42">
        <f>HIPERLINK($A$1 &amp; "\Dados\Results_airgap1268.txt", "Results_airgap1268")</f>
        <v/>
      </c>
      <c r="V1268" s="19" t="n"/>
      <c r="W1268" s="15" t="n">
        <v>1.830433260869565</v>
      </c>
      <c r="X1268" s="15" t="n">
        <v>0.9395445022029822</v>
      </c>
      <c r="Y1268" s="15" t="n">
        <v>0.3777971796322535</v>
      </c>
      <c r="Z1268" s="15" t="n">
        <v>0</v>
      </c>
      <c r="AA1268" s="15" t="n">
        <v>0</v>
      </c>
      <c r="AB1268" s="15" t="n">
        <v>0</v>
      </c>
      <c r="AC1268" s="15" t="n">
        <v>5.886581686823477</v>
      </c>
      <c r="AD1268" s="15" t="n">
        <v>44.73759320743255</v>
      </c>
      <c r="AE1268" s="15" t="n">
        <v>86.71716472355416</v>
      </c>
      <c r="AF1268" s="15" t="n">
        <v>117.896452714801</v>
      </c>
      <c r="AH1268" s="42">
        <f>HIPERLINK($A$1 &amp; "\Dados\Magnet_fields_1268.txt.txt", "Magnet_fields_1268.txt")</f>
        <v/>
      </c>
      <c r="AI1268" t="n">
        <v>6805</v>
      </c>
      <c r="AJ1268" t="n">
        <v>28</v>
      </c>
      <c r="AK1268" s="42">
        <f>HIPERLINK($A$1 &amp; "\Dados\Magnet_3D_results_1268.txt.txt", "Magnet_3D_results_1268.txt")</f>
        <v/>
      </c>
      <c r="AL1268" s="42">
        <f>HIPERLINK($A$1 &amp; "\Dados\Magnet_fields_2D_1268.txt.txt", "Magnet_fields_2D_1268.txt")</f>
        <v/>
      </c>
    </row>
    <row r="1269">
      <c r="E1269" s="15" t="n">
        <v>135</v>
      </c>
      <c r="F1269" s="15" t="n">
        <v>173</v>
      </c>
      <c r="G1269" s="15" t="n">
        <v>364</v>
      </c>
      <c r="H1269" s="15" t="n">
        <v>33</v>
      </c>
      <c r="I1269" s="15" t="n">
        <v>175</v>
      </c>
      <c r="J1269" s="13" t="n">
        <v>25</v>
      </c>
      <c r="K1269" t="n">
        <v>40</v>
      </c>
      <c r="L1269" s="13" t="n">
        <v>2.6</v>
      </c>
      <c r="M1269" s="12" t="n"/>
      <c r="N1269" s="8" t="n">
        <v>1.449041120550725</v>
      </c>
      <c r="O1269" s="15" t="n">
        <v>1.275963132846682</v>
      </c>
      <c r="P1269" s="15" t="n">
        <v>1.401546331360031</v>
      </c>
      <c r="Q1269" s="15" t="n">
        <v>0.00157558367462574</v>
      </c>
      <c r="R1269" s="15" t="n">
        <v>0.02932254375605287</v>
      </c>
      <c r="S1269" s="15" t="n">
        <v>0.001584082986110425</v>
      </c>
      <c r="T1269" s="42">
        <f>HIPERLINK($A$1 &amp; "\Dados\Imagem_perfil_1269.png", "Imagem_perfil_1269")</f>
        <v/>
      </c>
      <c r="U1269" s="42">
        <f>HIPERLINK($A$1 &amp; "\Dados\Results_airgap1269.txt", "Results_airgap1269")</f>
        <v/>
      </c>
      <c r="V1269" s="19" t="n"/>
      <c r="W1269" s="15" t="n">
        <v>1.738647608695652</v>
      </c>
      <c r="X1269" s="15" t="n">
        <v>0.8917511252967251</v>
      </c>
      <c r="Y1269" s="15" t="n">
        <v>0.5573699517439584</v>
      </c>
      <c r="Z1269" s="15" t="n">
        <v>0.005039532800595263</v>
      </c>
      <c r="AA1269" s="15" t="n">
        <v>0.03715614612287026</v>
      </c>
      <c r="AB1269" s="15" t="n">
        <v>1.04882107482212</v>
      </c>
      <c r="AC1269" s="15" t="n">
        <v>8.468600976466748</v>
      </c>
      <c r="AD1269" s="15" t="n">
        <v>38.23774747935875</v>
      </c>
      <c r="AE1269" s="15" t="n">
        <v>80.27977128102873</v>
      </c>
      <c r="AF1269" s="15" t="n">
        <v>113.32677322269</v>
      </c>
      <c r="AH1269" s="42">
        <f>HIPERLINK($A$1 &amp; "\Dados\Magnet_fields_1269.txt.txt", "Magnet_fields_1269.txt")</f>
        <v/>
      </c>
      <c r="AI1269" t="n">
        <v>8283</v>
      </c>
      <c r="AJ1269" t="n">
        <v>29</v>
      </c>
      <c r="AK1269" s="42">
        <f>HIPERLINK($A$1 &amp; "\Dados\Magnet_3D_results_1269.txt.txt", "Magnet_3D_results_1269.txt")</f>
        <v/>
      </c>
      <c r="AL1269" s="42">
        <f>HIPERLINK($A$1 &amp; "\Dados\Magnet_fields_2D_1269.txt.txt", "Magnet_fields_2D_1269.txt")</f>
        <v/>
      </c>
    </row>
    <row r="1270">
      <c r="E1270" s="15" t="n">
        <v>142</v>
      </c>
      <c r="F1270" s="15" t="n">
        <v>180</v>
      </c>
      <c r="G1270" s="15" t="n">
        <v>389</v>
      </c>
      <c r="H1270" s="15" t="n">
        <v>45</v>
      </c>
      <c r="I1270" s="15" t="n">
        <v>154</v>
      </c>
      <c r="J1270" s="13" t="n">
        <v>25</v>
      </c>
      <c r="K1270" t="n">
        <v>50</v>
      </c>
      <c r="L1270" s="13" t="n">
        <v>2.6</v>
      </c>
      <c r="M1270" s="12" t="n"/>
      <c r="N1270" s="8" t="n">
        <v>1.467734881922827</v>
      </c>
      <c r="O1270" s="15" t="n">
        <v>1.226606616204742</v>
      </c>
      <c r="P1270" s="15" t="n">
        <v>1.387177181324355</v>
      </c>
      <c r="Q1270" s="15" t="n">
        <v>0.005265925363062901</v>
      </c>
      <c r="R1270" s="15" t="n">
        <v>0.04258207953186575</v>
      </c>
      <c r="S1270" s="15" t="n">
        <v>0.005492226274904893</v>
      </c>
      <c r="T1270" s="42">
        <f>HIPERLINK($A$1 &amp; "\Dados\Imagem_perfil_1270.png", "Imagem_perfil_1270")</f>
        <v/>
      </c>
      <c r="U1270" s="42">
        <f>HIPERLINK($A$1 &amp; "\Dados\Results_airgap1270.txt", "Results_airgap1270")</f>
        <v/>
      </c>
      <c r="V1270" s="19" t="n"/>
      <c r="W1270" s="15" t="n">
        <v>1.897821521739131</v>
      </c>
      <c r="X1270" s="15" t="n">
        <v>0.9548138940249755</v>
      </c>
      <c r="Y1270" s="15" t="n">
        <v>0.3246897136272818</v>
      </c>
      <c r="Z1270" s="15" t="n">
        <v>0</v>
      </c>
      <c r="AA1270" s="15" t="n">
        <v>0</v>
      </c>
      <c r="AB1270" s="15" t="n">
        <v>0.1738103838774722</v>
      </c>
      <c r="AC1270" s="15" t="n">
        <v>6.135051124453354</v>
      </c>
      <c r="AD1270" s="15" t="n">
        <v>48.81303950146434</v>
      </c>
      <c r="AE1270" s="15" t="n">
        <v>92.76256081511184</v>
      </c>
      <c r="AF1270" s="15" t="n">
        <v>122.8895954108776</v>
      </c>
      <c r="AH1270" s="42">
        <f>HIPERLINK($A$1 &amp; "\Dados\Magnet_fields_1270.txt.txt", "Magnet_fields_1270.txt")</f>
        <v/>
      </c>
      <c r="AI1270" t="n">
        <v>6133</v>
      </c>
      <c r="AJ1270" t="n">
        <v>28</v>
      </c>
      <c r="AK1270" s="42">
        <f>HIPERLINK($A$1 &amp; "\Dados\Magnet_3D_results_1270.txt.txt", "Magnet_3D_results_1270.txt")</f>
        <v/>
      </c>
      <c r="AL1270" s="42">
        <f>HIPERLINK($A$1 &amp; "\Dados\Magnet_fields_2D_1270.txt.txt", "Magnet_fields_2D_1270.txt")</f>
        <v/>
      </c>
    </row>
    <row r="1271">
      <c r="E1271" s="15" t="n">
        <v>148</v>
      </c>
      <c r="F1271" s="15" t="n">
        <v>178</v>
      </c>
      <c r="G1271" s="15" t="n">
        <v>409</v>
      </c>
      <c r="H1271" s="15" t="n">
        <v>27</v>
      </c>
      <c r="I1271" s="15" t="n">
        <v>166</v>
      </c>
      <c r="J1271" s="13" t="n">
        <v>25</v>
      </c>
      <c r="K1271" t="n">
        <v>55</v>
      </c>
      <c r="L1271" s="13" t="n">
        <v>2.6</v>
      </c>
      <c r="M1271" s="12" t="n"/>
      <c r="N1271" s="8" t="n">
        <v>1.684469355497689</v>
      </c>
      <c r="O1271" s="15" t="n">
        <v>1.441597781148229</v>
      </c>
      <c r="P1271" s="15" t="n">
        <v>1.613330330318085</v>
      </c>
      <c r="Q1271" s="15" t="n">
        <v>0.01317936010116421</v>
      </c>
      <c r="R1271" s="15" t="n">
        <v>0.04719347018672621</v>
      </c>
      <c r="S1271" s="15" t="n">
        <v>0.01315350496539171</v>
      </c>
      <c r="T1271" s="42">
        <f>HIPERLINK($A$1 &amp; "\Dados\Imagem_perfil_1271.png", "Imagem_perfil_1271")</f>
        <v/>
      </c>
      <c r="U1271" s="42">
        <f>HIPERLINK($A$1 &amp; "\Dados\Results_airgap1271.txt", "Results_airgap1271")</f>
        <v/>
      </c>
      <c r="V1271" s="19" t="n"/>
      <c r="W1271" s="15" t="n">
        <v>2.172640652173913</v>
      </c>
      <c r="X1271" s="15" t="n">
        <v>1.06016765215756</v>
      </c>
      <c r="Y1271" s="15" t="n">
        <v>0.09690646992261921</v>
      </c>
      <c r="Z1271" s="15" t="n">
        <v>0.02875663480034132</v>
      </c>
      <c r="AA1271" s="15" t="n">
        <v>3.102032779065952</v>
      </c>
      <c r="AB1271" s="15" t="n">
        <v>0.6103521481514259</v>
      </c>
      <c r="AC1271" s="15" t="n">
        <v>9.372293833204527</v>
      </c>
      <c r="AD1271" s="15" t="n">
        <v>66.58201583117641</v>
      </c>
      <c r="AE1271" s="15" t="n">
        <v>100.283029888483</v>
      </c>
      <c r="AF1271" s="15" t="n">
        <v>128.437805373462</v>
      </c>
      <c r="AH1271" s="42">
        <f>HIPERLINK($A$1 &amp; "\Dados\Magnet_fields_1271.txt.txt", "Magnet_fields_1271.txt")</f>
        <v/>
      </c>
      <c r="AI1271" t="n">
        <v>13498</v>
      </c>
      <c r="AJ1271" t="n">
        <v>31</v>
      </c>
      <c r="AK1271" s="42">
        <f>HIPERLINK($A$1 &amp; "\Dados\Magnet_3D_results_1271.txt.txt", "Magnet_3D_results_1271.txt")</f>
        <v/>
      </c>
      <c r="AL1271" s="42">
        <f>HIPERLINK($A$1 &amp; "\Dados\Magnet_fields_2D_1271.txt.txt", "Magnet_fields_2D_1271.txt")</f>
        <v/>
      </c>
    </row>
    <row r="1272">
      <c r="E1272" s="15" t="n">
        <v>135</v>
      </c>
      <c r="F1272" s="15" t="n">
        <v>175</v>
      </c>
      <c r="G1272" s="15" t="n">
        <v>365</v>
      </c>
      <c r="H1272" s="15" t="n">
        <v>43</v>
      </c>
      <c r="I1272" s="15" t="n">
        <v>150</v>
      </c>
      <c r="J1272" s="13" t="n">
        <v>25</v>
      </c>
      <c r="K1272" t="n">
        <v>45</v>
      </c>
      <c r="L1272" s="13" t="n">
        <v>2.6</v>
      </c>
      <c r="M1272" s="12" t="n"/>
      <c r="N1272" s="8" t="n">
        <v>1.35897331749774</v>
      </c>
      <c r="O1272" s="15" t="n">
        <v>1.097239855275159</v>
      </c>
      <c r="P1272" s="15" t="n">
        <v>1.288646886015081</v>
      </c>
      <c r="Q1272" s="15" t="n">
        <v>0.002547532641567009</v>
      </c>
      <c r="R1272" s="15" t="n">
        <v>0.0339272352839813</v>
      </c>
      <c r="S1272" s="15" t="n">
        <v>0.002942078962839587</v>
      </c>
      <c r="T1272" s="42">
        <f>HIPERLINK($A$1 &amp; "\Dados\Imagem_perfil_1272.png", "Imagem_perfil_1272")</f>
        <v/>
      </c>
      <c r="U1272" s="42">
        <f>HIPERLINK($A$1 &amp; "\Dados\Results_airgap1272.txt", "Results_airgap1272")</f>
        <v/>
      </c>
      <c r="V1272" s="19" t="n"/>
      <c r="W1272" s="15" t="n">
        <v>1.754051304347826</v>
      </c>
      <c r="X1272" s="15" t="n">
        <v>0.8628183943176453</v>
      </c>
      <c r="Y1272" s="15" t="n">
        <v>0.520529164802456</v>
      </c>
      <c r="Z1272" s="15" t="n">
        <v>0</v>
      </c>
      <c r="AA1272" s="15" t="n">
        <v>0</v>
      </c>
      <c r="AB1272" s="15" t="n">
        <v>1.079082931134731</v>
      </c>
      <c r="AC1272" s="15" t="n">
        <v>8.402992200843331</v>
      </c>
      <c r="AD1272" s="15" t="n">
        <v>38.82942995682131</v>
      </c>
      <c r="AE1272" s="15" t="n">
        <v>81.80121445568129</v>
      </c>
      <c r="AF1272" s="15" t="n">
        <v>116.7405257482212</v>
      </c>
      <c r="AH1272" s="42">
        <f>HIPERLINK($A$1 &amp; "\Dados\Magnet_fields_1272.txt.txt", "Magnet_fields_1272.txt")</f>
        <v/>
      </c>
      <c r="AI1272" t="n">
        <v>5792</v>
      </c>
      <c r="AJ1272" t="n">
        <v>28</v>
      </c>
      <c r="AK1272" s="42">
        <f>HIPERLINK($A$1 &amp; "\Dados\Magnet_3D_results_1272.txt.txt", "Magnet_3D_results_1272.txt")</f>
        <v/>
      </c>
      <c r="AL1272" s="42">
        <f>HIPERLINK($A$1 &amp; "\Dados\Magnet_fields_2D_1272.txt.txt", "Magnet_fields_2D_1272.txt")</f>
        <v/>
      </c>
    </row>
    <row r="1273">
      <c r="E1273" s="15" t="n">
        <v>130</v>
      </c>
      <c r="F1273" s="15" t="n">
        <v>177</v>
      </c>
      <c r="G1273" s="15" t="n">
        <v>390</v>
      </c>
      <c r="H1273" s="15" t="n">
        <v>45</v>
      </c>
      <c r="I1273" s="15" t="n">
        <v>158</v>
      </c>
      <c r="J1273" s="13" t="n">
        <v>25</v>
      </c>
      <c r="K1273" t="n">
        <v>50</v>
      </c>
      <c r="L1273" s="13" t="n">
        <v>2.6</v>
      </c>
      <c r="M1273" s="12" t="n"/>
      <c r="N1273" s="8" t="n">
        <v>1.359720253924552</v>
      </c>
      <c r="O1273" s="15" t="n">
        <v>1.140204555237716</v>
      </c>
      <c r="P1273" s="15" t="n">
        <v>1.304348004368417</v>
      </c>
      <c r="Q1273" s="15" t="n">
        <v>0.00671647416606168</v>
      </c>
      <c r="R1273" s="15" t="n">
        <v>0.04994023790988877</v>
      </c>
      <c r="S1273" s="15" t="n">
        <v>0.007243680147636308</v>
      </c>
      <c r="T1273" s="42">
        <f>HIPERLINK($A$1 &amp; "\Dados\Imagem_perfil_1273.png", "Imagem_perfil_1273")</f>
        <v/>
      </c>
      <c r="U1273" s="42">
        <f>HIPERLINK($A$1 &amp; "\Dados\Results_airgap1273.txt", "Results_airgap1273")</f>
        <v/>
      </c>
      <c r="V1273" s="19" t="n"/>
      <c r="W1273" s="15" t="n">
        <v>1.805520869565217</v>
      </c>
      <c r="X1273" s="15" t="n">
        <v>0.8713212705020275</v>
      </c>
      <c r="Y1273" s="15" t="n">
        <v>0.4705062246975713</v>
      </c>
      <c r="Z1273" s="15" t="n">
        <v>0</v>
      </c>
      <c r="AA1273" s="15" t="n">
        <v>0</v>
      </c>
      <c r="AB1273" s="15" t="n">
        <v>1.866049949809168</v>
      </c>
      <c r="AC1273" s="15" t="n">
        <v>12.1180018758098</v>
      </c>
      <c r="AD1273" s="15" t="n">
        <v>47.34312767216855</v>
      </c>
      <c r="AE1273" s="15" t="n">
        <v>88.7662473122041</v>
      </c>
      <c r="AF1273" s="15" t="n">
        <v>121.8633522293332</v>
      </c>
      <c r="AH1273" s="42">
        <f>HIPERLINK($A$1 &amp; "\Dados\Magnet_fields_1273.txt.txt", "Magnet_fields_1273.txt")</f>
        <v/>
      </c>
      <c r="AI1273" t="n">
        <v>6120</v>
      </c>
      <c r="AJ1273" t="n">
        <v>28</v>
      </c>
      <c r="AK1273" s="42">
        <f>HIPERLINK($A$1 &amp; "\Dados\Magnet_3D_results_1273.txt.txt", "Magnet_3D_results_1273.txt")</f>
        <v/>
      </c>
      <c r="AL1273" s="42">
        <f>HIPERLINK($A$1 &amp; "\Dados\Magnet_fields_2D_1273.txt.txt", "Magnet_fields_2D_1273.txt")</f>
        <v/>
      </c>
    </row>
    <row r="1274">
      <c r="E1274" s="15" t="n">
        <v>138</v>
      </c>
      <c r="F1274" s="15" t="n">
        <v>175</v>
      </c>
      <c r="G1274" s="15" t="n">
        <v>422</v>
      </c>
      <c r="H1274" s="15" t="n">
        <v>36</v>
      </c>
      <c r="I1274" s="15" t="n">
        <v>154</v>
      </c>
      <c r="J1274" s="13" t="n">
        <v>25</v>
      </c>
      <c r="K1274" t="n">
        <v>40</v>
      </c>
      <c r="L1274" s="13" t="n">
        <v>2.6</v>
      </c>
      <c r="M1274" s="12" t="n"/>
      <c r="N1274" s="8" t="n">
        <v>1.468978071667111</v>
      </c>
      <c r="O1274" s="15" t="n">
        <v>1.215644536664402</v>
      </c>
      <c r="P1274" s="15" t="n">
        <v>1.397903616410295</v>
      </c>
      <c r="Q1274" s="15" t="n">
        <v>0.001886797236682652</v>
      </c>
      <c r="R1274" s="15" t="n">
        <v>0.03818061489898584</v>
      </c>
      <c r="S1274" s="15" t="n">
        <v>0.002123438508150589</v>
      </c>
      <c r="T1274" s="42">
        <f>HIPERLINK($A$1 &amp; "\Dados\Imagem_perfil_1274.png", "Imagem_perfil_1274")</f>
        <v/>
      </c>
      <c r="U1274" s="42">
        <f>HIPERLINK($A$1 &amp; "\Dados\Results_airgap1274.txt", "Results_airgap1274")</f>
        <v/>
      </c>
      <c r="V1274" s="19" t="n"/>
      <c r="W1274" s="15" t="n">
        <v>1.892941304347826</v>
      </c>
      <c r="X1274" s="15" t="n">
        <v>0.9035252335191575</v>
      </c>
      <c r="Y1274" s="15" t="n">
        <v>0.4034603082333694</v>
      </c>
      <c r="Z1274" s="15" t="n">
        <v>0</v>
      </c>
      <c r="AA1274" s="15" t="n">
        <v>1.178964548059284</v>
      </c>
      <c r="AB1274" s="15" t="n">
        <v>1.268779255497803</v>
      </c>
      <c r="AC1274" s="15" t="n">
        <v>5.843477771794912</v>
      </c>
      <c r="AD1274" s="15" t="n">
        <v>31.830251698479</v>
      </c>
      <c r="AE1274" s="15" t="n">
        <v>84.52009153765337</v>
      </c>
      <c r="AF1274" s="15" t="n">
        <v>116.2097055462577</v>
      </c>
      <c r="AH1274" s="42">
        <f>HIPERLINK($A$1 &amp; "\Dados\Magnet_fields_1274.txt.txt", "Magnet_fields_1274.txt")</f>
        <v/>
      </c>
      <c r="AI1274" t="n">
        <v>8296</v>
      </c>
      <c r="AJ1274" t="n">
        <v>29</v>
      </c>
      <c r="AK1274" s="42">
        <f>HIPERLINK($A$1 &amp; "\Dados\Magnet_3D_results_1274.txt.txt", "Magnet_3D_results_1274.txt")</f>
        <v/>
      </c>
      <c r="AL1274" s="42">
        <f>HIPERLINK($A$1 &amp; "\Dados\Magnet_fields_2D_1274.txt.txt", "Magnet_fields_2D_1274.txt")</f>
        <v/>
      </c>
    </row>
    <row r="1275">
      <c r="E1275" s="15" t="n">
        <v>134</v>
      </c>
      <c r="F1275" s="15" t="n">
        <v>177</v>
      </c>
      <c r="G1275" s="15" t="n">
        <v>370</v>
      </c>
      <c r="H1275" s="15" t="n">
        <v>33</v>
      </c>
      <c r="I1275" s="15" t="n">
        <v>174</v>
      </c>
      <c r="J1275" s="13" t="n">
        <v>25</v>
      </c>
      <c r="K1275" t="n">
        <v>45</v>
      </c>
      <c r="L1275" s="13" t="n">
        <v>2.6</v>
      </c>
      <c r="M1275" s="12" t="n"/>
      <c r="N1275" s="8" t="n">
        <v>1.398549696254586</v>
      </c>
      <c r="O1275" s="15" t="n">
        <v>1.21006178429087</v>
      </c>
      <c r="P1275" s="15" t="n">
        <v>1.339780901566175</v>
      </c>
      <c r="Q1275" s="15" t="n">
        <v>0.002743760280264399</v>
      </c>
      <c r="R1275" s="15" t="n">
        <v>0.034702770680686</v>
      </c>
      <c r="S1275" s="15" t="n">
        <v>0.002793981139021898</v>
      </c>
      <c r="T1275" s="42">
        <f>HIPERLINK($A$1 &amp; "\Dados\Imagem_perfil_1275.png", "Imagem_perfil_1275")</f>
        <v/>
      </c>
      <c r="U1275" s="42">
        <f>HIPERLINK($A$1 &amp; "\Dados\Results_airgap1275.txt", "Results_airgap1275")</f>
        <v/>
      </c>
      <c r="V1275" s="19" t="n"/>
      <c r="W1275" s="15" t="n">
        <v>1.736491521739131</v>
      </c>
      <c r="X1275" s="15" t="n">
        <v>0.8634749500855214</v>
      </c>
      <c r="Y1275" s="15" t="n">
        <v>0.5554405782282041</v>
      </c>
      <c r="Z1275" s="15" t="n">
        <v>0.002879965132667622</v>
      </c>
      <c r="AA1275" s="15" t="n">
        <v>0.7200718957374419</v>
      </c>
      <c r="AB1275" s="15" t="n">
        <v>1.68275874398936</v>
      </c>
      <c r="AC1275" s="15" t="n">
        <v>11.68648698882475</v>
      </c>
      <c r="AD1275" s="15" t="n">
        <v>41.64233484049086</v>
      </c>
      <c r="AE1275" s="15" t="n">
        <v>81.35464867477728</v>
      </c>
      <c r="AF1275" s="15" t="n">
        <v>116.3088538538788</v>
      </c>
      <c r="AH1275" s="42">
        <f>HIPERLINK($A$1 &amp; "\Dados\Magnet_fields_1275.txt.txt", "Magnet_fields_1275.txt")</f>
        <v/>
      </c>
      <c r="AI1275" t="n">
        <v>6853</v>
      </c>
      <c r="AJ1275" t="n">
        <v>28</v>
      </c>
      <c r="AK1275" s="42">
        <f>HIPERLINK($A$1 &amp; "\Dados\Magnet_3D_results_1275.txt.txt", "Magnet_3D_results_1275.txt")</f>
        <v/>
      </c>
      <c r="AL1275" s="42">
        <f>HIPERLINK($A$1 &amp; "\Dados\Magnet_fields_2D_1275.txt.txt", "Magnet_fields_2D_1275.txt")</f>
        <v/>
      </c>
    </row>
    <row r="1276">
      <c r="E1276" s="15" t="n">
        <v>139</v>
      </c>
      <c r="F1276" s="15" t="n">
        <v>182</v>
      </c>
      <c r="G1276" s="15" t="n">
        <v>411</v>
      </c>
      <c r="H1276" s="15" t="n">
        <v>33</v>
      </c>
      <c r="I1276" s="15" t="n">
        <v>179</v>
      </c>
      <c r="J1276" s="13" t="n">
        <v>25</v>
      </c>
      <c r="K1276" t="n">
        <v>40</v>
      </c>
      <c r="L1276" s="13" t="n">
        <v>2.6</v>
      </c>
      <c r="M1276" s="12" t="n"/>
      <c r="N1276" s="8" t="n">
        <v>1.41854327052896</v>
      </c>
      <c r="O1276" s="15" t="n">
        <v>1.255063131273765</v>
      </c>
      <c r="P1276" s="15" t="n">
        <v>1.369979502587572</v>
      </c>
      <c r="Q1276" s="15" t="n">
        <v>0.001485425624870629</v>
      </c>
      <c r="R1276" s="15" t="n">
        <v>0.03629336094584581</v>
      </c>
      <c r="S1276" s="15" t="n">
        <v>0.001574939629466647</v>
      </c>
      <c r="T1276" s="42">
        <f>HIPERLINK($A$1 &amp; "\Dados\Imagem_perfil_1276.png", "Imagem_perfil_1276")</f>
        <v/>
      </c>
      <c r="U1276" s="42">
        <f>HIPERLINK($A$1 &amp; "\Dados\Results_airgap1276.txt", "Results_airgap1276")</f>
        <v/>
      </c>
      <c r="V1276" s="19" t="n"/>
      <c r="W1276" s="15" t="n">
        <v>1.75876652173913</v>
      </c>
      <c r="X1276" s="15" t="n">
        <v>0.8804352638284737</v>
      </c>
      <c r="Y1276" s="15" t="n">
        <v>0.5710864215939572</v>
      </c>
      <c r="Z1276" s="15" t="n">
        <v>0.01224812094319665</v>
      </c>
      <c r="AA1276" s="15" t="n">
        <v>1.132021442550338</v>
      </c>
      <c r="AB1276" s="15" t="n">
        <v>1.694432922358058</v>
      </c>
      <c r="AC1276" s="15" t="n">
        <v>8.436624586462058</v>
      </c>
      <c r="AD1276" s="15" t="n">
        <v>34.25480452683858</v>
      </c>
      <c r="AE1276" s="15" t="n">
        <v>80.57996200514965</v>
      </c>
      <c r="AF1276" s="15" t="n">
        <v>114.6334412916738</v>
      </c>
      <c r="AH1276" s="42">
        <f>HIPERLINK($A$1 &amp; "\Dados\Magnet_fields_1276.txt.txt", "Magnet_fields_1276.txt")</f>
        <v/>
      </c>
      <c r="AI1276" t="n">
        <v>8536</v>
      </c>
      <c r="AJ1276" t="n">
        <v>29</v>
      </c>
      <c r="AK1276" s="42">
        <f>HIPERLINK($A$1 &amp; "\Dados\Magnet_3D_results_1276.txt.txt", "Magnet_3D_results_1276.txt")</f>
        <v/>
      </c>
      <c r="AL1276" s="42">
        <f>HIPERLINK($A$1 &amp; "\Dados\Magnet_fields_2D_1276.txt.txt", "Magnet_fields_2D_1276.txt")</f>
        <v/>
      </c>
    </row>
    <row r="1277">
      <c r="E1277" s="15" t="n">
        <v>128</v>
      </c>
      <c r="F1277" s="15" t="n">
        <v>176</v>
      </c>
      <c r="G1277" s="15" t="n">
        <v>407</v>
      </c>
      <c r="H1277" s="15" t="n">
        <v>32</v>
      </c>
      <c r="I1277" s="15" t="n">
        <v>167</v>
      </c>
      <c r="J1277" s="13" t="n">
        <v>25</v>
      </c>
      <c r="K1277" t="n">
        <v>50</v>
      </c>
      <c r="L1277" s="13" t="n">
        <v>2.6</v>
      </c>
      <c r="M1277" s="12" t="n"/>
      <c r="N1277" s="8" t="n">
        <v>1.400574270208391</v>
      </c>
      <c r="O1277" s="15" t="n">
        <v>1.186046767616951</v>
      </c>
      <c r="P1277" s="15" t="n">
        <v>1.337224879360233</v>
      </c>
      <c r="Q1277" s="15" t="n">
        <v>0.007731297551629728</v>
      </c>
      <c r="R1277" s="15" t="n">
        <v>0.05422127560679739</v>
      </c>
      <c r="S1277" s="15" t="n">
        <v>0.008182006639768534</v>
      </c>
      <c r="T1277" s="42">
        <f>HIPERLINK($A$1 &amp; "\Dados\Imagem_perfil_1277.png", "Imagem_perfil_1277")</f>
        <v/>
      </c>
      <c r="U1277" s="42">
        <f>HIPERLINK($A$1 &amp; "\Dados\Results_airgap1277.txt", "Results_airgap1277")</f>
        <v/>
      </c>
      <c r="V1277" s="19" t="n"/>
      <c r="W1277" s="15" t="n">
        <v>1.866064565217391</v>
      </c>
      <c r="X1277" s="15" t="n">
        <v>0.8810912709236662</v>
      </c>
      <c r="Y1277" s="15" t="n">
        <v>0.4219949474947254</v>
      </c>
      <c r="Z1277" s="15" t="n">
        <v>0.001920865047562555</v>
      </c>
      <c r="AA1277" s="15" t="n">
        <v>1.171606384512454</v>
      </c>
      <c r="AB1277" s="15" t="n">
        <v>2.211419156135841</v>
      </c>
      <c r="AC1277" s="15" t="n">
        <v>13.40992270703689</v>
      </c>
      <c r="AD1277" s="15" t="n">
        <v>49.84995869619171</v>
      </c>
      <c r="AE1277" s="15" t="n">
        <v>90.64355337790208</v>
      </c>
      <c r="AF1277" s="15" t="n">
        <v>122.7227134401368</v>
      </c>
      <c r="AH1277" s="42">
        <f>HIPERLINK($A$1 &amp; "\Dados\Magnet_fields_1277.txt.txt", "Magnet_fields_1277.txt")</f>
        <v/>
      </c>
      <c r="AI1277" t="n">
        <v>8567</v>
      </c>
      <c r="AJ1277" t="n">
        <v>30</v>
      </c>
      <c r="AK1277" s="42">
        <f>HIPERLINK($A$1 &amp; "\Dados\Magnet_3D_results_1277.txt.txt", "Magnet_3D_results_1277.txt")</f>
        <v/>
      </c>
      <c r="AL1277" s="42">
        <f>HIPERLINK($A$1 &amp; "\Dados\Magnet_fields_2D_1277.txt.txt", "Magnet_fields_2D_1277.txt")</f>
        <v/>
      </c>
    </row>
    <row r="1278">
      <c r="E1278" s="15" t="n">
        <v>146</v>
      </c>
      <c r="F1278" s="15" t="n">
        <v>195</v>
      </c>
      <c r="G1278" s="15" t="n">
        <v>428</v>
      </c>
      <c r="H1278" s="15" t="n">
        <v>41</v>
      </c>
      <c r="I1278" s="15" t="n">
        <v>156</v>
      </c>
      <c r="J1278" s="13" t="n">
        <v>25</v>
      </c>
      <c r="K1278" t="n">
        <v>55</v>
      </c>
      <c r="L1278" s="13" t="n">
        <v>2.6</v>
      </c>
      <c r="M1278" s="12" t="n"/>
      <c r="N1278" s="8" t="n">
        <v>1.362086024685683</v>
      </c>
      <c r="O1278" s="15" t="n">
        <v>1.136310014384858</v>
      </c>
      <c r="P1278" s="15" t="n">
        <v>1.296300447696459</v>
      </c>
      <c r="Q1278" s="15" t="n">
        <v>0.01095723398546652</v>
      </c>
      <c r="R1278" s="15" t="n">
        <v>0.05644351054361341</v>
      </c>
      <c r="S1278" s="15" t="n">
        <v>0.0114229493447719</v>
      </c>
      <c r="T1278" s="42">
        <f>HIPERLINK($A$1 &amp; "\Dados\Imagem_perfil_1278.png", "Imagem_perfil_1278")</f>
        <v/>
      </c>
      <c r="U1278" s="42">
        <f>HIPERLINK($A$1 &amp; "\Dados\Results_airgap1278.txt", "Results_airgap1278")</f>
        <v/>
      </c>
      <c r="V1278" s="19" t="n"/>
      <c r="W1278" s="15" t="n">
        <v>1.88510152173913</v>
      </c>
      <c r="X1278" s="15" t="n">
        <v>0.8975874710208503</v>
      </c>
      <c r="Y1278" s="15" t="n">
        <v>0.351650450844595</v>
      </c>
      <c r="Z1278" s="15" t="n">
        <v>0.0007659591910284051</v>
      </c>
      <c r="AA1278" s="15" t="n">
        <v>0.004585274706543513</v>
      </c>
      <c r="AB1278" s="15" t="n">
        <v>1.236095649351791</v>
      </c>
      <c r="AC1278" s="15" t="n">
        <v>14.09760036407717</v>
      </c>
      <c r="AD1278" s="15" t="n">
        <v>57.47728167371218</v>
      </c>
      <c r="AE1278" s="15" t="n">
        <v>94.4567563192367</v>
      </c>
      <c r="AF1278" s="15" t="n">
        <v>126.2747371837741</v>
      </c>
      <c r="AH1278" s="42">
        <f>HIPERLINK($A$1 &amp; "\Dados\Magnet_fields_1278.txt.txt", "Magnet_fields_1278.txt")</f>
        <v/>
      </c>
      <c r="AI1278" t="n">
        <v>10133</v>
      </c>
      <c r="AJ1278" t="n">
        <v>30</v>
      </c>
      <c r="AK1278" s="42">
        <f>HIPERLINK($A$1 &amp; "\Dados\Magnet_3D_results_1278.txt.txt", "Magnet_3D_results_1278.txt")</f>
        <v/>
      </c>
      <c r="AL1278" s="42">
        <f>HIPERLINK($A$1 &amp; "\Dados\Magnet_fields_2D_1278.txt.txt", "Magnet_fields_2D_1278.txt")</f>
        <v/>
      </c>
    </row>
    <row r="1279">
      <c r="E1279" s="15" t="n">
        <v>128</v>
      </c>
      <c r="F1279" s="15" t="n">
        <v>176</v>
      </c>
      <c r="G1279" s="15" t="n">
        <v>429</v>
      </c>
      <c r="H1279" s="15" t="n">
        <v>32</v>
      </c>
      <c r="I1279" s="15" t="n">
        <v>165</v>
      </c>
      <c r="J1279" s="13" t="n">
        <v>25</v>
      </c>
      <c r="K1279" t="n">
        <v>40</v>
      </c>
      <c r="L1279" s="13" t="n">
        <v>2.6</v>
      </c>
      <c r="M1279" s="12" t="n"/>
      <c r="N1279" s="8" t="n">
        <v>1.37067649445337</v>
      </c>
      <c r="O1279" s="15" t="n">
        <v>1.177955922435503</v>
      </c>
      <c r="P1279" s="15" t="n">
        <v>1.312726726384304</v>
      </c>
      <c r="Q1279" s="15" t="n">
        <v>0.001891895195620249</v>
      </c>
      <c r="R1279" s="15" t="n">
        <v>0.04562757814469211</v>
      </c>
      <c r="S1279" s="15" t="n">
        <v>0.002427784146088614</v>
      </c>
      <c r="T1279" s="42">
        <f>HIPERLINK($A$1 &amp; "\Dados\Imagem_perfil_1279.png", "Imagem_perfil_1279")</f>
        <v/>
      </c>
      <c r="U1279" s="42">
        <f>HIPERLINK($A$1 &amp; "\Dados\Results_airgap1279.txt", "Results_airgap1279")</f>
        <v/>
      </c>
      <c r="V1279" s="19" t="n"/>
      <c r="W1279" s="15" t="n">
        <v>1.772359565217391</v>
      </c>
      <c r="X1279" s="15" t="n">
        <v>0.8534199078012916</v>
      </c>
      <c r="Y1279" s="15" t="n">
        <v>0.5745380364392777</v>
      </c>
      <c r="Z1279" s="15" t="n">
        <v>0.02741066614072368</v>
      </c>
      <c r="AA1279" s="15" t="n">
        <v>0.01967456398374011</v>
      </c>
      <c r="AB1279" s="15" t="n">
        <v>3.70880875974641</v>
      </c>
      <c r="AC1279" s="15" t="n">
        <v>15.42729286192459</v>
      </c>
      <c r="AD1279" s="15" t="n">
        <v>44.11520891200731</v>
      </c>
      <c r="AE1279" s="15" t="n">
        <v>82.85361034689382</v>
      </c>
      <c r="AF1279" s="15" t="n">
        <v>114.5794493602993</v>
      </c>
      <c r="AH1279" s="42">
        <f>HIPERLINK($A$1 &amp; "\Dados\Magnet_fields_1279.txt.txt", "Magnet_fields_1279.txt")</f>
        <v/>
      </c>
      <c r="AI1279" t="n">
        <v>9080</v>
      </c>
      <c r="AJ1279" t="n">
        <v>30</v>
      </c>
      <c r="AK1279" s="42">
        <f>HIPERLINK($A$1 &amp; "\Dados\Magnet_3D_results_1279.txt.txt", "Magnet_3D_results_1279.txt")</f>
        <v/>
      </c>
      <c r="AL1279" s="42">
        <f>HIPERLINK($A$1 &amp; "\Dados\Magnet_fields_2D_1279.txt.txt", "Magnet_fields_2D_1279.txt")</f>
        <v/>
      </c>
    </row>
    <row r="1280">
      <c r="E1280" s="15" t="n">
        <v>123</v>
      </c>
      <c r="F1280" s="15" t="n">
        <v>173</v>
      </c>
      <c r="G1280" s="15" t="n">
        <v>375</v>
      </c>
      <c r="H1280" s="15" t="n">
        <v>33</v>
      </c>
      <c r="I1280" s="15" t="n">
        <v>144</v>
      </c>
      <c r="J1280" s="13" t="n">
        <v>25</v>
      </c>
      <c r="K1280" t="n">
        <v>50</v>
      </c>
      <c r="L1280" s="13" t="n">
        <v>2.6</v>
      </c>
      <c r="M1280" s="12" t="n"/>
      <c r="N1280" s="8" t="n">
        <v>1.267525426271057</v>
      </c>
      <c r="O1280" s="15" t="n">
        <v>1.012819895846513</v>
      </c>
      <c r="P1280" s="15" t="n">
        <v>1.194264388832698</v>
      </c>
      <c r="Q1280" s="15" t="n">
        <v>0.007998450612486649</v>
      </c>
      <c r="R1280" s="15" t="n">
        <v>0.04710044188224154</v>
      </c>
      <c r="S1280" s="15" t="n">
        <v>0.009132208550386574</v>
      </c>
      <c r="T1280" s="42">
        <f>HIPERLINK($A$1 &amp; "\Dados\Imagem_perfil_1280.png", "Imagem_perfil_1280")</f>
        <v/>
      </c>
      <c r="U1280" s="42">
        <f>HIPERLINK($A$1 &amp; "\Dados\Results_airgap1280.txt", "Results_airgap1280")</f>
        <v/>
      </c>
      <c r="V1280" s="19" t="n"/>
      <c r="W1280" s="15" t="n">
        <v>1.745369347826087</v>
      </c>
      <c r="X1280" s="15" t="n">
        <v>0.8268267619660203</v>
      </c>
      <c r="Y1280" s="15" t="n">
        <v>0.5191508649067174</v>
      </c>
      <c r="Z1280" s="15" t="n">
        <v>0.0008231210016627763</v>
      </c>
      <c r="AA1280" s="15" t="n">
        <v>0.002318387618266491</v>
      </c>
      <c r="AB1280" s="15" t="n">
        <v>2.288673323005055</v>
      </c>
      <c r="AC1280" s="15" t="n">
        <v>15.23883788995757</v>
      </c>
      <c r="AD1280" s="15" t="n">
        <v>53.56061186704353</v>
      </c>
      <c r="AE1280" s="15" t="n">
        <v>90.93198363198283</v>
      </c>
      <c r="AF1280" s="15" t="n">
        <v>122.2326812940379</v>
      </c>
      <c r="AH1280" s="42">
        <f>HIPERLINK($A$1 &amp; "\Dados\Magnet_fields_1280.txt.txt", "Magnet_fields_1280.txt")</f>
        <v/>
      </c>
      <c r="AI1280" t="n">
        <v>7410</v>
      </c>
      <c r="AJ1280" t="n">
        <v>29</v>
      </c>
      <c r="AK1280" s="42">
        <f>HIPERLINK($A$1 &amp; "\Dados\Magnet_3D_results_1280.txt.txt", "Magnet_3D_results_1280.txt")</f>
        <v/>
      </c>
      <c r="AL1280" s="42">
        <f>HIPERLINK($A$1 &amp; "\Dados\Magnet_fields_2D_1280.txt.txt", "Magnet_fields_2D_1280.txt")</f>
        <v/>
      </c>
    </row>
    <row r="1281">
      <c r="E1281" s="15" t="n">
        <v>141</v>
      </c>
      <c r="F1281" s="15" t="n">
        <v>190</v>
      </c>
      <c r="G1281" s="15" t="n">
        <v>397</v>
      </c>
      <c r="H1281" s="15" t="n">
        <v>35</v>
      </c>
      <c r="I1281" s="15" t="n">
        <v>153</v>
      </c>
      <c r="J1281" s="13" t="n">
        <v>25</v>
      </c>
      <c r="K1281" t="n">
        <v>55</v>
      </c>
      <c r="L1281" s="13" t="n">
        <v>2.6</v>
      </c>
      <c r="M1281" s="12" t="n"/>
      <c r="N1281" s="8" t="n">
        <v>1.308159163008673</v>
      </c>
      <c r="O1281" s="15" t="n">
        <v>1.069140394525943</v>
      </c>
      <c r="P1281" s="15" t="n">
        <v>1.23714229117957</v>
      </c>
      <c r="Q1281" s="15" t="n">
        <v>0.01050356211692837</v>
      </c>
      <c r="R1281" s="15" t="n">
        <v>0.04865502866322034</v>
      </c>
      <c r="S1281" s="15" t="n">
        <v>0.01117739162962895</v>
      </c>
      <c r="T1281" s="42">
        <f>HIPERLINK($A$1 &amp; "\Dados\Imagem_perfil_1281.png", "Imagem_perfil_1281")</f>
        <v/>
      </c>
      <c r="U1281" s="42">
        <f>HIPERLINK($A$1 &amp; "\Dados\Results_airgap1281.txt", "Results_airgap1281")</f>
        <v/>
      </c>
      <c r="V1281" s="19" t="n"/>
      <c r="W1281" s="15" t="n">
        <v>1.787518260869565</v>
      </c>
      <c r="X1281" s="15" t="n">
        <v>0.825703341835452</v>
      </c>
      <c r="Y1281" s="15" t="n">
        <v>0.426917366191664</v>
      </c>
      <c r="Z1281" s="15" t="n">
        <v>0.006724210969877775</v>
      </c>
      <c r="AA1281" s="15" t="n">
        <v>0.1092760559494498</v>
      </c>
      <c r="AB1281" s="15" t="n">
        <v>0.4370672673310179</v>
      </c>
      <c r="AC1281" s="15" t="n">
        <v>13.5165821729314</v>
      </c>
      <c r="AD1281" s="15" t="n">
        <v>59.74531570373598</v>
      </c>
      <c r="AE1281" s="15" t="n">
        <v>95.18193850805292</v>
      </c>
      <c r="AF1281" s="15" t="n">
        <v>126.145566999839</v>
      </c>
      <c r="AH1281" s="42">
        <f>HIPERLINK($A$1 &amp; "\Dados\Magnet_fields_1281.txt.txt", "Magnet_fields_1281.txt")</f>
        <v/>
      </c>
      <c r="AI1281" t="n">
        <v>10739</v>
      </c>
      <c r="AJ1281" t="n">
        <v>30</v>
      </c>
      <c r="AK1281" s="42">
        <f>HIPERLINK($A$1 &amp; "\Dados\Magnet_3D_results_1281.txt.txt", "Magnet_3D_results_1281.txt")</f>
        <v/>
      </c>
      <c r="AL1281" s="42">
        <f>HIPERLINK($A$1 &amp; "\Dados\Magnet_fields_2D_1281.txt.txt", "Magnet_fields_2D_1281.txt")</f>
        <v/>
      </c>
    </row>
    <row r="1282">
      <c r="E1282" s="15" t="n">
        <v>127</v>
      </c>
      <c r="F1282" s="15" t="n">
        <v>176</v>
      </c>
      <c r="G1282" s="15" t="n">
        <v>397</v>
      </c>
      <c r="H1282" s="15" t="n">
        <v>35</v>
      </c>
      <c r="I1282" s="15" t="n">
        <v>149</v>
      </c>
      <c r="J1282" s="13" t="n">
        <v>25</v>
      </c>
      <c r="K1282" t="n">
        <v>60</v>
      </c>
      <c r="L1282" s="13" t="n">
        <v>2.6</v>
      </c>
      <c r="M1282" s="12" t="n"/>
      <c r="N1282" s="8" t="n">
        <v>1.341913434933696</v>
      </c>
      <c r="O1282" s="15" t="n">
        <v>1.103258548305185</v>
      </c>
      <c r="P1282" s="15" t="n">
        <v>1.27178900636112</v>
      </c>
      <c r="Q1282" s="15" t="n">
        <v>0.0301031488275246</v>
      </c>
      <c r="R1282" s="15" t="n">
        <v>0.06314649602239539</v>
      </c>
      <c r="S1282" s="15" t="n">
        <v>0.03148147287233228</v>
      </c>
      <c r="T1282" s="42">
        <f>HIPERLINK($A$1 &amp; "\Dados\Imagem_perfil_1282.png", "Imagem_perfil_1282")</f>
        <v/>
      </c>
      <c r="U1282" s="42">
        <f>HIPERLINK($A$1 &amp; "\Dados\Results_airgap1282.txt", "Results_airgap1282")</f>
        <v/>
      </c>
      <c r="V1282" s="19" t="n"/>
      <c r="W1282" s="15" t="n">
        <v>1.909707826086956</v>
      </c>
      <c r="X1282" s="15" t="n">
        <v>0.8643153406987543</v>
      </c>
      <c r="Y1282" s="15" t="n">
        <v>0.3303425917803892</v>
      </c>
      <c r="Z1282" s="15" t="n">
        <v>0</v>
      </c>
      <c r="AA1282" s="15" t="n">
        <v>0.6369252713339748</v>
      </c>
      <c r="AB1282" s="15" t="n">
        <v>2.495683929667162</v>
      </c>
      <c r="AC1282" s="15" t="n">
        <v>19.86458221552942</v>
      </c>
      <c r="AD1282" s="15" t="n">
        <v>62.99724888005839</v>
      </c>
      <c r="AE1282" s="15" t="n">
        <v>97.54764282686644</v>
      </c>
      <c r="AF1282" s="15" t="n">
        <v>130.846171677335</v>
      </c>
      <c r="AH1282" s="42">
        <f>HIPERLINK($A$1 &amp; "\Dados\Magnet_fields_1282.txt.txt", "Magnet_fields_1282.txt")</f>
        <v/>
      </c>
      <c r="AI1282" t="n">
        <v>8106</v>
      </c>
      <c r="AJ1282" t="n">
        <v>28</v>
      </c>
      <c r="AK1282" s="42">
        <f>HIPERLINK($A$1 &amp; "\Dados\Magnet_3D_results_1282.txt.txt", "Magnet_3D_results_1282.txt")</f>
        <v/>
      </c>
      <c r="AL1282" s="42">
        <f>HIPERLINK($A$1 &amp; "\Dados\Magnet_fields_2D_1282.txt.txt", "Magnet_fields_2D_1282.txt")</f>
        <v/>
      </c>
    </row>
    <row r="1283">
      <c r="E1283" s="15" t="n">
        <v>140</v>
      </c>
      <c r="F1283" s="15" t="n">
        <v>170</v>
      </c>
      <c r="G1283" s="15" t="n">
        <v>411</v>
      </c>
      <c r="H1283" s="15" t="n">
        <v>42</v>
      </c>
      <c r="I1283" s="15" t="n">
        <v>145</v>
      </c>
      <c r="J1283" s="13" t="n">
        <v>25</v>
      </c>
      <c r="K1283" t="n">
        <v>60</v>
      </c>
      <c r="L1283" s="13" t="n">
        <v>2.6</v>
      </c>
      <c r="M1283" s="12" t="n"/>
      <c r="N1283" s="8" t="n">
        <v>1.685157780495697</v>
      </c>
      <c r="O1283" s="15" t="n">
        <v>1.353183643810989</v>
      </c>
      <c r="P1283" s="15" t="n">
        <v>1.585717368479827</v>
      </c>
      <c r="Q1283" s="15" t="n">
        <v>0.02793309115200908</v>
      </c>
      <c r="R1283" s="15" t="n">
        <v>0.0627605534695182</v>
      </c>
      <c r="S1283" s="15" t="n">
        <v>0.02894473620125999</v>
      </c>
      <c r="T1283" s="42">
        <f>HIPERLINK($A$1 &amp; "\Dados\Imagem_perfil_1283.png", "Imagem_perfil_1283")</f>
        <v/>
      </c>
      <c r="U1283" s="42">
        <f>HIPERLINK($A$1 &amp; "\Dados\Results_airgap1283.txt", "Results_airgap1283")</f>
        <v/>
      </c>
      <c r="V1283" s="19" t="n"/>
      <c r="W1283" s="15" t="n">
        <v>2.298257173913044</v>
      </c>
      <c r="X1283" s="15" t="n">
        <v>1.078716979146039</v>
      </c>
      <c r="Y1283" s="15" t="n">
        <v>0.0521123420445067</v>
      </c>
      <c r="Z1283" s="15" t="n">
        <v>0</v>
      </c>
      <c r="AA1283" s="15" t="n">
        <v>0</v>
      </c>
      <c r="AB1283" s="15" t="n">
        <v>1.588875822764552</v>
      </c>
      <c r="AC1283" s="15" t="n">
        <v>20.11140451199787</v>
      </c>
      <c r="AD1283" s="15" t="n">
        <v>68.78869419827009</v>
      </c>
      <c r="AE1283" s="15" t="n">
        <v>101.9326618580468</v>
      </c>
      <c r="AF1283" s="15" t="n">
        <v>132.783456064524</v>
      </c>
      <c r="AH1283" s="42">
        <f>HIPERLINK($A$1 &amp; "\Dados\Magnet_fields_1283.txt.txt", "Magnet_fields_1283.txt")</f>
        <v/>
      </c>
      <c r="AI1283" t="n">
        <v>8468</v>
      </c>
      <c r="AJ1283" t="n">
        <v>29</v>
      </c>
      <c r="AK1283" s="42">
        <f>HIPERLINK($A$1 &amp; "\Dados\Magnet_3D_results_1283.txt.txt", "Magnet_3D_results_1283.txt")</f>
        <v/>
      </c>
      <c r="AL1283" s="42">
        <f>HIPERLINK($A$1 &amp; "\Dados\Magnet_fields_2D_1283.txt.txt", "Magnet_fields_2D_1283.txt")</f>
        <v/>
      </c>
    </row>
    <row r="1284">
      <c r="E1284" s="15" t="n">
        <v>145</v>
      </c>
      <c r="F1284" s="15" t="n">
        <v>183</v>
      </c>
      <c r="G1284" s="15" t="n">
        <v>408</v>
      </c>
      <c r="H1284" s="15" t="n">
        <v>25</v>
      </c>
      <c r="I1284" s="15" t="n">
        <v>172</v>
      </c>
      <c r="J1284" s="13" t="n">
        <v>25</v>
      </c>
      <c r="K1284" t="n">
        <v>40</v>
      </c>
      <c r="L1284" s="13" t="n">
        <v>2.6</v>
      </c>
      <c r="M1284" s="12" t="n"/>
      <c r="N1284" s="8" t="n">
        <v>1.464394349672124</v>
      </c>
      <c r="O1284" s="15" t="n">
        <v>1.277619965364035</v>
      </c>
      <c r="P1284" s="15" t="n">
        <v>1.412212689267339</v>
      </c>
      <c r="Q1284" s="15" t="n">
        <v>0.001594325868595829</v>
      </c>
      <c r="R1284" s="15" t="n">
        <v>0.02955047009719979</v>
      </c>
      <c r="S1284" s="15" t="n">
        <v>0.00166485126326491</v>
      </c>
      <c r="T1284" s="42">
        <f>HIPERLINK($A$1 &amp; "\Dados\Imagem_perfil_1284.png", "Imagem_perfil_1284")</f>
        <v/>
      </c>
      <c r="U1284" s="42">
        <f>HIPERLINK($A$1 &amp; "\Dados\Results_airgap1284.txt", "Results_airgap1284")</f>
        <v/>
      </c>
      <c r="V1284" s="19" t="n"/>
      <c r="W1284" s="15" t="n">
        <v>1.825456739130435</v>
      </c>
      <c r="X1284" s="15" t="n">
        <v>0.9116814216694311</v>
      </c>
      <c r="Y1284" s="15" t="n">
        <v>0.524600694389978</v>
      </c>
      <c r="Z1284" s="15" t="n">
        <v>0.002702371031534478</v>
      </c>
      <c r="AA1284" s="15" t="n">
        <v>4.019875447812539</v>
      </c>
      <c r="AB1284" s="15" t="n">
        <v>1.351803116306625</v>
      </c>
      <c r="AC1284" s="15" t="n">
        <v>8.284204549248164</v>
      </c>
      <c r="AD1284" s="15" t="n">
        <v>33.12129916909256</v>
      </c>
      <c r="AE1284" s="15" t="n">
        <v>75.30635115295915</v>
      </c>
      <c r="AF1284" s="15" t="n">
        <v>112.0894800980997</v>
      </c>
      <c r="AH1284" s="42">
        <f>HIPERLINK($A$1 &amp; "\Dados\Magnet_fields_1284.txt.txt", "Magnet_fields_1284.txt")</f>
        <v/>
      </c>
      <c r="AI1284" t="n">
        <v>11643</v>
      </c>
      <c r="AJ1284" t="n">
        <v>30</v>
      </c>
      <c r="AK1284" s="42">
        <f>HIPERLINK($A$1 &amp; "\Dados\Magnet_3D_results_1284.txt.txt", "Magnet_3D_results_1284.txt")</f>
        <v/>
      </c>
      <c r="AL1284" s="42">
        <f>HIPERLINK($A$1 &amp; "\Dados\Magnet_fields_2D_1284.txt.txt", "Magnet_fields_2D_1284.txt")</f>
        <v/>
      </c>
    </row>
    <row r="1285">
      <c r="E1285" s="15" t="n">
        <v>136</v>
      </c>
      <c r="F1285" s="15" t="n">
        <v>179</v>
      </c>
      <c r="G1285" s="15" t="n">
        <v>429</v>
      </c>
      <c r="H1285" s="15" t="n">
        <v>35</v>
      </c>
      <c r="I1285" s="15" t="n">
        <v>140</v>
      </c>
      <c r="J1285" s="13" t="n">
        <v>25</v>
      </c>
      <c r="K1285" t="n">
        <v>60</v>
      </c>
      <c r="L1285" s="13" t="n">
        <v>2.6</v>
      </c>
      <c r="M1285" s="12" t="n"/>
      <c r="N1285" s="8" t="n">
        <v>1.446338274750286</v>
      </c>
      <c r="O1285" s="15" t="n">
        <v>1.115786952200283</v>
      </c>
      <c r="P1285" s="15" t="n">
        <v>1.345276470169149</v>
      </c>
      <c r="Q1285" s="15" t="n">
        <v>0.02503547849285482</v>
      </c>
      <c r="R1285" s="15" t="n">
        <v>0.06845447165527928</v>
      </c>
      <c r="S1285" s="15" t="n">
        <v>0.02635657177694002</v>
      </c>
      <c r="T1285" s="42">
        <f>HIPERLINK($A$1 &amp; "\Dados\Imagem_perfil_1285.png", "Imagem_perfil_1285")</f>
        <v/>
      </c>
      <c r="U1285" s="42">
        <f>HIPERLINK($A$1 &amp; "\Dados\Results_airgap1285.txt", "Results_airgap1285")</f>
        <v/>
      </c>
      <c r="V1285" s="19" t="n"/>
      <c r="W1285" s="15" t="n">
        <v>2.101930434782609</v>
      </c>
      <c r="X1285" s="15" t="n">
        <v>0.9591278784536489</v>
      </c>
      <c r="Y1285" s="15" t="n">
        <v>0.1779632350951106</v>
      </c>
      <c r="Z1285" s="15" t="n">
        <v>0.01293507744398023</v>
      </c>
      <c r="AA1285" s="15" t="n">
        <v>0.41363576755833</v>
      </c>
      <c r="AB1285" s="15" t="n">
        <v>1.528748994150744</v>
      </c>
      <c r="AC1285" s="15" t="n">
        <v>18.22646315172351</v>
      </c>
      <c r="AD1285" s="15" t="n">
        <v>67.0891789680839</v>
      </c>
      <c r="AE1285" s="15" t="n">
        <v>100.4308885098033</v>
      </c>
      <c r="AF1285" s="15" t="n">
        <v>132.0111249329109</v>
      </c>
      <c r="AH1285" s="42">
        <f>HIPERLINK($A$1 &amp; "\Dados\Magnet_fields_1285.txt.txt", "Magnet_fields_1285.txt")</f>
        <v/>
      </c>
      <c r="AI1285" t="n">
        <v>8720</v>
      </c>
      <c r="AJ1285" t="n">
        <v>29</v>
      </c>
      <c r="AK1285" s="42">
        <f>HIPERLINK($A$1 &amp; "\Dados\Magnet_3D_results_1285.txt.txt", "Magnet_3D_results_1285.txt")</f>
        <v/>
      </c>
      <c r="AL1285" s="42">
        <f>HIPERLINK($A$1 &amp; "\Dados\Magnet_fields_2D_1285.txt.txt", "Magnet_fields_2D_1285.txt")</f>
        <v/>
      </c>
    </row>
    <row r="1286">
      <c r="E1286" s="15" t="n">
        <v>149</v>
      </c>
      <c r="F1286" s="15" t="n">
        <v>183</v>
      </c>
      <c r="G1286" s="15" t="n">
        <v>401</v>
      </c>
      <c r="H1286" s="15" t="n">
        <v>38</v>
      </c>
      <c r="I1286" s="15" t="n">
        <v>173</v>
      </c>
      <c r="J1286" s="13" t="n">
        <v>25</v>
      </c>
      <c r="K1286" t="n">
        <v>40</v>
      </c>
      <c r="L1286" s="13" t="n">
        <v>2.6</v>
      </c>
      <c r="M1286" s="12" t="n"/>
      <c r="N1286" s="8" t="n">
        <v>1.557059603864403</v>
      </c>
      <c r="O1286" s="15" t="n">
        <v>1.368725239737643</v>
      </c>
      <c r="P1286" s="15" t="n">
        <v>1.496128560761054</v>
      </c>
      <c r="Q1286" s="15" t="n">
        <v>0.002019669216134542</v>
      </c>
      <c r="R1286" s="15" t="n">
        <v>0.03075246310000012</v>
      </c>
      <c r="S1286" s="15" t="n">
        <v>0.002029427515532407</v>
      </c>
      <c r="T1286" s="42">
        <f>HIPERLINK($A$1 &amp; "\Dados\Imagem_perfil_1286.png", "Imagem_perfil_1286")</f>
        <v/>
      </c>
      <c r="U1286" s="42">
        <f>HIPERLINK($A$1 &amp; "\Dados\Results_airgap1286.txt", "Results_airgap1286")</f>
        <v/>
      </c>
      <c r="V1286" s="19" t="n"/>
      <c r="W1286" s="15" t="n">
        <v>1.883383695652174</v>
      </c>
      <c r="X1286" s="15" t="n">
        <v>0.9108711560845165</v>
      </c>
      <c r="Y1286" s="15" t="n">
        <v>0.3942434890592793</v>
      </c>
      <c r="Z1286" s="15" t="n">
        <v>0</v>
      </c>
      <c r="AA1286" s="15" t="n">
        <v>0.04236845336413981</v>
      </c>
      <c r="AB1286" s="15" t="n">
        <v>0.02582496387648494</v>
      </c>
      <c r="AC1286" s="15" t="n">
        <v>5.874277944452517</v>
      </c>
      <c r="AD1286" s="15" t="n">
        <v>36.07476211922136</v>
      </c>
      <c r="AE1286" s="15" t="n">
        <v>80.76142298017466</v>
      </c>
      <c r="AF1286" s="15" t="n">
        <v>113.7802694816787</v>
      </c>
      <c r="AH1286" s="42">
        <f>HIPERLINK($A$1 &amp; "\Dados\Magnet_fields_1286.txt.txt", "Magnet_fields_1286.txt")</f>
        <v/>
      </c>
      <c r="AI1286" t="n">
        <v>8215</v>
      </c>
      <c r="AJ1286" t="n">
        <v>28</v>
      </c>
      <c r="AK1286" s="42">
        <f>HIPERLINK($A$1 &amp; "\Dados\Magnet_3D_results_1286.txt.txt", "Magnet_3D_results_1286.txt")</f>
        <v/>
      </c>
      <c r="AL1286" s="42">
        <f>HIPERLINK($A$1 &amp; "\Dados\Magnet_fields_2D_1286.txt.txt", "Magnet_fields_2D_1286.txt")</f>
        <v/>
      </c>
    </row>
    <row r="1287">
      <c r="E1287" s="15" t="n">
        <v>131</v>
      </c>
      <c r="F1287" s="15" t="n">
        <v>170</v>
      </c>
      <c r="G1287" s="15" t="n">
        <v>361</v>
      </c>
      <c r="H1287" s="15" t="n">
        <v>33</v>
      </c>
      <c r="I1287" s="15" t="n">
        <v>144</v>
      </c>
      <c r="J1287" s="13" t="n">
        <v>25</v>
      </c>
      <c r="K1287" t="n">
        <v>40</v>
      </c>
      <c r="L1287" s="13" t="n">
        <v>2.6</v>
      </c>
      <c r="M1287" s="12" t="n"/>
      <c r="N1287" s="8" t="n">
        <v>1.333813870502839</v>
      </c>
      <c r="O1287" s="15" t="n">
        <v>1.066747310466741</v>
      </c>
      <c r="P1287" s="15" t="n">
        <v>1.253195486582131</v>
      </c>
      <c r="Q1287" s="15" t="n">
        <v>0.00140828394425149</v>
      </c>
      <c r="R1287" s="15" t="n">
        <v>0.02820504208509059</v>
      </c>
      <c r="S1287" s="15" t="n">
        <v>0.001797594831075761</v>
      </c>
      <c r="T1287" s="42">
        <f>HIPERLINK($A$1 &amp; "\Dados\Imagem_perfil_1287.png", "Imagem_perfil_1287")</f>
        <v/>
      </c>
      <c r="U1287" s="42">
        <f>HIPERLINK($A$1 &amp; "\Dados\Results_airgap1287.txt", "Results_airgap1287")</f>
        <v/>
      </c>
      <c r="V1287" s="19" t="n"/>
      <c r="W1287" s="15" t="n">
        <v>1.702284130434783</v>
      </c>
      <c r="X1287" s="15" t="n">
        <v>0.8843179431689603</v>
      </c>
      <c r="Y1287" s="15" t="n">
        <v>0.6492000827519094</v>
      </c>
      <c r="Z1287" s="15" t="n">
        <v>0.007615767885910403</v>
      </c>
      <c r="AA1287" s="15" t="n">
        <v>0.2443614406841098</v>
      </c>
      <c r="AB1287" s="15" t="n">
        <v>1.402076825881225</v>
      </c>
      <c r="AC1287" s="15" t="n">
        <v>8.580516254156484</v>
      </c>
      <c r="AD1287" s="15" t="n">
        <v>33.09832865283227</v>
      </c>
      <c r="AE1287" s="15" t="n">
        <v>76.18652545019279</v>
      </c>
      <c r="AF1287" s="15" t="n">
        <v>112.5373702743139</v>
      </c>
      <c r="AH1287" s="42">
        <f>HIPERLINK($A$1 &amp; "\Dados\Magnet_fields_1287.txt.txt", "Magnet_fields_1287.txt")</f>
        <v/>
      </c>
      <c r="AI1287" t="n">
        <v>8175</v>
      </c>
      <c r="AJ1287" t="n">
        <v>28</v>
      </c>
      <c r="AK1287" s="42">
        <f>HIPERLINK($A$1 &amp; "\Dados\Magnet_3D_results_1287.txt.txt", "Magnet_3D_results_1287.txt")</f>
        <v/>
      </c>
      <c r="AL1287" s="42">
        <f>HIPERLINK($A$1 &amp; "\Dados\Magnet_fields_2D_1287.txt.txt", "Magnet_fields_2D_1287.txt")</f>
        <v/>
      </c>
    </row>
    <row r="1288">
      <c r="E1288" s="15" t="n">
        <v>144</v>
      </c>
      <c r="F1288" s="15" t="n">
        <v>184</v>
      </c>
      <c r="G1288" s="15" t="n">
        <v>429</v>
      </c>
      <c r="H1288" s="15" t="n">
        <v>28</v>
      </c>
      <c r="I1288" s="15" t="n">
        <v>162</v>
      </c>
      <c r="J1288" s="13" t="n">
        <v>25</v>
      </c>
      <c r="K1288" t="n">
        <v>50</v>
      </c>
      <c r="L1288" s="13" t="n">
        <v>2.6</v>
      </c>
      <c r="M1288" s="12" t="n"/>
      <c r="N1288" s="8" t="n">
        <v>1.498121802839743</v>
      </c>
      <c r="O1288" s="15" t="n">
        <v>1.274697785861671</v>
      </c>
      <c r="P1288" s="15" t="n">
        <v>1.434743018992638</v>
      </c>
      <c r="Q1288" s="15" t="n">
        <v>0.005419159793743039</v>
      </c>
      <c r="R1288" s="15" t="n">
        <v>0.04818340412908217</v>
      </c>
      <c r="S1288" s="15" t="n">
        <v>0.005770786667634698</v>
      </c>
      <c r="T1288" s="42">
        <f>HIPERLINK($A$1 &amp; "\Dados\Imagem_perfil_1288.png", "Imagem_perfil_1288")</f>
        <v/>
      </c>
      <c r="U1288" s="42">
        <f>HIPERLINK($A$1 &amp; "\Dados\Results_airgap1288.txt", "Results_airgap1288")</f>
        <v/>
      </c>
      <c r="V1288" s="19" t="n"/>
      <c r="W1288" s="15" t="n">
        <v>2.005772826086957</v>
      </c>
      <c r="X1288" s="15" t="n">
        <v>0.96430380401111</v>
      </c>
      <c r="Y1288" s="15" t="n">
        <v>0.2568386706338633</v>
      </c>
      <c r="Z1288" s="15" t="n">
        <v>0.004337811318913415</v>
      </c>
      <c r="AA1288" s="15" t="n">
        <v>3.889025116820399</v>
      </c>
      <c r="AB1288" s="15" t="n">
        <v>0.7568137100862882</v>
      </c>
      <c r="AC1288" s="15" t="n">
        <v>7.683932205671199</v>
      </c>
      <c r="AD1288" s="15" t="n">
        <v>50.27394127310436</v>
      </c>
      <c r="AE1288" s="15" t="n">
        <v>93.84774096241402</v>
      </c>
      <c r="AF1288" s="15" t="n">
        <v>123.5426481168461</v>
      </c>
      <c r="AH1288" s="42">
        <f>HIPERLINK($A$1 &amp; "\Dados\Magnet_fields_1288.txt.txt", "Magnet_fields_1288.txt")</f>
        <v/>
      </c>
      <c r="AI1288" t="n">
        <v>9358</v>
      </c>
      <c r="AJ1288" t="n">
        <v>30</v>
      </c>
      <c r="AK1288" s="42">
        <f>HIPERLINK($A$1 &amp; "\Dados\Magnet_3D_results_1288.txt.txt", "Magnet_3D_results_1288.txt")</f>
        <v/>
      </c>
      <c r="AL1288" s="42">
        <f>HIPERLINK($A$1 &amp; "\Dados\Magnet_fields_2D_1288.txt.txt", "Magnet_fields_2D_1288.txt")</f>
        <v/>
      </c>
    </row>
    <row r="1289">
      <c r="E1289" s="15" t="n">
        <v>137</v>
      </c>
      <c r="F1289" s="15" t="n">
        <v>170</v>
      </c>
      <c r="G1289" s="15" t="n">
        <v>428</v>
      </c>
      <c r="H1289" s="15" t="n">
        <v>25</v>
      </c>
      <c r="I1289" s="15" t="n">
        <v>175</v>
      </c>
      <c r="J1289" s="13" t="n">
        <v>25</v>
      </c>
      <c r="K1289" t="n">
        <v>45</v>
      </c>
      <c r="L1289" s="13" t="n">
        <v>2.6</v>
      </c>
      <c r="M1289" s="12" t="n"/>
      <c r="N1289" s="8" t="n">
        <v>1.659365502869404</v>
      </c>
      <c r="O1289" s="15" t="n">
        <v>1.477752479538525</v>
      </c>
      <c r="P1289" s="15" t="n">
        <v>1.613718489044245</v>
      </c>
      <c r="Q1289" s="15" t="n">
        <v>0.004950191772482296</v>
      </c>
      <c r="R1289" s="15" t="n">
        <v>0.0448052239019324</v>
      </c>
      <c r="S1289" s="15" t="n">
        <v>0.004977530678752087</v>
      </c>
      <c r="T1289" s="42">
        <f>HIPERLINK($A$1 &amp; "\Dados\Imagem_perfil_1289.png", "Imagem_perfil_1289")</f>
        <v/>
      </c>
      <c r="U1289" s="42">
        <f>HIPERLINK($A$1 &amp; "\Dados\Results_airgap1289.txt", "Results_airgap1289")</f>
        <v/>
      </c>
      <c r="V1289" s="19" t="n"/>
      <c r="W1289" s="15" t="n">
        <v>2.121836956521739</v>
      </c>
      <c r="X1289" s="15" t="n">
        <v>1.054735714211193</v>
      </c>
      <c r="Y1289" s="15" t="n">
        <v>0.2097808529311885</v>
      </c>
      <c r="Z1289" s="15" t="n">
        <v>0</v>
      </c>
      <c r="AA1289" s="15" t="n">
        <v>4.062084898970761</v>
      </c>
      <c r="AB1289" s="15" t="n">
        <v>0.9187795207857032</v>
      </c>
      <c r="AC1289" s="15" t="n">
        <v>8.830823436703165</v>
      </c>
      <c r="AD1289" s="15" t="n">
        <v>42.62731449031853</v>
      </c>
      <c r="AE1289" s="15" t="n">
        <v>86.19732873181577</v>
      </c>
      <c r="AF1289" s="15" t="n">
        <v>118.7304126722024</v>
      </c>
      <c r="AH1289" s="42">
        <f>HIPERLINK($A$1 &amp; "\Dados\Magnet_fields_1289.txt.txt", "Magnet_fields_1289.txt")</f>
        <v/>
      </c>
      <c r="AI1289" t="n">
        <v>10401</v>
      </c>
      <c r="AJ1289" t="n">
        <v>31</v>
      </c>
      <c r="AK1289" s="42">
        <f>HIPERLINK($A$1 &amp; "\Dados\Magnet_3D_results_1289.txt.txt", "Magnet_3D_results_1289.txt")</f>
        <v/>
      </c>
      <c r="AL1289" s="42">
        <f>HIPERLINK($A$1 &amp; "\Dados\Magnet_fields_2D_1289.txt.txt", "Magnet_fields_2D_1289.txt")</f>
        <v/>
      </c>
    </row>
    <row r="1290">
      <c r="E1290" s="15" t="n">
        <v>142</v>
      </c>
      <c r="F1290" s="15" t="n">
        <v>183</v>
      </c>
      <c r="G1290" s="15" t="n">
        <v>410</v>
      </c>
      <c r="H1290" s="15" t="n">
        <v>45</v>
      </c>
      <c r="I1290" s="15" t="n">
        <v>140</v>
      </c>
      <c r="J1290" s="13" t="n">
        <v>25</v>
      </c>
      <c r="K1290" t="n">
        <v>60</v>
      </c>
      <c r="L1290" s="13" t="n">
        <v>2.6</v>
      </c>
      <c r="M1290" s="12" t="n"/>
      <c r="N1290" s="8" t="n">
        <v>1.461035907099159</v>
      </c>
      <c r="O1290" s="15" t="n">
        <v>1.133964251222335</v>
      </c>
      <c r="P1290" s="15" t="n">
        <v>1.363027377396221</v>
      </c>
      <c r="Q1290" s="15" t="n">
        <v>0.02114539201819575</v>
      </c>
      <c r="R1290" s="15" t="n">
        <v>0.06017986729525798</v>
      </c>
      <c r="S1290" s="15" t="n">
        <v>0.0211126157643078</v>
      </c>
      <c r="T1290" s="42">
        <f>HIPERLINK($A$1 &amp; "\Dados\Imagem_perfil_1290.png", "Imagem_perfil_1290")</f>
        <v/>
      </c>
      <c r="U1290" s="42">
        <f>HIPERLINK($A$1 &amp; "\Dados\Results_airgap1290.txt", "Results_airgap1290")</f>
        <v/>
      </c>
      <c r="V1290" s="19" t="n"/>
      <c r="W1290" s="15" t="n">
        <v>2.056</v>
      </c>
      <c r="X1290" s="15" t="n">
        <v>0.9574299320465013</v>
      </c>
      <c r="Y1290" s="15" t="n">
        <v>0.1864612856835252</v>
      </c>
      <c r="Z1290" s="15" t="n">
        <v>0</v>
      </c>
      <c r="AA1290" s="15" t="n">
        <v>0</v>
      </c>
      <c r="AB1290" s="15" t="n">
        <v>2.024194892300168</v>
      </c>
      <c r="AC1290" s="15" t="n">
        <v>24.33682649077829</v>
      </c>
      <c r="AD1290" s="15" t="n">
        <v>69.01556800663099</v>
      </c>
      <c r="AE1290" s="15" t="n">
        <v>99.48873308284924</v>
      </c>
      <c r="AF1290" s="15" t="n">
        <v>131.4453556210975</v>
      </c>
      <c r="AH1290" s="42">
        <f>HIPERLINK($A$1 &amp; "\Dados\Magnet_fields_1290.txt.txt", "Magnet_fields_1290.txt")</f>
        <v/>
      </c>
      <c r="AI1290" t="n">
        <v>7538</v>
      </c>
      <c r="AJ1290" t="n">
        <v>29</v>
      </c>
      <c r="AK1290" s="42">
        <f>HIPERLINK($A$1 &amp; "\Dados\Magnet_3D_results_1290.txt.txt", "Magnet_3D_results_1290.txt")</f>
        <v/>
      </c>
      <c r="AL1290" s="42">
        <f>HIPERLINK($A$1 &amp; "\Dados\Magnet_fields_2D_1290.txt.txt", "Magnet_fields_2D_1290.txt")</f>
        <v/>
      </c>
    </row>
    <row r="1291">
      <c r="E1291" s="15" t="n">
        <v>139</v>
      </c>
      <c r="F1291" s="15" t="n">
        <v>179</v>
      </c>
      <c r="G1291" s="15" t="n">
        <v>427</v>
      </c>
      <c r="H1291" s="15" t="n">
        <v>35</v>
      </c>
      <c r="I1291" s="15" t="n">
        <v>165</v>
      </c>
      <c r="J1291" s="13" t="n">
        <v>25</v>
      </c>
      <c r="K1291" t="n">
        <v>50</v>
      </c>
      <c r="L1291" s="13" t="n">
        <v>2.6</v>
      </c>
      <c r="M1291" s="12" t="n"/>
      <c r="N1291" s="8" t="n">
        <v>1.548270845339757</v>
      </c>
      <c r="O1291" s="15" t="n">
        <v>1.319014570541646</v>
      </c>
      <c r="P1291" s="15" t="n">
        <v>1.476371920333787</v>
      </c>
      <c r="Q1291" s="15" t="n">
        <v>0.006418426910664541</v>
      </c>
      <c r="R1291" s="15" t="n">
        <v>0.05419983976330285</v>
      </c>
      <c r="S1291" s="15" t="n">
        <v>0.006700534542563049</v>
      </c>
      <c r="T1291" s="42">
        <f>HIPERLINK($A$1 &amp; "\Dados\Imagem_perfil_1291.png", "Imagem_perfil_1291")</f>
        <v/>
      </c>
      <c r="U1291" s="42">
        <f>HIPERLINK($A$1 &amp; "\Dados\Results_airgap1291.txt", "Results_airgap1291")</f>
        <v/>
      </c>
      <c r="V1291" s="19" t="n"/>
      <c r="W1291" s="15" t="n">
        <v>2.039896739130435</v>
      </c>
      <c r="X1291" s="15" t="n">
        <v>0.9712828059673039</v>
      </c>
      <c r="Y1291" s="15" t="n">
        <v>0.2386787485415879</v>
      </c>
      <c r="Z1291" s="15" t="n">
        <v>0</v>
      </c>
      <c r="AA1291" s="15" t="n">
        <v>0.6013949610926873</v>
      </c>
      <c r="AB1291" s="15" t="n">
        <v>1.152917820568287</v>
      </c>
      <c r="AC1291" s="15" t="n">
        <v>10.44451428764674</v>
      </c>
      <c r="AD1291" s="15" t="n">
        <v>52.20032627938608</v>
      </c>
      <c r="AE1291" s="15" t="n">
        <v>93.66256940498648</v>
      </c>
      <c r="AF1291" s="15" t="n">
        <v>123.5234986071998</v>
      </c>
      <c r="AH1291" s="42">
        <f>HIPERLINK($A$1 &amp; "\Dados\Magnet_fields_1291.txt.txt", "Magnet_fields_1291.txt")</f>
        <v/>
      </c>
      <c r="AI1291" t="n">
        <v>8022</v>
      </c>
      <c r="AJ1291" t="n">
        <v>29</v>
      </c>
      <c r="AK1291" s="42">
        <f>HIPERLINK($A$1 &amp; "\Dados\Magnet_3D_results_1291.txt.txt", "Magnet_3D_results_1291.txt")</f>
        <v/>
      </c>
      <c r="AL1291" s="42">
        <f>HIPERLINK($A$1 &amp; "\Dados\Magnet_fields_2D_1291.txt.txt", "Magnet_fields_2D_1291.txt")</f>
        <v/>
      </c>
    </row>
    <row r="1292">
      <c r="E1292" s="15" t="n">
        <v>133</v>
      </c>
      <c r="F1292" s="15" t="n">
        <v>176</v>
      </c>
      <c r="G1292" s="15" t="n">
        <v>363</v>
      </c>
      <c r="H1292" s="15" t="n">
        <v>35</v>
      </c>
      <c r="I1292" s="15" t="n">
        <v>145</v>
      </c>
      <c r="J1292" s="13" t="n">
        <v>25</v>
      </c>
      <c r="K1292" t="n">
        <v>60</v>
      </c>
      <c r="L1292" s="13" t="n">
        <v>2.6</v>
      </c>
      <c r="M1292" s="12" t="n"/>
      <c r="N1292" s="8" t="n">
        <v>1.345356671104643</v>
      </c>
      <c r="O1292" s="15" t="n">
        <v>1.070528314478504</v>
      </c>
      <c r="P1292" s="15" t="n">
        <v>1.261938343556424</v>
      </c>
      <c r="Q1292" s="15" t="n">
        <v>0.02042263238774048</v>
      </c>
      <c r="R1292" s="15" t="n">
        <v>0.04625318694087634</v>
      </c>
      <c r="S1292" s="15" t="n">
        <v>0.02039321992324953</v>
      </c>
      <c r="T1292" s="42">
        <f>HIPERLINK($A$1 &amp; "\Dados\Imagem_perfil_1292.png", "Imagem_perfil_1292")</f>
        <v/>
      </c>
      <c r="U1292" s="42">
        <f>HIPERLINK($A$1 &amp; "\Dados\Results_airgap1292.txt", "Results_airgap1292")</f>
        <v/>
      </c>
      <c r="V1292" s="19" t="n"/>
      <c r="W1292" s="15" t="n">
        <v>1.817742173913043</v>
      </c>
      <c r="X1292" s="15" t="n">
        <v>0.8743999490168093</v>
      </c>
      <c r="Y1292" s="15" t="n">
        <v>0.3754499743332889</v>
      </c>
      <c r="Z1292" s="15" t="n">
        <v>0.00832419838590265</v>
      </c>
      <c r="AA1292" s="15" t="n">
        <v>0.3175874159006917</v>
      </c>
      <c r="AB1292" s="15" t="n">
        <v>0.4609504799767096</v>
      </c>
      <c r="AC1292" s="15" t="n">
        <v>16.24695832154346</v>
      </c>
      <c r="AD1292" s="15" t="n">
        <v>65.72930314182297</v>
      </c>
      <c r="AE1292" s="15" t="n">
        <v>98.51295815289465</v>
      </c>
      <c r="AF1292" s="15" t="n">
        <v>130.2975868225489</v>
      </c>
      <c r="AH1292" s="42">
        <f>HIPERLINK($A$1 &amp; "\Dados\Magnet_fields_1292.txt.txt", "Magnet_fields_1292.txt")</f>
        <v/>
      </c>
      <c r="AI1292" t="n">
        <v>8199</v>
      </c>
      <c r="AJ1292" t="n">
        <v>29</v>
      </c>
      <c r="AK1292" s="42">
        <f>HIPERLINK($A$1 &amp; "\Dados\Magnet_3D_results_1292.txt.txt", "Magnet_3D_results_1292.txt")</f>
        <v/>
      </c>
      <c r="AL1292" s="42">
        <f>HIPERLINK($A$1 &amp; "\Dados\Magnet_fields_2D_1292.txt.txt", "Magnet_fields_2D_1292.txt")</f>
        <v/>
      </c>
    </row>
    <row r="1293">
      <c r="E1293" s="15" t="n">
        <v>139</v>
      </c>
      <c r="F1293" s="15" t="n">
        <v>184</v>
      </c>
      <c r="G1293" s="15" t="n">
        <v>412</v>
      </c>
      <c r="H1293" s="15" t="n">
        <v>32</v>
      </c>
      <c r="I1293" s="15" t="n">
        <v>157</v>
      </c>
      <c r="J1293" s="13" t="n">
        <v>25</v>
      </c>
      <c r="K1293" t="n">
        <v>55</v>
      </c>
      <c r="L1293" s="13" t="n">
        <v>2.6</v>
      </c>
      <c r="M1293" s="12" t="n"/>
      <c r="N1293" s="8" t="n">
        <v>1.428563011879729</v>
      </c>
      <c r="O1293" s="15" t="n">
        <v>1.178601388720544</v>
      </c>
      <c r="P1293" s="15" t="n">
        <v>1.352984818648121</v>
      </c>
      <c r="Q1293" s="15" t="n">
        <v>0.01147607905378599</v>
      </c>
      <c r="R1293" s="15" t="n">
        <v>0.05349131099560406</v>
      </c>
      <c r="S1293" s="15" t="n">
        <v>0.01218102469657263</v>
      </c>
      <c r="T1293" s="42">
        <f>HIPERLINK($A$1 &amp; "\Dados\Imagem_perfil_1293.png", "Imagem_perfil_1293")</f>
        <v/>
      </c>
      <c r="U1293" s="42">
        <f>HIPERLINK($A$1 &amp; "\Dados\Results_airgap1293.txt", "Results_airgap1293")</f>
        <v/>
      </c>
      <c r="V1293" s="19" t="n"/>
      <c r="W1293" s="15" t="n">
        <v>1.948449347826087</v>
      </c>
      <c r="X1293" s="15" t="n">
        <v>0.9114288085406773</v>
      </c>
      <c r="Y1293" s="15" t="n">
        <v>0.290162916649315</v>
      </c>
      <c r="Z1293" s="15" t="n">
        <v>0</v>
      </c>
      <c r="AA1293" s="15" t="n">
        <v>2.706493754581443</v>
      </c>
      <c r="AB1293" s="15" t="n">
        <v>2.017842812931537</v>
      </c>
      <c r="AC1293" s="15" t="n">
        <v>17.24238978202143</v>
      </c>
      <c r="AD1293" s="15" t="n">
        <v>57.32955370678357</v>
      </c>
      <c r="AE1293" s="15" t="n">
        <v>93.12289699281727</v>
      </c>
      <c r="AF1293" s="15" t="n">
        <v>126.0240995652348</v>
      </c>
      <c r="AH1293" s="42">
        <f>HIPERLINK($A$1 &amp; "\Dados\Magnet_fields_1293.txt.txt", "Magnet_fields_1293.txt")</f>
        <v/>
      </c>
      <c r="AI1293" t="n">
        <v>11398</v>
      </c>
      <c r="AJ1293" t="n">
        <v>30</v>
      </c>
      <c r="AK1293" s="42">
        <f>HIPERLINK($A$1 &amp; "\Dados\Magnet_3D_results_1293.txt.txt", "Magnet_3D_results_1293.txt")</f>
        <v/>
      </c>
      <c r="AL1293" s="42">
        <f>HIPERLINK($A$1 &amp; "\Dados\Magnet_fields_2D_1293.txt.txt", "Magnet_fields_2D_1293.txt")</f>
        <v/>
      </c>
    </row>
    <row r="1294">
      <c r="E1294" s="15" t="n">
        <v>150</v>
      </c>
      <c r="F1294" s="15" t="n">
        <v>194</v>
      </c>
      <c r="G1294" s="15" t="n">
        <v>354</v>
      </c>
      <c r="H1294" s="15" t="n">
        <v>31</v>
      </c>
      <c r="I1294" s="15" t="n">
        <v>164</v>
      </c>
      <c r="J1294" s="13" t="n">
        <v>25</v>
      </c>
      <c r="K1294" t="n">
        <v>55</v>
      </c>
      <c r="L1294" s="13" t="n">
        <v>2.6</v>
      </c>
      <c r="M1294" s="12" t="n"/>
      <c r="N1294" s="8" t="n">
        <v>1.288289967115962</v>
      </c>
      <c r="O1294" s="15" t="n">
        <v>1.064637437865394</v>
      </c>
      <c r="P1294" s="15" t="n">
        <v>1.221128595627579</v>
      </c>
      <c r="Q1294" s="15" t="n">
        <v>0.00607100297498147</v>
      </c>
      <c r="R1294" s="15" t="n">
        <v>0.02907383938393641</v>
      </c>
      <c r="S1294" s="15" t="n">
        <v>0.00623307198587465</v>
      </c>
      <c r="T1294" s="42">
        <f>HIPERLINK($A$1 &amp; "\Dados\Imagem_perfil_1294.png", "Imagem_perfil_1294")</f>
        <v/>
      </c>
      <c r="U1294" s="42">
        <f>HIPERLINK($A$1 &amp; "\Dados\Results_airgap1294.txt", "Results_airgap1294")</f>
        <v/>
      </c>
      <c r="V1294" s="19" t="n"/>
      <c r="W1294" s="15" t="n">
        <v>1.623682608695652</v>
      </c>
      <c r="X1294" s="15" t="n">
        <v>0.8149195423053938</v>
      </c>
      <c r="Y1294" s="15" t="n">
        <v>0.5544194197476342</v>
      </c>
      <c r="Z1294" s="15" t="n">
        <v>0.03523058318894808</v>
      </c>
      <c r="AA1294" s="15" t="n">
        <v>2.43704500708895</v>
      </c>
      <c r="AB1294" s="15" t="n">
        <v>0</v>
      </c>
      <c r="AC1294" s="15" t="n">
        <v>12.55016477642397</v>
      </c>
      <c r="AD1294" s="15" t="n">
        <v>61.57278665319065</v>
      </c>
      <c r="AE1294" s="15" t="n">
        <v>93.82709652083877</v>
      </c>
      <c r="AF1294" s="15" t="n">
        <v>124.4481891325205</v>
      </c>
      <c r="AH1294" s="42">
        <f>HIPERLINK($A$1 &amp; "\Dados\Magnet_fields_1294.txt.txt", "Magnet_fields_1294.txt")</f>
        <v/>
      </c>
      <c r="AI1294" t="n">
        <v>11193</v>
      </c>
      <c r="AJ1294" t="n">
        <v>31</v>
      </c>
      <c r="AK1294" s="42">
        <f>HIPERLINK($A$1 &amp; "\Dados\Magnet_3D_results_1294.txt.txt", "Magnet_3D_results_1294.txt")</f>
        <v/>
      </c>
      <c r="AL1294" s="42">
        <f>HIPERLINK($A$1 &amp; "\Dados\Magnet_fields_2D_1294.txt.txt", "Magnet_fields_2D_1294.txt")</f>
        <v/>
      </c>
    </row>
    <row r="1295">
      <c r="E1295" s="15" t="n">
        <v>148</v>
      </c>
      <c r="F1295" s="15" t="n">
        <v>195</v>
      </c>
      <c r="G1295" s="15" t="n">
        <v>355</v>
      </c>
      <c r="H1295" s="15" t="n">
        <v>29</v>
      </c>
      <c r="I1295" s="15" t="n">
        <v>156</v>
      </c>
      <c r="J1295" s="13" t="n">
        <v>25</v>
      </c>
      <c r="K1295" t="n">
        <v>60</v>
      </c>
      <c r="L1295" s="13" t="n">
        <v>2.6</v>
      </c>
      <c r="M1295" s="12" t="n"/>
      <c r="N1295" s="8" t="n">
        <v>1.208316459056002</v>
      </c>
      <c r="O1295" s="15" t="n">
        <v>1.002673949264811</v>
      </c>
      <c r="P1295" s="15" t="n">
        <v>1.142877932438037</v>
      </c>
      <c r="Q1295" s="15" t="n">
        <v>0.01541173123823076</v>
      </c>
      <c r="R1295" s="15" t="n">
        <v>0.03060612747868704</v>
      </c>
      <c r="S1295" s="15" t="n">
        <v>0.01465693433537992</v>
      </c>
      <c r="T1295" s="42">
        <f>HIPERLINK($A$1 &amp; "\Dados\Imagem_perfil_1295.png", "Imagem_perfil_1295")</f>
        <v/>
      </c>
      <c r="U1295" s="42">
        <f>HIPERLINK($A$1 &amp; "\Dados\Results_airgap1295.txt", "Results_airgap1295")</f>
        <v/>
      </c>
      <c r="V1295" s="19" t="n"/>
      <c r="W1295" s="15" t="n">
        <v>1.587983043478261</v>
      </c>
      <c r="X1295" s="15" t="n">
        <v>0.7880400507104168</v>
      </c>
      <c r="Y1295" s="15" t="n">
        <v>0.5921226917198077</v>
      </c>
      <c r="Z1295" s="15" t="n">
        <v>0.02918419683566928</v>
      </c>
      <c r="AA1295" s="15" t="n">
        <v>6.434605410021481</v>
      </c>
      <c r="AB1295" s="15" t="n">
        <v>0</v>
      </c>
      <c r="AC1295" s="15" t="n">
        <v>14.25137943089786</v>
      </c>
      <c r="AD1295" s="15" t="n">
        <v>65.38485942048786</v>
      </c>
      <c r="AE1295" s="15" t="n">
        <v>96.95987244462971</v>
      </c>
      <c r="AF1295" s="15" t="n">
        <v>128.4816839050723</v>
      </c>
      <c r="AH1295" s="42">
        <f>HIPERLINK($A$1 &amp; "\Dados\Magnet_fields_1295.txt.txt", "Magnet_fields_1295.txt")</f>
        <v/>
      </c>
      <c r="AI1295" t="n">
        <v>9321</v>
      </c>
      <c r="AJ1295" t="n">
        <v>29</v>
      </c>
      <c r="AK1295" s="42">
        <f>HIPERLINK($A$1 &amp; "\Dados\Magnet_3D_results_1295.txt.txt", "Magnet_3D_results_1295.txt")</f>
        <v/>
      </c>
      <c r="AL1295" s="42">
        <f>HIPERLINK($A$1 &amp; "\Dados\Magnet_fields_2D_1295.txt.txt", "Magnet_fields_2D_1295.txt")</f>
        <v/>
      </c>
    </row>
    <row r="1296">
      <c r="E1296" s="15" t="n">
        <v>148</v>
      </c>
      <c r="F1296" s="15" t="n">
        <v>185</v>
      </c>
      <c r="G1296" s="15" t="n">
        <v>378</v>
      </c>
      <c r="H1296" s="15" t="n">
        <v>37</v>
      </c>
      <c r="I1296" s="15" t="n">
        <v>164</v>
      </c>
      <c r="J1296" s="13" t="n">
        <v>25</v>
      </c>
      <c r="K1296" t="n">
        <v>40</v>
      </c>
      <c r="L1296" s="13" t="n">
        <v>2.6</v>
      </c>
      <c r="M1296" s="12" t="n"/>
      <c r="N1296" s="8" t="n">
        <v>1.404257583722736</v>
      </c>
      <c r="O1296" s="15" t="n">
        <v>1.19290107387961</v>
      </c>
      <c r="P1296" s="15" t="n">
        <v>1.341756199666223</v>
      </c>
      <c r="Q1296" s="15" t="n">
        <v>0.00146189112868944</v>
      </c>
      <c r="R1296" s="15" t="n">
        <v>0.02536905443686737</v>
      </c>
      <c r="S1296" s="15" t="n">
        <v>0.001538864333222462</v>
      </c>
      <c r="T1296" s="42">
        <f>HIPERLINK($A$1 &amp; "\Dados\Imagem_perfil_1296.png", "Imagem_perfil_1296")</f>
        <v/>
      </c>
      <c r="U1296" s="42">
        <f>HIPERLINK($A$1 &amp; "\Dados\Results_airgap1296.txt", "Results_airgap1296")</f>
        <v/>
      </c>
      <c r="V1296" s="19" t="n"/>
      <c r="W1296" s="15" t="n">
        <v>1.719385869565218</v>
      </c>
      <c r="X1296" s="15" t="n">
        <v>0.907789544862118</v>
      </c>
      <c r="Y1296" s="15" t="n">
        <v>0.5942265100312778</v>
      </c>
      <c r="Z1296" s="15" t="n">
        <v>0.000397885659718538</v>
      </c>
      <c r="AA1296" s="15" t="n">
        <v>0.9623108927764283</v>
      </c>
      <c r="AB1296" s="15" t="n">
        <v>0.1670700259316749</v>
      </c>
      <c r="AC1296" s="15" t="n">
        <v>4.992711404980047</v>
      </c>
      <c r="AD1296" s="15" t="n">
        <v>28.90294038025612</v>
      </c>
      <c r="AE1296" s="15" t="n">
        <v>74.29579990759747</v>
      </c>
      <c r="AF1296" s="15" t="n">
        <v>112.0160505512554</v>
      </c>
      <c r="AH1296" s="42">
        <f>HIPERLINK($A$1 &amp; "\Dados\Magnet_fields_1296.txt.txt", "Magnet_fields_1296.txt")</f>
        <v/>
      </c>
      <c r="AI1296" t="n">
        <v>8322</v>
      </c>
      <c r="AJ1296" t="n">
        <v>29</v>
      </c>
      <c r="AK1296" s="42">
        <f>HIPERLINK($A$1 &amp; "\Dados\Magnet_3D_results_1296.txt.txt", "Magnet_3D_results_1296.txt")</f>
        <v/>
      </c>
      <c r="AL1296" s="42">
        <f>HIPERLINK($A$1 &amp; "\Dados\Magnet_fields_2D_1296.txt.txt", "Magnet_fields_2D_1296.txt")</f>
        <v/>
      </c>
    </row>
    <row r="1297">
      <c r="E1297" s="15" t="n">
        <v>147</v>
      </c>
      <c r="F1297" s="15" t="n">
        <v>183</v>
      </c>
      <c r="G1297" s="15" t="n">
        <v>408</v>
      </c>
      <c r="H1297" s="15" t="n">
        <v>31</v>
      </c>
      <c r="I1297" s="15" t="n">
        <v>178</v>
      </c>
      <c r="J1297" s="13" t="n">
        <v>25</v>
      </c>
      <c r="K1297" t="n">
        <v>40</v>
      </c>
      <c r="L1297" s="13" t="n">
        <v>2.6</v>
      </c>
      <c r="M1297" s="12" t="n"/>
      <c r="N1297" s="8" t="n">
        <v>1.514473633640992</v>
      </c>
      <c r="O1297" s="15" t="n">
        <v>1.348607079963307</v>
      </c>
      <c r="P1297" s="15" t="n">
        <v>1.468618488085289</v>
      </c>
      <c r="Q1297" s="15" t="n">
        <v>0.001819425035945581</v>
      </c>
      <c r="R1297" s="15" t="n">
        <v>0.03017061053703661</v>
      </c>
      <c r="S1297" s="15" t="n">
        <v>0.001855756772983588</v>
      </c>
      <c r="T1297" s="42">
        <f>HIPERLINK($A$1 &amp; "\Dados\Imagem_perfil_1297.png", "Imagem_perfil_1297")</f>
        <v/>
      </c>
      <c r="U1297" s="42">
        <f>HIPERLINK($A$1 &amp; "\Dados\Results_airgap1297.txt", "Results_airgap1297")</f>
        <v/>
      </c>
      <c r="V1297" s="19" t="n"/>
      <c r="W1297" s="15" t="n">
        <v>1.855199565217391</v>
      </c>
      <c r="X1297" s="15" t="n">
        <v>0.9661796742544624</v>
      </c>
      <c r="Y1297" s="15" t="n">
        <v>0.4777730573458978</v>
      </c>
      <c r="Z1297" s="15" t="n">
        <v>0.003894226278511251</v>
      </c>
      <c r="AA1297" s="15" t="n">
        <v>3.095585640221307</v>
      </c>
      <c r="AB1297" s="15" t="n">
        <v>0.8572107924143861</v>
      </c>
      <c r="AC1297" s="15" t="n">
        <v>7.281114474282115</v>
      </c>
      <c r="AD1297" s="15" t="n">
        <v>32.3994633031262</v>
      </c>
      <c r="AE1297" s="15" t="n">
        <v>75.41497314225694</v>
      </c>
      <c r="AF1297" s="15" t="n">
        <v>112.1993301367329</v>
      </c>
      <c r="AH1297" s="42">
        <f>HIPERLINK($A$1 &amp; "\Dados\Magnet_fields_1297.txt.txt", "Magnet_fields_1297.txt")</f>
        <v/>
      </c>
      <c r="AI1297" t="n">
        <v>9378</v>
      </c>
      <c r="AJ1297" t="n">
        <v>29</v>
      </c>
      <c r="AK1297" s="42">
        <f>HIPERLINK($A$1 &amp; "\Dados\Magnet_3D_results_1297.txt.txt", "Magnet_3D_results_1297.txt")</f>
        <v/>
      </c>
      <c r="AL1297" s="42">
        <f>HIPERLINK($A$1 &amp; "\Dados\Magnet_fields_2D_1297.txt.txt", "Magnet_fields_2D_1297.txt")</f>
        <v/>
      </c>
    </row>
    <row r="1298">
      <c r="E1298" s="15" t="n">
        <v>143</v>
      </c>
      <c r="F1298" s="15" t="n">
        <v>173</v>
      </c>
      <c r="G1298" s="15" t="n">
        <v>383</v>
      </c>
      <c r="H1298" s="15" t="n">
        <v>34</v>
      </c>
      <c r="I1298" s="15" t="n">
        <v>158</v>
      </c>
      <c r="J1298" s="13" t="n">
        <v>25</v>
      </c>
      <c r="K1298" t="n">
        <v>60</v>
      </c>
      <c r="L1298" s="13" t="n">
        <v>2.6</v>
      </c>
      <c r="M1298" s="12" t="n"/>
      <c r="N1298" s="8" t="n">
        <v>1.639242348516273</v>
      </c>
      <c r="O1298" s="15" t="n">
        <v>1.376315685775308</v>
      </c>
      <c r="P1298" s="15" t="n">
        <v>1.562734489290076</v>
      </c>
      <c r="Q1298" s="15" t="n">
        <v>0.02223166753454201</v>
      </c>
      <c r="R1298" s="15" t="n">
        <v>0.04758923543278771</v>
      </c>
      <c r="S1298" s="15" t="n">
        <v>0.02211091479194287</v>
      </c>
      <c r="T1298" s="42">
        <f>HIPERLINK($A$1 &amp; "\Dados\Imagem_perfil_1298.png", "Imagem_perfil_1298")</f>
        <v/>
      </c>
      <c r="U1298" s="42">
        <f>HIPERLINK($A$1 &amp; "\Dados\Results_airgap1298.txt", "Results_airgap1298")</f>
        <v/>
      </c>
      <c r="V1298" s="19" t="n"/>
      <c r="W1298" s="15" t="n">
        <v>2.137859130434783</v>
      </c>
      <c r="X1298" s="15" t="n">
        <v>1.018056405331438</v>
      </c>
      <c r="Y1298" s="15" t="n">
        <v>0.1124815591123384</v>
      </c>
      <c r="Z1298" s="15" t="n">
        <v>0</v>
      </c>
      <c r="AA1298" s="15" t="n">
        <v>1.521728704673809</v>
      </c>
      <c r="AB1298" s="15" t="n">
        <v>0.994875788353299</v>
      </c>
      <c r="AC1298" s="15" t="n">
        <v>18.80012601590786</v>
      </c>
      <c r="AD1298" s="15" t="n">
        <v>68.29208488817365</v>
      </c>
      <c r="AE1298" s="15" t="n">
        <v>100.9256526293051</v>
      </c>
      <c r="AF1298" s="15" t="n">
        <v>131.891805814089</v>
      </c>
      <c r="AH1298" s="42">
        <f>HIPERLINK($A$1 &amp; "\Dados\Magnet_fields_1298.txt.txt", "Magnet_fields_1298.txt")</f>
        <v/>
      </c>
      <c r="AI1298" t="n">
        <v>9019</v>
      </c>
      <c r="AJ1298" t="n">
        <v>29</v>
      </c>
      <c r="AK1298" s="42">
        <f>HIPERLINK($A$1 &amp; "\Dados\Magnet_3D_results_1298.txt.txt", "Magnet_3D_results_1298.txt")</f>
        <v/>
      </c>
      <c r="AL1298" s="42">
        <f>HIPERLINK($A$1 &amp; "\Dados\Magnet_fields_2D_1298.txt.txt", "Magnet_fields_2D_1298.txt")</f>
        <v/>
      </c>
    </row>
    <row r="1299">
      <c r="E1299" s="15" t="n">
        <v>137</v>
      </c>
      <c r="F1299" s="15" t="n">
        <v>174</v>
      </c>
      <c r="G1299" s="15" t="n">
        <v>390</v>
      </c>
      <c r="H1299" s="15" t="n">
        <v>26</v>
      </c>
      <c r="I1299" s="15" t="n">
        <v>150</v>
      </c>
      <c r="J1299" s="13" t="n">
        <v>25</v>
      </c>
      <c r="K1299" t="n">
        <v>50</v>
      </c>
      <c r="L1299" s="13" t="n">
        <v>2.6</v>
      </c>
      <c r="M1299" s="12" t="n"/>
      <c r="N1299" s="8" t="n">
        <v>1.467157822476426</v>
      </c>
      <c r="O1299" s="15" t="n">
        <v>1.211159552770999</v>
      </c>
      <c r="P1299" s="15" t="n">
        <v>1.38786253651755</v>
      </c>
      <c r="Q1299" s="15" t="n">
        <v>0.005651478863665372</v>
      </c>
      <c r="R1299" s="15" t="n">
        <v>0.04055472340301154</v>
      </c>
      <c r="S1299" s="15" t="n">
        <v>0.005688367328234471</v>
      </c>
      <c r="T1299" s="42">
        <f>HIPERLINK($A$1 &amp; "\Dados\Imagem_perfil_1299.png", "Imagem_perfil_1299")</f>
        <v/>
      </c>
      <c r="U1299" s="42">
        <f>HIPERLINK($A$1 &amp; "\Dados\Results_airgap1299.txt", "Results_airgap1299")</f>
        <v/>
      </c>
      <c r="V1299" s="19" t="n"/>
      <c r="W1299" s="15" t="n">
        <v>1.954333043478261</v>
      </c>
      <c r="X1299" s="15" t="n">
        <v>0.9602724593468461</v>
      </c>
      <c r="Y1299" s="15" t="n">
        <v>0.2877399088655138</v>
      </c>
      <c r="Z1299" s="15" t="n">
        <v>0.01123428129492791</v>
      </c>
      <c r="AA1299" s="15" t="n">
        <v>4.154791492411968</v>
      </c>
      <c r="AB1299" s="15" t="n">
        <v>0.3888638531948057</v>
      </c>
      <c r="AC1299" s="15" t="n">
        <v>6.96422126653126</v>
      </c>
      <c r="AD1299" s="15" t="n">
        <v>49.39627747822856</v>
      </c>
      <c r="AE1299" s="15" t="n">
        <v>93.14393277902975</v>
      </c>
      <c r="AF1299" s="15" t="n">
        <v>123.1892055688762</v>
      </c>
      <c r="AH1299" s="42">
        <f>HIPERLINK($A$1 &amp; "\Dados\Magnet_fields_1299.txt.txt", "Magnet_fields_1299.txt")</f>
        <v/>
      </c>
      <c r="AI1299" t="n">
        <v>9661</v>
      </c>
      <c r="AJ1299" t="n">
        <v>29</v>
      </c>
      <c r="AK1299" s="42">
        <f>HIPERLINK($A$1 &amp; "\Dados\Magnet_3D_results_1299.txt.txt", "Magnet_3D_results_1299.txt")</f>
        <v/>
      </c>
      <c r="AL1299" s="42">
        <f>HIPERLINK($A$1 &amp; "\Dados\Magnet_fields_2D_1299.txt.txt", "Magnet_fields_2D_1299.txt")</f>
        <v/>
      </c>
    </row>
    <row r="1300">
      <c r="E1300" s="15" t="n">
        <v>144</v>
      </c>
      <c r="F1300" s="15" t="n">
        <v>177</v>
      </c>
      <c r="G1300" s="15" t="n">
        <v>411</v>
      </c>
      <c r="H1300" s="15" t="n">
        <v>32</v>
      </c>
      <c r="I1300" s="15" t="n">
        <v>147</v>
      </c>
      <c r="J1300" s="13" t="n">
        <v>25</v>
      </c>
      <c r="K1300" t="n">
        <v>40</v>
      </c>
      <c r="L1300" s="13" t="n">
        <v>2.6</v>
      </c>
      <c r="M1300" s="12" t="n"/>
      <c r="N1300" s="8" t="n">
        <v>1.497079504633456</v>
      </c>
      <c r="O1300" s="15" t="n">
        <v>1.215042713207084</v>
      </c>
      <c r="P1300" s="15" t="n">
        <v>1.414093435566407</v>
      </c>
      <c r="Q1300" s="15" t="n">
        <v>0.002089796705211825</v>
      </c>
      <c r="R1300" s="15" t="n">
        <v>0.03160331971072695</v>
      </c>
      <c r="S1300" s="15" t="n">
        <v>0.002234859167842879</v>
      </c>
      <c r="T1300" s="42">
        <f>HIPERLINK($A$1 &amp; "\Dados\Imagem_perfil_1300.png", "Imagem_perfil_1300")</f>
        <v/>
      </c>
      <c r="U1300" s="42">
        <f>HIPERLINK($A$1 &amp; "\Dados\Results_airgap1300.txt", "Results_airgap1300")</f>
        <v/>
      </c>
      <c r="V1300" s="19" t="n"/>
      <c r="W1300" s="15" t="n">
        <v>1.917214347826087</v>
      </c>
      <c r="X1300" s="15" t="n">
        <v>0.9421932718938238</v>
      </c>
      <c r="Y1300" s="15" t="n">
        <v>0.3820462557078581</v>
      </c>
      <c r="Z1300" s="15" t="n">
        <v>0</v>
      </c>
      <c r="AA1300" s="15" t="n">
        <v>1.89093299213071</v>
      </c>
      <c r="AB1300" s="15" t="n">
        <v>0.4153431565401513</v>
      </c>
      <c r="AC1300" s="15" t="n">
        <v>4.886271493118299</v>
      </c>
      <c r="AD1300" s="15" t="n">
        <v>28.46444686768966</v>
      </c>
      <c r="AE1300" s="15" t="n">
        <v>80.21449420174903</v>
      </c>
      <c r="AF1300" s="15" t="n">
        <v>114.8657527733305</v>
      </c>
      <c r="AH1300" s="42">
        <f>HIPERLINK($A$1 &amp; "\Dados\Magnet_fields_1300.txt.txt", "Magnet_fields_1300.txt")</f>
        <v/>
      </c>
      <c r="AI1300" t="n">
        <v>8796</v>
      </c>
      <c r="AJ1300" t="n">
        <v>29</v>
      </c>
      <c r="AK1300" s="42">
        <f>HIPERLINK($A$1 &amp; "\Dados\Magnet_3D_results_1300.txt.txt", "Magnet_3D_results_1300.txt")</f>
        <v/>
      </c>
      <c r="AL1300" s="42">
        <f>HIPERLINK($A$1 &amp; "\Dados\Magnet_fields_2D_1300.txt.txt", "Magnet_fields_2D_1300.txt")</f>
        <v/>
      </c>
    </row>
    <row r="1301">
      <c r="E1301" s="15" t="n">
        <v>145</v>
      </c>
      <c r="F1301" s="15" t="n">
        <v>193</v>
      </c>
      <c r="G1301" s="15" t="n">
        <v>402</v>
      </c>
      <c r="H1301" s="15" t="n">
        <v>33</v>
      </c>
      <c r="I1301" s="15" t="n">
        <v>141</v>
      </c>
      <c r="J1301" s="13" t="n">
        <v>25</v>
      </c>
      <c r="K1301" t="n">
        <v>50</v>
      </c>
      <c r="L1301" s="13" t="n">
        <v>2.6</v>
      </c>
      <c r="M1301" s="12" t="n"/>
      <c r="N1301" s="8" t="n">
        <v>1.25411943077742</v>
      </c>
      <c r="O1301" s="15" t="n">
        <v>0.9649267781225578</v>
      </c>
      <c r="P1301" s="15" t="n">
        <v>1.173371777503111</v>
      </c>
      <c r="Q1301" s="15" t="n">
        <v>0.004464559742293201</v>
      </c>
      <c r="R1301" s="15" t="n">
        <v>0.04038712245724324</v>
      </c>
      <c r="S1301" s="15" t="n">
        <v>0.005632792783847072</v>
      </c>
      <c r="T1301" s="42">
        <f>HIPERLINK($A$1 &amp; "\Dados\Imagem_perfil_1301.png", "Imagem_perfil_1301")</f>
        <v/>
      </c>
      <c r="U1301" s="42">
        <f>HIPERLINK($A$1 &amp; "\Dados\Results_airgap1301.txt", "Results_airgap1301")</f>
        <v/>
      </c>
      <c r="V1301" s="19" t="n"/>
      <c r="W1301" s="15" t="n">
        <v>1.759382826086957</v>
      </c>
      <c r="X1301" s="15" t="n">
        <v>0.8315982001659092</v>
      </c>
      <c r="Y1301" s="15" t="n">
        <v>0.4799579830386116</v>
      </c>
      <c r="Z1301" s="15" t="n">
        <v>0.0001960611318609142</v>
      </c>
      <c r="AA1301" s="15" t="n">
        <v>1.386678112696092</v>
      </c>
      <c r="AB1301" s="15" t="n">
        <v>0.8396066762365724</v>
      </c>
      <c r="AC1301" s="15" t="n">
        <v>9.83933527879114</v>
      </c>
      <c r="AD1301" s="15" t="n">
        <v>49.15853830671645</v>
      </c>
      <c r="AE1301" s="15" t="n">
        <v>90.41052236210527</v>
      </c>
      <c r="AF1301" s="15" t="n">
        <v>121.9583576088814</v>
      </c>
      <c r="AH1301" s="42">
        <f>HIPERLINK($A$1 &amp; "\Dados\Magnet_fields_1301.txt.txt", "Magnet_fields_1301.txt")</f>
        <v/>
      </c>
      <c r="AI1301" t="n">
        <v>7516</v>
      </c>
      <c r="AJ1301" t="n">
        <v>30</v>
      </c>
      <c r="AK1301" s="42">
        <f>HIPERLINK($A$1 &amp; "\Dados\Magnet_3D_results_1301.txt.txt", "Magnet_3D_results_1301.txt")</f>
        <v/>
      </c>
      <c r="AL1301" s="42">
        <f>HIPERLINK($A$1 &amp; "\Dados\Magnet_fields_2D_1301.txt.txt", "Magnet_fields_2D_1301.txt")</f>
        <v/>
      </c>
    </row>
    <row r="1302">
      <c r="E1302" s="15" t="n">
        <v>146</v>
      </c>
      <c r="F1302" s="15" t="n">
        <v>179</v>
      </c>
      <c r="G1302" s="15" t="n">
        <v>414</v>
      </c>
      <c r="H1302" s="15" t="n">
        <v>27</v>
      </c>
      <c r="I1302" s="15" t="n">
        <v>148</v>
      </c>
      <c r="J1302" s="13" t="n">
        <v>25</v>
      </c>
      <c r="K1302" t="n">
        <v>50</v>
      </c>
      <c r="L1302" s="13" t="n">
        <v>2.6</v>
      </c>
      <c r="M1302" s="12" t="n"/>
      <c r="N1302" s="8" t="n">
        <v>1.559263982484933</v>
      </c>
      <c r="O1302" s="15" t="n">
        <v>1.262460835191116</v>
      </c>
      <c r="P1302" s="15" t="n">
        <v>1.480557606057622</v>
      </c>
      <c r="Q1302" s="15" t="n">
        <v>0.006542410430602964</v>
      </c>
      <c r="R1302" s="15" t="n">
        <v>0.04288123537420198</v>
      </c>
      <c r="S1302" s="15" t="n">
        <v>0.006597100142069308</v>
      </c>
      <c r="T1302" s="42">
        <f>HIPERLINK($A$1 &amp; "\Dados\Imagem_perfil_1302.png", "Imagem_perfil_1302")</f>
        <v/>
      </c>
      <c r="U1302" s="42">
        <f>HIPERLINK($A$1 &amp; "\Dados\Results_airgap1302.txt", "Results_airgap1302")</f>
        <v/>
      </c>
      <c r="V1302" s="19" t="n"/>
      <c r="W1302" s="15" t="n">
        <v>2.087791739130434</v>
      </c>
      <c r="X1302" s="15" t="n">
        <v>1.038290945902406</v>
      </c>
      <c r="Y1302" s="15" t="n">
        <v>0.168350350216623</v>
      </c>
      <c r="Z1302" s="15" t="n">
        <v>0.02149368767035456</v>
      </c>
      <c r="AA1302" s="15" t="n">
        <v>3.420921254855871</v>
      </c>
      <c r="AB1302" s="15" t="n">
        <v>0.1268874674146771</v>
      </c>
      <c r="AC1302" s="15" t="n">
        <v>5.363879333130898</v>
      </c>
      <c r="AD1302" s="15" t="n">
        <v>54.82018517487864</v>
      </c>
      <c r="AE1302" s="15" t="n">
        <v>95.88957341315961</v>
      </c>
      <c r="AF1302" s="15" t="n">
        <v>124.1035119973895</v>
      </c>
      <c r="AH1302" s="42">
        <f>HIPERLINK($A$1 &amp; "\Dados\Magnet_fields_1302.txt.txt", "Magnet_fields_1302.txt")</f>
        <v/>
      </c>
      <c r="AI1302" t="n">
        <v>9427</v>
      </c>
      <c r="AJ1302" t="n">
        <v>29</v>
      </c>
      <c r="AK1302" s="42">
        <f>HIPERLINK($A$1 &amp; "\Dados\Magnet_3D_results_1302.txt.txt", "Magnet_3D_results_1302.txt")</f>
        <v/>
      </c>
      <c r="AL1302" s="42">
        <f>HIPERLINK($A$1 &amp; "\Dados\Magnet_fields_2D_1302.txt.txt", "Magnet_fields_2D_1302.txt")</f>
        <v/>
      </c>
    </row>
    <row r="1303">
      <c r="E1303" s="15" t="n">
        <v>135</v>
      </c>
      <c r="F1303" s="15" t="n">
        <v>179</v>
      </c>
      <c r="G1303" s="15" t="n">
        <v>376</v>
      </c>
      <c r="H1303" s="15" t="n">
        <v>37</v>
      </c>
      <c r="I1303" s="15" t="n">
        <v>164</v>
      </c>
      <c r="J1303" s="13" t="n">
        <v>25</v>
      </c>
      <c r="K1303" t="n">
        <v>50</v>
      </c>
      <c r="L1303" s="13" t="n">
        <v>2.6</v>
      </c>
      <c r="M1303" s="12" t="n"/>
      <c r="N1303" s="8" t="n">
        <v>1.395607201572542</v>
      </c>
      <c r="O1303" s="15" t="n">
        <v>1.193526753438841</v>
      </c>
      <c r="P1303" s="15" t="n">
        <v>1.33806717336664</v>
      </c>
      <c r="Q1303" s="15" t="n">
        <v>0.005460020374023738</v>
      </c>
      <c r="R1303" s="15" t="n">
        <v>0.0416801774307452</v>
      </c>
      <c r="S1303" s="15" t="n">
        <v>0.00578689194029423</v>
      </c>
      <c r="T1303" s="42">
        <f>HIPERLINK($A$1 &amp; "\Dados\Imagem_perfil_1303.png", "Imagem_perfil_1303")</f>
        <v/>
      </c>
      <c r="U1303" s="42">
        <f>HIPERLINK($A$1 &amp; "\Dados\Results_airgap1303.txt", "Results_airgap1303")</f>
        <v/>
      </c>
      <c r="V1303" s="19" t="n"/>
      <c r="W1303" s="15" t="n">
        <v>1.796730869565217</v>
      </c>
      <c r="X1303" s="15" t="n">
        <v>0.8889567809351129</v>
      </c>
      <c r="Y1303" s="15" t="n">
        <v>0.4422192729251736</v>
      </c>
      <c r="Z1303" s="15" t="n">
        <v>0.001204649923140459</v>
      </c>
      <c r="AA1303" s="15" t="n">
        <v>0.1268304613582168</v>
      </c>
      <c r="AB1303" s="15" t="n">
        <v>1.980975348670868</v>
      </c>
      <c r="AC1303" s="15" t="n">
        <v>14.09771710232808</v>
      </c>
      <c r="AD1303" s="15" t="n">
        <v>49.3662414536953</v>
      </c>
      <c r="AE1303" s="15" t="n">
        <v>86.96335850706251</v>
      </c>
      <c r="AF1303" s="15" t="n">
        <v>120.7910240808469</v>
      </c>
      <c r="AH1303" s="42">
        <f>HIPERLINK($A$1 &amp; "\Dados\Magnet_fields_1303.txt.txt", "Magnet_fields_1303.txt")</f>
        <v/>
      </c>
      <c r="AI1303" t="n">
        <v>7300</v>
      </c>
      <c r="AJ1303" t="n">
        <v>29</v>
      </c>
      <c r="AK1303" s="42">
        <f>HIPERLINK($A$1 &amp; "\Dados\Magnet_3D_results_1303.txt.txt", "Magnet_3D_results_1303.txt")</f>
        <v/>
      </c>
      <c r="AL1303" s="42">
        <f>HIPERLINK($A$1 &amp; "\Dados\Magnet_fields_2D_1303.txt.txt", "Magnet_fields_2D_1303.txt")</f>
        <v/>
      </c>
    </row>
    <row r="1304">
      <c r="E1304" s="15" t="n">
        <v>147</v>
      </c>
      <c r="F1304" s="15" t="n">
        <v>177</v>
      </c>
      <c r="G1304" s="15" t="n">
        <v>352</v>
      </c>
      <c r="H1304" s="15" t="n">
        <v>45</v>
      </c>
      <c r="I1304" s="15" t="n">
        <v>149</v>
      </c>
      <c r="J1304" s="13" t="n">
        <v>25</v>
      </c>
      <c r="K1304" t="n">
        <v>45</v>
      </c>
      <c r="L1304" s="13" t="n">
        <v>2.6</v>
      </c>
      <c r="M1304" s="12" t="n"/>
      <c r="N1304" s="8" t="n">
        <v>1.483473313943336</v>
      </c>
      <c r="O1304" s="15" t="n">
        <v>1.199191677683609</v>
      </c>
      <c r="P1304" s="15" t="n">
        <v>1.41046017799797</v>
      </c>
      <c r="Q1304" s="15" t="n">
        <v>0.003219541547834266</v>
      </c>
      <c r="R1304" s="15" t="n">
        <v>0.02619678418766659</v>
      </c>
      <c r="S1304" s="15" t="n">
        <v>0.003337967039303527</v>
      </c>
      <c r="T1304" s="42">
        <f>HIPERLINK($A$1 &amp; "\Dados\Imagem_perfil_1304.png", "Imagem_perfil_1304")</f>
        <v/>
      </c>
      <c r="U1304" s="42">
        <f>HIPERLINK($A$1 &amp; "\Dados\Results_airgap1304.txt", "Results_airgap1304")</f>
        <v/>
      </c>
      <c r="V1304" s="19" t="n"/>
      <c r="W1304" s="15" t="n">
        <v>1.822510217391305</v>
      </c>
      <c r="X1304" s="15" t="n">
        <v>0.921911241637506</v>
      </c>
      <c r="Y1304" s="15" t="n">
        <v>0.3617929082463547</v>
      </c>
      <c r="Z1304" s="15" t="n">
        <v>0</v>
      </c>
      <c r="AA1304" s="15" t="n">
        <v>0</v>
      </c>
      <c r="AB1304" s="15" t="n">
        <v>0</v>
      </c>
      <c r="AC1304" s="15" t="n">
        <v>0.9435435656410257</v>
      </c>
      <c r="AD1304" s="15" t="n">
        <v>36.85070643511192</v>
      </c>
      <c r="AE1304" s="15" t="n">
        <v>88.08862993156367</v>
      </c>
      <c r="AF1304" s="15" t="n">
        <v>118.5173180439033</v>
      </c>
      <c r="AH1304" s="42">
        <f>HIPERLINK($A$1 &amp; "\Dados\Magnet_fields_1304.txt.txt", "Magnet_fields_1304.txt")</f>
        <v/>
      </c>
      <c r="AI1304" t="n">
        <v>6385</v>
      </c>
      <c r="AJ1304" t="n">
        <v>28</v>
      </c>
      <c r="AK1304" s="42">
        <f>HIPERLINK($A$1 &amp; "\Dados\Magnet_3D_results_1304.txt.txt", "Magnet_3D_results_1304.txt")</f>
        <v/>
      </c>
      <c r="AL1304" s="42">
        <f>HIPERLINK($A$1 &amp; "\Dados\Magnet_fields_2D_1304.txt.txt", "Magnet_fields_2D_1304.txt")</f>
        <v/>
      </c>
    </row>
    <row r="1305">
      <c r="E1305" s="15" t="n">
        <v>135</v>
      </c>
      <c r="F1305" s="15" t="n">
        <v>182</v>
      </c>
      <c r="G1305" s="15" t="n">
        <v>355</v>
      </c>
      <c r="H1305" s="15" t="n">
        <v>27</v>
      </c>
      <c r="I1305" s="15" t="n">
        <v>143</v>
      </c>
      <c r="J1305" s="13" t="n">
        <v>25</v>
      </c>
      <c r="K1305" t="n">
        <v>40</v>
      </c>
      <c r="L1305" s="13" t="n">
        <v>2.6</v>
      </c>
      <c r="M1305" s="12" t="n"/>
      <c r="N1305" s="8" t="n">
        <v>1.177131945988946</v>
      </c>
      <c r="O1305" s="15" t="n">
        <v>0.9291592246057543</v>
      </c>
      <c r="P1305" s="15" t="n">
        <v>1.102827577600433</v>
      </c>
      <c r="Q1305" s="15" t="n">
        <v>0.001113723428160597</v>
      </c>
      <c r="R1305" s="15" t="n">
        <v>0.02456305363277423</v>
      </c>
      <c r="S1305" s="15" t="n">
        <v>0.001839246791462157</v>
      </c>
      <c r="T1305" s="42">
        <f>HIPERLINK($A$1 &amp; "\Dados\Imagem_perfil_1305.png", "Imagem_perfil_1305")</f>
        <v/>
      </c>
      <c r="U1305" s="42">
        <f>HIPERLINK($A$1 &amp; "\Dados\Results_airgap1305.txt", "Results_airgap1305")</f>
        <v/>
      </c>
      <c r="V1305" s="19" t="n"/>
      <c r="W1305" s="15" t="n">
        <v>1.531909565217392</v>
      </c>
      <c r="X1305" s="15" t="n">
        <v>0.7538209789623213</v>
      </c>
      <c r="Y1305" s="15" t="n">
        <v>0.8607987580080525</v>
      </c>
      <c r="Z1305" s="15" t="n">
        <v>0.007606821253879088</v>
      </c>
      <c r="AA1305" s="15" t="n">
        <v>2.471081268594571</v>
      </c>
      <c r="AB1305" s="15" t="n">
        <v>1.993696286920992</v>
      </c>
      <c r="AC1305" s="15" t="n">
        <v>11.14650478877915</v>
      </c>
      <c r="AD1305" s="15" t="n">
        <v>36.04477199342392</v>
      </c>
      <c r="AE1305" s="15" t="n">
        <v>74.24843901523347</v>
      </c>
      <c r="AF1305" s="15" t="n">
        <v>110.832202256211</v>
      </c>
      <c r="AH1305" s="42">
        <f>HIPERLINK($A$1 &amp; "\Dados\Magnet_fields_1305.txt.txt", "Magnet_fields_1305.txt")</f>
        <v/>
      </c>
      <c r="AI1305" t="n">
        <v>8765</v>
      </c>
      <c r="AJ1305" t="n">
        <v>29</v>
      </c>
      <c r="AK1305" s="42">
        <f>HIPERLINK($A$1 &amp; "\Dados\Magnet_3D_results_1305.txt.txt", "Magnet_3D_results_1305.txt")</f>
        <v/>
      </c>
      <c r="AL1305" s="42">
        <f>HIPERLINK($A$1 &amp; "\Dados\Magnet_fields_2D_1305.txt.txt", "Magnet_fields_2D_1305.txt")</f>
        <v/>
      </c>
    </row>
    <row r="1306">
      <c r="E1306" s="15" t="n">
        <v>136</v>
      </c>
      <c r="F1306" s="15" t="n">
        <v>174</v>
      </c>
      <c r="G1306" s="15" t="n">
        <v>388</v>
      </c>
      <c r="H1306" s="15" t="n">
        <v>29</v>
      </c>
      <c r="I1306" s="15" t="n">
        <v>166</v>
      </c>
      <c r="J1306" s="13" t="n">
        <v>25</v>
      </c>
      <c r="K1306" t="n">
        <v>40</v>
      </c>
      <c r="L1306" s="13" t="n">
        <v>2.6</v>
      </c>
      <c r="M1306" s="12" t="n"/>
      <c r="N1306" s="8" t="n">
        <v>1.435409761508121</v>
      </c>
      <c r="O1306" s="15" t="n">
        <v>1.23812995007441</v>
      </c>
      <c r="P1306" s="15" t="n">
        <v>1.384688495290752</v>
      </c>
      <c r="Q1306" s="15" t="n">
        <v>0.001636082330294057</v>
      </c>
      <c r="R1306" s="15" t="n">
        <v>0.03160436141506696</v>
      </c>
      <c r="S1306" s="15" t="n">
        <v>0.001724739029912558</v>
      </c>
      <c r="T1306" s="42">
        <f>HIPERLINK($A$1 &amp; "\Dados\Imagem_perfil_1306.png", "Imagem_perfil_1306")</f>
        <v/>
      </c>
      <c r="U1306" s="42">
        <f>HIPERLINK($A$1 &amp; "\Dados\Results_airgap1306.txt", "Results_airgap1306")</f>
        <v/>
      </c>
      <c r="V1306" s="19" t="n"/>
      <c r="W1306" s="15" t="n">
        <v>1.790026956521739</v>
      </c>
      <c r="X1306" s="15" t="n">
        <v>0.8845615697036537</v>
      </c>
      <c r="Y1306" s="15" t="n">
        <v>0.5081688456848495</v>
      </c>
      <c r="Z1306" s="15" t="n">
        <v>0.006493114213807273</v>
      </c>
      <c r="AA1306" s="15" t="n">
        <v>1.756524812442674</v>
      </c>
      <c r="AB1306" s="15" t="n">
        <v>1.162302189668003</v>
      </c>
      <c r="AC1306" s="15" t="n">
        <v>6.902138703699028</v>
      </c>
      <c r="AD1306" s="15" t="n">
        <v>32.41255989345479</v>
      </c>
      <c r="AE1306" s="15" t="n">
        <v>81.52567166279204</v>
      </c>
      <c r="AF1306" s="15" t="n">
        <v>115.0176061441907</v>
      </c>
      <c r="AH1306" s="42">
        <f>HIPERLINK($A$1 &amp; "\Dados\Magnet_fields_1306.txt.txt", "Magnet_fields_1306.txt")</f>
        <v/>
      </c>
      <c r="AI1306" t="n">
        <v>9373</v>
      </c>
      <c r="AJ1306" t="n">
        <v>30</v>
      </c>
      <c r="AK1306" s="42">
        <f>HIPERLINK($A$1 &amp; "\Dados\Magnet_3D_results_1306.txt.txt", "Magnet_3D_results_1306.txt")</f>
        <v/>
      </c>
      <c r="AL1306" s="42">
        <f>HIPERLINK($A$1 &amp; "\Dados\Magnet_fields_2D_1306.txt.txt", "Magnet_fields_2D_1306.txt")</f>
        <v/>
      </c>
    </row>
    <row r="1307">
      <c r="E1307" s="15" t="n">
        <v>144</v>
      </c>
      <c r="F1307" s="15" t="n">
        <v>191</v>
      </c>
      <c r="G1307" s="15" t="n">
        <v>421</v>
      </c>
      <c r="H1307" s="15" t="n">
        <v>37</v>
      </c>
      <c r="I1307" s="15" t="n">
        <v>152</v>
      </c>
      <c r="J1307" s="13" t="n">
        <v>25</v>
      </c>
      <c r="K1307" t="n">
        <v>45</v>
      </c>
      <c r="L1307" s="13" t="n">
        <v>2.6</v>
      </c>
      <c r="M1307" s="12" t="n"/>
      <c r="N1307" s="8" t="n">
        <v>1.322925196864778</v>
      </c>
      <c r="O1307" s="15" t="n">
        <v>1.0950305208998</v>
      </c>
      <c r="P1307" s="15" t="n">
        <v>1.258227898070166</v>
      </c>
      <c r="Q1307" s="15" t="n">
        <v>0.002548950214255445</v>
      </c>
      <c r="R1307" s="15" t="n">
        <v>0.04140706820538404</v>
      </c>
      <c r="S1307" s="15" t="n">
        <v>0.003304622211577039</v>
      </c>
      <c r="T1307" s="42">
        <f>HIPERLINK($A$1 &amp; "\Dados\Imagem_perfil_1307.png", "Imagem_perfil_1307")</f>
        <v/>
      </c>
      <c r="U1307" s="42">
        <f>HIPERLINK($A$1 &amp; "\Dados\Results_airgap1307.txt", "Results_airgap1307")</f>
        <v/>
      </c>
      <c r="V1307" s="19" t="n"/>
      <c r="W1307" s="15" t="n">
        <v>1.788064130434783</v>
      </c>
      <c r="X1307" s="15" t="n">
        <v>0.874308462647968</v>
      </c>
      <c r="Y1307" s="15" t="n">
        <v>0.4981939998570398</v>
      </c>
      <c r="Z1307" s="15" t="n">
        <v>0</v>
      </c>
      <c r="AA1307" s="15" t="n">
        <v>0.8087502879112523</v>
      </c>
      <c r="AB1307" s="15" t="n">
        <v>1.10693864557815</v>
      </c>
      <c r="AC1307" s="15" t="n">
        <v>8.413040670728192</v>
      </c>
      <c r="AD1307" s="15" t="n">
        <v>40.9821949573427</v>
      </c>
      <c r="AE1307" s="15" t="n">
        <v>86.51883637675465</v>
      </c>
      <c r="AF1307" s="15" t="n">
        <v>118.7193955800558</v>
      </c>
      <c r="AH1307" s="42">
        <f>HIPERLINK($A$1 &amp; "\Dados\Magnet_fields_1307.txt.txt", "Magnet_fields_1307.txt")</f>
        <v/>
      </c>
      <c r="AI1307" t="n">
        <v>6998</v>
      </c>
      <c r="AJ1307" t="n">
        <v>29</v>
      </c>
      <c r="AK1307" s="42">
        <f>HIPERLINK($A$1 &amp; "\Dados\Magnet_3D_results_1307.txt.txt", "Magnet_3D_results_1307.txt")</f>
        <v/>
      </c>
      <c r="AL1307" s="42">
        <f>HIPERLINK($A$1 &amp; "\Dados\Magnet_fields_2D_1307.txt.txt", "Magnet_fields_2D_1307.txt")</f>
        <v/>
      </c>
    </row>
    <row r="1308">
      <c r="E1308" s="15" t="n">
        <v>137</v>
      </c>
      <c r="F1308" s="15" t="n">
        <v>172</v>
      </c>
      <c r="G1308" s="15" t="n">
        <v>379</v>
      </c>
      <c r="H1308" s="15" t="n">
        <v>33</v>
      </c>
      <c r="I1308" s="15" t="n">
        <v>157</v>
      </c>
      <c r="J1308" s="13" t="n">
        <v>25</v>
      </c>
      <c r="K1308" t="n">
        <v>40</v>
      </c>
      <c r="L1308" s="13" t="n">
        <v>2.6</v>
      </c>
      <c r="M1308" s="12" t="n"/>
      <c r="N1308" s="8" t="n">
        <v>1.464374471237832</v>
      </c>
      <c r="O1308" s="15" t="n">
        <v>1.236322834832319</v>
      </c>
      <c r="P1308" s="15" t="n">
        <v>1.39562820519936</v>
      </c>
      <c r="Q1308" s="15" t="n">
        <v>0.001793677201723711</v>
      </c>
      <c r="R1308" s="15" t="n">
        <v>0.02909654934505502</v>
      </c>
      <c r="S1308" s="15" t="n">
        <v>0.001892486380329268</v>
      </c>
      <c r="T1308" s="42">
        <f>HIPERLINK($A$1 &amp; "\Dados\Imagem_perfil_1308.png", "Imagem_perfil_1308")</f>
        <v/>
      </c>
      <c r="U1308" s="42">
        <f>HIPERLINK($A$1 &amp; "\Dados\Results_airgap1308.txt", "Results_airgap1308")</f>
        <v/>
      </c>
      <c r="V1308" s="19" t="n"/>
      <c r="W1308" s="15" t="n">
        <v>1.817955652173913</v>
      </c>
      <c r="X1308" s="15" t="n">
        <v>0.8924877094926196</v>
      </c>
      <c r="Y1308" s="15" t="n">
        <v>0.5166871641203394</v>
      </c>
      <c r="Z1308" s="15" t="n">
        <v>0.003611592756800743</v>
      </c>
      <c r="AA1308" s="15" t="n">
        <v>1.612356944267183</v>
      </c>
      <c r="AB1308" s="15" t="n">
        <v>0.8586240977690048</v>
      </c>
      <c r="AC1308" s="15" t="n">
        <v>7.108672976453816</v>
      </c>
      <c r="AD1308" s="15" t="n">
        <v>31.88815173435781</v>
      </c>
      <c r="AE1308" s="15" t="n">
        <v>75.86552721055928</v>
      </c>
      <c r="AF1308" s="15" t="n">
        <v>112.5265603092668</v>
      </c>
      <c r="AH1308" s="42">
        <f>HIPERLINK($A$1 &amp; "\Dados\Magnet_fields_1308.txt.txt", "Magnet_fields_1308.txt")</f>
        <v/>
      </c>
      <c r="AI1308" t="n">
        <v>8287</v>
      </c>
      <c r="AJ1308" t="n">
        <v>29</v>
      </c>
      <c r="AK1308" s="42">
        <f>HIPERLINK($A$1 &amp; "\Dados\Magnet_3D_results_1308.txt.txt", "Magnet_3D_results_1308.txt")</f>
        <v/>
      </c>
      <c r="AL1308" s="42">
        <f>HIPERLINK($A$1 &amp; "\Dados\Magnet_fields_2D_1308.txt.txt", "Magnet_fields_2D_1308.txt")</f>
        <v/>
      </c>
    </row>
    <row r="1309">
      <c r="E1309" s="15" t="n">
        <v>130</v>
      </c>
      <c r="F1309" s="15" t="n">
        <v>172</v>
      </c>
      <c r="G1309" s="15" t="n">
        <v>384</v>
      </c>
      <c r="H1309" s="15" t="n">
        <v>42</v>
      </c>
      <c r="I1309" s="15" t="n">
        <v>141</v>
      </c>
      <c r="J1309" s="13" t="n">
        <v>25</v>
      </c>
      <c r="K1309" t="n">
        <v>45</v>
      </c>
      <c r="L1309" s="13" t="n">
        <v>2.6</v>
      </c>
      <c r="M1309" s="12" t="n"/>
      <c r="N1309" s="8" t="n">
        <v>1.360063301916876</v>
      </c>
      <c r="O1309" s="15" t="n">
        <v>1.055853624252854</v>
      </c>
      <c r="P1309" s="15" t="n">
        <v>1.27552809951904</v>
      </c>
      <c r="Q1309" s="15" t="n">
        <v>0.003028259982761679</v>
      </c>
      <c r="R1309" s="15" t="n">
        <v>0.0406203926553028</v>
      </c>
      <c r="S1309" s="15" t="n">
        <v>0.004036158024659649</v>
      </c>
      <c r="T1309" s="42">
        <f>HIPERLINK($A$1 &amp; "\Dados\Imagem_perfil_1309.png", "Imagem_perfil_1309")</f>
        <v/>
      </c>
      <c r="U1309" s="42">
        <f>HIPERLINK($A$1 &amp; "\Dados\Results_airgap1309.txt", "Results_airgap1309")</f>
        <v/>
      </c>
      <c r="V1309" s="19" t="n"/>
      <c r="W1309" s="15" t="n">
        <v>1.828385434782609</v>
      </c>
      <c r="X1309" s="15" t="n">
        <v>0.8908573555616232</v>
      </c>
      <c r="Y1309" s="15" t="n">
        <v>0.4789724909922278</v>
      </c>
      <c r="Z1309" s="15" t="n">
        <v>0</v>
      </c>
      <c r="AA1309" s="15" t="n">
        <v>0</v>
      </c>
      <c r="AB1309" s="15" t="n">
        <v>2.140360498635219</v>
      </c>
      <c r="AC1309" s="15" t="n">
        <v>12.73885634072427</v>
      </c>
      <c r="AD1309" s="15" t="n">
        <v>42.71124014391674</v>
      </c>
      <c r="AE1309" s="15" t="n">
        <v>82.44248866459341</v>
      </c>
      <c r="AF1309" s="15" t="n">
        <v>116.9394066014759</v>
      </c>
      <c r="AH1309" s="42">
        <f>HIPERLINK($A$1 &amp; "\Dados\Magnet_fields_1309.txt.txt", "Magnet_fields_1309.txt")</f>
        <v/>
      </c>
      <c r="AI1309" t="n">
        <v>6906</v>
      </c>
      <c r="AJ1309" t="n">
        <v>28</v>
      </c>
      <c r="AK1309" s="42">
        <f>HIPERLINK($A$1 &amp; "\Dados\Magnet_3D_results_1309.txt.txt", "Magnet_3D_results_1309.txt")</f>
        <v/>
      </c>
      <c r="AL1309" s="42">
        <f>HIPERLINK($A$1 &amp; "\Dados\Magnet_fields_2D_1309.txt.txt", "Magnet_fields_2D_1309.txt")</f>
        <v/>
      </c>
    </row>
    <row r="1310">
      <c r="E1310" s="15" t="n">
        <v>133</v>
      </c>
      <c r="F1310" s="15" t="n">
        <v>179</v>
      </c>
      <c r="G1310" s="15" t="n">
        <v>425</v>
      </c>
      <c r="H1310" s="15" t="n">
        <v>30</v>
      </c>
      <c r="I1310" s="15" t="n">
        <v>159</v>
      </c>
      <c r="J1310" s="13" t="n">
        <v>25</v>
      </c>
      <c r="K1310" t="n">
        <v>55</v>
      </c>
      <c r="L1310" s="13" t="n">
        <v>2.6</v>
      </c>
      <c r="M1310" s="12" t="n"/>
      <c r="N1310" s="8" t="n">
        <v>1.469955517026352</v>
      </c>
      <c r="O1310" s="15" t="n">
        <v>1.24741714732646</v>
      </c>
      <c r="P1310" s="15" t="n">
        <v>1.398975506006925</v>
      </c>
      <c r="Q1310" s="15" t="n">
        <v>0.01438064494903713</v>
      </c>
      <c r="R1310" s="15" t="n">
        <v>0.06426414248415684</v>
      </c>
      <c r="S1310" s="15" t="n">
        <v>0.01443161252993913</v>
      </c>
      <c r="T1310" s="42">
        <f>HIPERLINK($A$1 &amp; "\Dados\Imagem_perfil_1310.png", "Imagem_perfil_1310")</f>
        <v/>
      </c>
      <c r="U1310" s="42">
        <f>HIPERLINK($A$1 &amp; "\Dados\Results_airgap1310.txt", "Results_airgap1310")</f>
        <v/>
      </c>
      <c r="V1310" s="19" t="n"/>
      <c r="W1310" s="15" t="n">
        <v>2.025793478260869</v>
      </c>
      <c r="X1310" s="15" t="n">
        <v>0.9445576824242931</v>
      </c>
      <c r="Y1310" s="15" t="n">
        <v>0.2412800050211</v>
      </c>
      <c r="Z1310" s="15" t="n">
        <v>0.007172075057253686</v>
      </c>
      <c r="AA1310" s="15" t="n">
        <v>0.5988494731309882</v>
      </c>
      <c r="AB1310" s="15" t="n">
        <v>1.435106798766716</v>
      </c>
      <c r="AC1310" s="15" t="n">
        <v>18.43861051507498</v>
      </c>
      <c r="AD1310" s="15" t="n">
        <v>65.43551438774222</v>
      </c>
      <c r="AE1310" s="15" t="n">
        <v>97.72690380514696</v>
      </c>
      <c r="AF1310" s="15" t="n">
        <v>127.6694739803279</v>
      </c>
      <c r="AH1310" s="42">
        <f>HIPERLINK($A$1 &amp; "\Dados\Magnet_fields_1310.txt.txt", "Magnet_fields_1310.txt")</f>
        <v/>
      </c>
      <c r="AI1310" t="n">
        <v>12221</v>
      </c>
      <c r="AJ1310" t="n">
        <v>30</v>
      </c>
      <c r="AK1310" s="42">
        <f>HIPERLINK($A$1 &amp; "\Dados\Magnet_3D_results_1310.txt.txt", "Magnet_3D_results_1310.txt")</f>
        <v/>
      </c>
      <c r="AL1310" s="42">
        <f>HIPERLINK($A$1 &amp; "\Dados\Magnet_fields_2D_1310.txt.txt", "Magnet_fields_2D_1310.txt")</f>
        <v/>
      </c>
    </row>
    <row r="1311">
      <c r="E1311" s="15" t="n">
        <v>144</v>
      </c>
      <c r="F1311" s="15" t="n">
        <v>190</v>
      </c>
      <c r="G1311" s="15" t="n">
        <v>430</v>
      </c>
      <c r="H1311" s="15" t="n">
        <v>40</v>
      </c>
      <c r="I1311" s="15" t="n">
        <v>174</v>
      </c>
      <c r="J1311" s="13" t="n">
        <v>25</v>
      </c>
      <c r="K1311" t="n">
        <v>40</v>
      </c>
      <c r="L1311" s="13" t="n">
        <v>2.6</v>
      </c>
      <c r="M1311" s="12" t="n"/>
      <c r="N1311" s="8" t="n">
        <v>1.39295528992408</v>
      </c>
      <c r="O1311" s="15" t="n">
        <v>1.227258940729473</v>
      </c>
      <c r="P1311" s="15" t="n">
        <v>1.338939493064733</v>
      </c>
      <c r="Q1311" s="15" t="n">
        <v>0.001448302807258434</v>
      </c>
      <c r="R1311" s="15" t="n">
        <v>0.03922513924674523</v>
      </c>
      <c r="S1311" s="15" t="n">
        <v>0.001640408901986149</v>
      </c>
      <c r="T1311" s="42">
        <f>HIPERLINK($A$1 &amp; "\Dados\Imagem_perfil_1311.png", "Imagem_perfil_1311")</f>
        <v/>
      </c>
      <c r="U1311" s="42">
        <f>HIPERLINK($A$1 &amp; "\Dados\Results_airgap1311.txt", "Results_airgap1311")</f>
        <v/>
      </c>
      <c r="V1311" s="19" t="n"/>
      <c r="W1311" s="15" t="n">
        <v>1.758418260869565</v>
      </c>
      <c r="X1311" s="15" t="n">
        <v>0.865339315681814</v>
      </c>
      <c r="Y1311" s="15" t="n">
        <v>0.5573357285183318</v>
      </c>
      <c r="Z1311" s="15" t="n">
        <v>0.007828289918365875</v>
      </c>
      <c r="AA1311" s="15" t="n">
        <v>0.007071333584450207</v>
      </c>
      <c r="AB1311" s="15" t="n">
        <v>1.765708417876568</v>
      </c>
      <c r="AC1311" s="15" t="n">
        <v>9.280965324233383</v>
      </c>
      <c r="AD1311" s="15" t="n">
        <v>38.09710638092284</v>
      </c>
      <c r="AE1311" s="15" t="n">
        <v>83.03357734210201</v>
      </c>
      <c r="AF1311" s="15" t="n">
        <v>115.0609096997099</v>
      </c>
      <c r="AH1311" s="42">
        <f>HIPERLINK($A$1 &amp; "\Dados\Magnet_fields_1311.txt.txt", "Magnet_fields_1311.txt")</f>
        <v/>
      </c>
      <c r="AI1311" t="n">
        <v>8042</v>
      </c>
      <c r="AJ1311" t="n">
        <v>28</v>
      </c>
      <c r="AK1311" s="42">
        <f>HIPERLINK($A$1 &amp; "\Dados\Magnet_3D_results_1311.txt.txt", "Magnet_3D_results_1311.txt")</f>
        <v/>
      </c>
      <c r="AL1311" s="42">
        <f>HIPERLINK($A$1 &amp; "\Dados\Magnet_fields_2D_1311.txt.txt", "Magnet_fields_2D_1311.txt")</f>
        <v/>
      </c>
    </row>
    <row r="1312">
      <c r="E1312" s="15" t="n">
        <v>126</v>
      </c>
      <c r="F1312" s="15" t="n">
        <v>170</v>
      </c>
      <c r="G1312" s="15" t="n">
        <v>390</v>
      </c>
      <c r="H1312" s="15" t="n">
        <v>29</v>
      </c>
      <c r="I1312" s="15" t="n">
        <v>173</v>
      </c>
      <c r="J1312" s="13" t="n">
        <v>25</v>
      </c>
      <c r="K1312" t="n">
        <v>40</v>
      </c>
      <c r="L1312" s="13" t="n">
        <v>2.6</v>
      </c>
      <c r="M1312" s="12" t="n"/>
      <c r="N1312" s="8" t="n">
        <v>1.401236079669655</v>
      </c>
      <c r="O1312" s="15" t="n">
        <v>1.227292456156274</v>
      </c>
      <c r="P1312" s="15" t="n">
        <v>1.35200278334482</v>
      </c>
      <c r="Q1312" s="15" t="n">
        <v>0.001726623125431793</v>
      </c>
      <c r="R1312" s="15" t="n">
        <v>0.0378515025972757</v>
      </c>
      <c r="S1312" s="15" t="n">
        <v>0.001933231989938515</v>
      </c>
      <c r="T1312" s="42">
        <f>HIPERLINK($A$1 &amp; "\Dados\Imagem_perfil_1312.png", "Imagem_perfil_1312")</f>
        <v/>
      </c>
      <c r="U1312" s="42">
        <f>HIPERLINK($A$1 &amp; "\Dados\Results_airgap1312.txt", "Results_airgap1312")</f>
        <v/>
      </c>
      <c r="V1312" s="19" t="n"/>
      <c r="W1312" s="15" t="n">
        <v>1.738406304347826</v>
      </c>
      <c r="X1312" s="15" t="n">
        <v>0.850607363913802</v>
      </c>
      <c r="Y1312" s="15" t="n">
        <v>0.6191807007919775</v>
      </c>
      <c r="Z1312" s="15" t="n">
        <v>0.02688562269400593</v>
      </c>
      <c r="AA1312" s="15" t="n">
        <v>0.3769217004741646</v>
      </c>
      <c r="AB1312" s="15" t="n">
        <v>3.060637948859954</v>
      </c>
      <c r="AC1312" s="15" t="n">
        <v>13.37075486911722</v>
      </c>
      <c r="AD1312" s="15" t="n">
        <v>40.61037417032389</v>
      </c>
      <c r="AE1312" s="15" t="n">
        <v>80.19192562153412</v>
      </c>
      <c r="AF1312" s="15" t="n">
        <v>113.6351342527832</v>
      </c>
      <c r="AH1312" s="42">
        <f>HIPERLINK($A$1 &amp; "\Dados\Magnet_fields_1312.txt.txt", "Magnet_fields_1312.txt")</f>
        <v/>
      </c>
      <c r="AI1312" t="n">
        <v>9494</v>
      </c>
      <c r="AJ1312" t="n">
        <v>29</v>
      </c>
      <c r="AK1312" s="42">
        <f>HIPERLINK($A$1 &amp; "\Dados\Magnet_3D_results_1312.txt.txt", "Magnet_3D_results_1312.txt")</f>
        <v/>
      </c>
      <c r="AL1312" s="42">
        <f>HIPERLINK($A$1 &amp; "\Dados\Magnet_fields_2D_1312.txt.txt", "Magnet_fields_2D_1312.txt")</f>
        <v/>
      </c>
    </row>
    <row r="1313">
      <c r="E1313" s="15" t="n">
        <v>125</v>
      </c>
      <c r="F1313" s="15" t="n">
        <v>173</v>
      </c>
      <c r="G1313" s="15" t="n">
        <v>400</v>
      </c>
      <c r="H1313" s="15" t="n">
        <v>27</v>
      </c>
      <c r="I1313" s="15" t="n">
        <v>154</v>
      </c>
      <c r="J1313" s="13" t="n">
        <v>25</v>
      </c>
      <c r="K1313" t="n">
        <v>60</v>
      </c>
      <c r="L1313" s="13" t="n">
        <v>2.6</v>
      </c>
      <c r="M1313" s="12" t="n"/>
      <c r="N1313" s="8" t="n">
        <v>1.38661622000535</v>
      </c>
      <c r="O1313" s="15" t="n">
        <v>1.143658150620074</v>
      </c>
      <c r="P1313" s="15" t="n">
        <v>1.313653075271709</v>
      </c>
      <c r="Q1313" s="15" t="n">
        <v>0.03059553257085823</v>
      </c>
      <c r="R1313" s="15" t="n">
        <v>0.06444460475158115</v>
      </c>
      <c r="S1313" s="15" t="n">
        <v>0.03097046940943999</v>
      </c>
      <c r="T1313" s="42">
        <f>HIPERLINK($A$1 &amp; "\Dados\Imagem_perfil_1313.png", "Imagem_perfil_1313")</f>
        <v/>
      </c>
      <c r="U1313" s="42">
        <f>HIPERLINK($A$1 &amp; "\Dados\Results_airgap1313.txt", "Results_airgap1313")</f>
        <v/>
      </c>
      <c r="V1313" s="19" t="n"/>
      <c r="W1313" s="15" t="n">
        <v>1.949485434782608</v>
      </c>
      <c r="X1313" s="15" t="n">
        <v>0.8921926300216221</v>
      </c>
      <c r="Y1313" s="15" t="n">
        <v>0.2988415189122067</v>
      </c>
      <c r="Z1313" s="15" t="n">
        <v>0.01657104665824655</v>
      </c>
      <c r="AA1313" s="15" t="n">
        <v>4.207488578612517</v>
      </c>
      <c r="AB1313" s="15" t="n">
        <v>1.760100372256673</v>
      </c>
      <c r="AC1313" s="15" t="n">
        <v>18.3162801348414</v>
      </c>
      <c r="AD1313" s="15" t="n">
        <v>66.00067596402927</v>
      </c>
      <c r="AE1313" s="15" t="n">
        <v>99.89806145201329</v>
      </c>
      <c r="AF1313" s="15" t="n">
        <v>131.8235017750689</v>
      </c>
      <c r="AH1313" s="42">
        <f>HIPERLINK($A$1 &amp; "\Dados\Magnet_fields_1313.txt.txt", "Magnet_fields_1313.txt")</f>
        <v/>
      </c>
      <c r="AI1313" t="n">
        <v>9725</v>
      </c>
      <c r="AJ1313" t="n">
        <v>30</v>
      </c>
      <c r="AK1313" s="42">
        <f>HIPERLINK($A$1 &amp; "\Dados\Magnet_3D_results_1313.txt.txt", "Magnet_3D_results_1313.txt")</f>
        <v/>
      </c>
      <c r="AL1313" s="42">
        <f>HIPERLINK($A$1 &amp; "\Dados\Magnet_fields_2D_1313.txt.txt", "Magnet_fields_2D_1313.txt")</f>
        <v/>
      </c>
    </row>
    <row r="1314">
      <c r="E1314" s="15" t="n">
        <v>133</v>
      </c>
      <c r="F1314" s="15" t="n">
        <v>179</v>
      </c>
      <c r="G1314" s="15" t="n">
        <v>377</v>
      </c>
      <c r="H1314" s="15" t="n">
        <v>35</v>
      </c>
      <c r="I1314" s="15" t="n">
        <v>140</v>
      </c>
      <c r="J1314" s="13" t="n">
        <v>25</v>
      </c>
      <c r="K1314" t="n">
        <v>40</v>
      </c>
      <c r="L1314" s="13" t="n">
        <v>2.6</v>
      </c>
      <c r="M1314" s="12" t="n"/>
      <c r="N1314" s="8" t="n">
        <v>1.239871819505344</v>
      </c>
      <c r="O1314" s="15" t="n">
        <v>0.9470398535459751</v>
      </c>
      <c r="P1314" s="15" t="n">
        <v>1.154288370748327</v>
      </c>
      <c r="Q1314" s="15" t="n">
        <v>0.0013169308730495</v>
      </c>
      <c r="R1314" s="15" t="n">
        <v>0.03115854457484608</v>
      </c>
      <c r="S1314" s="15" t="n">
        <v>0.002311490296020538</v>
      </c>
      <c r="T1314" s="42">
        <f>HIPERLINK($A$1 &amp; "\Dados\Imagem_perfil_1314.png", "Imagem_perfil_1314")</f>
        <v/>
      </c>
      <c r="U1314" s="42">
        <f>HIPERLINK($A$1 &amp; "\Dados\Results_airgap1314.txt", "Results_airgap1314")</f>
        <v/>
      </c>
      <c r="V1314" s="19" t="n"/>
      <c r="W1314" s="15" t="n">
        <v>1.636426086956522</v>
      </c>
      <c r="X1314" s="15" t="n">
        <v>0.8074440846153875</v>
      </c>
      <c r="Y1314" s="15" t="n">
        <v>0.7524807776861904</v>
      </c>
      <c r="Z1314" s="15" t="n">
        <v>0.01421026300696786</v>
      </c>
      <c r="AA1314" s="15" t="n">
        <v>0.02146996388420664</v>
      </c>
      <c r="AB1314" s="15" t="n">
        <v>2.544088360003982</v>
      </c>
      <c r="AC1314" s="15" t="n">
        <v>12.47642958440803</v>
      </c>
      <c r="AD1314" s="15" t="n">
        <v>37.62021183499828</v>
      </c>
      <c r="AE1314" s="15" t="n">
        <v>75.88300008270024</v>
      </c>
      <c r="AF1314" s="15" t="n">
        <v>111.7826104093266</v>
      </c>
      <c r="AH1314" s="42">
        <f>HIPERLINK($A$1 &amp; "\Dados\Magnet_fields_1314.txt.txt", "Magnet_fields_1314.txt")</f>
        <v/>
      </c>
      <c r="AI1314" t="n">
        <v>8052</v>
      </c>
      <c r="AJ1314" t="n">
        <v>29</v>
      </c>
      <c r="AK1314" s="42">
        <f>HIPERLINK($A$1 &amp; "\Dados\Magnet_3D_results_1314.txt.txt", "Magnet_3D_results_1314.txt")</f>
        <v/>
      </c>
      <c r="AL1314" s="42">
        <f>HIPERLINK($A$1 &amp; "\Dados\Magnet_fields_2D_1314.txt.txt", "Magnet_fields_2D_1314.txt")</f>
        <v/>
      </c>
    </row>
    <row r="1315">
      <c r="E1315" s="15" t="n">
        <v>146</v>
      </c>
      <c r="F1315" s="15" t="n">
        <v>177</v>
      </c>
      <c r="G1315" s="15" t="n">
        <v>405</v>
      </c>
      <c r="H1315" s="15" t="n">
        <v>40</v>
      </c>
      <c r="I1315" s="15" t="n">
        <v>146</v>
      </c>
      <c r="J1315" s="13" t="n">
        <v>25</v>
      </c>
      <c r="K1315" t="n">
        <v>50</v>
      </c>
      <c r="L1315" s="13" t="n">
        <v>2.6</v>
      </c>
      <c r="M1315" s="12" t="n"/>
      <c r="N1315" s="8" t="n">
        <v>1.602861307381607</v>
      </c>
      <c r="O1315" s="15" t="n">
        <v>1.301517397450698</v>
      </c>
      <c r="P1315" s="15" t="n">
        <v>1.518121122911299</v>
      </c>
      <c r="Q1315" s="15" t="n">
        <v>0.007634226897357294</v>
      </c>
      <c r="R1315" s="15" t="n">
        <v>0.04339266179741845</v>
      </c>
      <c r="S1315" s="15" t="n">
        <v>0.007757488933129799</v>
      </c>
      <c r="T1315" s="42">
        <f>HIPERLINK($A$1 &amp; "\Dados\Imagem_perfil_1315.png", "Imagem_perfil_1315")</f>
        <v/>
      </c>
      <c r="U1315" s="42">
        <f>HIPERLINK($A$1 &amp; "\Dados\Results_airgap1315.txt", "Results_airgap1315")</f>
        <v/>
      </c>
      <c r="V1315" s="19" t="n"/>
      <c r="W1315" s="15" t="n">
        <v>2.110506739130435</v>
      </c>
      <c r="X1315" s="15" t="n">
        <v>1.031049506203108</v>
      </c>
      <c r="Y1315" s="15" t="n">
        <v>0.157275696032704</v>
      </c>
      <c r="Z1315" s="15" t="n">
        <v>0</v>
      </c>
      <c r="AA1315" s="15" t="n">
        <v>0.04756427373394298</v>
      </c>
      <c r="AB1315" s="15" t="n">
        <v>0.4104785778108282</v>
      </c>
      <c r="AC1315" s="15" t="n">
        <v>8.606306173972715</v>
      </c>
      <c r="AD1315" s="15" t="n">
        <v>51.93513281491356</v>
      </c>
      <c r="AE1315" s="15" t="n">
        <v>92.96305530918789</v>
      </c>
      <c r="AF1315" s="15" t="n">
        <v>123.4474298155218</v>
      </c>
      <c r="AH1315" s="42">
        <f>HIPERLINK($A$1 &amp; "\Dados\Magnet_fields_1315.txt.txt", "Magnet_fields_1315.txt")</f>
        <v/>
      </c>
      <c r="AI1315" t="n">
        <v>7425</v>
      </c>
      <c r="AJ1315" t="n">
        <v>29</v>
      </c>
      <c r="AK1315" s="42">
        <f>HIPERLINK($A$1 &amp; "\Dados\Magnet_3D_results_1315.txt.txt", "Magnet_3D_results_1315.txt")</f>
        <v/>
      </c>
      <c r="AL1315" s="42">
        <f>HIPERLINK($A$1 &amp; "\Dados\Magnet_fields_2D_1315.txt.txt", "Magnet_fields_2D_1315.txt")</f>
        <v/>
      </c>
    </row>
    <row r="1316">
      <c r="E1316" s="15" t="n">
        <v>140</v>
      </c>
      <c r="F1316" s="15" t="n">
        <v>174</v>
      </c>
      <c r="G1316" s="15" t="n">
        <v>400</v>
      </c>
      <c r="H1316" s="15" t="n">
        <v>37</v>
      </c>
      <c r="I1316" s="15" t="n">
        <v>148</v>
      </c>
      <c r="J1316" s="13" t="n">
        <v>25</v>
      </c>
      <c r="K1316" t="n">
        <v>45</v>
      </c>
      <c r="L1316" s="13" t="n">
        <v>2.6</v>
      </c>
      <c r="M1316" s="12" t="n"/>
      <c r="N1316" s="8" t="n">
        <v>1.517304261354</v>
      </c>
      <c r="O1316" s="15" t="n">
        <v>1.24517595481846</v>
      </c>
      <c r="P1316" s="15" t="n">
        <v>1.456365787511199</v>
      </c>
      <c r="Q1316" s="15" t="n">
        <v>0.00381971073488713</v>
      </c>
      <c r="R1316" s="15" t="n">
        <v>0.0387279688641651</v>
      </c>
      <c r="S1316" s="15" t="n">
        <v>0.003983264714380242</v>
      </c>
      <c r="T1316" s="42">
        <f>HIPERLINK($A$1 &amp; "\Dados\Imagem_perfil_1316.png", "Imagem_perfil_1316")</f>
        <v/>
      </c>
      <c r="U1316" s="42">
        <f>HIPERLINK($A$1 &amp; "\Dados\Results_airgap1316.txt", "Results_airgap1316")</f>
        <v/>
      </c>
      <c r="V1316" s="19" t="n"/>
      <c r="W1316" s="15" t="n">
        <v>1.992065217391304</v>
      </c>
      <c r="X1316" s="15" t="n">
        <v>0.9931506438093746</v>
      </c>
      <c r="Y1316" s="15" t="n">
        <v>0.291529385277247</v>
      </c>
      <c r="Z1316" s="15" t="n">
        <v>0</v>
      </c>
      <c r="AA1316" s="15" t="n">
        <v>0.4293702299147804</v>
      </c>
      <c r="AB1316" s="15" t="n">
        <v>0.6645023127053509</v>
      </c>
      <c r="AC1316" s="15" t="n">
        <v>7.972391285012765</v>
      </c>
      <c r="AD1316" s="15" t="n">
        <v>41.23777402117474</v>
      </c>
      <c r="AE1316" s="15" t="n">
        <v>85.03283656302007</v>
      </c>
      <c r="AF1316" s="15" t="n">
        <v>118.2090595337635</v>
      </c>
      <c r="AH1316" s="42">
        <f>HIPERLINK($A$1 &amp; "\Dados\Magnet_fields_1316.txt.txt", "Magnet_fields_1316.txt")</f>
        <v/>
      </c>
      <c r="AI1316" t="n">
        <v>7317</v>
      </c>
      <c r="AJ1316" t="n">
        <v>28</v>
      </c>
      <c r="AK1316" s="42">
        <f>HIPERLINK($A$1 &amp; "\Dados\Magnet_3D_results_1316.txt.txt", "Magnet_3D_results_1316.txt")</f>
        <v/>
      </c>
      <c r="AL1316" s="42">
        <f>HIPERLINK($A$1 &amp; "\Dados\Magnet_fields_2D_1316.txt.txt", "Magnet_fields_2D_1316.txt")</f>
        <v/>
      </c>
    </row>
    <row r="1317">
      <c r="E1317" s="15" t="n">
        <v>147</v>
      </c>
      <c r="F1317" s="15" t="n">
        <v>188</v>
      </c>
      <c r="G1317" s="15" t="n">
        <v>356</v>
      </c>
      <c r="H1317" s="15" t="n">
        <v>37</v>
      </c>
      <c r="I1317" s="15" t="n">
        <v>143</v>
      </c>
      <c r="J1317" s="13" t="n">
        <v>25</v>
      </c>
      <c r="K1317" t="n">
        <v>60</v>
      </c>
      <c r="L1317" s="13" t="n">
        <v>2.6</v>
      </c>
      <c r="M1317" s="12" t="n"/>
      <c r="N1317" s="8" t="n">
        <v>1.308239612605969</v>
      </c>
      <c r="O1317" s="15" t="n">
        <v>1.046746763013765</v>
      </c>
      <c r="P1317" s="15" t="n">
        <v>1.234455830027516</v>
      </c>
      <c r="Q1317" s="15" t="n">
        <v>0.01324633218862461</v>
      </c>
      <c r="R1317" s="15" t="n">
        <v>0.03534953828001276</v>
      </c>
      <c r="S1317" s="15" t="n">
        <v>0.01307474341474475</v>
      </c>
      <c r="T1317" s="42">
        <f>HIPERLINK($A$1 &amp; "\Dados\Imagem_perfil_1317.png", "Imagem_perfil_1317")</f>
        <v/>
      </c>
      <c r="U1317" s="42">
        <f>HIPERLINK($A$1 &amp; "\Dados\Results_airgap1317.txt", "Results_airgap1317")</f>
        <v/>
      </c>
      <c r="V1317" s="19" t="n"/>
      <c r="W1317" s="15" t="n">
        <v>1.728485</v>
      </c>
      <c r="X1317" s="15" t="n">
        <v>0.8382401276617557</v>
      </c>
      <c r="Y1317" s="15" t="n">
        <v>0.4362974022292742</v>
      </c>
      <c r="Z1317" s="15" t="n">
        <v>0.02468601864936095</v>
      </c>
      <c r="AA1317" s="15" t="n">
        <v>0.8104119074780249</v>
      </c>
      <c r="AB1317" s="15" t="n">
        <v>0</v>
      </c>
      <c r="AC1317" s="15" t="n">
        <v>17.05921686781713</v>
      </c>
      <c r="AD1317" s="15" t="n">
        <v>69.61253453666265</v>
      </c>
      <c r="AE1317" s="15" t="n">
        <v>98.63557227658252</v>
      </c>
      <c r="AF1317" s="15" t="n">
        <v>129.429909927273</v>
      </c>
      <c r="AH1317" s="42">
        <f>HIPERLINK($A$1 &amp; "\Dados\Magnet_fields_1317.txt.txt", "Magnet_fields_1317.txt")</f>
        <v/>
      </c>
      <c r="AI1317" t="n">
        <v>7431</v>
      </c>
      <c r="AJ1317" t="n">
        <v>29</v>
      </c>
      <c r="AK1317" s="42">
        <f>HIPERLINK($A$1 &amp; "\Dados\Magnet_3D_results_1317.txt.txt", "Magnet_3D_results_1317.txt")</f>
        <v/>
      </c>
      <c r="AL1317" s="42">
        <f>HIPERLINK($A$1 &amp; "\Dados\Magnet_fields_2D_1317.txt.txt", "Magnet_fields_2D_1317.txt")</f>
        <v/>
      </c>
    </row>
    <row r="1318">
      <c r="E1318" s="15" t="n">
        <v>130</v>
      </c>
      <c r="F1318" s="15" t="n">
        <v>175</v>
      </c>
      <c r="G1318" s="15" t="n">
        <v>399</v>
      </c>
      <c r="H1318" s="15" t="n">
        <v>42</v>
      </c>
      <c r="I1318" s="15" t="n">
        <v>166</v>
      </c>
      <c r="J1318" s="13" t="n">
        <v>25</v>
      </c>
      <c r="K1318" t="n">
        <v>45</v>
      </c>
      <c r="L1318" s="13" t="n">
        <v>2.6</v>
      </c>
      <c r="M1318" s="12" t="n"/>
      <c r="N1318" s="8" t="n">
        <v>1.422224522919352</v>
      </c>
      <c r="O1318" s="15" t="n">
        <v>1.207397371845096</v>
      </c>
      <c r="P1318" s="15" t="n">
        <v>1.358418778144411</v>
      </c>
      <c r="Q1318" s="15" t="n">
        <v>0.003472306825242728</v>
      </c>
      <c r="R1318" s="15" t="n">
        <v>0.04628337221955801</v>
      </c>
      <c r="S1318" s="15" t="n">
        <v>0.003772724556560707</v>
      </c>
      <c r="T1318" s="42">
        <f>HIPERLINK($A$1 &amp; "\Dados\Imagem_perfil_1318.png", "Imagem_perfil_1318")</f>
        <v/>
      </c>
      <c r="U1318" s="42">
        <f>HIPERLINK($A$1 &amp; "\Dados\Results_airgap1318.txt", "Results_airgap1318")</f>
        <v/>
      </c>
      <c r="V1318" s="19" t="n"/>
      <c r="W1318" s="15" t="n">
        <v>1.83105</v>
      </c>
      <c r="X1318" s="15" t="n">
        <v>0.8850554599908504</v>
      </c>
      <c r="Y1318" s="15" t="n">
        <v>0.4723553561270852</v>
      </c>
      <c r="Z1318" s="15" t="n">
        <v>0</v>
      </c>
      <c r="AA1318" s="15" t="n">
        <v>0</v>
      </c>
      <c r="AB1318" s="15" t="n">
        <v>2.569604616830283</v>
      </c>
      <c r="AC1318" s="15" t="n">
        <v>13.84574960747892</v>
      </c>
      <c r="AD1318" s="15" t="n">
        <v>45.7424431490836</v>
      </c>
      <c r="AE1318" s="15" t="n">
        <v>85.0697041823923</v>
      </c>
      <c r="AF1318" s="15" t="n">
        <v>117.7743415286458</v>
      </c>
      <c r="AH1318" s="42">
        <f>HIPERLINK($A$1 &amp; "\Dados\Magnet_fields_1318.txt.txt", "Magnet_fields_1318.txt")</f>
        <v/>
      </c>
      <c r="AI1318" t="n">
        <v>6462</v>
      </c>
      <c r="AJ1318" t="n">
        <v>29</v>
      </c>
      <c r="AK1318" s="42">
        <f>HIPERLINK($A$1 &amp; "\Dados\Magnet_3D_results_1318.txt.txt", "Magnet_3D_results_1318.txt")</f>
        <v/>
      </c>
      <c r="AL1318" s="42">
        <f>HIPERLINK($A$1 &amp; "\Dados\Magnet_fields_2D_1318.txt.txt", "Magnet_fields_2D_1318.txt")</f>
        <v/>
      </c>
    </row>
    <row r="1319">
      <c r="E1319" s="15" t="n">
        <v>144</v>
      </c>
      <c r="F1319" s="15" t="n">
        <v>177</v>
      </c>
      <c r="G1319" s="15" t="n">
        <v>405</v>
      </c>
      <c r="H1319" s="15" t="n">
        <v>42</v>
      </c>
      <c r="I1319" s="15" t="n">
        <v>160</v>
      </c>
      <c r="J1319" s="13" t="n">
        <v>25</v>
      </c>
      <c r="K1319" t="n">
        <v>40</v>
      </c>
      <c r="L1319" s="13" t="n">
        <v>2.6</v>
      </c>
      <c r="M1319" s="12" t="n"/>
      <c r="N1319" s="8" t="n">
        <v>1.52405871386521</v>
      </c>
      <c r="O1319" s="15" t="n">
        <v>1.287485384577057</v>
      </c>
      <c r="P1319" s="15" t="n">
        <v>1.450626549244092</v>
      </c>
      <c r="Q1319" s="15" t="n">
        <v>0.002129525958705222</v>
      </c>
      <c r="R1319" s="15" t="n">
        <v>0.03216820820611675</v>
      </c>
      <c r="S1319" s="15" t="n">
        <v>0.002189078388102682</v>
      </c>
      <c r="T1319" s="42">
        <f>HIPERLINK($A$1 &amp; "\Dados\Imagem_perfil_1319.png", "Imagem_perfil_1319")</f>
        <v/>
      </c>
      <c r="U1319" s="42">
        <f>HIPERLINK($A$1 &amp; "\Dados\Results_airgap1319.txt", "Results_airgap1319")</f>
        <v/>
      </c>
      <c r="V1319" s="19" t="n"/>
      <c r="W1319" s="15" t="n">
        <v>1.88429347826087</v>
      </c>
      <c r="X1319" s="15" t="n">
        <v>0.9787490597766028</v>
      </c>
      <c r="Y1319" s="15" t="n">
        <v>0.4197958741801542</v>
      </c>
      <c r="Z1319" s="15" t="n">
        <v>0.000809591746158175</v>
      </c>
      <c r="AA1319" s="15" t="n">
        <v>0.490196203111863</v>
      </c>
      <c r="AB1319" s="15" t="n">
        <v>0.342953366300872</v>
      </c>
      <c r="AC1319" s="15" t="n">
        <v>4.078626683847971</v>
      </c>
      <c r="AD1319" s="15" t="n">
        <v>25.76551122197088</v>
      </c>
      <c r="AE1319" s="15" t="n">
        <v>77.94934686756727</v>
      </c>
      <c r="AF1319" s="15" t="n">
        <v>114.3908825881688</v>
      </c>
      <c r="AH1319" s="42">
        <f>HIPERLINK($A$1 &amp; "\Dados\Magnet_fields_1319.txt.txt", "Magnet_fields_1319.txt")</f>
        <v/>
      </c>
      <c r="AI1319" t="n">
        <v>7498</v>
      </c>
      <c r="AJ1319" t="n">
        <v>29</v>
      </c>
      <c r="AK1319" s="42">
        <f>HIPERLINK($A$1 &amp; "\Dados\Magnet_3D_results_1319.txt.txt", "Magnet_3D_results_1319.txt")</f>
        <v/>
      </c>
      <c r="AL1319" s="42">
        <f>HIPERLINK($A$1 &amp; "\Dados\Magnet_fields_2D_1319.txt.txt", "Magnet_fields_2D_1319.txt")</f>
        <v/>
      </c>
    </row>
    <row r="1320">
      <c r="E1320" s="15" t="n">
        <v>140</v>
      </c>
      <c r="F1320" s="15" t="n">
        <v>179</v>
      </c>
      <c r="G1320" s="15" t="n">
        <v>355</v>
      </c>
      <c r="H1320" s="15" t="n">
        <v>38</v>
      </c>
      <c r="I1320" s="15" t="n">
        <v>152</v>
      </c>
      <c r="J1320" s="13" t="n">
        <v>25</v>
      </c>
      <c r="K1320" t="n">
        <v>55</v>
      </c>
      <c r="L1320" s="13" t="n">
        <v>2.6</v>
      </c>
      <c r="M1320" s="12" t="n"/>
      <c r="N1320" s="8" t="n">
        <v>1.407576248978724</v>
      </c>
      <c r="O1320" s="15" t="n">
        <v>1.14008854999441</v>
      </c>
      <c r="P1320" s="15" t="n">
        <v>1.334176496619049</v>
      </c>
      <c r="Q1320" s="15" t="n">
        <v>0.007919300486593405</v>
      </c>
      <c r="R1320" s="15" t="n">
        <v>0.03731612219202777</v>
      </c>
      <c r="S1320" s="15" t="n">
        <v>0.008102386977446686</v>
      </c>
      <c r="T1320" s="42">
        <f>HIPERLINK($A$1 &amp; "\Dados\Imagem_perfil_1320.png", "Imagem_perfil_1320")</f>
        <v/>
      </c>
      <c r="U1320" s="42">
        <f>HIPERLINK($A$1 &amp; "\Dados\Results_airgap1320.txt", "Results_airgap1320")</f>
        <v/>
      </c>
      <c r="V1320" s="19" t="n"/>
      <c r="W1320" s="15" t="n">
        <v>1.808218913043478</v>
      </c>
      <c r="X1320" s="15" t="n">
        <v>0.9269994401557713</v>
      </c>
      <c r="Y1320" s="15" t="n">
        <v>0.3741226763762377</v>
      </c>
      <c r="Z1320" s="15" t="n">
        <v>0</v>
      </c>
      <c r="AA1320" s="15" t="n">
        <v>0.01991223018976439</v>
      </c>
      <c r="AB1320" s="15" t="n">
        <v>0.1735068223264079</v>
      </c>
      <c r="AC1320" s="15" t="n">
        <v>16.04613745236459</v>
      </c>
      <c r="AD1320" s="15" t="n">
        <v>61.10596998399367</v>
      </c>
      <c r="AE1320" s="15" t="n">
        <v>94.0033083937462</v>
      </c>
      <c r="AF1320" s="15" t="n">
        <v>125.5286846264764</v>
      </c>
      <c r="AH1320" s="42">
        <f>HIPERLINK($A$1 &amp; "\Dados\Magnet_fields_1320.txt.txt", "Magnet_fields_1320.txt")</f>
        <v/>
      </c>
      <c r="AI1320" t="n">
        <v>9918</v>
      </c>
      <c r="AJ1320" t="n">
        <v>30</v>
      </c>
      <c r="AK1320" s="42">
        <f>HIPERLINK($A$1 &amp; "\Dados\Magnet_3D_results_1320.txt.txt", "Magnet_3D_results_1320.txt")</f>
        <v/>
      </c>
      <c r="AL1320" s="42">
        <f>HIPERLINK($A$1 &amp; "\Dados\Magnet_fields_2D_1320.txt.txt", "Magnet_fields_2D_1320.txt")</f>
        <v/>
      </c>
    </row>
    <row r="1321">
      <c r="E1321" s="15" t="n">
        <v>139</v>
      </c>
      <c r="F1321" s="15" t="n">
        <v>176</v>
      </c>
      <c r="G1321" s="15" t="n">
        <v>390</v>
      </c>
      <c r="H1321" s="15" t="n">
        <v>41</v>
      </c>
      <c r="I1321" s="15" t="n">
        <v>147</v>
      </c>
      <c r="J1321" s="13" t="n">
        <v>25</v>
      </c>
      <c r="K1321" t="n">
        <v>45</v>
      </c>
      <c r="L1321" s="13" t="n">
        <v>2.6</v>
      </c>
      <c r="M1321" s="12" t="n"/>
      <c r="N1321" s="8" t="n">
        <v>1.482733589793755</v>
      </c>
      <c r="O1321" s="15" t="n">
        <v>1.1878937663699</v>
      </c>
      <c r="P1321" s="15" t="n">
        <v>1.40001470985297</v>
      </c>
      <c r="Q1321" s="15" t="n">
        <v>0.003155261514774265</v>
      </c>
      <c r="R1321" s="15" t="n">
        <v>0.03870067729719986</v>
      </c>
      <c r="S1321" s="15" t="n">
        <v>0.003504545668185883</v>
      </c>
      <c r="T1321" s="42">
        <f>HIPERLINK($A$1 &amp; "\Dados\Imagem_perfil_1321.png", "Imagem_perfil_1321")</f>
        <v/>
      </c>
      <c r="U1321" s="42">
        <f>HIPERLINK($A$1 &amp; "\Dados\Results_airgap1321.txt", "Results_airgap1321")</f>
        <v/>
      </c>
      <c r="V1321" s="19" t="n"/>
      <c r="W1321" s="15" t="n">
        <v>1.92545</v>
      </c>
      <c r="X1321" s="15" t="n">
        <v>0.9575318456513956</v>
      </c>
      <c r="Y1321" s="15" t="n">
        <v>0.3310316384888651</v>
      </c>
      <c r="Z1321" s="15" t="n">
        <v>0</v>
      </c>
      <c r="AA1321" s="15" t="n">
        <v>0</v>
      </c>
      <c r="AB1321" s="15" t="n">
        <v>0.7699124975910385</v>
      </c>
      <c r="AC1321" s="15" t="n">
        <v>10.8103465839605</v>
      </c>
      <c r="AD1321" s="15" t="n">
        <v>47.45572447915062</v>
      </c>
      <c r="AE1321" s="15" t="n">
        <v>86.76779148990408</v>
      </c>
      <c r="AF1321" s="15" t="n">
        <v>118.2931055489387</v>
      </c>
      <c r="AH1321" s="42">
        <f>HIPERLINK($A$1 &amp; "\Dados\Magnet_fields_1321.txt.txt", "Magnet_fields_1321.txt")</f>
        <v/>
      </c>
      <c r="AI1321" t="n">
        <v>6821</v>
      </c>
      <c r="AJ1321" t="n">
        <v>28</v>
      </c>
      <c r="AK1321" s="42">
        <f>HIPERLINK($A$1 &amp; "\Dados\Magnet_3D_results_1321.txt.txt", "Magnet_3D_results_1321.txt")</f>
        <v/>
      </c>
      <c r="AL1321" s="42">
        <f>HIPERLINK($A$1 &amp; "\Dados\Magnet_fields_2D_1321.txt.txt", "Magnet_fields_2D_1321.txt")</f>
        <v/>
      </c>
    </row>
    <row r="1322">
      <c r="E1322" s="15" t="n">
        <v>129</v>
      </c>
      <c r="F1322" s="15" t="n">
        <v>178</v>
      </c>
      <c r="G1322" s="15" t="n">
        <v>353</v>
      </c>
      <c r="H1322" s="15" t="n">
        <v>32</v>
      </c>
      <c r="I1322" s="15" t="n">
        <v>163</v>
      </c>
      <c r="J1322" s="13" t="n">
        <v>25</v>
      </c>
      <c r="K1322" t="n">
        <v>60</v>
      </c>
      <c r="L1322" s="13" t="n">
        <v>2.6</v>
      </c>
      <c r="M1322" s="12" t="n"/>
      <c r="N1322" s="8" t="n">
        <v>1.297280594473224</v>
      </c>
      <c r="O1322" s="15" t="n">
        <v>1.088942566255604</v>
      </c>
      <c r="P1322" s="15" t="n">
        <v>1.233361775825505</v>
      </c>
      <c r="Q1322" s="15" t="n">
        <v>0.02659144488857094</v>
      </c>
      <c r="R1322" s="15" t="n">
        <v>0.04411180992244242</v>
      </c>
      <c r="S1322" s="15" t="n">
        <v>0.02649956746126159</v>
      </c>
      <c r="T1322" s="42">
        <f>HIPERLINK($A$1 &amp; "\Dados\Imagem_perfil_1322.png", "Imagem_perfil_1322")</f>
        <v/>
      </c>
      <c r="U1322" s="42">
        <f>HIPERLINK($A$1 &amp; "\Dados\Results_airgap1322.txt", "Results_airgap1322")</f>
        <v/>
      </c>
      <c r="V1322" s="19" t="n"/>
      <c r="W1322" s="15" t="n">
        <v>1.699625434782609</v>
      </c>
      <c r="X1322" s="15" t="n">
        <v>0.8250018317738076</v>
      </c>
      <c r="Y1322" s="15" t="n">
        <v>0.4925641275561362</v>
      </c>
      <c r="Z1322" s="15" t="n">
        <v>0</v>
      </c>
      <c r="AA1322" s="15" t="n">
        <v>3.925516022272735</v>
      </c>
      <c r="AB1322" s="15" t="n">
        <v>2.84442132083784</v>
      </c>
      <c r="AC1322" s="15" t="n">
        <v>22.03558636299354</v>
      </c>
      <c r="AD1322" s="15" t="n">
        <v>61.05588660949699</v>
      </c>
      <c r="AE1322" s="15" t="n">
        <v>93.82839034089741</v>
      </c>
      <c r="AF1322" s="15" t="n">
        <v>128.679193962923</v>
      </c>
      <c r="AH1322" s="42">
        <f>HIPERLINK($A$1 &amp; "\Dados\Magnet_fields_1322.txt.txt", "Magnet_fields_1322.txt")</f>
        <v/>
      </c>
      <c r="AI1322" t="n">
        <v>8576</v>
      </c>
      <c r="AJ1322" t="n">
        <v>30</v>
      </c>
      <c r="AK1322" s="42">
        <f>HIPERLINK($A$1 &amp; "\Dados\Magnet_3D_results_1322.txt.txt", "Magnet_3D_results_1322.txt")</f>
        <v/>
      </c>
      <c r="AL1322" s="42">
        <f>HIPERLINK($A$1 &amp; "\Dados\Magnet_fields_2D_1322.txt.txt", "Magnet_fields_2D_1322.txt")</f>
        <v/>
      </c>
    </row>
    <row r="1323">
      <c r="E1323" s="15" t="n">
        <v>141</v>
      </c>
      <c r="F1323" s="15" t="n">
        <v>177</v>
      </c>
      <c r="G1323" s="15" t="n">
        <v>352</v>
      </c>
      <c r="H1323" s="15" t="n">
        <v>28</v>
      </c>
      <c r="I1323" s="15" t="n">
        <v>143</v>
      </c>
      <c r="J1323" s="13" t="n">
        <v>25</v>
      </c>
      <c r="K1323" t="n">
        <v>60</v>
      </c>
      <c r="L1323" s="13" t="n">
        <v>2.6</v>
      </c>
      <c r="M1323" s="12" t="n"/>
      <c r="N1323" s="8" t="n">
        <v>1.4011830033094</v>
      </c>
      <c r="O1323" s="15" t="n">
        <v>1.098467549178084</v>
      </c>
      <c r="P1323" s="15" t="n">
        <v>1.314087248260379</v>
      </c>
      <c r="Q1323" s="15" t="n">
        <v>0.01397336765470147</v>
      </c>
      <c r="R1323" s="15" t="n">
        <v>0.03308842400626436</v>
      </c>
      <c r="S1323" s="15" t="n">
        <v>0.0137260345408268</v>
      </c>
      <c r="T1323" s="42">
        <f>HIPERLINK($A$1 &amp; "\Dados\Imagem_perfil_1323.png", "Imagem_perfil_1323")</f>
        <v/>
      </c>
      <c r="U1323" s="42">
        <f>HIPERLINK($A$1 &amp; "\Dados\Results_airgap1323.txt", "Results_airgap1323")</f>
        <v/>
      </c>
      <c r="V1323" s="19" t="n"/>
      <c r="W1323" s="15" t="n">
        <v>1.857466086956522</v>
      </c>
      <c r="X1323" s="15" t="n">
        <v>0.8981542388708738</v>
      </c>
      <c r="Y1323" s="15" t="n">
        <v>0.3027157320474727</v>
      </c>
      <c r="Z1323" s="15" t="n">
        <v>0.01217626236209824</v>
      </c>
      <c r="AA1323" s="15" t="n">
        <v>5.950612946253277</v>
      </c>
      <c r="AB1323" s="15" t="n">
        <v>0.4776234946455644</v>
      </c>
      <c r="AC1323" s="15" t="n">
        <v>18.60250417057478</v>
      </c>
      <c r="AD1323" s="15" t="n">
        <v>65.12691016724779</v>
      </c>
      <c r="AE1323" s="15" t="n">
        <v>97.62585169256035</v>
      </c>
      <c r="AF1323" s="15" t="n">
        <v>129.8972876996659</v>
      </c>
      <c r="AH1323" s="42">
        <f>HIPERLINK($A$1 &amp; "\Dados\Magnet_fields_1323.txt.txt", "Magnet_fields_1323.txt")</f>
        <v/>
      </c>
      <c r="AI1323" t="n">
        <v>9139</v>
      </c>
      <c r="AJ1323" t="n">
        <v>30</v>
      </c>
      <c r="AK1323" s="42">
        <f>HIPERLINK($A$1 &amp; "\Dados\Magnet_3D_results_1323.txt.txt", "Magnet_3D_results_1323.txt")</f>
        <v/>
      </c>
      <c r="AL1323" s="42">
        <f>HIPERLINK($A$1 &amp; "\Dados\Magnet_fields_2D_1323.txt.txt", "Magnet_fields_2D_1323.txt")</f>
        <v/>
      </c>
    </row>
    <row r="1324">
      <c r="E1324" s="15" t="n">
        <v>149</v>
      </c>
      <c r="F1324" s="15" t="n">
        <v>185</v>
      </c>
      <c r="G1324" s="15" t="n">
        <v>416</v>
      </c>
      <c r="H1324" s="15" t="n">
        <v>35</v>
      </c>
      <c r="I1324" s="15" t="n">
        <v>172</v>
      </c>
      <c r="J1324" s="13" t="n">
        <v>25</v>
      </c>
      <c r="K1324" t="n">
        <v>55</v>
      </c>
      <c r="L1324" s="13" t="n">
        <v>2.6</v>
      </c>
      <c r="M1324" s="12" t="n"/>
      <c r="N1324" s="8" t="n">
        <v>1.59794275802726</v>
      </c>
      <c r="O1324" s="15" t="n">
        <v>1.39287558818265</v>
      </c>
      <c r="P1324" s="15" t="n">
        <v>1.54097115752085</v>
      </c>
      <c r="Q1324" s="15" t="n">
        <v>0.01126583170295917</v>
      </c>
      <c r="R1324" s="15" t="n">
        <v>0.05188441164055299</v>
      </c>
      <c r="S1324" s="15" t="n">
        <v>0.01102597427959979</v>
      </c>
      <c r="T1324" s="42">
        <f>HIPERLINK($A$1 &amp; "\Dados\Imagem_perfil_1324.png", "Imagem_perfil_1324")</f>
        <v/>
      </c>
      <c r="U1324" s="42">
        <f>HIPERLINK($A$1 &amp; "\Dados\Results_airgap1324.txt", "Results_airgap1324")</f>
        <v/>
      </c>
      <c r="V1324" s="19" t="n"/>
      <c r="W1324" s="15" t="n">
        <v>2.066525869565217</v>
      </c>
      <c r="X1324" s="15" t="n">
        <v>1.01227175251904</v>
      </c>
      <c r="Y1324" s="15" t="n">
        <v>0.167797676955024</v>
      </c>
      <c r="Z1324" s="15" t="n">
        <v>0.03204109007501005</v>
      </c>
      <c r="AA1324" s="15" t="n">
        <v>1.461519306134974</v>
      </c>
      <c r="AB1324" s="15" t="n">
        <v>0.2886109810055257</v>
      </c>
      <c r="AC1324" s="15" t="n">
        <v>10.40352601455279</v>
      </c>
      <c r="AD1324" s="15" t="n">
        <v>65.74409651454079</v>
      </c>
      <c r="AE1324" s="15" t="n">
        <v>99.24010290886959</v>
      </c>
      <c r="AF1324" s="15" t="n">
        <v>127.9372500927257</v>
      </c>
      <c r="AH1324" s="42">
        <f>HIPERLINK($A$1 &amp; "\Dados\Magnet_fields_1324.txt.txt", "Magnet_fields_1324.txt")</f>
        <v/>
      </c>
      <c r="AI1324" t="n">
        <v>11371</v>
      </c>
      <c r="AJ1324" t="n">
        <v>31</v>
      </c>
      <c r="AK1324" s="42">
        <f>HIPERLINK($A$1 &amp; "\Dados\Magnet_3D_results_1324.txt.txt", "Magnet_3D_results_1324.txt")</f>
        <v/>
      </c>
      <c r="AL1324" s="42">
        <f>HIPERLINK($A$1 &amp; "\Dados\Magnet_fields_2D_1324.txt.txt", "Magnet_fields_2D_1324.txt")</f>
        <v/>
      </c>
    </row>
    <row r="1325">
      <c r="E1325" s="15" t="n">
        <v>146</v>
      </c>
      <c r="F1325" s="15" t="n">
        <v>196</v>
      </c>
      <c r="G1325" s="15" t="n">
        <v>410</v>
      </c>
      <c r="H1325" s="15" t="n">
        <v>26</v>
      </c>
      <c r="I1325" s="15" t="n">
        <v>142</v>
      </c>
      <c r="J1325" s="13" t="n">
        <v>25</v>
      </c>
      <c r="K1325" t="n">
        <v>45</v>
      </c>
      <c r="L1325" s="13" t="n">
        <v>2.6</v>
      </c>
      <c r="M1325" s="12" t="n"/>
      <c r="N1325" s="8" t="n">
        <v>1.216104409815731</v>
      </c>
      <c r="O1325" s="15" t="n">
        <v>0.9490621848072113</v>
      </c>
      <c r="P1325" s="15" t="n">
        <v>1.136150802413791</v>
      </c>
      <c r="Q1325" s="15" t="n">
        <v>0.002273405326090698</v>
      </c>
      <c r="R1325" s="15" t="n">
        <v>0.03479481375792034</v>
      </c>
      <c r="S1325" s="15" t="n">
        <v>0.003415859662282577</v>
      </c>
      <c r="T1325" s="42">
        <f>HIPERLINK($A$1 &amp; "\Dados\Imagem_perfil_1325.png", "Imagem_perfil_1325")</f>
        <v/>
      </c>
      <c r="U1325" s="42">
        <f>HIPERLINK($A$1 &amp; "\Dados\Results_airgap1325.txt", "Results_airgap1325")</f>
        <v/>
      </c>
      <c r="V1325" s="19" t="n"/>
      <c r="W1325" s="15" t="n">
        <v>1.698149347826087</v>
      </c>
      <c r="X1325" s="15" t="n">
        <v>0.7922411615430009</v>
      </c>
      <c r="Y1325" s="15" t="n">
        <v>0.5867982687095274</v>
      </c>
      <c r="Z1325" s="15" t="n">
        <v>0</v>
      </c>
      <c r="AA1325" s="15" t="n">
        <v>3.50992105255142</v>
      </c>
      <c r="AB1325" s="15" t="n">
        <v>1.252326373408075</v>
      </c>
      <c r="AC1325" s="15" t="n">
        <v>9.256481474095796</v>
      </c>
      <c r="AD1325" s="15" t="n">
        <v>42.03618799208504</v>
      </c>
      <c r="AE1325" s="15" t="n">
        <v>85.23514676565182</v>
      </c>
      <c r="AF1325" s="15" t="n">
        <v>117.9092270665478</v>
      </c>
      <c r="AH1325" s="42">
        <f>HIPERLINK($A$1 &amp; "\Dados\Magnet_fields_1325.txt.txt", "Magnet_fields_1325.txt")</f>
        <v/>
      </c>
      <c r="AI1325" t="n">
        <v>8604</v>
      </c>
      <c r="AJ1325" t="n">
        <v>30</v>
      </c>
      <c r="AK1325" s="42">
        <f>HIPERLINK($A$1 &amp; "\Dados\Magnet_3D_results_1325.txt.txt", "Magnet_3D_results_1325.txt")</f>
        <v/>
      </c>
      <c r="AL1325" s="42">
        <f>HIPERLINK($A$1 &amp; "\Dados\Magnet_fields_2D_1325.txt.txt", "Magnet_fields_2D_1325.txt")</f>
        <v/>
      </c>
    </row>
    <row r="1326">
      <c r="E1326" s="15" t="n">
        <v>122</v>
      </c>
      <c r="F1326" s="15" t="n">
        <v>171</v>
      </c>
      <c r="G1326" s="15" t="n">
        <v>377</v>
      </c>
      <c r="H1326" s="15" t="n">
        <v>36</v>
      </c>
      <c r="I1326" s="15" t="n">
        <v>178</v>
      </c>
      <c r="J1326" s="13" t="n">
        <v>25</v>
      </c>
      <c r="K1326" t="n">
        <v>55</v>
      </c>
      <c r="L1326" s="13" t="n">
        <v>2.6</v>
      </c>
      <c r="M1326" s="12" t="n"/>
      <c r="N1326" s="8" t="n">
        <v>1.435528493854005</v>
      </c>
      <c r="O1326" s="15" t="n">
        <v>1.257025502125988</v>
      </c>
      <c r="P1326" s="15" t="n">
        <v>1.379781796668853</v>
      </c>
      <c r="Q1326" s="15" t="n">
        <v>0.0181993010095028</v>
      </c>
      <c r="R1326" s="15" t="n">
        <v>0.05806918093903216</v>
      </c>
      <c r="S1326" s="15" t="n">
        <v>0.01867014692981035</v>
      </c>
      <c r="T1326" s="42">
        <f>HIPERLINK($A$1 &amp; "\Dados\Imagem_perfil_1326.png", "Imagem_perfil_1326")</f>
        <v/>
      </c>
      <c r="U1326" s="42">
        <f>HIPERLINK($A$1 &amp; "\Dados\Results_airgap1326.txt", "Results_airgap1326")</f>
        <v/>
      </c>
      <c r="V1326" s="19" t="n"/>
      <c r="W1326" s="15" t="n">
        <v>1.836210652173913</v>
      </c>
      <c r="X1326" s="15" t="n">
        <v>0.8860319581173113</v>
      </c>
      <c r="Y1326" s="15" t="n">
        <v>0.4046608737541178</v>
      </c>
      <c r="Z1326" s="15" t="n">
        <v>0.003328336335748468</v>
      </c>
      <c r="AA1326" s="15" t="n">
        <v>0.01052573760379334</v>
      </c>
      <c r="AB1326" s="15" t="n">
        <v>3.066281790077165</v>
      </c>
      <c r="AC1326" s="15" t="n">
        <v>20.73203427572017</v>
      </c>
      <c r="AD1326" s="15" t="n">
        <v>60.35307750471529</v>
      </c>
      <c r="AE1326" s="15" t="n">
        <v>93.85925716496484</v>
      </c>
      <c r="AF1326" s="15" t="n">
        <v>125.9627509285417</v>
      </c>
      <c r="AH1326" s="42">
        <f>HIPERLINK($A$1 &amp; "\Dados\Magnet_fields_1326.txt.txt", "Magnet_fields_1326.txt")</f>
        <v/>
      </c>
      <c r="AI1326" t="n">
        <v>11930</v>
      </c>
      <c r="AJ1326" t="n">
        <v>31</v>
      </c>
      <c r="AK1326" s="42">
        <f>HIPERLINK($A$1 &amp; "\Dados\Magnet_3D_results_1326.txt.txt", "Magnet_3D_results_1326.txt")</f>
        <v/>
      </c>
      <c r="AL1326" s="42">
        <f>HIPERLINK($A$1 &amp; "\Dados\Magnet_fields_2D_1326.txt.txt", "Magnet_fields_2D_1326.txt")</f>
        <v/>
      </c>
    </row>
    <row r="1327">
      <c r="E1327" s="15" t="n">
        <v>132</v>
      </c>
      <c r="F1327" s="15" t="n">
        <v>182</v>
      </c>
      <c r="G1327" s="15" t="n">
        <v>357</v>
      </c>
      <c r="H1327" s="15" t="n">
        <v>37</v>
      </c>
      <c r="I1327" s="15" t="n">
        <v>149</v>
      </c>
      <c r="J1327" s="13" t="n">
        <v>25</v>
      </c>
      <c r="K1327" t="n">
        <v>40</v>
      </c>
      <c r="L1327" s="13" t="n">
        <v>2.6</v>
      </c>
      <c r="M1327" s="12" t="n"/>
      <c r="N1327" s="8" t="n">
        <v>1.157179152852534</v>
      </c>
      <c r="O1327" s="15" t="n">
        <v>0.9294659671785301</v>
      </c>
      <c r="P1327" s="15" t="n">
        <v>1.090303233901036</v>
      </c>
      <c r="Q1327" s="15" t="n">
        <v>0.001388965697071015</v>
      </c>
      <c r="R1327" s="15" t="n">
        <v>0.02806191938751899</v>
      </c>
      <c r="S1327" s="15" t="n">
        <v>0.002165974526354615</v>
      </c>
      <c r="T1327" s="42">
        <f>HIPERLINK($A$1 &amp; "\Dados\Imagem_perfil_1327.png", "Imagem_perfil_1327")</f>
        <v/>
      </c>
      <c r="U1327" s="42">
        <f>HIPERLINK($A$1 &amp; "\Dados\Results_airgap1327.txt", "Results_airgap1327")</f>
        <v/>
      </c>
      <c r="V1327" s="19" t="n"/>
      <c r="W1327" s="15" t="n">
        <v>1.485725217391304</v>
      </c>
      <c r="X1327" s="15" t="n">
        <v>0.7259848934743371</v>
      </c>
      <c r="Y1327" s="15" t="n">
        <v>0.9478737356107179</v>
      </c>
      <c r="Z1327" s="15" t="n">
        <v>0.03012686713195486</v>
      </c>
      <c r="AA1327" s="15" t="n">
        <v>0.006260559699365259</v>
      </c>
      <c r="AB1327" s="15" t="n">
        <v>2.150353082282315</v>
      </c>
      <c r="AC1327" s="15" t="n">
        <v>10.26419700801597</v>
      </c>
      <c r="AD1327" s="15" t="n">
        <v>33.25606204521086</v>
      </c>
      <c r="AE1327" s="15" t="n">
        <v>73.12416722429313</v>
      </c>
      <c r="AF1327" s="15" t="n">
        <v>111.2542906435365</v>
      </c>
      <c r="AH1327" s="42">
        <f>HIPERLINK($A$1 &amp; "\Dados\Magnet_fields_1327.txt.txt", "Magnet_fields_1327.txt")</f>
        <v/>
      </c>
      <c r="AI1327" t="n">
        <v>7279</v>
      </c>
      <c r="AJ1327" t="n">
        <v>29</v>
      </c>
      <c r="AK1327" s="42">
        <f>HIPERLINK($A$1 &amp; "\Dados\Magnet_3D_results_1327.txt.txt", "Magnet_3D_results_1327.txt")</f>
        <v/>
      </c>
      <c r="AL1327" s="42">
        <f>HIPERLINK($A$1 &amp; "\Dados\Magnet_fields_2D_1327.txt.txt", "Magnet_fields_2D_1327.txt")</f>
        <v/>
      </c>
    </row>
    <row r="1328">
      <c r="E1328" s="15" t="n">
        <v>123</v>
      </c>
      <c r="F1328" s="15" t="n">
        <v>170</v>
      </c>
      <c r="G1328" s="15" t="n">
        <v>377</v>
      </c>
      <c r="H1328" s="15" t="n">
        <v>30</v>
      </c>
      <c r="I1328" s="15" t="n">
        <v>151</v>
      </c>
      <c r="J1328" s="13" t="n">
        <v>25</v>
      </c>
      <c r="K1328" t="n">
        <v>55</v>
      </c>
      <c r="L1328" s="13" t="n">
        <v>2.6</v>
      </c>
      <c r="M1328" s="12" t="n"/>
      <c r="N1328" s="8" t="n">
        <v>1.359406851070256</v>
      </c>
      <c r="O1328" s="15" t="n">
        <v>1.101533614069016</v>
      </c>
      <c r="P1328" s="15" t="n">
        <v>1.278140373699574</v>
      </c>
      <c r="Q1328" s="15" t="n">
        <v>0.01513272610632647</v>
      </c>
      <c r="R1328" s="15" t="n">
        <v>0.05261560735714621</v>
      </c>
      <c r="S1328" s="15" t="n">
        <v>0.0158101683671947</v>
      </c>
      <c r="T1328" s="42">
        <f>HIPERLINK($A$1 &amp; "\Dados\Imagem_perfil_1328.png", "Imagem_perfil_1328")</f>
        <v/>
      </c>
      <c r="U1328" s="42">
        <f>HIPERLINK($A$1 &amp; "\Dados\Results_airgap1328.txt", "Results_airgap1328")</f>
        <v/>
      </c>
      <c r="V1328" s="19" t="n"/>
      <c r="W1328" s="15" t="n">
        <v>1.850211739130434</v>
      </c>
      <c r="X1328" s="15" t="n">
        <v>0.8699756642109349</v>
      </c>
      <c r="Y1328" s="15" t="n">
        <v>0.3939472864619898</v>
      </c>
      <c r="Z1328" s="15" t="n">
        <v>0.0009931455894160656</v>
      </c>
      <c r="AA1328" s="15" t="n">
        <v>0.9408999638363839</v>
      </c>
      <c r="AB1328" s="15" t="n">
        <v>1.811670075421373</v>
      </c>
      <c r="AC1328" s="15" t="n">
        <v>15.9679963905427</v>
      </c>
      <c r="AD1328" s="15" t="n">
        <v>58.83985367104938</v>
      </c>
      <c r="AE1328" s="15" t="n">
        <v>94.98881634875987</v>
      </c>
      <c r="AF1328" s="15" t="n">
        <v>126.4581847797916</v>
      </c>
      <c r="AH1328" s="42">
        <f>HIPERLINK($A$1 &amp; "\Dados\Magnet_fields_1328.txt.txt", "Magnet_fields_1328.txt")</f>
        <v/>
      </c>
      <c r="AI1328" t="n">
        <v>11920</v>
      </c>
      <c r="AJ1328" t="n">
        <v>31</v>
      </c>
      <c r="AK1328" s="42">
        <f>HIPERLINK($A$1 &amp; "\Dados\Magnet_3D_results_1328.txt.txt", "Magnet_3D_results_1328.txt")</f>
        <v/>
      </c>
      <c r="AL1328" s="42">
        <f>HIPERLINK($A$1 &amp; "\Dados\Magnet_fields_2D_1328.txt.txt", "Magnet_fields_2D_1328.txt")</f>
        <v/>
      </c>
    </row>
    <row r="1329">
      <c r="E1329" s="15" t="n">
        <v>143</v>
      </c>
      <c r="F1329" s="15" t="n">
        <v>188</v>
      </c>
      <c r="G1329" s="15" t="n">
        <v>394</v>
      </c>
      <c r="H1329" s="15" t="n">
        <v>36</v>
      </c>
      <c r="I1329" s="15" t="n">
        <v>158</v>
      </c>
      <c r="J1329" s="13" t="n">
        <v>25</v>
      </c>
      <c r="K1329" t="n">
        <v>40</v>
      </c>
      <c r="L1329" s="13" t="n">
        <v>2.6</v>
      </c>
      <c r="M1329" s="12" t="n"/>
      <c r="N1329" s="8" t="n">
        <v>1.310025837506662</v>
      </c>
      <c r="O1329" s="15" t="n">
        <v>1.092846053155255</v>
      </c>
      <c r="P1329" s="15" t="n">
        <v>1.250800337307709</v>
      </c>
      <c r="Q1329" s="15" t="n">
        <v>0.001167242001541385</v>
      </c>
      <c r="R1329" s="15" t="n">
        <v>0.0317436282820425</v>
      </c>
      <c r="S1329" s="15" t="n">
        <v>0.001525224923042104</v>
      </c>
      <c r="T1329" s="42">
        <f>HIPERLINK($A$1 &amp; "\Dados\Imagem_perfil_1329.png", "Imagem_perfil_1329")</f>
        <v/>
      </c>
      <c r="U1329" s="42">
        <f>HIPERLINK($A$1 &amp; "\Dados\Results_airgap1329.txt", "Results_airgap1329")</f>
        <v/>
      </c>
      <c r="V1329" s="19" t="n"/>
      <c r="W1329" s="15" t="n">
        <v>1.674005217391304</v>
      </c>
      <c r="X1329" s="15" t="n">
        <v>0.8136562069200894</v>
      </c>
      <c r="Y1329" s="15" t="n">
        <v>0.6279359531552683</v>
      </c>
      <c r="Z1329" s="15" t="n">
        <v>0.001107778533520509</v>
      </c>
      <c r="AA1329" s="15" t="n">
        <v>0.007454069320207921</v>
      </c>
      <c r="AB1329" s="15" t="n">
        <v>1.170998528975329</v>
      </c>
      <c r="AC1329" s="15" t="n">
        <v>8.24320183172062</v>
      </c>
      <c r="AD1329" s="15" t="n">
        <v>37.89249131844947</v>
      </c>
      <c r="AE1329" s="15" t="n">
        <v>81.84909787067103</v>
      </c>
      <c r="AF1329" s="15" t="n">
        <v>114.2227033691628</v>
      </c>
      <c r="AH1329" s="42">
        <f>HIPERLINK($A$1 &amp; "\Dados\Magnet_fields_1329.txt.txt", "Magnet_fields_1329.txt")</f>
        <v/>
      </c>
      <c r="AI1329" t="n">
        <v>7860</v>
      </c>
      <c r="AJ1329" t="n">
        <v>29</v>
      </c>
      <c r="AK1329" s="42">
        <f>HIPERLINK($A$1 &amp; "\Dados\Magnet_3D_results_1329.txt.txt", "Magnet_3D_results_1329.txt")</f>
        <v/>
      </c>
      <c r="AL1329" s="42">
        <f>HIPERLINK($A$1 &amp; "\Dados\Magnet_fields_2D_1329.txt.txt", "Magnet_fields_2D_1329.txt")</f>
        <v/>
      </c>
    </row>
    <row r="1330">
      <c r="E1330" s="15" t="n">
        <v>126</v>
      </c>
      <c r="F1330" s="15" t="n">
        <v>175</v>
      </c>
      <c r="G1330" s="15" t="n">
        <v>365</v>
      </c>
      <c r="H1330" s="15" t="n">
        <v>28</v>
      </c>
      <c r="I1330" s="15" t="n">
        <v>172</v>
      </c>
      <c r="J1330" s="13" t="n">
        <v>25</v>
      </c>
      <c r="K1330" t="n">
        <v>55</v>
      </c>
      <c r="L1330" s="13" t="n">
        <v>2.6</v>
      </c>
      <c r="M1330" s="12" t="n"/>
      <c r="N1330" s="8" t="n">
        <v>1.345282672233725</v>
      </c>
      <c r="O1330" s="15" t="n">
        <v>1.162125858380755</v>
      </c>
      <c r="P1330" s="15" t="n">
        <v>1.289030045526512</v>
      </c>
      <c r="Q1330" s="15" t="n">
        <v>0.01477210249465076</v>
      </c>
      <c r="R1330" s="15" t="n">
        <v>0.04606935351222198</v>
      </c>
      <c r="S1330" s="15" t="n">
        <v>0.01490690073093801</v>
      </c>
      <c r="T1330" s="42">
        <f>HIPERLINK($A$1 &amp; "\Dados\Imagem_perfil_1330.png", "Imagem_perfil_1330")</f>
        <v/>
      </c>
      <c r="U1330" s="42">
        <f>HIPERLINK($A$1 &amp; "\Dados\Results_airgap1330.txt", "Results_airgap1330")</f>
        <v/>
      </c>
      <c r="V1330" s="19" t="n"/>
      <c r="W1330" s="15" t="n">
        <v>1.736422391304348</v>
      </c>
      <c r="X1330" s="15" t="n">
        <v>0.850505130002488</v>
      </c>
      <c r="Y1330" s="15" t="n">
        <v>0.4977102749595689</v>
      </c>
      <c r="Z1330" s="15" t="n">
        <v>0.01403769836291984</v>
      </c>
      <c r="AA1330" s="15" t="n">
        <v>3.431175823857418</v>
      </c>
      <c r="AB1330" s="15" t="n">
        <v>1.932014534873045</v>
      </c>
      <c r="AC1330" s="15" t="n">
        <v>15.509851961026</v>
      </c>
      <c r="AD1330" s="15" t="n">
        <v>56.19813236396516</v>
      </c>
      <c r="AE1330" s="15" t="n">
        <v>92.80387542914103</v>
      </c>
      <c r="AF1330" s="15" t="n">
        <v>125.4065580050848</v>
      </c>
      <c r="AH1330" s="42">
        <f>HIPERLINK($A$1 &amp; "\Dados\Magnet_fields_1330.txt.txt", "Magnet_fields_1330.txt")</f>
        <v/>
      </c>
      <c r="AI1330" t="n">
        <v>12496</v>
      </c>
      <c r="AJ1330" t="n">
        <v>32</v>
      </c>
      <c r="AK1330" s="42">
        <f>HIPERLINK($A$1 &amp; "\Dados\Magnet_3D_results_1330.txt.txt", "Magnet_3D_results_1330.txt")</f>
        <v/>
      </c>
      <c r="AL1330" s="42">
        <f>HIPERLINK($A$1 &amp; "\Dados\Magnet_fields_2D_1330.txt.txt", "Magnet_fields_2D_1330.txt")</f>
        <v/>
      </c>
    </row>
    <row r="1331">
      <c r="E1331" s="15" t="n">
        <v>148</v>
      </c>
      <c r="F1331" s="15" t="n">
        <v>185</v>
      </c>
      <c r="G1331" s="15" t="n">
        <v>413</v>
      </c>
      <c r="H1331" s="15" t="n">
        <v>40</v>
      </c>
      <c r="I1331" s="15" t="n">
        <v>140</v>
      </c>
      <c r="J1331" s="13" t="n">
        <v>25</v>
      </c>
      <c r="K1331" t="n">
        <v>45</v>
      </c>
      <c r="L1331" s="13" t="n">
        <v>2.6</v>
      </c>
      <c r="M1331" s="12" t="n"/>
      <c r="N1331" s="8" t="n">
        <v>1.447319294455571</v>
      </c>
      <c r="O1331" s="15" t="n">
        <v>1.113721599090357</v>
      </c>
      <c r="P1331" s="15" t="n">
        <v>1.350257534733935</v>
      </c>
      <c r="Q1331" s="15" t="n">
        <v>0.003073486866656784</v>
      </c>
      <c r="R1331" s="15" t="n">
        <v>0.03731517869799499</v>
      </c>
      <c r="S1331" s="15" t="n">
        <v>0.00361689208637264</v>
      </c>
      <c r="T1331" s="42">
        <f>HIPERLINK($A$1 &amp; "\Dados\Imagem_perfil_1331.png", "Imagem_perfil_1331")</f>
        <v/>
      </c>
      <c r="U1331" s="42">
        <f>HIPERLINK($A$1 &amp; "\Dados\Results_airgap1331.txt", "Results_airgap1331")</f>
        <v/>
      </c>
      <c r="V1331" s="19" t="n"/>
      <c r="W1331" s="15" t="n">
        <v>1.93663152173913</v>
      </c>
      <c r="X1331" s="15" t="n">
        <v>0.9493016813665593</v>
      </c>
      <c r="Y1331" s="15" t="n">
        <v>0.3330400179300363</v>
      </c>
      <c r="Z1331" s="15" t="n">
        <v>0</v>
      </c>
      <c r="AA1331" s="15" t="n">
        <v>0.1129082882658111</v>
      </c>
      <c r="AB1331" s="15" t="n">
        <v>0.6245481044165819</v>
      </c>
      <c r="AC1331" s="15" t="n">
        <v>7.859725362563041</v>
      </c>
      <c r="AD1331" s="15" t="n">
        <v>41.00066665829524</v>
      </c>
      <c r="AE1331" s="15" t="n">
        <v>84.47736904169803</v>
      </c>
      <c r="AF1331" s="15" t="n">
        <v>117.8765691367547</v>
      </c>
      <c r="AH1331" s="42">
        <f>HIPERLINK($A$1 &amp; "\Dados\Magnet_fields_1331.txt.txt", "Magnet_fields_1331.txt")</f>
        <v/>
      </c>
      <c r="AI1331" t="n">
        <v>6803</v>
      </c>
      <c r="AJ1331" t="n">
        <v>29</v>
      </c>
      <c r="AK1331" s="42">
        <f>HIPERLINK($A$1 &amp; "\Dados\Magnet_3D_results_1331.txt.txt", "Magnet_3D_results_1331.txt")</f>
        <v/>
      </c>
      <c r="AL1331" s="42">
        <f>HIPERLINK($A$1 &amp; "\Dados\Magnet_fields_2D_1331.txt.txt", "Magnet_fields_2D_1331.txt")</f>
        <v/>
      </c>
    </row>
    <row r="1332">
      <c r="E1332" s="15" t="n">
        <v>124</v>
      </c>
      <c r="F1332" s="15" t="n">
        <v>173</v>
      </c>
      <c r="G1332" s="15" t="n">
        <v>411</v>
      </c>
      <c r="H1332" s="15" t="n">
        <v>40</v>
      </c>
      <c r="I1332" s="15" t="n">
        <v>167</v>
      </c>
      <c r="J1332" s="13" t="n">
        <v>25</v>
      </c>
      <c r="K1332" t="n">
        <v>45</v>
      </c>
      <c r="L1332" s="13" t="n">
        <v>2.6</v>
      </c>
      <c r="M1332" s="12" t="n"/>
      <c r="N1332" s="8" t="n">
        <v>1.382020516921558</v>
      </c>
      <c r="O1332" s="15" t="n">
        <v>1.191668346617431</v>
      </c>
      <c r="P1332" s="15" t="n">
        <v>1.321937843358518</v>
      </c>
      <c r="Q1332" s="15" t="n">
        <v>0.004396304527969952</v>
      </c>
      <c r="R1332" s="15" t="n">
        <v>0.05254986507881956</v>
      </c>
      <c r="S1332" s="15" t="n">
        <v>0.004929587419343038</v>
      </c>
      <c r="T1332" s="42">
        <f>HIPERLINK($A$1 &amp; "\Dados\Imagem_perfil_1332.png", "Imagem_perfil_1332")</f>
        <v/>
      </c>
      <c r="U1332" s="42">
        <f>HIPERLINK($A$1 &amp; "\Dados\Results_airgap1332.txt", "Results_airgap1332")</f>
        <v/>
      </c>
      <c r="V1332" s="19" t="n"/>
      <c r="W1332" s="15" t="n">
        <v>1.812222391304347</v>
      </c>
      <c r="X1332" s="15" t="n">
        <v>0.8903445805621266</v>
      </c>
      <c r="Y1332" s="15" t="n">
        <v>0.5007076710402961</v>
      </c>
      <c r="Z1332" s="15" t="n">
        <v>0</v>
      </c>
      <c r="AA1332" s="15" t="n">
        <v>0</v>
      </c>
      <c r="AB1332" s="15" t="n">
        <v>2.816013017660792</v>
      </c>
      <c r="AC1332" s="15" t="n">
        <v>13.9495685902912</v>
      </c>
      <c r="AD1332" s="15" t="n">
        <v>46.95983556574233</v>
      </c>
      <c r="AE1332" s="15" t="n">
        <v>87.9395771649894</v>
      </c>
      <c r="AF1332" s="15" t="n">
        <v>119.2100682434231</v>
      </c>
      <c r="AH1332" s="42">
        <f>HIPERLINK($A$1 &amp; "\Dados\Magnet_fields_1332.txt.txt", "Magnet_fields_1332.txt")</f>
        <v/>
      </c>
      <c r="AI1332" t="n">
        <v>7058</v>
      </c>
      <c r="AJ1332" t="n">
        <v>29</v>
      </c>
      <c r="AK1332" s="42">
        <f>HIPERLINK($A$1 &amp; "\Dados\Magnet_3D_results_1332.txt.txt", "Magnet_3D_results_1332.txt")</f>
        <v/>
      </c>
      <c r="AL1332" s="42">
        <f>HIPERLINK($A$1 &amp; "\Dados\Magnet_fields_2D_1332.txt.txt", "Magnet_fields_2D_1332.txt")</f>
        <v/>
      </c>
    </row>
    <row r="1333">
      <c r="E1333" s="15" t="n">
        <v>146</v>
      </c>
      <c r="F1333" s="15" t="n">
        <v>196</v>
      </c>
      <c r="G1333" s="15" t="n">
        <v>398</v>
      </c>
      <c r="H1333" s="15" t="n">
        <v>40</v>
      </c>
      <c r="I1333" s="15" t="n">
        <v>166</v>
      </c>
      <c r="J1333" s="13" t="n">
        <v>25</v>
      </c>
      <c r="K1333" t="n">
        <v>40</v>
      </c>
      <c r="L1333" s="13" t="n">
        <v>2.6</v>
      </c>
      <c r="M1333" s="12" t="n"/>
      <c r="N1333" s="8" t="n">
        <v>1.240497187794925</v>
      </c>
      <c r="O1333" s="15" t="n">
        <v>1.056320202566634</v>
      </c>
      <c r="P1333" s="15" t="n">
        <v>1.18530506152062</v>
      </c>
      <c r="Q1333" s="15" t="n">
        <v>0.001177750561127439</v>
      </c>
      <c r="R1333" s="15" t="n">
        <v>0.0310805491578227</v>
      </c>
      <c r="S1333" s="15" t="n">
        <v>0.001535134189820118</v>
      </c>
      <c r="T1333" s="42">
        <f>HIPERLINK($A$1 &amp; "\Dados\Imagem_perfil_1333.png", "Imagem_perfil_1333")</f>
        <v/>
      </c>
      <c r="U1333" s="42">
        <f>HIPERLINK($A$1 &amp; "\Dados\Results_airgap1333.txt", "Results_airgap1333")</f>
        <v/>
      </c>
      <c r="V1333" s="19" t="n"/>
      <c r="W1333" s="15" t="n">
        <v>1.575550217391305</v>
      </c>
      <c r="X1333" s="15" t="n">
        <v>0.7714079465948427</v>
      </c>
      <c r="Y1333" s="15" t="n">
        <v>0.7961022068300728</v>
      </c>
      <c r="Z1333" s="15" t="n">
        <v>0.01684238565417081</v>
      </c>
      <c r="AA1333" s="15" t="n">
        <v>0.009784966173383432</v>
      </c>
      <c r="AB1333" s="15" t="n">
        <v>1.579749219443885</v>
      </c>
      <c r="AC1333" s="15" t="n">
        <v>8.468345242348331</v>
      </c>
      <c r="AD1333" s="15" t="n">
        <v>32.63756701499889</v>
      </c>
      <c r="AE1333" s="15" t="n">
        <v>76.12785778744029</v>
      </c>
      <c r="AF1333" s="15" t="n">
        <v>112.8908372113767</v>
      </c>
      <c r="AH1333" s="42">
        <f>HIPERLINK($A$1 &amp; "\Dados\Magnet_fields_1333.txt.txt", "Magnet_fields_1333.txt")</f>
        <v/>
      </c>
      <c r="AI1333" t="n">
        <v>7193</v>
      </c>
      <c r="AJ1333" t="n">
        <v>28</v>
      </c>
      <c r="AK1333" s="42">
        <f>HIPERLINK($A$1 &amp; "\Dados\Magnet_3D_results_1333.txt.txt", "Magnet_3D_results_1333.txt")</f>
        <v/>
      </c>
      <c r="AL1333" s="42">
        <f>HIPERLINK($A$1 &amp; "\Dados\Magnet_fields_2D_1333.txt.txt", "Magnet_fields_2D_1333.txt")</f>
        <v/>
      </c>
    </row>
    <row r="1334">
      <c r="E1334" s="15" t="n">
        <v>128</v>
      </c>
      <c r="F1334" s="15" t="n">
        <v>174</v>
      </c>
      <c r="G1334" s="15" t="n">
        <v>399</v>
      </c>
      <c r="H1334" s="15" t="n">
        <v>40</v>
      </c>
      <c r="I1334" s="15" t="n">
        <v>167</v>
      </c>
      <c r="J1334" s="13" t="n">
        <v>25</v>
      </c>
      <c r="K1334" t="n">
        <v>45</v>
      </c>
      <c r="L1334" s="13" t="n">
        <v>2.6</v>
      </c>
      <c r="M1334" s="12" t="n"/>
      <c r="N1334" s="8" t="n">
        <v>1.396508034914638</v>
      </c>
      <c r="O1334" s="15" t="n">
        <v>1.183605000161728</v>
      </c>
      <c r="P1334" s="15" t="n">
        <v>1.333473092772948</v>
      </c>
      <c r="Q1334" s="15" t="n">
        <v>0.003470300917973059</v>
      </c>
      <c r="R1334" s="15" t="n">
        <v>0.04662787985639609</v>
      </c>
      <c r="S1334" s="15" t="n">
        <v>0.003910841033981341</v>
      </c>
      <c r="T1334" s="42">
        <f>HIPERLINK($A$1 &amp; "\Dados\Imagem_perfil_1334.png", "Imagem_perfil_1334")</f>
        <v/>
      </c>
      <c r="U1334" s="42">
        <f>HIPERLINK($A$1 &amp; "\Dados\Results_airgap1334.txt", "Results_airgap1334")</f>
        <v/>
      </c>
      <c r="V1334" s="19" t="n"/>
      <c r="W1334" s="15" t="n">
        <v>1.802209130434783</v>
      </c>
      <c r="X1334" s="15" t="n">
        <v>0.8925607167518763</v>
      </c>
      <c r="Y1334" s="15" t="n">
        <v>0.5115640429593457</v>
      </c>
      <c r="Z1334" s="15" t="n">
        <v>0</v>
      </c>
      <c r="AA1334" s="15" t="n">
        <v>0</v>
      </c>
      <c r="AB1334" s="15" t="n">
        <v>1.995302441631464</v>
      </c>
      <c r="AC1334" s="15" t="n">
        <v>11.20061510424257</v>
      </c>
      <c r="AD1334" s="15" t="n">
        <v>42.77148380621674</v>
      </c>
      <c r="AE1334" s="15" t="n">
        <v>86.22634732799483</v>
      </c>
      <c r="AF1334" s="15" t="n">
        <v>118.9065411526236</v>
      </c>
      <c r="AH1334" s="42">
        <f>HIPERLINK($A$1 &amp; "\Dados\Magnet_fields_1334.txt.txt", "Magnet_fields_1334.txt")</f>
        <v/>
      </c>
      <c r="AI1334" t="n">
        <v>6439</v>
      </c>
      <c r="AJ1334" t="n">
        <v>29</v>
      </c>
      <c r="AK1334" s="42">
        <f>HIPERLINK($A$1 &amp; "\Dados\Magnet_3D_results_1334.txt.txt", "Magnet_3D_results_1334.txt")</f>
        <v/>
      </c>
      <c r="AL1334" s="42">
        <f>HIPERLINK($A$1 &amp; "\Dados\Magnet_fields_2D_1334.txt.txt", "Magnet_fields_2D_1334.txt")</f>
        <v/>
      </c>
    </row>
    <row r="1335">
      <c r="E1335" s="15" t="n">
        <v>146</v>
      </c>
      <c r="F1335" s="15" t="n">
        <v>190</v>
      </c>
      <c r="G1335" s="15" t="n">
        <v>367</v>
      </c>
      <c r="H1335" s="15" t="n">
        <v>35</v>
      </c>
      <c r="I1335" s="15" t="n">
        <v>161</v>
      </c>
      <c r="J1335" s="13" t="n">
        <v>25</v>
      </c>
      <c r="K1335" t="n">
        <v>45</v>
      </c>
      <c r="L1335" s="13" t="n">
        <v>2.6</v>
      </c>
      <c r="M1335" s="12" t="n"/>
      <c r="N1335" s="8" t="n">
        <v>1.279921907380525</v>
      </c>
      <c r="O1335" s="15" t="n">
        <v>1.087491016772171</v>
      </c>
      <c r="P1335" s="15" t="n">
        <v>1.234304421892921</v>
      </c>
      <c r="Q1335" s="15" t="n">
        <v>0.001718585868884863</v>
      </c>
      <c r="R1335" s="15" t="n">
        <v>0.0286126382260904</v>
      </c>
      <c r="S1335" s="15" t="n">
        <v>0.002088316609892218</v>
      </c>
      <c r="T1335" s="42">
        <f>HIPERLINK($A$1 &amp; "\Dados\Imagem_perfil_1335.png", "Imagem_perfil_1335")</f>
        <v/>
      </c>
      <c r="U1335" s="42">
        <f>HIPERLINK($A$1 &amp; "\Dados\Results_airgap1335.txt", "Results_airgap1335")</f>
        <v/>
      </c>
      <c r="V1335" s="19" t="n"/>
      <c r="W1335" s="15" t="n">
        <v>1.626603478260869</v>
      </c>
      <c r="X1335" s="15" t="n">
        <v>0.8005152420263707</v>
      </c>
      <c r="Y1335" s="15" t="n">
        <v>0.6238159928941026</v>
      </c>
      <c r="Z1335" s="15" t="n">
        <v>0</v>
      </c>
      <c r="AA1335" s="15" t="n">
        <v>0.9131034465582751</v>
      </c>
      <c r="AB1335" s="15" t="n">
        <v>0</v>
      </c>
      <c r="AC1335" s="15" t="n">
        <v>5.348601527854692</v>
      </c>
      <c r="AD1335" s="15" t="n">
        <v>38.95645814913202</v>
      </c>
      <c r="AE1335" s="15" t="n">
        <v>84.67746413156983</v>
      </c>
      <c r="AF1335" s="15" t="n">
        <v>117.3454105979346</v>
      </c>
      <c r="AH1335" s="42">
        <f>HIPERLINK($A$1 &amp; "\Dados\Magnet_fields_1335.txt.txt", "Magnet_fields_1335.txt")</f>
        <v/>
      </c>
      <c r="AI1335" t="n">
        <v>7242</v>
      </c>
      <c r="AJ1335" t="n">
        <v>28</v>
      </c>
      <c r="AK1335" s="42">
        <f>HIPERLINK($A$1 &amp; "\Dados\Magnet_3D_results_1335.txt.txt", "Magnet_3D_results_1335.txt")</f>
        <v/>
      </c>
      <c r="AL1335" s="42">
        <f>HIPERLINK($A$1 &amp; "\Dados\Magnet_fields_2D_1335.txt.txt", "Magnet_fields_2D_1335.txt")</f>
        <v/>
      </c>
    </row>
    <row r="1336">
      <c r="E1336" s="15" t="n">
        <v>128</v>
      </c>
      <c r="F1336" s="15" t="n">
        <v>170</v>
      </c>
      <c r="G1336" s="15" t="n">
        <v>362</v>
      </c>
      <c r="H1336" s="15" t="n">
        <v>38</v>
      </c>
      <c r="I1336" s="15" t="n">
        <v>163</v>
      </c>
      <c r="J1336" s="13" t="n">
        <v>25</v>
      </c>
      <c r="K1336" t="n">
        <v>50</v>
      </c>
      <c r="L1336" s="13" t="n">
        <v>2.6</v>
      </c>
      <c r="M1336" s="12" t="n"/>
      <c r="N1336" s="8" t="n">
        <v>1.423345280871114</v>
      </c>
      <c r="O1336" s="15" t="n">
        <v>1.199386751802774</v>
      </c>
      <c r="P1336" s="15" t="n">
        <v>1.367290369662814</v>
      </c>
      <c r="Q1336" s="15" t="n">
        <v>0.005838253382965702</v>
      </c>
      <c r="R1336" s="15" t="n">
        <v>0.04225517884316653</v>
      </c>
      <c r="S1336" s="15" t="n">
        <v>0.006212602553768477</v>
      </c>
      <c r="T1336" s="42">
        <f>HIPERLINK($A$1 &amp; "\Dados\Imagem_perfil_1336.png", "Imagem_perfil_1336")</f>
        <v/>
      </c>
      <c r="U1336" s="42">
        <f>HIPERLINK($A$1 &amp; "\Dados\Results_airgap1336.txt", "Results_airgap1336")</f>
        <v/>
      </c>
      <c r="V1336" s="19" t="n"/>
      <c r="W1336" s="15" t="n">
        <v>1.812332608695652</v>
      </c>
      <c r="X1336" s="15" t="n">
        <v>0.9022010377496349</v>
      </c>
      <c r="Y1336" s="15" t="n">
        <v>0.432819424812604</v>
      </c>
      <c r="Z1336" s="15" t="n">
        <v>0.001283603438942236</v>
      </c>
      <c r="AA1336" s="15" t="n">
        <v>0.007984287971835634</v>
      </c>
      <c r="AB1336" s="15" t="n">
        <v>1.948872271676995</v>
      </c>
      <c r="AC1336" s="15" t="n">
        <v>13.64274811175527</v>
      </c>
      <c r="AD1336" s="15" t="n">
        <v>49.16486343868212</v>
      </c>
      <c r="AE1336" s="15" t="n">
        <v>87.46053903244341</v>
      </c>
      <c r="AF1336" s="15" t="n">
        <v>121.0496304869019</v>
      </c>
      <c r="AH1336" s="42">
        <f>HIPERLINK($A$1 &amp; "\Dados\Magnet_fields_1336.txt.txt", "Magnet_fields_1336.txt")</f>
        <v/>
      </c>
      <c r="AI1336" t="n">
        <v>7015</v>
      </c>
      <c r="AJ1336" t="n">
        <v>29</v>
      </c>
      <c r="AK1336" s="42">
        <f>HIPERLINK($A$1 &amp; "\Dados\Magnet_3D_results_1336.txt.txt", "Magnet_3D_results_1336.txt")</f>
        <v/>
      </c>
      <c r="AL1336" s="42">
        <f>HIPERLINK($A$1 &amp; "\Dados\Magnet_fields_2D_1336.txt.txt", "Magnet_fields_2D_1336.txt")</f>
        <v/>
      </c>
    </row>
    <row r="1337">
      <c r="E1337" s="15" t="n">
        <v>141</v>
      </c>
      <c r="F1337" s="15" t="n">
        <v>176</v>
      </c>
      <c r="G1337" s="15" t="n">
        <v>359</v>
      </c>
      <c r="H1337" s="15" t="n">
        <v>40</v>
      </c>
      <c r="I1337" s="15" t="n">
        <v>140</v>
      </c>
      <c r="J1337" s="13" t="n">
        <v>25</v>
      </c>
      <c r="K1337" t="n">
        <v>45</v>
      </c>
      <c r="L1337" s="13" t="n">
        <v>2.6</v>
      </c>
      <c r="M1337" s="12" t="n"/>
      <c r="N1337" s="8" t="n">
        <v>1.413003538913421</v>
      </c>
      <c r="O1337" s="15" t="n">
        <v>1.105377938676377</v>
      </c>
      <c r="P1337" s="15" t="n">
        <v>1.318036835027005</v>
      </c>
      <c r="Q1337" s="15" t="n">
        <v>0.002716781635388044</v>
      </c>
      <c r="R1337" s="15" t="n">
        <v>0.02909839701068898</v>
      </c>
      <c r="S1337" s="15" t="n">
        <v>0.003074158048201448</v>
      </c>
      <c r="T1337" s="42">
        <f>HIPERLINK($A$1 &amp; "\Dados\Imagem_perfil_1337.png", "Imagem_perfil_1337")</f>
        <v/>
      </c>
      <c r="U1337" s="42">
        <f>HIPERLINK($A$1 &amp; "\Dados\Results_airgap1337.txt", "Results_airgap1337")</f>
        <v/>
      </c>
      <c r="V1337" s="19" t="n"/>
      <c r="W1337" s="15" t="n">
        <v>1.800927608695652</v>
      </c>
      <c r="X1337" s="15" t="n">
        <v>0.9128762626999365</v>
      </c>
      <c r="Y1337" s="15" t="n">
        <v>0.4330429023298865</v>
      </c>
      <c r="Z1337" s="15" t="n">
        <v>0</v>
      </c>
      <c r="AA1337" s="15" t="n">
        <v>0</v>
      </c>
      <c r="AB1337" s="15" t="n">
        <v>0</v>
      </c>
      <c r="AC1337" s="15" t="n">
        <v>6.301169951906656</v>
      </c>
      <c r="AD1337" s="15" t="n">
        <v>39.36293878799599</v>
      </c>
      <c r="AE1337" s="15" t="n">
        <v>83.06884225205039</v>
      </c>
      <c r="AF1337" s="15" t="n">
        <v>117.045045531584</v>
      </c>
      <c r="AH1337" s="42">
        <f>HIPERLINK($A$1 &amp; "\Dados\Magnet_fields_1337.txt.txt", "Magnet_fields_1337.txt")</f>
        <v/>
      </c>
      <c r="AI1337" t="n">
        <v>6267</v>
      </c>
      <c r="AJ1337" t="n">
        <v>28</v>
      </c>
      <c r="AK1337" s="42">
        <f>HIPERLINK($A$1 &amp; "\Dados\Magnet_3D_results_1337.txt.txt", "Magnet_3D_results_1337.txt")</f>
        <v/>
      </c>
      <c r="AL1337" s="42">
        <f>HIPERLINK($A$1 &amp; "\Dados\Magnet_fields_2D_1337.txt.txt", "Magnet_fields_2D_1337.txt")</f>
        <v/>
      </c>
    </row>
    <row r="1338">
      <c r="E1338" s="15" t="n">
        <v>135</v>
      </c>
      <c r="F1338" s="15" t="n">
        <v>178</v>
      </c>
      <c r="G1338" s="15" t="n">
        <v>386</v>
      </c>
      <c r="H1338" s="15" t="n">
        <v>25</v>
      </c>
      <c r="I1338" s="15" t="n">
        <v>160</v>
      </c>
      <c r="J1338" s="13" t="n">
        <v>25</v>
      </c>
      <c r="K1338" t="n">
        <v>50</v>
      </c>
      <c r="L1338" s="13" t="n">
        <v>2.6</v>
      </c>
      <c r="M1338" s="12" t="n"/>
      <c r="N1338" s="8" t="n">
        <v>1.401692609053086</v>
      </c>
      <c r="O1338" s="15" t="n">
        <v>1.179994700887193</v>
      </c>
      <c r="P1338" s="15" t="n">
        <v>1.329590166154099</v>
      </c>
      <c r="Q1338" s="15" t="n">
        <v>0.005261852262624553</v>
      </c>
      <c r="R1338" s="15" t="n">
        <v>0.03972578925191202</v>
      </c>
      <c r="S1338" s="15" t="n">
        <v>0.005643692687891884</v>
      </c>
      <c r="T1338" s="42">
        <f>HIPERLINK($A$1 &amp; "\Dados\Imagem_perfil_1338.png", "Imagem_perfil_1338")</f>
        <v/>
      </c>
      <c r="U1338" s="42">
        <f>HIPERLINK($A$1 &amp; "\Dados\Results_airgap1338.txt", "Results_airgap1338")</f>
        <v/>
      </c>
      <c r="V1338" s="19" t="n"/>
      <c r="W1338" s="15" t="n">
        <v>1.854840652173913</v>
      </c>
      <c r="X1338" s="15" t="n">
        <v>0.8831954944952856</v>
      </c>
      <c r="Y1338" s="15" t="n">
        <v>0.3938235112064601</v>
      </c>
      <c r="Z1338" s="15" t="n">
        <v>0</v>
      </c>
      <c r="AA1338" s="15" t="n">
        <v>4.982452920540643</v>
      </c>
      <c r="AB1338" s="15" t="n">
        <v>1.947729309622056</v>
      </c>
      <c r="AC1338" s="15" t="n">
        <v>13.70544310581704</v>
      </c>
      <c r="AD1338" s="15" t="n">
        <v>49.24859712716026</v>
      </c>
      <c r="AE1338" s="15" t="n">
        <v>87.60931273547995</v>
      </c>
      <c r="AF1338" s="15" t="n">
        <v>121.2320638661738</v>
      </c>
      <c r="AH1338" s="42">
        <f>HIPERLINK($A$1 &amp; "\Dados\Magnet_fields_1338.txt.txt", "Magnet_fields_1338.txt")</f>
        <v/>
      </c>
      <c r="AI1338" t="n">
        <v>9337</v>
      </c>
      <c r="AJ1338" t="n">
        <v>29</v>
      </c>
      <c r="AK1338" s="42">
        <f>HIPERLINK($A$1 &amp; "\Dados\Magnet_3D_results_1338.txt.txt", "Magnet_3D_results_1338.txt")</f>
        <v/>
      </c>
      <c r="AL1338" s="42">
        <f>HIPERLINK($A$1 &amp; "\Dados\Magnet_fields_2D_1338.txt.txt", "Magnet_fields_2D_1338.txt")</f>
        <v/>
      </c>
    </row>
    <row r="1339">
      <c r="E1339" s="15" t="n">
        <v>134</v>
      </c>
      <c r="F1339" s="15" t="n">
        <v>183</v>
      </c>
      <c r="G1339" s="15" t="n">
        <v>410</v>
      </c>
      <c r="H1339" s="15" t="n">
        <v>42</v>
      </c>
      <c r="I1339" s="15" t="n">
        <v>168</v>
      </c>
      <c r="J1339" s="13" t="n">
        <v>25</v>
      </c>
      <c r="K1339" t="n">
        <v>45</v>
      </c>
      <c r="L1339" s="13" t="n">
        <v>2.6</v>
      </c>
      <c r="M1339" s="12" t="n"/>
      <c r="N1339" s="8" t="n">
        <v>1.363115436826496</v>
      </c>
      <c r="O1339" s="15" t="n">
        <v>1.168832224250994</v>
      </c>
      <c r="P1339" s="15" t="n">
        <v>1.306425311143356</v>
      </c>
      <c r="Q1339" s="15" t="n">
        <v>0.00332801641552545</v>
      </c>
      <c r="R1339" s="15" t="n">
        <v>0.04695693598966653</v>
      </c>
      <c r="S1339" s="15" t="n">
        <v>0.003651769495997563</v>
      </c>
      <c r="T1339" s="42">
        <f>HIPERLINK($A$1 &amp; "\Dados\Imagem_perfil_1339.png", "Imagem_perfil_1339")</f>
        <v/>
      </c>
      <c r="U1339" s="42">
        <f>HIPERLINK($A$1 &amp; "\Dados\Results_airgap1339.txt", "Results_airgap1339")</f>
        <v/>
      </c>
      <c r="V1339" s="19" t="n"/>
      <c r="W1339" s="15" t="n">
        <v>1.769558260869565</v>
      </c>
      <c r="X1339" s="15" t="n">
        <v>0.8893447926625321</v>
      </c>
      <c r="Y1339" s="15" t="n">
        <v>0.5199582035084052</v>
      </c>
      <c r="Z1339" s="15" t="n">
        <v>0.001013427634651456</v>
      </c>
      <c r="AA1339" s="15" t="n">
        <v>0</v>
      </c>
      <c r="AB1339" s="15" t="n">
        <v>1.821077462716781</v>
      </c>
      <c r="AC1339" s="15" t="n">
        <v>11.08625660394664</v>
      </c>
      <c r="AD1339" s="15" t="n">
        <v>45.44080264699343</v>
      </c>
      <c r="AE1339" s="15" t="n">
        <v>88.2421187987396</v>
      </c>
      <c r="AF1339" s="15" t="n">
        <v>119.1113599975378</v>
      </c>
      <c r="AH1339" s="42">
        <f>HIPERLINK($A$1 &amp; "\Dados\Magnet_fields_1339.txt.txt", "Magnet_fields_1339.txt")</f>
        <v/>
      </c>
      <c r="AI1339" t="n">
        <v>6836</v>
      </c>
      <c r="AJ1339" t="n">
        <v>28</v>
      </c>
      <c r="AK1339" s="42">
        <f>HIPERLINK($A$1 &amp; "\Dados\Magnet_3D_results_1339.txt.txt", "Magnet_3D_results_1339.txt")</f>
        <v/>
      </c>
      <c r="AL1339" s="42">
        <f>HIPERLINK($A$1 &amp; "\Dados\Magnet_fields_2D_1339.txt.txt", "Magnet_fields_2D_1339.txt")</f>
        <v/>
      </c>
    </row>
    <row r="1340">
      <c r="E1340" s="15" t="n">
        <v>132</v>
      </c>
      <c r="F1340" s="15" t="n">
        <v>180</v>
      </c>
      <c r="G1340" s="15" t="n">
        <v>370</v>
      </c>
      <c r="H1340" s="15" t="n">
        <v>38</v>
      </c>
      <c r="I1340" s="15" t="n">
        <v>162</v>
      </c>
      <c r="J1340" s="13" t="n">
        <v>25</v>
      </c>
      <c r="K1340" t="n">
        <v>40</v>
      </c>
      <c r="L1340" s="13" t="n">
        <v>2.6</v>
      </c>
      <c r="M1340" s="12" t="n"/>
      <c r="N1340" s="8" t="n">
        <v>1.261736268916862</v>
      </c>
      <c r="O1340" s="15" t="n">
        <v>1.065994845921561</v>
      </c>
      <c r="P1340" s="15" t="n">
        <v>1.203630970941464</v>
      </c>
      <c r="Q1340" s="15" t="n">
        <v>0.001529833899594008</v>
      </c>
      <c r="R1340" s="15" t="n">
        <v>0.03165615082793113</v>
      </c>
      <c r="S1340" s="15" t="n">
        <v>0.001740994409848323</v>
      </c>
      <c r="T1340" s="42">
        <f>HIPERLINK($A$1 &amp; "\Dados\Imagem_perfil_1340.png", "Imagem_perfil_1340")</f>
        <v/>
      </c>
      <c r="U1340" s="42">
        <f>HIPERLINK($A$1 &amp; "\Dados\Results_airgap1340.txt", "Results_airgap1340")</f>
        <v/>
      </c>
      <c r="V1340" s="19" t="n"/>
      <c r="W1340" s="15" t="n">
        <v>1.583808913043478</v>
      </c>
      <c r="X1340" s="15" t="n">
        <v>0.7878296533936715</v>
      </c>
      <c r="Y1340" s="15" t="n">
        <v>0.8116782681502132</v>
      </c>
      <c r="Z1340" s="15" t="n">
        <v>0.02779077157699155</v>
      </c>
      <c r="AA1340" s="15" t="n">
        <v>0.01255357554558102</v>
      </c>
      <c r="AB1340" s="15" t="n">
        <v>2.676113589465991</v>
      </c>
      <c r="AC1340" s="15" t="n">
        <v>12.94596541226831</v>
      </c>
      <c r="AD1340" s="15" t="n">
        <v>38.42431036115827</v>
      </c>
      <c r="AE1340" s="15" t="n">
        <v>75.72991883712153</v>
      </c>
      <c r="AF1340" s="15" t="n">
        <v>111.4741667554629</v>
      </c>
      <c r="AH1340" s="42">
        <f>HIPERLINK($A$1 &amp; "\Dados\Magnet_fields_1340.txt.txt", "Magnet_fields_1340.txt")</f>
        <v/>
      </c>
      <c r="AI1340" t="n">
        <v>7591</v>
      </c>
      <c r="AJ1340" t="n">
        <v>29</v>
      </c>
      <c r="AK1340" s="42">
        <f>HIPERLINK($A$1 &amp; "\Dados\Magnet_3D_results_1340.txt.txt", "Magnet_3D_results_1340.txt")</f>
        <v/>
      </c>
      <c r="AL1340" s="42">
        <f>HIPERLINK($A$1 &amp; "\Dados\Magnet_fields_2D_1340.txt.txt", "Magnet_fields_2D_1340.txt")</f>
        <v/>
      </c>
    </row>
    <row r="1341">
      <c r="E1341" s="15" t="n">
        <v>126</v>
      </c>
      <c r="F1341" s="15" t="n">
        <v>170</v>
      </c>
      <c r="G1341" s="15" t="n">
        <v>359</v>
      </c>
      <c r="H1341" s="15" t="n">
        <v>32</v>
      </c>
      <c r="I1341" s="15" t="n">
        <v>164</v>
      </c>
      <c r="J1341" s="13" t="n">
        <v>25</v>
      </c>
      <c r="K1341" t="n">
        <v>45</v>
      </c>
      <c r="L1341" s="13" t="n">
        <v>2.6</v>
      </c>
      <c r="M1341" s="12" t="n"/>
      <c r="N1341" s="8" t="n">
        <v>1.363107668837552</v>
      </c>
      <c r="O1341" s="15" t="n">
        <v>1.152214859963659</v>
      </c>
      <c r="P1341" s="15" t="n">
        <v>1.298421378853879</v>
      </c>
      <c r="Q1341" s="15" t="n">
        <v>0.003028681670911614</v>
      </c>
      <c r="R1341" s="15" t="n">
        <v>0.03646973006485527</v>
      </c>
      <c r="S1341" s="15" t="n">
        <v>0.003306274031604915</v>
      </c>
      <c r="T1341" s="42">
        <f>HIPERLINK($A$1 &amp; "\Dados\Imagem_perfil_1341.png", "Imagem_perfil_1341")</f>
        <v/>
      </c>
      <c r="U1341" s="42">
        <f>HIPERLINK($A$1 &amp; "\Dados\Results_airgap1341.txt", "Results_airgap1341")</f>
        <v/>
      </c>
      <c r="V1341" s="19" t="n"/>
      <c r="W1341" s="15" t="n">
        <v>1.718455</v>
      </c>
      <c r="X1341" s="15" t="n">
        <v>0.8665315432519296</v>
      </c>
      <c r="Y1341" s="15" t="n">
        <v>0.5703626930057126</v>
      </c>
      <c r="Z1341" s="15" t="n">
        <v>0</v>
      </c>
      <c r="AA1341" s="15" t="n">
        <v>0.04255348283153739</v>
      </c>
      <c r="AB1341" s="15" t="n">
        <v>2.17839368945351</v>
      </c>
      <c r="AC1341" s="15" t="n">
        <v>12.66480958395181</v>
      </c>
      <c r="AD1341" s="15" t="n">
        <v>44.68580786257456</v>
      </c>
      <c r="AE1341" s="15" t="n">
        <v>84.06176581279239</v>
      </c>
      <c r="AF1341" s="15" t="n">
        <v>117.2140664308712</v>
      </c>
      <c r="AH1341" s="42">
        <f>HIPERLINK($A$1 &amp; "\Dados\Magnet_fields_1341.txt.txt", "Magnet_fields_1341.txt")</f>
        <v/>
      </c>
      <c r="AI1341" t="n">
        <v>6917</v>
      </c>
      <c r="AJ1341" t="n">
        <v>29</v>
      </c>
      <c r="AK1341" s="42">
        <f>HIPERLINK($A$1 &amp; "\Dados\Magnet_3D_results_1341.txt.txt", "Magnet_3D_results_1341.txt")</f>
        <v/>
      </c>
      <c r="AL1341" s="42">
        <f>HIPERLINK($A$1 &amp; "\Dados\Magnet_fields_2D_1341.txt.txt", "Magnet_fields_2D_1341.txt")</f>
        <v/>
      </c>
    </row>
    <row r="1342">
      <c r="E1342" s="15" t="n">
        <v>125</v>
      </c>
      <c r="F1342" s="15" t="n">
        <v>171</v>
      </c>
      <c r="G1342" s="15" t="n">
        <v>380</v>
      </c>
      <c r="H1342" s="15" t="n">
        <v>45</v>
      </c>
      <c r="I1342" s="15" t="n">
        <v>170</v>
      </c>
      <c r="J1342" s="13" t="n">
        <v>25</v>
      </c>
      <c r="K1342" t="n">
        <v>60</v>
      </c>
      <c r="L1342" s="13" t="n">
        <v>2.6</v>
      </c>
      <c r="M1342" s="12" t="n"/>
      <c r="N1342" s="8" t="n">
        <v>1.45813770551812</v>
      </c>
      <c r="O1342" s="15" t="n">
        <v>1.254941514054529</v>
      </c>
      <c r="P1342" s="15" t="n">
        <v>1.395818987423458</v>
      </c>
      <c r="Q1342" s="15" t="n">
        <v>0.03219642716781916</v>
      </c>
      <c r="R1342" s="15" t="n">
        <v>0.06484164709544411</v>
      </c>
      <c r="S1342" s="15" t="n">
        <v>0.03041144898260807</v>
      </c>
      <c r="T1342" s="42">
        <f>HIPERLINK($A$1 &amp; "\Dados\Imagem_perfil_1342.png", "Imagem_perfil_1342")</f>
        <v/>
      </c>
      <c r="U1342" s="42">
        <f>HIPERLINK($A$1 &amp; "\Dados\Results_airgap1342.txt", "Results_airgap1342")</f>
        <v/>
      </c>
      <c r="V1342" s="19" t="n"/>
      <c r="W1342" s="15" t="n">
        <v>1.903000869565217</v>
      </c>
      <c r="X1342" s="15" t="n">
        <v>0.9081424334716126</v>
      </c>
      <c r="Y1342" s="15" t="n">
        <v>0.3279538310205227</v>
      </c>
      <c r="Z1342" s="15" t="n">
        <v>0.004187597336639317</v>
      </c>
      <c r="AA1342" s="15" t="n">
        <v>0</v>
      </c>
      <c r="AB1342" s="15" t="n">
        <v>1.471005825158267</v>
      </c>
      <c r="AC1342" s="15" t="n">
        <v>18.36191617594649</v>
      </c>
      <c r="AD1342" s="15" t="n">
        <v>66.80566284259878</v>
      </c>
      <c r="AE1342" s="15" t="n">
        <v>99.77413423513762</v>
      </c>
      <c r="AF1342" s="15" t="n">
        <v>131.5594891465019</v>
      </c>
      <c r="AH1342" s="42">
        <f>HIPERLINK($A$1 &amp; "\Dados\Magnet_fields_1342.txt.txt", "Magnet_fields_1342.txt")</f>
        <v/>
      </c>
      <c r="AI1342" t="n">
        <v>7731</v>
      </c>
      <c r="AJ1342" t="n">
        <v>29</v>
      </c>
      <c r="AK1342" s="42">
        <f>HIPERLINK($A$1 &amp; "\Dados\Magnet_3D_results_1342.txt.txt", "Magnet_3D_results_1342.txt")</f>
        <v/>
      </c>
      <c r="AL1342" s="42">
        <f>HIPERLINK($A$1 &amp; "\Dados\Magnet_fields_2D_1342.txt.txt", "Magnet_fields_2D_1342.txt")</f>
        <v/>
      </c>
    </row>
    <row r="1343">
      <c r="E1343" s="15" t="n">
        <v>144</v>
      </c>
      <c r="F1343" s="15" t="n">
        <v>190</v>
      </c>
      <c r="G1343" s="15" t="n">
        <v>410</v>
      </c>
      <c r="H1343" s="15" t="n">
        <v>43</v>
      </c>
      <c r="I1343" s="15" t="n">
        <v>140</v>
      </c>
      <c r="J1343" s="13" t="n">
        <v>25</v>
      </c>
      <c r="K1343" t="n">
        <v>50</v>
      </c>
      <c r="L1343" s="13" t="n">
        <v>2.6</v>
      </c>
      <c r="M1343" s="12" t="n"/>
      <c r="N1343" s="8" t="n">
        <v>1.307675146834256</v>
      </c>
      <c r="O1343" s="15" t="n">
        <v>0.9875817705721859</v>
      </c>
      <c r="P1343" s="15" t="n">
        <v>1.218991955118049</v>
      </c>
      <c r="Q1343" s="15" t="n">
        <v>0.004637345147859278</v>
      </c>
      <c r="R1343" s="15" t="n">
        <v>0.04563588598521757</v>
      </c>
      <c r="S1343" s="15" t="n">
        <v>0.005985325269295094</v>
      </c>
      <c r="T1343" s="42">
        <f>HIPERLINK($A$1 &amp; "\Dados\Imagem_perfil_1343.png", "Imagem_perfil_1343")</f>
        <v/>
      </c>
      <c r="U1343" s="42">
        <f>HIPERLINK($A$1 &amp; "\Dados\Results_airgap1343.txt", "Results_airgap1343")</f>
        <v/>
      </c>
      <c r="V1343" s="19" t="n"/>
      <c r="W1343" s="15" t="n">
        <v>1.826350217391304</v>
      </c>
      <c r="X1343" s="15" t="n">
        <v>0.853408713205374</v>
      </c>
      <c r="Y1343" s="15" t="n">
        <v>0.4136035622555833</v>
      </c>
      <c r="Z1343" s="15" t="n">
        <v>0</v>
      </c>
      <c r="AA1343" s="15" t="n">
        <v>0.001258182249977881</v>
      </c>
      <c r="AB1343" s="15" t="n">
        <v>0.9587208006869606</v>
      </c>
      <c r="AC1343" s="15" t="n">
        <v>8.378156436843597</v>
      </c>
      <c r="AD1343" s="15" t="n">
        <v>49.73612722049104</v>
      </c>
      <c r="AE1343" s="15" t="n">
        <v>92.4635077488139</v>
      </c>
      <c r="AF1343" s="15" t="n">
        <v>122.7807014852464</v>
      </c>
      <c r="AH1343" s="42">
        <f>HIPERLINK($A$1 &amp; "\Dados\Magnet_fields_1343.txt.txt", "Magnet_fields_1343.txt")</f>
        <v/>
      </c>
      <c r="AI1343" t="n">
        <v>6726</v>
      </c>
      <c r="AJ1343" t="n">
        <v>29</v>
      </c>
      <c r="AK1343" s="42">
        <f>HIPERLINK($A$1 &amp; "\Dados\Magnet_3D_results_1343.txt.txt", "Magnet_3D_results_1343.txt")</f>
        <v/>
      </c>
      <c r="AL1343" s="42">
        <f>HIPERLINK($A$1 &amp; "\Dados\Magnet_fields_2D_1343.txt.txt", "Magnet_fields_2D_1343.txt")</f>
        <v/>
      </c>
    </row>
    <row r="1344">
      <c r="E1344" s="15" t="n">
        <v>131</v>
      </c>
      <c r="F1344" s="15" t="n">
        <v>177</v>
      </c>
      <c r="G1344" s="15" t="n">
        <v>407</v>
      </c>
      <c r="H1344" s="15" t="n">
        <v>37</v>
      </c>
      <c r="I1344" s="15" t="n">
        <v>145</v>
      </c>
      <c r="J1344" s="13" t="n">
        <v>25</v>
      </c>
      <c r="K1344" t="n">
        <v>45</v>
      </c>
      <c r="L1344" s="13" t="n">
        <v>2.6</v>
      </c>
      <c r="M1344" s="12" t="n"/>
      <c r="N1344" s="8" t="n">
        <v>1.351924105759029</v>
      </c>
      <c r="O1344" s="15" t="n">
        <v>1.081254275529312</v>
      </c>
      <c r="P1344" s="15" t="n">
        <v>1.271840450276056</v>
      </c>
      <c r="Q1344" s="15" t="n">
        <v>0.003327977075271139</v>
      </c>
      <c r="R1344" s="15" t="n">
        <v>0.04526968727327148</v>
      </c>
      <c r="S1344" s="15" t="n">
        <v>0.004277828989057145</v>
      </c>
      <c r="T1344" s="42">
        <f>HIPERLINK($A$1 &amp; "\Dados\Imagem_perfil_1344.png", "Imagem_perfil_1344")</f>
        <v/>
      </c>
      <c r="U1344" s="42">
        <f>HIPERLINK($A$1 &amp; "\Dados\Results_airgap1344.txt", "Results_airgap1344")</f>
        <v/>
      </c>
      <c r="V1344" s="19" t="n"/>
      <c r="W1344" s="15" t="n">
        <v>1.83756652173913</v>
      </c>
      <c r="X1344" s="15" t="n">
        <v>0.8800264839254532</v>
      </c>
      <c r="Y1344" s="15" t="n">
        <v>0.4761716230910254</v>
      </c>
      <c r="Z1344" s="15" t="n">
        <v>0</v>
      </c>
      <c r="AA1344" s="15" t="n">
        <v>0</v>
      </c>
      <c r="AB1344" s="15" t="n">
        <v>3.020943748766629</v>
      </c>
      <c r="AC1344" s="15" t="n">
        <v>15.32712252252642</v>
      </c>
      <c r="AD1344" s="15" t="n">
        <v>45.68633489362142</v>
      </c>
      <c r="AE1344" s="15" t="n">
        <v>83.48045463532198</v>
      </c>
      <c r="AF1344" s="15" t="n">
        <v>117.2095464526601</v>
      </c>
      <c r="AH1344" s="42">
        <f>HIPERLINK($A$1 &amp; "\Dados\Magnet_fields_1344.txt.txt", "Magnet_fields_1344.txt")</f>
        <v/>
      </c>
      <c r="AI1344" t="n">
        <v>7389</v>
      </c>
      <c r="AJ1344" t="n">
        <v>29</v>
      </c>
      <c r="AK1344" s="42">
        <f>HIPERLINK($A$1 &amp; "\Dados\Magnet_3D_results_1344.txt.txt", "Magnet_3D_results_1344.txt")</f>
        <v/>
      </c>
      <c r="AL1344" s="42">
        <f>HIPERLINK($A$1 &amp; "\Dados\Magnet_fields_2D_1344.txt.txt", "Magnet_fields_2D_1344.txt")</f>
        <v/>
      </c>
    </row>
    <row r="1345">
      <c r="E1345" s="15" t="n">
        <v>148</v>
      </c>
      <c r="F1345" s="15" t="n">
        <v>192</v>
      </c>
      <c r="G1345" s="15" t="n">
        <v>386</v>
      </c>
      <c r="H1345" s="15" t="n">
        <v>27</v>
      </c>
      <c r="I1345" s="15" t="n">
        <v>158</v>
      </c>
      <c r="J1345" s="13" t="n">
        <v>25</v>
      </c>
      <c r="K1345" t="n">
        <v>55</v>
      </c>
      <c r="L1345" s="13" t="n">
        <v>2.6</v>
      </c>
      <c r="M1345" s="12" t="n"/>
      <c r="N1345" s="8" t="n">
        <v>1.359139518583145</v>
      </c>
      <c r="O1345" s="15" t="n">
        <v>1.138441353517416</v>
      </c>
      <c r="P1345" s="15" t="n">
        <v>1.290324870859404</v>
      </c>
      <c r="Q1345" s="15" t="n">
        <v>0.007034267793396218</v>
      </c>
      <c r="R1345" s="15" t="n">
        <v>0.0382909502738784</v>
      </c>
      <c r="S1345" s="15" t="n">
        <v>0.00755682518605148</v>
      </c>
      <c r="T1345" s="42">
        <f>HIPERLINK($A$1 &amp; "\Dados\Imagem_perfil_1345.png", "Imagem_perfil_1345")</f>
        <v/>
      </c>
      <c r="U1345" s="42">
        <f>HIPERLINK($A$1 &amp; "\Dados\Results_airgap1345.txt", "Results_airgap1345")</f>
        <v/>
      </c>
      <c r="V1345" s="19" t="n"/>
      <c r="W1345" s="15" t="n">
        <v>1.800156739130435</v>
      </c>
      <c r="X1345" s="15" t="n">
        <v>0.8569748261251015</v>
      </c>
      <c r="Y1345" s="15" t="n">
        <v>0.3926987940453332</v>
      </c>
      <c r="Z1345" s="15" t="n">
        <v>0.02394019578570235</v>
      </c>
      <c r="AA1345" s="15" t="n">
        <v>4.799267564204039</v>
      </c>
      <c r="AB1345" s="15" t="n">
        <v>0</v>
      </c>
      <c r="AC1345" s="15" t="n">
        <v>14.64773615280394</v>
      </c>
      <c r="AD1345" s="15" t="n">
        <v>62.96641923547373</v>
      </c>
      <c r="AE1345" s="15" t="n">
        <v>95.48875314444572</v>
      </c>
      <c r="AF1345" s="15" t="n">
        <v>126.006222532424</v>
      </c>
      <c r="AH1345" s="42">
        <f>HIPERLINK($A$1 &amp; "\Dados\Magnet_fields_1345.txt.txt", "Magnet_fields_1345.txt")</f>
        <v/>
      </c>
      <c r="AI1345" t="n">
        <v>12140</v>
      </c>
      <c r="AJ1345" t="n">
        <v>30</v>
      </c>
      <c r="AK1345" s="42">
        <f>HIPERLINK($A$1 &amp; "\Dados\Magnet_3D_results_1345.txt.txt", "Magnet_3D_results_1345.txt")</f>
        <v/>
      </c>
      <c r="AL1345" s="42">
        <f>HIPERLINK($A$1 &amp; "\Dados\Magnet_fields_2D_1345.txt.txt", "Magnet_fields_2D_1345.txt")</f>
        <v/>
      </c>
    </row>
    <row r="1346">
      <c r="E1346" s="15" t="n">
        <v>135</v>
      </c>
      <c r="F1346" s="15" t="n">
        <v>181</v>
      </c>
      <c r="G1346" s="15" t="n">
        <v>350</v>
      </c>
      <c r="H1346" s="15" t="n">
        <v>42</v>
      </c>
      <c r="I1346" s="15" t="n">
        <v>160</v>
      </c>
      <c r="J1346" s="13" t="n">
        <v>25</v>
      </c>
      <c r="K1346" t="n">
        <v>45</v>
      </c>
      <c r="L1346" s="13" t="n">
        <v>2.6</v>
      </c>
      <c r="M1346" s="12" t="n"/>
      <c r="N1346" s="8" t="n">
        <v>1.272486769032882</v>
      </c>
      <c r="O1346" s="15" t="n">
        <v>1.060119658493777</v>
      </c>
      <c r="P1346" s="15" t="n">
        <v>1.200675621350061</v>
      </c>
      <c r="Q1346" s="15" t="n">
        <v>0.002451866550483879</v>
      </c>
      <c r="R1346" s="15" t="n">
        <v>0.03143558686515197</v>
      </c>
      <c r="S1346" s="15" t="n">
        <v>0.002456900538277769</v>
      </c>
      <c r="T1346" s="42">
        <f>HIPERLINK($A$1 &amp; "\Dados\Imagem_perfil_1346.png", "Imagem_perfil_1346")</f>
        <v/>
      </c>
      <c r="U1346" s="42">
        <f>HIPERLINK($A$1 &amp; "\Dados\Results_airgap1346.txt", "Results_airgap1346")</f>
        <v/>
      </c>
      <c r="V1346" s="19" t="n"/>
      <c r="W1346" s="15" t="n">
        <v>1.588057608695652</v>
      </c>
      <c r="X1346" s="15" t="n">
        <v>0.8231420540712009</v>
      </c>
      <c r="Y1346" s="15" t="n">
        <v>0.686423075122916</v>
      </c>
      <c r="Z1346" s="15" t="n">
        <v>0</v>
      </c>
      <c r="AA1346" s="15" t="n">
        <v>0</v>
      </c>
      <c r="AB1346" s="15" t="n">
        <v>0.5367279814854038</v>
      </c>
      <c r="AC1346" s="15" t="n">
        <v>8.491077059109319</v>
      </c>
      <c r="AD1346" s="15" t="n">
        <v>42.48090653986704</v>
      </c>
      <c r="AE1346" s="15" t="n">
        <v>84.48607318285148</v>
      </c>
      <c r="AF1346" s="15" t="n">
        <v>117.0066271156551</v>
      </c>
      <c r="AH1346" s="42">
        <f>HIPERLINK($A$1 &amp; "\Dados\Magnet_fields_1346.txt.txt", "Magnet_fields_1346.txt")</f>
        <v/>
      </c>
      <c r="AI1346" t="n">
        <v>6114</v>
      </c>
      <c r="AJ1346" t="n">
        <v>29</v>
      </c>
      <c r="AK1346" s="42">
        <f>HIPERLINK($A$1 &amp; "\Dados\Magnet_3D_results_1346.txt.txt", "Magnet_3D_results_1346.txt")</f>
        <v/>
      </c>
      <c r="AL1346" s="42">
        <f>HIPERLINK($A$1 &amp; "\Dados\Magnet_fields_2D_1346.txt.txt", "Magnet_fields_2D_1346.txt")</f>
        <v/>
      </c>
    </row>
    <row r="1347">
      <c r="E1347" s="15" t="n">
        <v>140</v>
      </c>
      <c r="F1347" s="15" t="n">
        <v>170</v>
      </c>
      <c r="G1347" s="15" t="n">
        <v>371</v>
      </c>
      <c r="H1347" s="15" t="n">
        <v>45</v>
      </c>
      <c r="I1347" s="15" t="n">
        <v>172</v>
      </c>
      <c r="J1347" s="13" t="n">
        <v>25</v>
      </c>
      <c r="K1347" t="n">
        <v>55</v>
      </c>
      <c r="L1347" s="13" t="n">
        <v>2.6</v>
      </c>
      <c r="M1347" s="12" t="n"/>
      <c r="N1347" s="8" t="n">
        <v>1.684484601586118</v>
      </c>
      <c r="O1347" s="15" t="n">
        <v>1.491449989080437</v>
      </c>
      <c r="P1347" s="15" t="n">
        <v>1.620742158396399</v>
      </c>
      <c r="Q1347" s="15" t="n">
        <v>0.01375791796770857</v>
      </c>
      <c r="R1347" s="15" t="n">
        <v>0.04555069711441116</v>
      </c>
      <c r="S1347" s="15" t="n">
        <v>0.01389917741745478</v>
      </c>
      <c r="T1347" s="42">
        <f>HIPERLINK($A$1 &amp; "\Dados\Imagem_perfil_1347.png", "Imagem_perfil_1347")</f>
        <v/>
      </c>
      <c r="U1347" s="42">
        <f>HIPERLINK($A$1 &amp; "\Dados\Results_airgap1347.txt", "Results_airgap1347")</f>
        <v/>
      </c>
      <c r="V1347" s="19" t="n"/>
      <c r="W1347" s="15" t="n">
        <v>2.070712173913044</v>
      </c>
      <c r="X1347" s="15" t="n">
        <v>1.046520125217778</v>
      </c>
      <c r="Y1347" s="15" t="n">
        <v>0.1581771588821389</v>
      </c>
      <c r="Z1347" s="15" t="n">
        <v>0.006942733670331156</v>
      </c>
      <c r="AA1347" s="15" t="n">
        <v>0</v>
      </c>
      <c r="AB1347" s="15" t="n">
        <v>0.3085147370578719</v>
      </c>
      <c r="AC1347" s="15" t="n">
        <v>12.69414510735371</v>
      </c>
      <c r="AD1347" s="15" t="n">
        <v>61.01130825315906</v>
      </c>
      <c r="AE1347" s="15" t="n">
        <v>96.96175180608468</v>
      </c>
      <c r="AF1347" s="15" t="n">
        <v>127.3524575101769</v>
      </c>
      <c r="AH1347" s="42">
        <f>HIPERLINK($A$1 &amp; "\Dados\Magnet_fields_1347.txt.txt", "Magnet_fields_1347.txt")</f>
        <v/>
      </c>
      <c r="AI1347" t="n">
        <v>11054</v>
      </c>
      <c r="AJ1347" t="n">
        <v>30</v>
      </c>
      <c r="AK1347" s="42">
        <f>HIPERLINK($A$1 &amp; "\Dados\Magnet_3D_results_1347.txt.txt", "Magnet_3D_results_1347.txt")</f>
        <v/>
      </c>
      <c r="AL1347" s="42">
        <f>HIPERLINK($A$1 &amp; "\Dados\Magnet_fields_2D_1347.txt.txt", "Magnet_fields_2D_1347.txt")</f>
        <v/>
      </c>
    </row>
    <row r="1348">
      <c r="E1348" s="15" t="n">
        <v>147</v>
      </c>
      <c r="F1348" s="15" t="n">
        <v>180</v>
      </c>
      <c r="G1348" s="15" t="n">
        <v>406</v>
      </c>
      <c r="H1348" s="15" t="n">
        <v>26</v>
      </c>
      <c r="I1348" s="15" t="n">
        <v>152</v>
      </c>
      <c r="J1348" s="13" t="n">
        <v>25</v>
      </c>
      <c r="K1348" t="n">
        <v>55</v>
      </c>
      <c r="L1348" s="13" t="n">
        <v>2.6</v>
      </c>
      <c r="M1348" s="12" t="n"/>
      <c r="N1348" s="8" t="n">
        <v>1.569256199254961</v>
      </c>
      <c r="O1348" s="15" t="n">
        <v>1.282770403987914</v>
      </c>
      <c r="P1348" s="15" t="n">
        <v>1.489599238416945</v>
      </c>
      <c r="Q1348" s="15" t="n">
        <v>0.01063050250256945</v>
      </c>
      <c r="R1348" s="15" t="n">
        <v>0.04514416554089071</v>
      </c>
      <c r="S1348" s="15" t="n">
        <v>0.01054925900459102</v>
      </c>
      <c r="T1348" s="42">
        <f>HIPERLINK($A$1 &amp; "\Dados\Imagem_perfil_1348.png", "Imagem_perfil_1348")</f>
        <v/>
      </c>
      <c r="U1348" s="42">
        <f>HIPERLINK($A$1 &amp; "\Dados\Results_airgap1348.txt", "Results_airgap1348")</f>
        <v/>
      </c>
      <c r="V1348" s="19" t="n"/>
      <c r="W1348" s="15" t="n">
        <v>2.097961956521739</v>
      </c>
      <c r="X1348" s="15" t="n">
        <v>1.026674890250373</v>
      </c>
      <c r="Y1348" s="15" t="n">
        <v>0.1401000278321551</v>
      </c>
      <c r="Z1348" s="15" t="n">
        <v>0.03272151991589384</v>
      </c>
      <c r="AA1348" s="15" t="n">
        <v>3.45867981287376</v>
      </c>
      <c r="AB1348" s="15" t="n">
        <v>0.2275546471679313</v>
      </c>
      <c r="AC1348" s="15" t="n">
        <v>9.475287231204337</v>
      </c>
      <c r="AD1348" s="15" t="n">
        <v>66.1984706607962</v>
      </c>
      <c r="AE1348" s="15" t="n">
        <v>99.71019787060291</v>
      </c>
      <c r="AF1348" s="15" t="n">
        <v>128.1535240056675</v>
      </c>
      <c r="AH1348" s="42">
        <f>HIPERLINK($A$1 &amp; "\Dados\Magnet_fields_1348.txt.txt", "Magnet_fields_1348.txt")</f>
        <v/>
      </c>
      <c r="AI1348" t="n">
        <v>13116</v>
      </c>
      <c r="AJ1348" t="n">
        <v>31</v>
      </c>
      <c r="AK1348" s="42">
        <f>HIPERLINK($A$1 &amp; "\Dados\Magnet_3D_results_1348.txt.txt", "Magnet_3D_results_1348.txt")</f>
        <v/>
      </c>
      <c r="AL1348" s="42">
        <f>HIPERLINK($A$1 &amp; "\Dados\Magnet_fields_2D_1348.txt.txt", "Magnet_fields_2D_1348.txt")</f>
        <v/>
      </c>
    </row>
    <row r="1349">
      <c r="E1349" s="15" t="n">
        <v>141</v>
      </c>
      <c r="F1349" s="15" t="n">
        <v>179</v>
      </c>
      <c r="G1349" s="15" t="n">
        <v>358</v>
      </c>
      <c r="H1349" s="15" t="n">
        <v>44</v>
      </c>
      <c r="I1349" s="15" t="n">
        <v>163</v>
      </c>
      <c r="J1349" s="13" t="n">
        <v>25</v>
      </c>
      <c r="K1349" t="n">
        <v>45</v>
      </c>
      <c r="L1349" s="13" t="n">
        <v>2.6</v>
      </c>
      <c r="M1349" s="12" t="n"/>
      <c r="N1349" s="8" t="n">
        <v>1.424108458798007</v>
      </c>
      <c r="O1349" s="15" t="n">
        <v>1.198928260979859</v>
      </c>
      <c r="P1349" s="15" t="n">
        <v>1.359056038282682</v>
      </c>
      <c r="Q1349" s="15" t="n">
        <v>0.00248424191222342</v>
      </c>
      <c r="R1349" s="15" t="n">
        <v>0.03090254528378256</v>
      </c>
      <c r="S1349" s="15" t="n">
        <v>0.002535943530441372</v>
      </c>
      <c r="T1349" s="42">
        <f>HIPERLINK($A$1 &amp; "\Dados\Imagem_perfil_1349.png", "Imagem_perfil_1349")</f>
        <v/>
      </c>
      <c r="U1349" s="42">
        <f>HIPERLINK($A$1 &amp; "\Dados\Results_airgap1349.txt", "Results_airgap1349")</f>
        <v/>
      </c>
      <c r="V1349" s="19" t="n"/>
      <c r="W1349" s="15" t="n">
        <v>1.739944782608696</v>
      </c>
      <c r="X1349" s="15" t="n">
        <v>0.914704168595216</v>
      </c>
      <c r="Y1349" s="15" t="n">
        <v>0.4888346045408728</v>
      </c>
      <c r="Z1349" s="15" t="n">
        <v>0</v>
      </c>
      <c r="AA1349" s="15" t="n">
        <v>0</v>
      </c>
      <c r="AB1349" s="15" t="n">
        <v>0.04166430389796283</v>
      </c>
      <c r="AC1349" s="15" t="n">
        <v>6.69144413374947</v>
      </c>
      <c r="AD1349" s="15" t="n">
        <v>40.46313227367219</v>
      </c>
      <c r="AE1349" s="15" t="n">
        <v>85.29850707456148</v>
      </c>
      <c r="AF1349" s="15" t="n">
        <v>117.565383942554</v>
      </c>
      <c r="AH1349" s="42">
        <f>HIPERLINK($A$1 &amp; "\Dados\Magnet_fields_1349.txt.txt", "Magnet_fields_1349.txt")</f>
        <v/>
      </c>
      <c r="AI1349" t="n">
        <v>6208</v>
      </c>
      <c r="AJ1349" t="n">
        <v>28</v>
      </c>
      <c r="AK1349" s="42">
        <f>HIPERLINK($A$1 &amp; "\Dados\Magnet_3D_results_1349.txt.txt", "Magnet_3D_results_1349.txt")</f>
        <v/>
      </c>
      <c r="AL1349" s="42">
        <f>HIPERLINK($A$1 &amp; "\Dados\Magnet_fields_2D_1349.txt.txt", "Magnet_fields_2D_1349.txt")</f>
        <v/>
      </c>
    </row>
    <row r="1350">
      <c r="E1350" s="15" t="n">
        <v>138</v>
      </c>
      <c r="F1350" s="15" t="n">
        <v>175</v>
      </c>
      <c r="G1350" s="15" t="n">
        <v>423</v>
      </c>
      <c r="H1350" s="15" t="n">
        <v>42</v>
      </c>
      <c r="I1350" s="15" t="n">
        <v>178</v>
      </c>
      <c r="J1350" s="13" t="n">
        <v>25</v>
      </c>
      <c r="K1350" t="n">
        <v>40</v>
      </c>
      <c r="L1350" s="13" t="n">
        <v>2.6</v>
      </c>
      <c r="M1350" s="12" t="n"/>
      <c r="N1350" s="8" t="n">
        <v>1.53775103336549</v>
      </c>
      <c r="O1350" s="15" t="n">
        <v>1.365804360944957</v>
      </c>
      <c r="P1350" s="15" t="n">
        <v>1.491473825041762</v>
      </c>
      <c r="Q1350" s="15" t="n">
        <v>0.001993815264198691</v>
      </c>
      <c r="R1350" s="15" t="n">
        <v>0.04025192997747785</v>
      </c>
      <c r="S1350" s="15" t="n">
        <v>0.002059038423860927</v>
      </c>
      <c r="T1350" s="42">
        <f>HIPERLINK($A$1 &amp; "\Dados\Imagem_perfil_1350.png", "Imagem_perfil_1350")</f>
        <v/>
      </c>
      <c r="U1350" s="42">
        <f>HIPERLINK($A$1 &amp; "\Dados\Results_airgap1350.txt", "Results_airgap1350")</f>
        <v/>
      </c>
      <c r="V1350" s="19" t="n"/>
      <c r="W1350" s="15" t="n">
        <v>1.895373043478261</v>
      </c>
      <c r="X1350" s="15" t="n">
        <v>0.9464871347548169</v>
      </c>
      <c r="Y1350" s="15" t="n">
        <v>0.4010970559861041</v>
      </c>
      <c r="Z1350" s="15" t="n">
        <v>0.002181302186942644</v>
      </c>
      <c r="AA1350" s="15" t="n">
        <v>0.04255381202280482</v>
      </c>
      <c r="AB1350" s="15" t="n">
        <v>1.277409251122369</v>
      </c>
      <c r="AC1350" s="15" t="n">
        <v>5.85340200490329</v>
      </c>
      <c r="AD1350" s="15" t="n">
        <v>31.82622347820115</v>
      </c>
      <c r="AE1350" s="15" t="n">
        <v>84.63720322725113</v>
      </c>
      <c r="AF1350" s="15" t="n">
        <v>116.257673226962</v>
      </c>
      <c r="AH1350" s="42">
        <f>HIPERLINK($A$1 &amp; "\Dados\Magnet_fields_1350.txt.txt", "Magnet_fields_1350.txt")</f>
        <v/>
      </c>
      <c r="AI1350" t="n">
        <v>8197</v>
      </c>
      <c r="AJ1350" t="n">
        <v>29</v>
      </c>
      <c r="AK1350" s="42">
        <f>HIPERLINK($A$1 &amp; "\Dados\Magnet_3D_results_1350.txt.txt", "Magnet_3D_results_1350.txt")</f>
        <v/>
      </c>
      <c r="AL1350" s="42">
        <f>HIPERLINK($A$1 &amp; "\Dados\Magnet_fields_2D_1350.txt.txt", "Magnet_fields_2D_1350.txt")</f>
        <v/>
      </c>
    </row>
    <row r="1351">
      <c r="E1351" s="15" t="n">
        <v>127</v>
      </c>
      <c r="F1351" s="15" t="n">
        <v>171</v>
      </c>
      <c r="G1351" s="15" t="n">
        <v>423</v>
      </c>
      <c r="H1351" s="15" t="n">
        <v>42</v>
      </c>
      <c r="I1351" s="15" t="n">
        <v>172</v>
      </c>
      <c r="J1351" s="13" t="n">
        <v>25</v>
      </c>
      <c r="K1351" t="n">
        <v>45</v>
      </c>
      <c r="L1351" s="13" t="n">
        <v>2.6</v>
      </c>
      <c r="M1351" s="12" t="n"/>
      <c r="N1351" s="8" t="n">
        <v>1.50928482144212</v>
      </c>
      <c r="O1351" s="15" t="n">
        <v>1.319387565840479</v>
      </c>
      <c r="P1351" s="15" t="n">
        <v>1.448575397135303</v>
      </c>
      <c r="Q1351" s="15" t="n">
        <v>0.004253657840293421</v>
      </c>
      <c r="R1351" s="15" t="n">
        <v>0.05461729778471575</v>
      </c>
      <c r="S1351" s="15" t="n">
        <v>0.004428500632750428</v>
      </c>
      <c r="T1351" s="42">
        <f>HIPERLINK($A$1 &amp; "\Dados\Imagem_perfil_1351.png", "Imagem_perfil_1351")</f>
        <v/>
      </c>
      <c r="U1351" s="42">
        <f>HIPERLINK($A$1 &amp; "\Dados\Results_airgap1351.txt", "Results_airgap1351")</f>
        <v/>
      </c>
      <c r="V1351" s="19" t="n"/>
      <c r="W1351" s="15" t="n">
        <v>1.939085217391305</v>
      </c>
      <c r="X1351" s="15" t="n">
        <v>0.9685836285246203</v>
      </c>
      <c r="Y1351" s="15" t="n">
        <v>0.3844390830927929</v>
      </c>
      <c r="Z1351" s="15" t="n">
        <v>0.003516124931627814</v>
      </c>
      <c r="AA1351" s="15" t="n">
        <v>0.00419339958904684</v>
      </c>
      <c r="AB1351" s="15" t="n">
        <v>3.1553518458069</v>
      </c>
      <c r="AC1351" s="15" t="n">
        <v>15.10937880951215</v>
      </c>
      <c r="AD1351" s="15" t="n">
        <v>47.11282273865664</v>
      </c>
      <c r="AE1351" s="15" t="n">
        <v>86.163499657095</v>
      </c>
      <c r="AF1351" s="15" t="n">
        <v>118.4263309075072</v>
      </c>
      <c r="AH1351" s="42">
        <f>HIPERLINK($A$1 &amp; "\Dados\Magnet_fields_1351.txt.txt", "Magnet_fields_1351.txt")</f>
        <v/>
      </c>
      <c r="AI1351" t="n">
        <v>6890</v>
      </c>
      <c r="AJ1351" t="n">
        <v>29</v>
      </c>
      <c r="AK1351" s="42">
        <f>HIPERLINK($A$1 &amp; "\Dados\Magnet_3D_results_1351.txt.txt", "Magnet_3D_results_1351.txt")</f>
        <v/>
      </c>
      <c r="AL1351" s="42">
        <f>HIPERLINK($A$1 &amp; "\Dados\Magnet_fields_2D_1351.txt.txt", "Magnet_fields_2D_1351.txt")</f>
        <v/>
      </c>
    </row>
    <row r="1352">
      <c r="E1352" s="15" t="n">
        <v>145</v>
      </c>
      <c r="F1352" s="15" t="n">
        <v>185</v>
      </c>
      <c r="G1352" s="15" t="n">
        <v>396</v>
      </c>
      <c r="H1352" s="15" t="n">
        <v>26</v>
      </c>
      <c r="I1352" s="15" t="n">
        <v>179</v>
      </c>
      <c r="J1352" s="13" t="n">
        <v>25</v>
      </c>
      <c r="K1352" t="n">
        <v>45</v>
      </c>
      <c r="L1352" s="13" t="n">
        <v>2.6</v>
      </c>
      <c r="M1352" s="12" t="n"/>
      <c r="N1352" s="8" t="n">
        <v>1.458215159366039</v>
      </c>
      <c r="O1352" s="15" t="n">
        <v>1.285885063293805</v>
      </c>
      <c r="P1352" s="15" t="n">
        <v>1.405716468222806</v>
      </c>
      <c r="Q1352" s="15" t="n">
        <v>0.002475691434116456</v>
      </c>
      <c r="R1352" s="15" t="n">
        <v>0.03408789634343114</v>
      </c>
      <c r="S1352" s="15" t="n">
        <v>0.002484291042986544</v>
      </c>
      <c r="T1352" s="42">
        <f>HIPERLINK($A$1 &amp; "\Dados\Imagem_perfil_1352.png", "Imagem_perfil_1352")</f>
        <v/>
      </c>
      <c r="U1352" s="42">
        <f>HIPERLINK($A$1 &amp; "\Dados\Results_airgap1352.txt", "Results_airgap1352")</f>
        <v/>
      </c>
      <c r="V1352" s="19" t="n"/>
      <c r="W1352" s="15" t="n">
        <v>1.817215</v>
      </c>
      <c r="X1352" s="15" t="n">
        <v>0.9170659950098736</v>
      </c>
      <c r="Y1352" s="15" t="n">
        <v>0.4192193019978409</v>
      </c>
      <c r="Z1352" s="15" t="n">
        <v>0.001015398489075444</v>
      </c>
      <c r="AA1352" s="15" t="n">
        <v>3.671503864953459</v>
      </c>
      <c r="AB1352" s="15" t="n">
        <v>0.2606680843300093</v>
      </c>
      <c r="AC1352" s="15" t="n">
        <v>4.461483543454147</v>
      </c>
      <c r="AD1352" s="15" t="n">
        <v>40.71674796416114</v>
      </c>
      <c r="AE1352" s="15" t="n">
        <v>89.22539378042451</v>
      </c>
      <c r="AF1352" s="15" t="n">
        <v>119.1732619828405</v>
      </c>
      <c r="AH1352" s="42">
        <f>HIPERLINK($A$1 &amp; "\Dados\Magnet_fields_1352.txt.txt", "Magnet_fields_1352.txt")</f>
        <v/>
      </c>
      <c r="AI1352" t="n">
        <v>9107</v>
      </c>
      <c r="AJ1352" t="n">
        <v>30</v>
      </c>
      <c r="AK1352" s="42">
        <f>HIPERLINK($A$1 &amp; "\Dados\Magnet_3D_results_1352.txt.txt", "Magnet_3D_results_1352.txt")</f>
        <v/>
      </c>
      <c r="AL1352" s="42">
        <f>HIPERLINK($A$1 &amp; "\Dados\Magnet_fields_2D_1352.txt.txt", "Magnet_fields_2D_1352.txt")</f>
        <v/>
      </c>
    </row>
    <row r="1353">
      <c r="E1353" s="15" t="n">
        <v>143</v>
      </c>
      <c r="F1353" s="15" t="n">
        <v>192</v>
      </c>
      <c r="G1353" s="15" t="n">
        <v>410</v>
      </c>
      <c r="H1353" s="15" t="n">
        <v>26</v>
      </c>
      <c r="I1353" s="15" t="n">
        <v>178</v>
      </c>
      <c r="J1353" s="13" t="n">
        <v>25</v>
      </c>
      <c r="K1353" t="n">
        <v>50</v>
      </c>
      <c r="L1353" s="13" t="n">
        <v>2.6</v>
      </c>
      <c r="M1353" s="12" t="n"/>
      <c r="N1353" s="8" t="n">
        <v>1.368393543036256</v>
      </c>
      <c r="O1353" s="15" t="n">
        <v>1.196806148680803</v>
      </c>
      <c r="P1353" s="15" t="n">
        <v>1.315950498956157</v>
      </c>
      <c r="Q1353" s="15" t="n">
        <v>0.005234438276562951</v>
      </c>
      <c r="R1353" s="15" t="n">
        <v>0.04365567614221987</v>
      </c>
      <c r="S1353" s="15" t="n">
        <v>0.005489946952457444</v>
      </c>
      <c r="T1353" s="42">
        <f>HIPERLINK($A$1 &amp; "\Dados\Imagem_perfil_1353.png", "Imagem_perfil_1353")</f>
        <v/>
      </c>
      <c r="U1353" s="42">
        <f>HIPERLINK($A$1 &amp; "\Dados\Results_airgap1353.txt", "Results_airgap1353")</f>
        <v/>
      </c>
      <c r="V1353" s="19" t="n"/>
      <c r="W1353" s="15" t="n">
        <v>1.792645217391304</v>
      </c>
      <c r="X1353" s="15" t="n">
        <v>0.8668766540720421</v>
      </c>
      <c r="Y1353" s="15" t="n">
        <v>0.4569599731174332</v>
      </c>
      <c r="Z1353" s="15" t="n">
        <v>0.003318542640292861</v>
      </c>
      <c r="AA1353" s="15" t="n">
        <v>4.825389569675204</v>
      </c>
      <c r="AB1353" s="15" t="n">
        <v>1.650782825168679</v>
      </c>
      <c r="AC1353" s="15" t="n">
        <v>12.6473943708039</v>
      </c>
      <c r="AD1353" s="15" t="n">
        <v>50.39928388495676</v>
      </c>
      <c r="AE1353" s="15" t="n">
        <v>89.47516181844617</v>
      </c>
      <c r="AF1353" s="15" t="n">
        <v>121.7348936034631</v>
      </c>
      <c r="AH1353" s="42">
        <f>HIPERLINK($A$1 &amp; "\Dados\Magnet_fields_1353.txt.txt", "Magnet_fields_1353.txt")</f>
        <v/>
      </c>
      <c r="AI1353" t="n">
        <v>9895</v>
      </c>
      <c r="AJ1353" t="n">
        <v>29</v>
      </c>
      <c r="AK1353" s="42">
        <f>HIPERLINK($A$1 &amp; "\Dados\Magnet_3D_results_1353.txt.txt", "Magnet_3D_results_1353.txt")</f>
        <v/>
      </c>
      <c r="AL1353" s="42">
        <f>HIPERLINK($A$1 &amp; "\Dados\Magnet_fields_2D_1353.txt.txt", "Magnet_fields_2D_1353.txt")</f>
        <v/>
      </c>
    </row>
    <row r="1354">
      <c r="E1354" s="15" t="n">
        <v>128</v>
      </c>
      <c r="F1354" s="15" t="n">
        <v>177</v>
      </c>
      <c r="G1354" s="15" t="n">
        <v>353</v>
      </c>
      <c r="H1354" s="15" t="n">
        <v>30</v>
      </c>
      <c r="I1354" s="15" t="n">
        <v>171</v>
      </c>
      <c r="J1354" s="13" t="n">
        <v>25</v>
      </c>
      <c r="K1354" t="n">
        <v>50</v>
      </c>
      <c r="L1354" s="13" t="n">
        <v>2.6</v>
      </c>
      <c r="M1354" s="12" t="n"/>
      <c r="N1354" s="8" t="n">
        <v>1.28628643326304</v>
      </c>
      <c r="O1354" s="15" t="n">
        <v>1.095489792833622</v>
      </c>
      <c r="P1354" s="15" t="n">
        <v>1.233008954439239</v>
      </c>
      <c r="Q1354" s="15" t="n">
        <v>0.006644245370408964</v>
      </c>
      <c r="R1354" s="15" t="n">
        <v>0.03779661368296069</v>
      </c>
      <c r="S1354" s="15" t="n">
        <v>0.006668534836725117</v>
      </c>
      <c r="T1354" s="42">
        <f>HIPERLINK($A$1 &amp; "\Dados\Imagem_perfil_1354.png", "Imagem_perfil_1354")</f>
        <v/>
      </c>
      <c r="U1354" s="42">
        <f>HIPERLINK($A$1 &amp; "\Dados\Results_airgap1354.txt", "Results_airgap1354")</f>
        <v/>
      </c>
      <c r="V1354" s="19" t="n"/>
      <c r="W1354" s="15" t="n">
        <v>1.633129782608696</v>
      </c>
      <c r="X1354" s="15" t="n">
        <v>0.8028461723158833</v>
      </c>
      <c r="Y1354" s="15" t="n">
        <v>0.6264733754744264</v>
      </c>
      <c r="Z1354" s="15" t="n">
        <v>0.001519421438799429</v>
      </c>
      <c r="AA1354" s="15" t="n">
        <v>0.8755187390594216</v>
      </c>
      <c r="AB1354" s="15" t="n">
        <v>1.440971543750263</v>
      </c>
      <c r="AC1354" s="15" t="n">
        <v>12.56188266102822</v>
      </c>
      <c r="AD1354" s="15" t="n">
        <v>49.78847805300267</v>
      </c>
      <c r="AE1354" s="15" t="n">
        <v>88.47268460097554</v>
      </c>
      <c r="AF1354" s="15" t="n">
        <v>121.0086543159833</v>
      </c>
      <c r="AH1354" s="42">
        <f>HIPERLINK($A$1 &amp; "\Dados\Magnet_fields_1354.txt.txt", "Magnet_fields_1354.txt")</f>
        <v/>
      </c>
      <c r="AI1354" t="n">
        <v>8154</v>
      </c>
      <c r="AJ1354" t="n">
        <v>30</v>
      </c>
      <c r="AK1354" s="42">
        <f>HIPERLINK($A$1 &amp; "\Dados\Magnet_3D_results_1354.txt.txt", "Magnet_3D_results_1354.txt")</f>
        <v/>
      </c>
      <c r="AL1354" s="42">
        <f>HIPERLINK($A$1 &amp; "\Dados\Magnet_fields_2D_1354.txt.txt", "Magnet_fields_2D_1354.txt")</f>
        <v/>
      </c>
    </row>
    <row r="1355">
      <c r="E1355" s="15" t="n">
        <v>137</v>
      </c>
      <c r="F1355" s="15" t="n">
        <v>182</v>
      </c>
      <c r="G1355" s="15" t="n">
        <v>399</v>
      </c>
      <c r="H1355" s="15" t="n">
        <v>30</v>
      </c>
      <c r="I1355" s="15" t="n">
        <v>143</v>
      </c>
      <c r="J1355" s="13" t="n">
        <v>25</v>
      </c>
      <c r="K1355" t="n">
        <v>40</v>
      </c>
      <c r="L1355" s="13" t="n">
        <v>2.6</v>
      </c>
      <c r="M1355" s="12" t="n"/>
      <c r="N1355" s="8" t="n">
        <v>1.284117773668641</v>
      </c>
      <c r="O1355" s="15" t="n">
        <v>1.019428053005725</v>
      </c>
      <c r="P1355" s="15" t="n">
        <v>1.207283242889258</v>
      </c>
      <c r="Q1355" s="15" t="n">
        <v>0.00130440156884956</v>
      </c>
      <c r="R1355" s="15" t="n">
        <v>0.03291920193355222</v>
      </c>
      <c r="S1355" s="15" t="n">
        <v>0.002113727528178677</v>
      </c>
      <c r="T1355" s="42">
        <f>HIPERLINK($A$1 &amp; "\Dados\Imagem_perfil_1355.png", "Imagem_perfil_1355")</f>
        <v/>
      </c>
      <c r="U1355" s="42">
        <f>HIPERLINK($A$1 &amp; "\Dados\Results_airgap1355.txt", "Results_airgap1355")</f>
        <v/>
      </c>
      <c r="V1355" s="19" t="n"/>
      <c r="W1355" s="15" t="n">
        <v>1.713935217391304</v>
      </c>
      <c r="X1355" s="15" t="n">
        <v>0.8281072228711436</v>
      </c>
      <c r="Y1355" s="15" t="n">
        <v>0.6534647710130475</v>
      </c>
      <c r="Z1355" s="15" t="n">
        <v>0.005740220501533195</v>
      </c>
      <c r="AA1355" s="15" t="n">
        <v>1.315664611176044</v>
      </c>
      <c r="AB1355" s="15" t="n">
        <v>2.738626200843701</v>
      </c>
      <c r="AC1355" s="15" t="n">
        <v>12.51018753155276</v>
      </c>
      <c r="AD1355" s="15" t="n">
        <v>38.44642084898622</v>
      </c>
      <c r="AE1355" s="15" t="n">
        <v>77.10600577630493</v>
      </c>
      <c r="AF1355" s="15" t="n">
        <v>112.2537628508375</v>
      </c>
      <c r="AH1355" s="42">
        <f>HIPERLINK($A$1 &amp; "\Dados\Magnet_fields_1355.txt.txt", "Magnet_fields_1355.txt")</f>
        <v/>
      </c>
      <c r="AI1355" t="n">
        <v>8835</v>
      </c>
      <c r="AJ1355" t="n">
        <v>29</v>
      </c>
      <c r="AK1355" s="42">
        <f>HIPERLINK($A$1 &amp; "\Dados\Magnet_3D_results_1355.txt.txt", "Magnet_3D_results_1355.txt")</f>
        <v/>
      </c>
      <c r="AL1355" s="42">
        <f>HIPERLINK($A$1 &amp; "\Dados\Magnet_fields_2D_1355.txt.txt", "Magnet_fields_2D_1355.txt")</f>
        <v/>
      </c>
    </row>
    <row r="1356">
      <c r="E1356" s="15" t="n">
        <v>149</v>
      </c>
      <c r="F1356" s="15" t="n">
        <v>195</v>
      </c>
      <c r="G1356" s="15" t="n">
        <v>352</v>
      </c>
      <c r="H1356" s="15" t="n">
        <v>33</v>
      </c>
      <c r="I1356" s="15" t="n">
        <v>178</v>
      </c>
      <c r="J1356" s="13" t="n">
        <v>25</v>
      </c>
      <c r="K1356" t="n">
        <v>55</v>
      </c>
      <c r="L1356" s="13" t="n">
        <v>2.6</v>
      </c>
      <c r="M1356" s="12" t="n"/>
      <c r="N1356" s="8" t="n">
        <v>1.275972955529859</v>
      </c>
      <c r="O1356" s="15" t="n">
        <v>1.097985208851406</v>
      </c>
      <c r="P1356" s="15" t="n">
        <v>1.22179243282197</v>
      </c>
      <c r="Q1356" s="15" t="n">
        <v>0.006899075395115547</v>
      </c>
      <c r="R1356" s="15" t="n">
        <v>0.03006350936141644</v>
      </c>
      <c r="S1356" s="15" t="n">
        <v>0.006576698913052062</v>
      </c>
      <c r="T1356" s="42">
        <f>HIPERLINK($A$1 &amp; "\Dados\Imagem_perfil_1356.png", "Imagem_perfil_1356")</f>
        <v/>
      </c>
      <c r="U1356" s="42">
        <f>HIPERLINK($A$1 &amp; "\Dados\Results_airgap1356.txt", "Results_airgap1356")</f>
        <v/>
      </c>
      <c r="V1356" s="19" t="n"/>
      <c r="W1356" s="15" t="n">
        <v>1.573938913043478</v>
      </c>
      <c r="X1356" s="15" t="n">
        <v>0.7874568550286827</v>
      </c>
      <c r="Y1356" s="15" t="n">
        <v>0.6155806340749976</v>
      </c>
      <c r="Z1356" s="15" t="n">
        <v>0.04187352274358565</v>
      </c>
      <c r="AA1356" s="15" t="n">
        <v>1.714401252461444</v>
      </c>
      <c r="AB1356" s="15" t="n">
        <v>0</v>
      </c>
      <c r="AC1356" s="15" t="n">
        <v>10.89998976568666</v>
      </c>
      <c r="AD1356" s="15" t="n">
        <v>58.94140753256286</v>
      </c>
      <c r="AE1356" s="15" t="n">
        <v>93.08340991776033</v>
      </c>
      <c r="AF1356" s="15" t="n">
        <v>124.1472537418321</v>
      </c>
      <c r="AH1356" s="42">
        <f>HIPERLINK($A$1 &amp; "\Dados\Magnet_fields_1356.txt.txt", "Magnet_fields_1356.txt")</f>
        <v/>
      </c>
      <c r="AI1356" t="n">
        <v>10744</v>
      </c>
      <c r="AJ1356" t="n">
        <v>31</v>
      </c>
      <c r="AK1356" s="42">
        <f>HIPERLINK($A$1 &amp; "\Dados\Magnet_3D_results_1356.txt.txt", "Magnet_3D_results_1356.txt")</f>
        <v/>
      </c>
      <c r="AL1356" s="42">
        <f>HIPERLINK($A$1 &amp; "\Dados\Magnet_fields_2D_1356.txt.txt", "Magnet_fields_2D_1356.txt")</f>
        <v/>
      </c>
    </row>
    <row r="1357">
      <c r="E1357" s="15" t="n">
        <v>126</v>
      </c>
      <c r="F1357" s="15" t="n">
        <v>172</v>
      </c>
      <c r="G1357" s="15" t="n">
        <v>401</v>
      </c>
      <c r="H1357" s="15" t="n">
        <v>32</v>
      </c>
      <c r="I1357" s="15" t="n">
        <v>154</v>
      </c>
      <c r="J1357" s="13" t="n">
        <v>25</v>
      </c>
      <c r="K1357" t="n">
        <v>50</v>
      </c>
      <c r="L1357" s="13" t="n">
        <v>2.6</v>
      </c>
      <c r="M1357" s="12" t="n"/>
      <c r="N1357" s="8" t="n">
        <v>1.415236338266348</v>
      </c>
      <c r="O1357" s="15" t="n">
        <v>1.160646552513875</v>
      </c>
      <c r="P1357" s="15" t="n">
        <v>1.346436127287297</v>
      </c>
      <c r="Q1357" s="15" t="n">
        <v>0.00754975766698116</v>
      </c>
      <c r="R1357" s="15" t="n">
        <v>0.05376436789121825</v>
      </c>
      <c r="S1357" s="15" t="n">
        <v>0.008149219982620961</v>
      </c>
      <c r="T1357" s="42">
        <f>HIPERLINK($A$1 &amp; "\Dados\Imagem_perfil_1357.png", "Imagem_perfil_1357")</f>
        <v/>
      </c>
      <c r="U1357" s="42">
        <f>HIPERLINK($A$1 &amp; "\Dados\Results_airgap1357.txt", "Results_airgap1357")</f>
        <v/>
      </c>
      <c r="V1357" s="19" t="n"/>
      <c r="W1357" s="15" t="n">
        <v>1.918701739130435</v>
      </c>
      <c r="X1357" s="15" t="n">
        <v>0.8871871564533937</v>
      </c>
      <c r="Y1357" s="15" t="n">
        <v>0.3519672625240417</v>
      </c>
      <c r="Z1357" s="15" t="n">
        <v>0</v>
      </c>
      <c r="AA1357" s="15" t="n">
        <v>0.1233385704912573</v>
      </c>
      <c r="AB1357" s="15" t="n">
        <v>3.150173473415258</v>
      </c>
      <c r="AC1357" s="15" t="n">
        <v>18.27212819990429</v>
      </c>
      <c r="AD1357" s="15" t="n">
        <v>54.31795359502845</v>
      </c>
      <c r="AE1357" s="15" t="n">
        <v>90.01121788924891</v>
      </c>
      <c r="AF1357" s="15" t="n">
        <v>122.1339452061324</v>
      </c>
      <c r="AH1357" s="42">
        <f>HIPERLINK($A$1 &amp; "\Dados\Magnet_fields_1357.txt.txt", "Magnet_fields_1357.txt")</f>
        <v/>
      </c>
      <c r="AI1357" t="n">
        <v>7998</v>
      </c>
      <c r="AJ1357" t="n">
        <v>29</v>
      </c>
      <c r="AK1357" s="42">
        <f>HIPERLINK($A$1 &amp; "\Dados\Magnet_3D_results_1357.txt.txt", "Magnet_3D_results_1357.txt")</f>
        <v/>
      </c>
      <c r="AL1357" s="42">
        <f>HIPERLINK($A$1 &amp; "\Dados\Magnet_fields_2D_1357.txt.txt", "Magnet_fields_2D_1357.txt")</f>
        <v/>
      </c>
    </row>
    <row r="1358">
      <c r="E1358" s="15" t="n">
        <v>143</v>
      </c>
      <c r="F1358" s="15" t="n">
        <v>184</v>
      </c>
      <c r="G1358" s="15" t="n">
        <v>377</v>
      </c>
      <c r="H1358" s="15" t="n">
        <v>31</v>
      </c>
      <c r="I1358" s="15" t="n">
        <v>180</v>
      </c>
      <c r="J1358" s="13" t="n">
        <v>25</v>
      </c>
      <c r="K1358" t="n">
        <v>40</v>
      </c>
      <c r="L1358" s="13" t="n">
        <v>2.6</v>
      </c>
      <c r="M1358" s="12" t="n"/>
      <c r="N1358" s="8" t="n">
        <v>1.374941482967949</v>
      </c>
      <c r="O1358" s="15" t="n">
        <v>1.214205388367039</v>
      </c>
      <c r="P1358" s="15" t="n">
        <v>1.323635708197412</v>
      </c>
      <c r="Q1358" s="15" t="n">
        <v>0.001269679590418512</v>
      </c>
      <c r="R1358" s="15" t="n">
        <v>0.02727408955895383</v>
      </c>
      <c r="S1358" s="15" t="n">
        <v>0.001328746771071939</v>
      </c>
      <c r="T1358" s="42">
        <f>HIPERLINK($A$1 &amp; "\Dados\Imagem_perfil_1358.png", "Imagem_perfil_1358")</f>
        <v/>
      </c>
      <c r="U1358" s="42">
        <f>HIPERLINK($A$1 &amp; "\Dados\Results_airgap1358.txt", "Results_airgap1358")</f>
        <v/>
      </c>
      <c r="V1358" s="19" t="n"/>
      <c r="W1358" s="15" t="n">
        <v>1.658203260869565</v>
      </c>
      <c r="X1358" s="15" t="n">
        <v>0.843386948572613</v>
      </c>
      <c r="Y1358" s="15" t="n">
        <v>0.6201293023882791</v>
      </c>
      <c r="Z1358" s="15" t="n">
        <v>0.004667063281299007</v>
      </c>
      <c r="AA1358" s="15" t="n">
        <v>1.697551423726981</v>
      </c>
      <c r="AB1358" s="15" t="n">
        <v>0.611064796969969</v>
      </c>
      <c r="AC1358" s="15" t="n">
        <v>4.266502970114348</v>
      </c>
      <c r="AD1358" s="15" t="n">
        <v>29.3447094127667</v>
      </c>
      <c r="AE1358" s="15" t="n">
        <v>80.62704482791388</v>
      </c>
      <c r="AF1358" s="15" t="n">
        <v>114.7714592743807</v>
      </c>
      <c r="AH1358" s="42">
        <f>HIPERLINK($A$1 &amp; "\Dados\Magnet_fields_1358.txt.txt", "Magnet_fields_1358.txt")</f>
        <v/>
      </c>
      <c r="AI1358" t="n">
        <v>8922</v>
      </c>
      <c r="AJ1358" t="n">
        <v>30</v>
      </c>
      <c r="AK1358" s="42">
        <f>HIPERLINK($A$1 &amp; "\Dados\Magnet_3D_results_1358.txt.txt", "Magnet_3D_results_1358.txt")</f>
        <v/>
      </c>
      <c r="AL1358" s="42">
        <f>HIPERLINK($A$1 &amp; "\Dados\Magnet_fields_2D_1358.txt.txt", "Magnet_fields_2D_1358.txt")</f>
        <v/>
      </c>
    </row>
    <row r="1359">
      <c r="E1359" s="15" t="n">
        <v>139</v>
      </c>
      <c r="F1359" s="15" t="n">
        <v>186</v>
      </c>
      <c r="G1359" s="15" t="n">
        <v>392</v>
      </c>
      <c r="H1359" s="15" t="n">
        <v>27</v>
      </c>
      <c r="I1359" s="15" t="n">
        <v>171</v>
      </c>
      <c r="J1359" s="13" t="n">
        <v>25</v>
      </c>
      <c r="K1359" t="n">
        <v>60</v>
      </c>
      <c r="L1359" s="13" t="n">
        <v>2.6</v>
      </c>
      <c r="M1359" s="12" t="n"/>
      <c r="N1359" s="8" t="n">
        <v>1.371175059438041</v>
      </c>
      <c r="O1359" s="15" t="n">
        <v>1.207027140207462</v>
      </c>
      <c r="P1359" s="15" t="n">
        <v>1.310719278224494</v>
      </c>
      <c r="Q1359" s="15" t="n">
        <v>0.02251635067983735</v>
      </c>
      <c r="R1359" s="15" t="n">
        <v>0.0498692498258304</v>
      </c>
      <c r="S1359" s="15" t="n">
        <v>0.02170002615862416</v>
      </c>
      <c r="T1359" s="42">
        <f>HIPERLINK($A$1 &amp; "\Dados\Imagem_perfil_1359.png", "Imagem_perfil_1359")</f>
        <v/>
      </c>
      <c r="U1359" s="42">
        <f>HIPERLINK($A$1 &amp; "\Dados\Results_airgap1359.txt", "Results_airgap1359")</f>
        <v/>
      </c>
      <c r="V1359" s="19" t="n"/>
      <c r="W1359" s="15" t="n">
        <v>1.830310652173913</v>
      </c>
      <c r="X1359" s="15" t="n">
        <v>0.8820621976782361</v>
      </c>
      <c r="Y1359" s="15" t="n">
        <v>0.3746477739626472</v>
      </c>
      <c r="Z1359" s="15" t="n">
        <v>0.02416563428247331</v>
      </c>
      <c r="AA1359" s="15" t="n">
        <v>6.871732610844669</v>
      </c>
      <c r="AB1359" s="15" t="n">
        <v>0.7674938351219744</v>
      </c>
      <c r="AC1359" s="15" t="n">
        <v>15.3752379755742</v>
      </c>
      <c r="AD1359" s="15" t="n">
        <v>63.79560637260786</v>
      </c>
      <c r="AE1359" s="15" t="n">
        <v>98.52143078325625</v>
      </c>
      <c r="AF1359" s="15" t="n">
        <v>130.5849215375126</v>
      </c>
      <c r="AH1359" s="42">
        <f>HIPERLINK($A$1 &amp; "\Dados\Magnet_fields_1359.txt.txt", "Magnet_fields_1359.txt")</f>
        <v/>
      </c>
      <c r="AI1359" t="n">
        <v>9513</v>
      </c>
      <c r="AJ1359" t="n">
        <v>30</v>
      </c>
      <c r="AK1359" s="42">
        <f>HIPERLINK($A$1 &amp; "\Dados\Magnet_3D_results_1359.txt.txt", "Magnet_3D_results_1359.txt")</f>
        <v/>
      </c>
      <c r="AL1359" s="42">
        <f>HIPERLINK($A$1 &amp; "\Dados\Magnet_fields_2D_1359.txt.txt", "Magnet_fields_2D_1359.txt")</f>
        <v/>
      </c>
    </row>
    <row r="1360">
      <c r="E1360" s="15" t="n">
        <v>135</v>
      </c>
      <c r="F1360" s="15" t="n">
        <v>179</v>
      </c>
      <c r="G1360" s="15" t="n">
        <v>353</v>
      </c>
      <c r="H1360" s="15" t="n">
        <v>34</v>
      </c>
      <c r="I1360" s="15" t="n">
        <v>163</v>
      </c>
      <c r="J1360" s="13" t="n">
        <v>25</v>
      </c>
      <c r="K1360" t="n">
        <v>45</v>
      </c>
      <c r="L1360" s="13" t="n">
        <v>2.6</v>
      </c>
      <c r="M1360" s="12" t="n"/>
      <c r="N1360" s="8" t="n">
        <v>1.31092771391537</v>
      </c>
      <c r="O1360" s="15" t="n">
        <v>1.096687867406488</v>
      </c>
      <c r="P1360" s="15" t="n">
        <v>1.249178609094772</v>
      </c>
      <c r="Q1360" s="15" t="n">
        <v>0.002370074666143604</v>
      </c>
      <c r="R1360" s="15" t="n">
        <v>0.03019146348167065</v>
      </c>
      <c r="S1360" s="15" t="n">
        <v>0.002585707827610954</v>
      </c>
      <c r="T1360" s="42">
        <f>HIPERLINK($A$1 &amp; "\Dados\Imagem_perfil_1360.png", "Imagem_perfil_1360")</f>
        <v/>
      </c>
      <c r="U1360" s="42">
        <f>HIPERLINK($A$1 &amp; "\Dados\Results_airgap1360.txt", "Results_airgap1360")</f>
        <v/>
      </c>
      <c r="V1360" s="19" t="n"/>
      <c r="W1360" s="15" t="n">
        <v>1.637773913043478</v>
      </c>
      <c r="X1360" s="15" t="n">
        <v>0.8362305968297015</v>
      </c>
      <c r="Y1360" s="15" t="n">
        <v>0.6525365042070796</v>
      </c>
      <c r="Z1360" s="15" t="n">
        <v>0.001404998080257878</v>
      </c>
      <c r="AA1360" s="15" t="n">
        <v>0.313267895369414</v>
      </c>
      <c r="AB1360" s="15" t="n">
        <v>1.319951826569253</v>
      </c>
      <c r="AC1360" s="15" t="n">
        <v>10.45501611438499</v>
      </c>
      <c r="AD1360" s="15" t="n">
        <v>40.05502452049454</v>
      </c>
      <c r="AE1360" s="15" t="n">
        <v>80.00191657355923</v>
      </c>
      <c r="AF1360" s="15" t="n">
        <v>115.5969978719481</v>
      </c>
      <c r="AH1360" s="42">
        <f>HIPERLINK($A$1 &amp; "\Dados\Magnet_fields_1360.txt.txt", "Magnet_fields_1360.txt")</f>
        <v/>
      </c>
      <c r="AI1360" t="n">
        <v>6689</v>
      </c>
      <c r="AJ1360" t="n">
        <v>28</v>
      </c>
      <c r="AK1360" s="42">
        <f>HIPERLINK($A$1 &amp; "\Dados\Magnet_3D_results_1360.txt.txt", "Magnet_3D_results_1360.txt")</f>
        <v/>
      </c>
      <c r="AL1360" s="42">
        <f>HIPERLINK($A$1 &amp; "\Dados\Magnet_fields_2D_1360.txt.txt", "Magnet_fields_2D_1360.txt")</f>
        <v/>
      </c>
    </row>
    <row r="1361">
      <c r="E1361" s="15" t="n">
        <v>132</v>
      </c>
      <c r="F1361" s="15" t="n">
        <v>180</v>
      </c>
      <c r="G1361" s="15" t="n">
        <v>423</v>
      </c>
      <c r="H1361" s="15" t="n">
        <v>32</v>
      </c>
      <c r="I1361" s="15" t="n">
        <v>154</v>
      </c>
      <c r="J1361" s="13" t="n">
        <v>25</v>
      </c>
      <c r="K1361" t="n">
        <v>45</v>
      </c>
      <c r="L1361" s="13" t="n">
        <v>2.6</v>
      </c>
      <c r="M1361" s="12" t="n"/>
      <c r="N1361" s="8" t="n">
        <v>1.356663299840758</v>
      </c>
      <c r="O1361" s="15" t="n">
        <v>1.121565222688606</v>
      </c>
      <c r="P1361" s="15" t="n">
        <v>1.289223778080565</v>
      </c>
      <c r="Q1361" s="15" t="n">
        <v>0.003352690016489859</v>
      </c>
      <c r="R1361" s="15" t="n">
        <v>0.04878770731618477</v>
      </c>
      <c r="S1361" s="15" t="n">
        <v>0.004229397774792602</v>
      </c>
      <c r="T1361" s="42">
        <f>HIPERLINK($A$1 &amp; "\Dados\Imagem_perfil_1361.png", "Imagem_perfil_1361")</f>
        <v/>
      </c>
      <c r="U1361" s="42">
        <f>HIPERLINK($A$1 &amp; "\Dados\Results_airgap1361.txt", "Results_airgap1361")</f>
        <v/>
      </c>
      <c r="V1361" s="19" t="n"/>
      <c r="W1361" s="15" t="n">
        <v>1.841960652173913</v>
      </c>
      <c r="X1361" s="15" t="n">
        <v>0.8661457759427056</v>
      </c>
      <c r="Y1361" s="15" t="n">
        <v>0.4533366440652846</v>
      </c>
      <c r="Z1361" s="15" t="n">
        <v>0</v>
      </c>
      <c r="AA1361" s="15" t="n">
        <v>0.4949846036896128</v>
      </c>
      <c r="AB1361" s="15" t="n">
        <v>2.225225561238235</v>
      </c>
      <c r="AC1361" s="15" t="n">
        <v>12.49971952059026</v>
      </c>
      <c r="AD1361" s="15" t="n">
        <v>47.49371104053164</v>
      </c>
      <c r="AE1361" s="15" t="n">
        <v>89.14225932178503</v>
      </c>
      <c r="AF1361" s="15" t="n">
        <v>119.447389662372</v>
      </c>
      <c r="AH1361" s="42">
        <f>HIPERLINK($A$1 &amp; "\Dados\Magnet_fields_1361.txt.txt", "Magnet_fields_1361.txt")</f>
        <v/>
      </c>
      <c r="AI1361" t="n">
        <v>7659</v>
      </c>
      <c r="AJ1361" t="n">
        <v>29</v>
      </c>
      <c r="AK1361" s="42">
        <f>HIPERLINK($A$1 &amp; "\Dados\Magnet_3D_results_1361.txt.txt", "Magnet_3D_results_1361.txt")</f>
        <v/>
      </c>
      <c r="AL1361" s="42">
        <f>HIPERLINK($A$1 &amp; "\Dados\Magnet_fields_2D_1361.txt.txt", "Magnet_fields_2D_1361.txt")</f>
        <v/>
      </c>
    </row>
    <row r="1362">
      <c r="E1362" s="15" t="n">
        <v>139</v>
      </c>
      <c r="F1362" s="15" t="n">
        <v>170</v>
      </c>
      <c r="G1362" s="15" t="n">
        <v>367</v>
      </c>
      <c r="H1362" s="15" t="n">
        <v>41</v>
      </c>
      <c r="I1362" s="15" t="n">
        <v>167</v>
      </c>
      <c r="J1362" s="13" t="n">
        <v>25</v>
      </c>
      <c r="K1362" t="n">
        <v>50</v>
      </c>
      <c r="L1362" s="13" t="n">
        <v>2.6</v>
      </c>
      <c r="M1362" s="12" t="n"/>
      <c r="N1362" s="8" t="n">
        <v>1.600639417983866</v>
      </c>
      <c r="O1362" s="15" t="n">
        <v>1.369934026561496</v>
      </c>
      <c r="P1362" s="15" t="n">
        <v>1.527790686948712</v>
      </c>
      <c r="Q1362" s="15" t="n">
        <v>0.007050381583100435</v>
      </c>
      <c r="R1362" s="15" t="n">
        <v>0.03793291262604707</v>
      </c>
      <c r="S1362" s="15" t="n">
        <v>0.007165439654113735</v>
      </c>
      <c r="T1362" s="42">
        <f>HIPERLINK($A$1 &amp; "\Dados\Imagem_perfil_1362.png", "Imagem_perfil_1362")</f>
        <v/>
      </c>
      <c r="U1362" s="42">
        <f>HIPERLINK($A$1 &amp; "\Dados\Results_airgap1362.txt", "Results_airgap1362")</f>
        <v/>
      </c>
      <c r="V1362" s="19" t="n"/>
      <c r="W1362" s="15" t="n">
        <v>1.964716739130435</v>
      </c>
      <c r="X1362" s="15" t="n">
        <v>0.9825890772798525</v>
      </c>
      <c r="Y1362" s="15" t="n">
        <v>0.2530278375045568</v>
      </c>
      <c r="Z1362" s="15" t="n">
        <v>0</v>
      </c>
      <c r="AA1362" s="15" t="n">
        <v>0.05536549646064326</v>
      </c>
      <c r="AB1362" s="15" t="n">
        <v>0</v>
      </c>
      <c r="AC1362" s="15" t="n">
        <v>5.342452376820848</v>
      </c>
      <c r="AD1362" s="15" t="n">
        <v>46.66485452896864</v>
      </c>
      <c r="AE1362" s="15" t="n">
        <v>90.96647077538992</v>
      </c>
      <c r="AF1362" s="15" t="n">
        <v>122.5937783057484</v>
      </c>
      <c r="AH1362" s="42">
        <f>HIPERLINK($A$1 &amp; "\Dados\Magnet_fields_1362.txt.txt", "Magnet_fields_1362.txt")</f>
        <v/>
      </c>
      <c r="AI1362" t="n">
        <v>7216</v>
      </c>
      <c r="AJ1362" t="n">
        <v>29</v>
      </c>
      <c r="AK1362" s="42">
        <f>HIPERLINK($A$1 &amp; "\Dados\Magnet_3D_results_1362.txt.txt", "Magnet_3D_results_1362.txt")</f>
        <v/>
      </c>
      <c r="AL1362" s="42">
        <f>HIPERLINK($A$1 &amp; "\Dados\Magnet_fields_2D_1362.txt.txt", "Magnet_fields_2D_1362.txt")</f>
        <v/>
      </c>
    </row>
    <row r="1363">
      <c r="E1363" s="15" t="n">
        <v>149</v>
      </c>
      <c r="F1363" s="15" t="n">
        <v>181</v>
      </c>
      <c r="G1363" s="15" t="n">
        <v>361</v>
      </c>
      <c r="H1363" s="15" t="n">
        <v>39</v>
      </c>
      <c r="I1363" s="15" t="n">
        <v>157</v>
      </c>
      <c r="J1363" s="13" t="n">
        <v>25</v>
      </c>
      <c r="K1363" t="n">
        <v>55</v>
      </c>
      <c r="L1363" s="13" t="n">
        <v>2.6</v>
      </c>
      <c r="M1363" s="12" t="n"/>
      <c r="N1363" s="8" t="n">
        <v>1.528764401693584</v>
      </c>
      <c r="O1363" s="15" t="n">
        <v>1.271833207532412</v>
      </c>
      <c r="P1363" s="15" t="n">
        <v>1.45257042864921</v>
      </c>
      <c r="Q1363" s="15" t="n">
        <v>0.008098656813280298</v>
      </c>
      <c r="R1363" s="15" t="n">
        <v>0.03390528795957655</v>
      </c>
      <c r="S1363" s="15" t="n">
        <v>0.008369420735266577</v>
      </c>
      <c r="T1363" s="42">
        <f>HIPERLINK($A$1 &amp; "\Dados\Imagem_perfil_1363.png", "Imagem_perfil_1363")</f>
        <v/>
      </c>
      <c r="U1363" s="42">
        <f>HIPERLINK($A$1 &amp; "\Dados\Results_airgap1363.txt", "Results_airgap1363")</f>
        <v/>
      </c>
      <c r="V1363" s="19" t="n"/>
      <c r="W1363" s="15" t="n">
        <v>1.901635869565217</v>
      </c>
      <c r="X1363" s="15" t="n">
        <v>0.9405063012713814</v>
      </c>
      <c r="Y1363" s="15" t="n">
        <v>0.2614617061021884</v>
      </c>
      <c r="Z1363" s="15" t="n">
        <v>0.004988714351521205</v>
      </c>
      <c r="AA1363" s="15" t="n">
        <v>0.03776722538233394</v>
      </c>
      <c r="AB1363" s="15" t="n">
        <v>0</v>
      </c>
      <c r="AC1363" s="15" t="n">
        <v>11.23941951710477</v>
      </c>
      <c r="AD1363" s="15" t="n">
        <v>60.00153156949047</v>
      </c>
      <c r="AE1363" s="15" t="n">
        <v>95.65979165896509</v>
      </c>
      <c r="AF1363" s="15" t="n">
        <v>126.3661916512027</v>
      </c>
      <c r="AH1363" s="42">
        <f>HIPERLINK($A$1 &amp; "\Dados\Magnet_fields_1363.txt.txt", "Magnet_fields_1363.txt")</f>
        <v/>
      </c>
      <c r="AI1363" t="n">
        <v>11029</v>
      </c>
      <c r="AJ1363" t="n">
        <v>30</v>
      </c>
      <c r="AK1363" s="42">
        <f>HIPERLINK($A$1 &amp; "\Dados\Magnet_3D_results_1363.txt.txt", "Magnet_3D_results_1363.txt")</f>
        <v/>
      </c>
      <c r="AL1363" s="42">
        <f>HIPERLINK($A$1 &amp; "\Dados\Magnet_fields_2D_1363.txt.txt", "Magnet_fields_2D_1363.txt")</f>
        <v/>
      </c>
    </row>
    <row r="1364">
      <c r="E1364" s="15" t="n">
        <v>134</v>
      </c>
      <c r="F1364" s="15" t="n">
        <v>180</v>
      </c>
      <c r="G1364" s="15" t="n">
        <v>394</v>
      </c>
      <c r="H1364" s="15" t="n">
        <v>40</v>
      </c>
      <c r="I1364" s="15" t="n">
        <v>174</v>
      </c>
      <c r="J1364" s="13" t="n">
        <v>25</v>
      </c>
      <c r="K1364" t="n">
        <v>60</v>
      </c>
      <c r="L1364" s="13" t="n">
        <v>2.6</v>
      </c>
      <c r="M1364" s="12" t="n"/>
      <c r="N1364" s="8" t="n">
        <v>1.458707344272042</v>
      </c>
      <c r="O1364" s="15" t="n">
        <v>1.277880397063709</v>
      </c>
      <c r="P1364" s="15" t="n">
        <v>1.399502150896746</v>
      </c>
      <c r="Q1364" s="15" t="n">
        <v>0.02810535791808265</v>
      </c>
      <c r="R1364" s="15" t="n">
        <v>0.06166160180155839</v>
      </c>
      <c r="S1364" s="15" t="n">
        <v>0.02607773254111598</v>
      </c>
      <c r="T1364" s="42">
        <f>HIPERLINK($A$1 &amp; "\Dados\Imagem_perfil_1364.png", "Imagem_perfil_1364")</f>
        <v/>
      </c>
      <c r="U1364" s="42">
        <f>HIPERLINK($A$1 &amp; "\Dados\Results_airgap1364.txt", "Results_airgap1364")</f>
        <v/>
      </c>
      <c r="V1364" s="19" t="n"/>
      <c r="W1364" s="15" t="n">
        <v>1.908906086956522</v>
      </c>
      <c r="X1364" s="15" t="n">
        <v>0.9227247712382899</v>
      </c>
      <c r="Y1364" s="15" t="n">
        <v>0.3185498772320176</v>
      </c>
      <c r="Z1364" s="15" t="n">
        <v>0.007577437073093406</v>
      </c>
      <c r="AA1364" s="15" t="n">
        <v>0</v>
      </c>
      <c r="AB1364" s="15" t="n">
        <v>1.146732391254269</v>
      </c>
      <c r="AC1364" s="15" t="n">
        <v>18.79014840205052</v>
      </c>
      <c r="AD1364" s="15" t="n">
        <v>65.94340924381477</v>
      </c>
      <c r="AE1364" s="15" t="n">
        <v>99.15680420931911</v>
      </c>
      <c r="AF1364" s="15" t="n">
        <v>130.9196351152844</v>
      </c>
      <c r="AH1364" s="42">
        <f>HIPERLINK($A$1 &amp; "\Dados\Magnet_fields_1364.txt.txt", "Magnet_fields_1364.txt")</f>
        <v/>
      </c>
      <c r="AI1364" t="n">
        <v>7314</v>
      </c>
      <c r="AJ1364" t="n">
        <v>29</v>
      </c>
      <c r="AK1364" s="42">
        <f>HIPERLINK($A$1 &amp; "\Dados\Magnet_3D_results_1364.txt.txt", "Magnet_3D_results_1364.txt")</f>
        <v/>
      </c>
      <c r="AL1364" s="42">
        <f>HIPERLINK($A$1 &amp; "\Dados\Magnet_fields_2D_1364.txt.txt", "Magnet_fields_2D_1364.txt")</f>
        <v/>
      </c>
    </row>
    <row r="1365">
      <c r="E1365" s="15" t="n">
        <v>142</v>
      </c>
      <c r="F1365" s="15" t="n">
        <v>189</v>
      </c>
      <c r="G1365" s="15" t="n">
        <v>406</v>
      </c>
      <c r="H1365" s="15" t="n">
        <v>33</v>
      </c>
      <c r="I1365" s="15" t="n">
        <v>150</v>
      </c>
      <c r="J1365" s="13" t="n">
        <v>25</v>
      </c>
      <c r="K1365" t="n">
        <v>45</v>
      </c>
      <c r="L1365" s="13" t="n">
        <v>2.6</v>
      </c>
      <c r="M1365" s="12" t="n"/>
      <c r="N1365" s="8" t="n">
        <v>1.294850096139613</v>
      </c>
      <c r="O1365" s="15" t="n">
        <v>1.064745280422096</v>
      </c>
      <c r="P1365" s="15" t="n">
        <v>1.2278579545952</v>
      </c>
      <c r="Q1365" s="15" t="n">
        <v>0.002532859075198242</v>
      </c>
      <c r="R1365" s="15" t="n">
        <v>0.03789529834915773</v>
      </c>
      <c r="S1365" s="15" t="n">
        <v>0.003122429573510906</v>
      </c>
      <c r="T1365" s="42">
        <f>HIPERLINK($A$1 &amp; "\Dados\Imagem_perfil_1365.png", "Imagem_perfil_1365")</f>
        <v/>
      </c>
      <c r="U1365" s="42">
        <f>HIPERLINK($A$1 &amp; "\Dados\Results_airgap1365.txt", "Results_airgap1365")</f>
        <v/>
      </c>
      <c r="V1365" s="19" t="n"/>
      <c r="W1365" s="15" t="n">
        <v>1.744298260869565</v>
      </c>
      <c r="X1365" s="15" t="n">
        <v>0.8322817547872673</v>
      </c>
      <c r="Y1365" s="15" t="n">
        <v>0.5506701003008042</v>
      </c>
      <c r="Z1365" s="15" t="n">
        <v>0</v>
      </c>
      <c r="AA1365" s="15" t="n">
        <v>1.616497286505462</v>
      </c>
      <c r="AB1365" s="15" t="n">
        <v>1.258576541958809</v>
      </c>
      <c r="AC1365" s="15" t="n">
        <v>8.837562996415761</v>
      </c>
      <c r="AD1365" s="15" t="n">
        <v>39.78784730134481</v>
      </c>
      <c r="AE1365" s="15" t="n">
        <v>84.5022945744351</v>
      </c>
      <c r="AF1365" s="15" t="n">
        <v>117.9834621276424</v>
      </c>
      <c r="AH1365" s="42">
        <f>HIPERLINK($A$1 &amp; "\Dados\Magnet_fields_1365.txt.txt", "Magnet_fields_1365.txt")</f>
        <v/>
      </c>
      <c r="AI1365" t="n">
        <v>7956</v>
      </c>
      <c r="AJ1365" t="n">
        <v>29</v>
      </c>
      <c r="AK1365" s="42">
        <f>HIPERLINK($A$1 &amp; "\Dados\Magnet_3D_results_1365.txt.txt", "Magnet_3D_results_1365.txt")</f>
        <v/>
      </c>
      <c r="AL1365" s="42">
        <f>HIPERLINK($A$1 &amp; "\Dados\Magnet_fields_2D_1365.txt.txt", "Magnet_fields_2D_1365.txt")</f>
        <v/>
      </c>
    </row>
    <row r="1366">
      <c r="E1366" s="15" t="n">
        <v>144</v>
      </c>
      <c r="F1366" s="15" t="n">
        <v>194</v>
      </c>
      <c r="G1366" s="15" t="n">
        <v>365</v>
      </c>
      <c r="H1366" s="15" t="n">
        <v>31</v>
      </c>
      <c r="I1366" s="15" t="n">
        <v>146</v>
      </c>
      <c r="J1366" s="13" t="n">
        <v>25</v>
      </c>
      <c r="K1366" t="n">
        <v>45</v>
      </c>
      <c r="L1366" s="13" t="n">
        <v>2.6</v>
      </c>
      <c r="M1366" s="12" t="n"/>
      <c r="N1366" s="8" t="n">
        <v>1.142942206174267</v>
      </c>
      <c r="O1366" s="15" t="n">
        <v>0.9077732852660035</v>
      </c>
      <c r="P1366" s="15" t="n">
        <v>1.072157062183981</v>
      </c>
      <c r="Q1366" s="15" t="n">
        <v>0.002008047468152967</v>
      </c>
      <c r="R1366" s="15" t="n">
        <v>0.0268150345950168</v>
      </c>
      <c r="S1366" s="15" t="n">
        <v>0.002598815475189359</v>
      </c>
      <c r="T1366" s="42">
        <f>HIPERLINK($A$1 &amp; "\Dados\Imagem_perfil_1366.png", "Imagem_perfil_1366")</f>
        <v/>
      </c>
      <c r="U1366" s="42">
        <f>HIPERLINK($A$1 &amp; "\Dados\Results_airgap1366.txt", "Results_airgap1366")</f>
        <v/>
      </c>
      <c r="V1366" s="19" t="n"/>
      <c r="W1366" s="15" t="n">
        <v>1.519513913043478</v>
      </c>
      <c r="X1366" s="15" t="n">
        <v>0.7426665092370134</v>
      </c>
      <c r="Y1366" s="15" t="n">
        <v>0.7831055231136876</v>
      </c>
      <c r="Z1366" s="15" t="n">
        <v>0</v>
      </c>
      <c r="AA1366" s="15" t="n">
        <v>2.930187888283078</v>
      </c>
      <c r="AB1366" s="15" t="n">
        <v>0.5520668239679566</v>
      </c>
      <c r="AC1366" s="15" t="n">
        <v>7.059393848048828</v>
      </c>
      <c r="AD1366" s="15" t="n">
        <v>36.86956743338607</v>
      </c>
      <c r="AE1366" s="15" t="n">
        <v>80.85929836401414</v>
      </c>
      <c r="AF1366" s="15" t="n">
        <v>116.1142839017204</v>
      </c>
      <c r="AH1366" s="42">
        <f>HIPERLINK($A$1 &amp; "\Dados\Magnet_fields_1366.txt.txt", "Magnet_fields_1366.txt")</f>
        <v/>
      </c>
      <c r="AI1366" t="n">
        <v>7747</v>
      </c>
      <c r="AJ1366" t="n">
        <v>29</v>
      </c>
      <c r="AK1366" s="42">
        <f>HIPERLINK($A$1 &amp; "\Dados\Magnet_3D_results_1366.txt.txt", "Magnet_3D_results_1366.txt")</f>
        <v/>
      </c>
      <c r="AL1366" s="42">
        <f>HIPERLINK($A$1 &amp; "\Dados\Magnet_fields_2D_1366.txt.txt", "Magnet_fields_2D_1366.txt")</f>
        <v/>
      </c>
    </row>
    <row r="1367">
      <c r="E1367" s="15" t="n">
        <v>144</v>
      </c>
      <c r="F1367" s="15" t="n">
        <v>184</v>
      </c>
      <c r="G1367" s="15" t="n">
        <v>350</v>
      </c>
      <c r="H1367" s="15" t="n">
        <v>33</v>
      </c>
      <c r="I1367" s="15" t="n">
        <v>149</v>
      </c>
      <c r="J1367" s="13" t="n">
        <v>25</v>
      </c>
      <c r="K1367" t="n">
        <v>55</v>
      </c>
      <c r="L1367" s="13" t="n">
        <v>2.6</v>
      </c>
      <c r="M1367" s="12" t="n"/>
      <c r="N1367" s="8" t="n">
        <v>1.341561186982487</v>
      </c>
      <c r="O1367" s="15" t="n">
        <v>1.08140417386044</v>
      </c>
      <c r="P1367" s="15" t="n">
        <v>1.263086571096245</v>
      </c>
      <c r="Q1367" s="15" t="n">
        <v>0.006435955335612067</v>
      </c>
      <c r="R1367" s="15" t="n">
        <v>0.03132186810904423</v>
      </c>
      <c r="S1367" s="15" t="n">
        <v>0.006748016143915868</v>
      </c>
      <c r="T1367" s="42">
        <f>HIPERLINK($A$1 &amp; "\Dados\Imagem_perfil_1367.png", "Imagem_perfil_1367")</f>
        <v/>
      </c>
      <c r="U1367" s="42">
        <f>HIPERLINK($A$1 &amp; "\Dados\Results_airgap1367.txt", "Results_airgap1367")</f>
        <v/>
      </c>
      <c r="V1367" s="19" t="n"/>
      <c r="W1367" s="15" t="n">
        <v>1.731659782608696</v>
      </c>
      <c r="X1367" s="15" t="n">
        <v>0.8327701955366197</v>
      </c>
      <c r="Y1367" s="15" t="n">
        <v>0.4418882413374137</v>
      </c>
      <c r="Z1367" s="15" t="n">
        <v>0</v>
      </c>
      <c r="AA1367" s="15" t="n">
        <v>1.496555032604399</v>
      </c>
      <c r="AB1367" s="15" t="n">
        <v>0</v>
      </c>
      <c r="AC1367" s="15" t="n">
        <v>15.42998852372375</v>
      </c>
      <c r="AD1367" s="15" t="n">
        <v>60.8388463840289</v>
      </c>
      <c r="AE1367" s="15" t="n">
        <v>93.40613629115522</v>
      </c>
      <c r="AF1367" s="15" t="n">
        <v>124.9465744494876</v>
      </c>
      <c r="AH1367" s="42">
        <f>HIPERLINK($A$1 &amp; "\Dados\Magnet_fields_1367.txt.txt", "Magnet_fields_1367.txt")</f>
        <v/>
      </c>
      <c r="AI1367" t="n">
        <v>10724</v>
      </c>
      <c r="AJ1367" t="n">
        <v>30</v>
      </c>
      <c r="AK1367" s="42">
        <f>HIPERLINK($A$1 &amp; "\Dados\Magnet_3D_results_1367.txt.txt", "Magnet_3D_results_1367.txt")</f>
        <v/>
      </c>
      <c r="AL1367" s="42">
        <f>HIPERLINK($A$1 &amp; "\Dados\Magnet_fields_2D_1367.txt.txt", "Magnet_fields_2D_1367.txt")</f>
        <v/>
      </c>
    </row>
    <row r="1368">
      <c r="E1368" s="15" t="n">
        <v>146</v>
      </c>
      <c r="F1368" s="15" t="n">
        <v>194</v>
      </c>
      <c r="G1368" s="15" t="n">
        <v>401</v>
      </c>
      <c r="H1368" s="15" t="n">
        <v>28</v>
      </c>
      <c r="I1368" s="15" t="n">
        <v>175</v>
      </c>
      <c r="J1368" s="13" t="n">
        <v>25</v>
      </c>
      <c r="K1368" t="n">
        <v>45</v>
      </c>
      <c r="L1368" s="13" t="n">
        <v>2.6</v>
      </c>
      <c r="M1368" s="12" t="n"/>
      <c r="N1368" s="8" t="n">
        <v>1.325107937987168</v>
      </c>
      <c r="O1368" s="15" t="n">
        <v>1.140502059555482</v>
      </c>
      <c r="P1368" s="15" t="n">
        <v>1.273987721696983</v>
      </c>
      <c r="Q1368" s="15" t="n">
        <v>0.002149018018956643</v>
      </c>
      <c r="R1368" s="15" t="n">
        <v>0.03496431731018759</v>
      </c>
      <c r="S1368" s="15" t="n">
        <v>0.002324180067003393</v>
      </c>
      <c r="T1368" s="42">
        <f>HIPERLINK($A$1 &amp; "\Dados\Imagem_perfil_1368.png", "Imagem_perfil_1368")</f>
        <v/>
      </c>
      <c r="U1368" s="42">
        <f>HIPERLINK($A$1 &amp; "\Dados\Results_airgap1368.txt", "Results_airgap1368")</f>
        <v/>
      </c>
      <c r="V1368" s="19" t="n"/>
      <c r="W1368" s="15" t="n">
        <v>1.70046152173913</v>
      </c>
      <c r="X1368" s="15" t="n">
        <v>0.8426862961270385</v>
      </c>
      <c r="Y1368" s="15" t="n">
        <v>0.5733286397625752</v>
      </c>
      <c r="Z1368" s="15" t="n">
        <v>0</v>
      </c>
      <c r="AA1368" s="15" t="n">
        <v>2.93785735248537</v>
      </c>
      <c r="AB1368" s="15" t="n">
        <v>0.9143001385610923</v>
      </c>
      <c r="AC1368" s="15" t="n">
        <v>8.637175168122253</v>
      </c>
      <c r="AD1368" s="15" t="n">
        <v>42.08784930846384</v>
      </c>
      <c r="AE1368" s="15" t="n">
        <v>85.32164179701266</v>
      </c>
      <c r="AF1368" s="15" t="n">
        <v>117.8145568359457</v>
      </c>
      <c r="AH1368" s="42">
        <f>HIPERLINK($A$1 &amp; "\Dados\Magnet_fields_1368.txt.txt", "Magnet_fields_1368.txt")</f>
        <v/>
      </c>
      <c r="AI1368" t="n">
        <v>9181</v>
      </c>
      <c r="AJ1368" t="n">
        <v>29</v>
      </c>
      <c r="AK1368" s="42">
        <f>HIPERLINK($A$1 &amp; "\Dados\Magnet_3D_results_1368.txt.txt", "Magnet_3D_results_1368.txt")</f>
        <v/>
      </c>
      <c r="AL1368" s="42">
        <f>HIPERLINK($A$1 &amp; "\Dados\Magnet_fields_2D_1368.txt.txt", "Magnet_fields_2D_1368.txt")</f>
        <v/>
      </c>
    </row>
    <row r="1369">
      <c r="E1369" s="15" t="n">
        <v>135</v>
      </c>
      <c r="F1369" s="15" t="n">
        <v>180</v>
      </c>
      <c r="G1369" s="15" t="n">
        <v>406</v>
      </c>
      <c r="H1369" s="15" t="n">
        <v>32</v>
      </c>
      <c r="I1369" s="15" t="n">
        <v>143</v>
      </c>
      <c r="J1369" s="13" t="n">
        <v>25</v>
      </c>
      <c r="K1369" t="n">
        <v>45</v>
      </c>
      <c r="L1369" s="13" t="n">
        <v>2.6</v>
      </c>
      <c r="M1369" s="12" t="n"/>
      <c r="N1369" s="8" t="n">
        <v>1.339120605615042</v>
      </c>
      <c r="O1369" s="15" t="n">
        <v>1.068541622675211</v>
      </c>
      <c r="P1369" s="15" t="n">
        <v>1.263437289272888</v>
      </c>
      <c r="Q1369" s="15" t="n">
        <v>0.002992034192515552</v>
      </c>
      <c r="R1369" s="15" t="n">
        <v>0.0415608160649173</v>
      </c>
      <c r="S1369" s="15" t="n">
        <v>0.00373755486540714</v>
      </c>
      <c r="T1369" s="42">
        <f>HIPERLINK($A$1 &amp; "\Dados\Imagem_perfil_1369.png", "Imagem_perfil_1369")</f>
        <v/>
      </c>
      <c r="U1369" s="42">
        <f>HIPERLINK($A$1 &amp; "\Dados\Results_airgap1369.txt", "Results_airgap1369")</f>
        <v/>
      </c>
      <c r="V1369" s="19" t="n"/>
      <c r="W1369" s="15" t="n">
        <v>1.831927391304347</v>
      </c>
      <c r="X1369" s="15" t="n">
        <v>0.87484326206866</v>
      </c>
      <c r="Y1369" s="15" t="n">
        <v>0.4754673726677124</v>
      </c>
      <c r="Z1369" s="15" t="n">
        <v>0</v>
      </c>
      <c r="AA1369" s="15" t="n">
        <v>1.064488306313348</v>
      </c>
      <c r="AB1369" s="15" t="n">
        <v>2.572833056564606</v>
      </c>
      <c r="AC1369" s="15" t="n">
        <v>13.6037772803787</v>
      </c>
      <c r="AD1369" s="15" t="n">
        <v>44.03499585351945</v>
      </c>
      <c r="AE1369" s="15" t="n">
        <v>83.22821684849735</v>
      </c>
      <c r="AF1369" s="15" t="n">
        <v>117.1791437380383</v>
      </c>
      <c r="AH1369" s="42">
        <f>HIPERLINK($A$1 &amp; "\Dados\Magnet_fields_1369.txt.txt", "Magnet_fields_1369.txt")</f>
        <v/>
      </c>
      <c r="AI1369" t="n">
        <v>8072</v>
      </c>
      <c r="AJ1369" t="n">
        <v>29</v>
      </c>
      <c r="AK1369" s="42">
        <f>HIPERLINK($A$1 &amp; "\Dados\Magnet_3D_results_1369.txt.txt", "Magnet_3D_results_1369.txt")</f>
        <v/>
      </c>
      <c r="AL1369" s="42">
        <f>HIPERLINK($A$1 &amp; "\Dados\Magnet_fields_2D_1369.txt.txt", "Magnet_fields_2D_1369.txt")</f>
        <v/>
      </c>
    </row>
    <row r="1370">
      <c r="E1370" s="15" t="n">
        <v>144</v>
      </c>
      <c r="F1370" s="15" t="n">
        <v>194</v>
      </c>
      <c r="G1370" s="15" t="n">
        <v>356</v>
      </c>
      <c r="H1370" s="15" t="n">
        <v>36</v>
      </c>
      <c r="I1370" s="15" t="n">
        <v>176</v>
      </c>
      <c r="J1370" s="13" t="n">
        <v>25</v>
      </c>
      <c r="K1370" t="n">
        <v>55</v>
      </c>
      <c r="L1370" s="13" t="n">
        <v>2.6</v>
      </c>
      <c r="M1370" s="12" t="n"/>
      <c r="N1370" s="8" t="n">
        <v>1.240594262385465</v>
      </c>
      <c r="O1370" s="15" t="n">
        <v>1.082060846476668</v>
      </c>
      <c r="P1370" s="15" t="n">
        <v>1.193666574936681</v>
      </c>
      <c r="Q1370" s="15" t="n">
        <v>0.009404768814113703</v>
      </c>
      <c r="R1370" s="15" t="n">
        <v>0.03457775790805789</v>
      </c>
      <c r="S1370" s="15" t="n">
        <v>0.009343884917359426</v>
      </c>
      <c r="T1370" s="42">
        <f>HIPERLINK($A$1 &amp; "\Dados\Imagem_perfil_1370.png", "Imagem_perfil_1370")</f>
        <v/>
      </c>
      <c r="U1370" s="42">
        <f>HIPERLINK($A$1 &amp; "\Dados\Results_airgap1370.txt", "Results_airgap1370")</f>
        <v/>
      </c>
      <c r="V1370" s="19" t="n"/>
      <c r="W1370" s="15" t="n">
        <v>1.555214782608696</v>
      </c>
      <c r="X1370" s="15" t="n">
        <v>0.7807585886677721</v>
      </c>
      <c r="Y1370" s="15" t="n">
        <v>0.6563194156312071</v>
      </c>
      <c r="Z1370" s="15" t="n">
        <v>0.00919070327314591</v>
      </c>
      <c r="AA1370" s="15" t="n">
        <v>0.9191757511334546</v>
      </c>
      <c r="AB1370" s="15" t="n">
        <v>0.1420459246233354</v>
      </c>
      <c r="AC1370" s="15" t="n">
        <v>12.52531822628434</v>
      </c>
      <c r="AD1370" s="15" t="n">
        <v>55.68322747212372</v>
      </c>
      <c r="AE1370" s="15" t="n">
        <v>91.00612808099022</v>
      </c>
      <c r="AF1370" s="15" t="n">
        <v>123.6597078360286</v>
      </c>
      <c r="AH1370" s="42">
        <f>HIPERLINK($A$1 &amp; "\Dados\Magnet_fields_1370.txt.txt", "Magnet_fields_1370.txt")</f>
        <v/>
      </c>
      <c r="AI1370" t="n">
        <v>10213</v>
      </c>
      <c r="AJ1370" t="n">
        <v>30</v>
      </c>
      <c r="AK1370" s="42">
        <f>HIPERLINK($A$1 &amp; "\Dados\Magnet_3D_results_1370.txt.txt", "Magnet_3D_results_1370.txt")</f>
        <v/>
      </c>
      <c r="AL1370" s="42">
        <f>HIPERLINK($A$1 &amp; "\Dados\Magnet_fields_2D_1370.txt.txt", "Magnet_fields_2D_1370.txt")</f>
        <v/>
      </c>
    </row>
    <row r="1371">
      <c r="E1371" s="15" t="n">
        <v>135</v>
      </c>
      <c r="F1371" s="15" t="n">
        <v>175</v>
      </c>
      <c r="G1371" s="15" t="n">
        <v>424</v>
      </c>
      <c r="H1371" s="15" t="n">
        <v>35</v>
      </c>
      <c r="I1371" s="15" t="n">
        <v>150</v>
      </c>
      <c r="J1371" s="13" t="n">
        <v>25</v>
      </c>
      <c r="K1371" t="n">
        <v>50</v>
      </c>
      <c r="L1371" s="13" t="n">
        <v>2.6</v>
      </c>
      <c r="M1371" s="12" t="n"/>
      <c r="N1371" s="8" t="n">
        <v>1.507091475170827</v>
      </c>
      <c r="O1371" s="15" t="n">
        <v>1.222249158275061</v>
      </c>
      <c r="P1371" s="15" t="n">
        <v>1.423213564377099</v>
      </c>
      <c r="Q1371" s="15" t="n">
        <v>0.007223012311283966</v>
      </c>
      <c r="R1371" s="15" t="n">
        <v>0.05382212476601885</v>
      </c>
      <c r="S1371" s="15" t="n">
        <v>0.007774873680912545</v>
      </c>
      <c r="T1371" s="42">
        <f>HIPERLINK($A$1 &amp; "\Dados\Imagem_perfil_1371.png", "Imagem_perfil_1371")</f>
        <v/>
      </c>
      <c r="U1371" s="42">
        <f>HIPERLINK($A$1 &amp; "\Dados\Results_airgap1371.txt", "Results_airgap1371")</f>
        <v/>
      </c>
      <c r="V1371" s="19" t="n"/>
      <c r="W1371" s="15" t="n">
        <v>2.053408913043478</v>
      </c>
      <c r="X1371" s="15" t="n">
        <v>0.9740774162780196</v>
      </c>
      <c r="Y1371" s="15" t="n">
        <v>0.2408518227684428</v>
      </c>
      <c r="Z1371" s="15" t="n">
        <v>0</v>
      </c>
      <c r="AA1371" s="15" t="n">
        <v>0.9249198779687137</v>
      </c>
      <c r="AB1371" s="15" t="n">
        <v>2.025900192284229</v>
      </c>
      <c r="AC1371" s="15" t="n">
        <v>13.32850085876903</v>
      </c>
      <c r="AD1371" s="15" t="n">
        <v>49.83556668733063</v>
      </c>
      <c r="AE1371" s="15" t="n">
        <v>89.4760362690821</v>
      </c>
      <c r="AF1371" s="15" t="n">
        <v>122.3818206702101</v>
      </c>
      <c r="AH1371" s="42">
        <f>HIPERLINK($A$1 &amp; "\Dados\Magnet_fields_1371.txt.txt", "Magnet_fields_1371.txt")</f>
        <v/>
      </c>
      <c r="AI1371" t="n">
        <v>7618</v>
      </c>
      <c r="AJ1371" t="n">
        <v>29</v>
      </c>
      <c r="AK1371" s="42">
        <f>HIPERLINK($A$1 &amp; "\Dados\Magnet_3D_results_1371.txt.txt", "Magnet_3D_results_1371.txt")</f>
        <v/>
      </c>
      <c r="AL1371" s="42">
        <f>HIPERLINK($A$1 &amp; "\Dados\Magnet_fields_2D_1371.txt.txt", "Magnet_fields_2D_1371.txt")</f>
        <v/>
      </c>
    </row>
    <row r="1372">
      <c r="E1372" s="15" t="n">
        <v>150</v>
      </c>
      <c r="F1372" s="15" t="n">
        <v>198</v>
      </c>
      <c r="G1372" s="15" t="n">
        <v>365</v>
      </c>
      <c r="H1372" s="15" t="n">
        <v>32</v>
      </c>
      <c r="I1372" s="15" t="n">
        <v>157</v>
      </c>
      <c r="J1372" s="13" t="n">
        <v>25</v>
      </c>
      <c r="K1372" t="n">
        <v>40</v>
      </c>
      <c r="L1372" s="13" t="n">
        <v>2.6</v>
      </c>
      <c r="M1372" s="12" t="n"/>
      <c r="N1372" s="8" t="n">
        <v>1.167104511456593</v>
      </c>
      <c r="O1372" s="15" t="n">
        <v>0.9769197496065254</v>
      </c>
      <c r="P1372" s="15" t="n">
        <v>1.109838080537504</v>
      </c>
      <c r="Q1372" s="15" t="n">
        <v>0.0009240496489726843</v>
      </c>
      <c r="R1372" s="15" t="n">
        <v>0.02227255882926315</v>
      </c>
      <c r="S1372" s="15" t="n">
        <v>0.001246603897848491</v>
      </c>
      <c r="T1372" s="42">
        <f>HIPERLINK($A$1 &amp; "\Dados\Imagem_perfil_1372.png", "Imagem_perfil_1372")</f>
        <v/>
      </c>
      <c r="U1372" s="42">
        <f>HIPERLINK($A$1 &amp; "\Dados\Results_airgap1372.txt", "Results_airgap1372")</f>
        <v/>
      </c>
      <c r="V1372" s="19" t="n"/>
      <c r="W1372" s="15" t="n">
        <v>1.476237826086956</v>
      </c>
      <c r="X1372" s="15" t="n">
        <v>0.7397377932241899</v>
      </c>
      <c r="Y1372" s="15" t="n">
        <v>0.8534091565710078</v>
      </c>
      <c r="Z1372" s="15" t="n">
        <v>0.001838854262794108</v>
      </c>
      <c r="AA1372" s="15" t="n">
        <v>1.184550178472149</v>
      </c>
      <c r="AB1372" s="15" t="n">
        <v>0.08332336495171135</v>
      </c>
      <c r="AC1372" s="15" t="n">
        <v>5.101099311596996</v>
      </c>
      <c r="AD1372" s="15" t="n">
        <v>31.81184447054521</v>
      </c>
      <c r="AE1372" s="15" t="n">
        <v>76.85872072356646</v>
      </c>
      <c r="AF1372" s="15" t="n">
        <v>112.4809753995146</v>
      </c>
      <c r="AH1372" s="42">
        <f>HIPERLINK($A$1 &amp; "\Dados\Magnet_fields_1372.txt.txt", "Magnet_fields_1372.txt")</f>
        <v/>
      </c>
      <c r="AI1372" t="n">
        <v>7825</v>
      </c>
      <c r="AJ1372" t="n">
        <v>29</v>
      </c>
      <c r="AK1372" s="42">
        <f>HIPERLINK($A$1 &amp; "\Dados\Magnet_3D_results_1372.txt.txt", "Magnet_3D_results_1372.txt")</f>
        <v/>
      </c>
      <c r="AL1372" s="42">
        <f>HIPERLINK($A$1 &amp; "\Dados\Magnet_fields_2D_1372.txt.txt", "Magnet_fields_2D_1372.txt")</f>
        <v/>
      </c>
    </row>
    <row r="1373">
      <c r="E1373" s="15" t="n">
        <v>131</v>
      </c>
      <c r="F1373" s="15" t="n">
        <v>175</v>
      </c>
      <c r="G1373" s="15" t="n">
        <v>409</v>
      </c>
      <c r="H1373" s="15" t="n">
        <v>44</v>
      </c>
      <c r="I1373" s="15" t="n">
        <v>148</v>
      </c>
      <c r="J1373" s="13" t="n">
        <v>25</v>
      </c>
      <c r="K1373" t="n">
        <v>60</v>
      </c>
      <c r="L1373" s="13" t="n">
        <v>2.6</v>
      </c>
      <c r="M1373" s="12" t="n"/>
      <c r="N1373" s="8" t="n">
        <v>1.454280167153162</v>
      </c>
      <c r="O1373" s="15" t="n">
        <v>1.185179008534373</v>
      </c>
      <c r="P1373" s="15" t="n">
        <v>1.363386489730666</v>
      </c>
      <c r="Q1373" s="15" t="n">
        <v>0.02879592331902931</v>
      </c>
      <c r="R1373" s="15" t="n">
        <v>0.06870857839644655</v>
      </c>
      <c r="S1373" s="15" t="n">
        <v>0.02878833834112883</v>
      </c>
      <c r="T1373" s="42">
        <f>HIPERLINK($A$1 &amp; "\Dados\Imagem_perfil_1373.png", "Imagem_perfil_1373")</f>
        <v/>
      </c>
      <c r="U1373" s="42">
        <f>HIPERLINK($A$1 &amp; "\Dados\Results_airgap1373.txt", "Results_airgap1373")</f>
        <v/>
      </c>
      <c r="V1373" s="19" t="n"/>
      <c r="W1373" s="15" t="n">
        <v>2.035650217391304</v>
      </c>
      <c r="X1373" s="15" t="n">
        <v>0.9533529197010409</v>
      </c>
      <c r="Y1373" s="15" t="n">
        <v>0.2277677435080346</v>
      </c>
      <c r="Z1373" s="15" t="n">
        <v>0</v>
      </c>
      <c r="AA1373" s="15" t="n">
        <v>0</v>
      </c>
      <c r="AB1373" s="15" t="n">
        <v>1.569591701710373</v>
      </c>
      <c r="AC1373" s="15" t="n">
        <v>19.22938740634706</v>
      </c>
      <c r="AD1373" s="15" t="n">
        <v>66.72675011696329</v>
      </c>
      <c r="AE1373" s="15" t="n">
        <v>100.116814903741</v>
      </c>
      <c r="AF1373" s="15" t="n">
        <v>131.8339565522608</v>
      </c>
      <c r="AH1373" s="42">
        <f>HIPERLINK($A$1 &amp; "\Dados\Magnet_fields_1373.txt.txt", "Magnet_fields_1373.txt")</f>
        <v/>
      </c>
      <c r="AI1373" t="n">
        <v>7174</v>
      </c>
      <c r="AJ1373" t="n">
        <v>28</v>
      </c>
      <c r="AK1373" s="42">
        <f>HIPERLINK($A$1 &amp; "\Dados\Magnet_3D_results_1373.txt.txt", "Magnet_3D_results_1373.txt")</f>
        <v/>
      </c>
      <c r="AL1373" s="42">
        <f>HIPERLINK($A$1 &amp; "\Dados\Magnet_fields_2D_1373.txt.txt", "Magnet_fields_2D_1373.txt")</f>
        <v/>
      </c>
    </row>
    <row r="1374">
      <c r="E1374" s="15" t="n">
        <v>133</v>
      </c>
      <c r="F1374" s="15" t="n">
        <v>170</v>
      </c>
      <c r="G1374" s="15" t="n">
        <v>408</v>
      </c>
      <c r="H1374" s="15" t="n">
        <v>43</v>
      </c>
      <c r="I1374" s="15" t="n">
        <v>141</v>
      </c>
      <c r="J1374" s="13" t="n">
        <v>25</v>
      </c>
      <c r="K1374" t="n">
        <v>40</v>
      </c>
      <c r="L1374" s="13" t="n">
        <v>2.6</v>
      </c>
      <c r="M1374" s="12" t="n"/>
      <c r="N1374" s="8" t="n">
        <v>1.427030857105158</v>
      </c>
      <c r="O1374" s="15" t="n">
        <v>1.11035496051698</v>
      </c>
      <c r="P1374" s="15" t="n">
        <v>1.335397192956232</v>
      </c>
      <c r="Q1374" s="15" t="n">
        <v>0.001901602514646008</v>
      </c>
      <c r="R1374" s="15" t="n">
        <v>0.0380405106114684</v>
      </c>
      <c r="S1374" s="15" t="n">
        <v>0.002409543220183057</v>
      </c>
      <c r="T1374" s="42">
        <f>HIPERLINK($A$1 &amp; "\Dados\Imagem_perfil_1374.png", "Imagem_perfil_1374")</f>
        <v/>
      </c>
      <c r="U1374" s="42">
        <f>HIPERLINK($A$1 &amp; "\Dados\Results_airgap1374.txt", "Results_airgap1374")</f>
        <v/>
      </c>
      <c r="V1374" s="19" t="n"/>
      <c r="W1374" s="15" t="n">
        <v>1.870175652173913</v>
      </c>
      <c r="X1374" s="15" t="n">
        <v>0.9136315952098331</v>
      </c>
      <c r="Y1374" s="15" t="n">
        <v>0.4232492675274832</v>
      </c>
      <c r="Z1374" s="15" t="n">
        <v>0.0007495571520343385</v>
      </c>
      <c r="AA1374" s="15" t="n">
        <v>0.0008822062309011313</v>
      </c>
      <c r="AB1374" s="15" t="n">
        <v>1.446189613933011</v>
      </c>
      <c r="AC1374" s="15" t="n">
        <v>6.214612971251222</v>
      </c>
      <c r="AD1374" s="15" t="n">
        <v>32.08126437563645</v>
      </c>
      <c r="AE1374" s="15" t="n">
        <v>84.72146567985509</v>
      </c>
      <c r="AF1374" s="15" t="n">
        <v>116.3486879431744</v>
      </c>
      <c r="AH1374" s="42">
        <f>HIPERLINK($A$1 &amp; "\Dados\Magnet_fields_1374.txt.txt", "Magnet_fields_1374.txt")</f>
        <v/>
      </c>
      <c r="AI1374" t="n">
        <v>7396</v>
      </c>
      <c r="AJ1374" t="n">
        <v>28</v>
      </c>
      <c r="AK1374" s="42">
        <f>HIPERLINK($A$1 &amp; "\Dados\Magnet_3D_results_1374.txt.txt", "Magnet_3D_results_1374.txt")</f>
        <v/>
      </c>
      <c r="AL1374" s="42">
        <f>HIPERLINK($A$1 &amp; "\Dados\Magnet_fields_2D_1374.txt.txt", "Magnet_fields_2D_1374.txt")</f>
        <v/>
      </c>
    </row>
    <row r="1375">
      <c r="E1375" s="15" t="n">
        <v>131</v>
      </c>
      <c r="F1375" s="15" t="n">
        <v>179</v>
      </c>
      <c r="G1375" s="15" t="n">
        <v>403</v>
      </c>
      <c r="H1375" s="15" t="n">
        <v>45</v>
      </c>
      <c r="I1375" s="15" t="n">
        <v>159</v>
      </c>
      <c r="J1375" s="13" t="n">
        <v>25</v>
      </c>
      <c r="K1375" t="n">
        <v>60</v>
      </c>
      <c r="L1375" s="13" t="n">
        <v>2.6</v>
      </c>
      <c r="M1375" s="12" t="n"/>
      <c r="N1375" s="8" t="n">
        <v>1.419636506778216</v>
      </c>
      <c r="O1375" s="15" t="n">
        <v>1.196376907049024</v>
      </c>
      <c r="P1375" s="15" t="n">
        <v>1.344454823736517</v>
      </c>
      <c r="Q1375" s="15" t="n">
        <v>0.028557037851977</v>
      </c>
      <c r="R1375" s="15" t="n">
        <v>0.06795567579294354</v>
      </c>
      <c r="S1375" s="15" t="n">
        <v>0.0289274062011684</v>
      </c>
      <c r="T1375" s="42">
        <f>HIPERLINK($A$1 &amp; "\Dados\Imagem_perfil_1375.png", "Imagem_perfil_1375")</f>
        <v/>
      </c>
      <c r="U1375" s="42">
        <f>HIPERLINK($A$1 &amp; "\Dados\Results_airgap1375.txt", "Results_airgap1375")</f>
        <v/>
      </c>
      <c r="V1375" s="19" t="n"/>
      <c r="W1375" s="15" t="n">
        <v>1.93197652173913</v>
      </c>
      <c r="X1375" s="15" t="n">
        <v>0.9136871132272468</v>
      </c>
      <c r="Y1375" s="15" t="n">
        <v>0.3056942373306488</v>
      </c>
      <c r="Z1375" s="15" t="n">
        <v>0.00778556239320909</v>
      </c>
      <c r="AA1375" s="15" t="n">
        <v>0</v>
      </c>
      <c r="AB1375" s="15" t="n">
        <v>1.149996329727375</v>
      </c>
      <c r="AC1375" s="15" t="n">
        <v>19.16268108318424</v>
      </c>
      <c r="AD1375" s="15" t="n">
        <v>68.80686927691481</v>
      </c>
      <c r="AE1375" s="15" t="n">
        <v>100.4309741853372</v>
      </c>
      <c r="AF1375" s="15" t="n">
        <v>131.7151074647941</v>
      </c>
      <c r="AH1375" s="42">
        <f>HIPERLINK($A$1 &amp; "\Dados\Magnet_fields_1375.txt.txt", "Magnet_fields_1375.txt")</f>
        <v/>
      </c>
      <c r="AI1375" t="n">
        <v>7322</v>
      </c>
      <c r="AJ1375" t="n">
        <v>28</v>
      </c>
      <c r="AK1375" s="42">
        <f>HIPERLINK($A$1 &amp; "\Dados\Magnet_3D_results_1375.txt.txt", "Magnet_3D_results_1375.txt")</f>
        <v/>
      </c>
      <c r="AL1375" s="42">
        <f>HIPERLINK($A$1 &amp; "\Dados\Magnet_fields_2D_1375.txt.txt", "Magnet_fields_2D_1375.txt")</f>
        <v/>
      </c>
    </row>
    <row r="1376">
      <c r="E1376" s="15" t="n">
        <v>138</v>
      </c>
      <c r="F1376" s="15" t="n">
        <v>175</v>
      </c>
      <c r="G1376" s="15" t="n">
        <v>353</v>
      </c>
      <c r="H1376" s="15" t="n">
        <v>43</v>
      </c>
      <c r="I1376" s="15" t="n">
        <v>144</v>
      </c>
      <c r="J1376" s="13" t="n">
        <v>25</v>
      </c>
      <c r="K1376" t="n">
        <v>55</v>
      </c>
      <c r="L1376" s="13" t="n">
        <v>2.6</v>
      </c>
      <c r="M1376" s="12" t="n"/>
      <c r="N1376" s="8" t="n">
        <v>1.432633744026097</v>
      </c>
      <c r="O1376" s="15" t="n">
        <v>1.148750452583654</v>
      </c>
      <c r="P1376" s="15" t="n">
        <v>1.352628434706873</v>
      </c>
      <c r="Q1376" s="15" t="n">
        <v>0.008086319911677799</v>
      </c>
      <c r="R1376" s="15" t="n">
        <v>0.03866016188032342</v>
      </c>
      <c r="S1376" s="15" t="n">
        <v>0.008736281445447018</v>
      </c>
      <c r="T1376" s="42">
        <f>HIPERLINK($A$1 &amp; "\Dados\Imagem_perfil_1376.png", "Imagem_perfil_1376")</f>
        <v/>
      </c>
      <c r="U1376" s="42">
        <f>HIPERLINK($A$1 &amp; "\Dados\Results_airgap1376.txt", "Results_airgap1376")</f>
        <v/>
      </c>
      <c r="V1376" s="19" t="n"/>
      <c r="W1376" s="15" t="n">
        <v>1.854317391304348</v>
      </c>
      <c r="X1376" s="15" t="n">
        <v>0.9295815887597751</v>
      </c>
      <c r="Y1376" s="15" t="n">
        <v>0.328724209215475</v>
      </c>
      <c r="Z1376" s="15" t="n">
        <v>0</v>
      </c>
      <c r="AA1376" s="15" t="n">
        <v>0</v>
      </c>
      <c r="AB1376" s="15" t="n">
        <v>0.02275860223502347</v>
      </c>
      <c r="AC1376" s="15" t="n">
        <v>15.79049288719286</v>
      </c>
      <c r="AD1376" s="15" t="n">
        <v>62.11084978214177</v>
      </c>
      <c r="AE1376" s="15" t="n">
        <v>94.75136803742447</v>
      </c>
      <c r="AF1376" s="15" t="n">
        <v>125.9386667443485</v>
      </c>
      <c r="AH1376" s="42">
        <f>HIPERLINK($A$1 &amp; "\Dados\Magnet_fields_1376.txt.txt", "Magnet_fields_1376.txt")</f>
        <v/>
      </c>
      <c r="AI1376" t="n">
        <v>9482</v>
      </c>
      <c r="AJ1376" t="n">
        <v>30</v>
      </c>
      <c r="AK1376" s="42">
        <f>HIPERLINK($A$1 &amp; "\Dados\Magnet_3D_results_1376.txt.txt", "Magnet_3D_results_1376.txt")</f>
        <v/>
      </c>
      <c r="AL1376" s="42">
        <f>HIPERLINK($A$1 &amp; "\Dados\Magnet_fields_2D_1376.txt.txt", "Magnet_fields_2D_1376.txt")</f>
        <v/>
      </c>
    </row>
    <row r="1377">
      <c r="E1377" s="15" t="n">
        <v>136</v>
      </c>
      <c r="F1377" s="15" t="n">
        <v>180</v>
      </c>
      <c r="G1377" s="15" t="n">
        <v>407</v>
      </c>
      <c r="H1377" s="15" t="n">
        <v>29</v>
      </c>
      <c r="I1377" s="15" t="n">
        <v>143</v>
      </c>
      <c r="J1377" s="13" t="n">
        <v>25</v>
      </c>
      <c r="K1377" t="n">
        <v>60</v>
      </c>
      <c r="L1377" s="13" t="n">
        <v>2.6</v>
      </c>
      <c r="M1377" s="12" t="n"/>
      <c r="N1377" s="8" t="n">
        <v>1.388908520666156</v>
      </c>
      <c r="O1377" s="15" t="n">
        <v>1.099496217989212</v>
      </c>
      <c r="P1377" s="15" t="n">
        <v>1.305359236548427</v>
      </c>
      <c r="Q1377" s="15" t="n">
        <v>0.0229040624834037</v>
      </c>
      <c r="R1377" s="15" t="n">
        <v>0.05735531807984176</v>
      </c>
      <c r="S1377" s="15" t="n">
        <v>0.02334282302407747</v>
      </c>
      <c r="T1377" s="42">
        <f>HIPERLINK($A$1 &amp; "\Dados\Imagem_perfil_1377.png", "Imagem_perfil_1377")</f>
        <v/>
      </c>
      <c r="U1377" s="42">
        <f>HIPERLINK($A$1 &amp; "\Dados\Results_airgap1377.txt", "Results_airgap1377")</f>
        <v/>
      </c>
      <c r="V1377" s="19" t="n"/>
      <c r="W1377" s="15" t="n">
        <v>1.987577608695652</v>
      </c>
      <c r="X1377" s="15" t="n">
        <v>0.9163226433731612</v>
      </c>
      <c r="Y1377" s="15" t="n">
        <v>0.2508063264316328</v>
      </c>
      <c r="Z1377" s="15" t="n">
        <v>0.007477220037746932</v>
      </c>
      <c r="AA1377" s="15" t="n">
        <v>4.324488775465709</v>
      </c>
      <c r="AB1377" s="15" t="n">
        <v>1.222103888632041</v>
      </c>
      <c r="AC1377" s="15" t="n">
        <v>17.60551005710681</v>
      </c>
      <c r="AD1377" s="15" t="n">
        <v>66.72406964870147</v>
      </c>
      <c r="AE1377" s="15" t="n">
        <v>99.86024787681897</v>
      </c>
      <c r="AF1377" s="15" t="n">
        <v>131.4967325428695</v>
      </c>
      <c r="AH1377" s="42">
        <f>HIPERLINK($A$1 &amp; "\Dados\Magnet_fields_1377.txt.txt", "Magnet_fields_1377.txt")</f>
        <v/>
      </c>
      <c r="AI1377" t="n">
        <v>9429</v>
      </c>
      <c r="AJ1377" t="n">
        <v>30</v>
      </c>
      <c r="AK1377" s="42">
        <f>HIPERLINK($A$1 &amp; "\Dados\Magnet_3D_results_1377.txt.txt", "Magnet_3D_results_1377.txt")</f>
        <v/>
      </c>
      <c r="AL1377" s="42">
        <f>HIPERLINK($A$1 &amp; "\Dados\Magnet_fields_2D_1377.txt.txt", "Magnet_fields_2D_1377.txt")</f>
        <v/>
      </c>
    </row>
    <row r="1378">
      <c r="E1378" s="15" t="n">
        <v>139</v>
      </c>
      <c r="F1378" s="15" t="n">
        <v>182</v>
      </c>
      <c r="G1378" s="15" t="n">
        <v>430</v>
      </c>
      <c r="H1378" s="15" t="n">
        <v>26</v>
      </c>
      <c r="I1378" s="15" t="n">
        <v>175</v>
      </c>
      <c r="J1378" s="13" t="n">
        <v>25</v>
      </c>
      <c r="K1378" t="n">
        <v>55</v>
      </c>
      <c r="L1378" s="13" t="n">
        <v>2.6</v>
      </c>
      <c r="M1378" s="12" t="n"/>
      <c r="N1378" s="8" t="n">
        <v>1.540966301008433</v>
      </c>
      <c r="O1378" s="15" t="n">
        <v>1.341781005589464</v>
      </c>
      <c r="P1378" s="15" t="n">
        <v>1.481404212260633</v>
      </c>
      <c r="Q1378" s="15" t="n">
        <v>0.01313199739908456</v>
      </c>
      <c r="R1378" s="15" t="n">
        <v>0.05846945599166446</v>
      </c>
      <c r="S1378" s="15" t="n">
        <v>0.01329996236636853</v>
      </c>
      <c r="T1378" s="42">
        <f>HIPERLINK($A$1 &amp; "\Dados\Imagem_perfil_1378.png", "Imagem_perfil_1378")</f>
        <v/>
      </c>
      <c r="U1378" s="42">
        <f>HIPERLINK($A$1 &amp; "\Dados\Results_airgap1378.txt", "Results_airgap1378")</f>
        <v/>
      </c>
      <c r="V1378" s="19" t="n"/>
      <c r="W1378" s="15" t="n">
        <v>2.056937826086957</v>
      </c>
      <c r="X1378" s="15" t="n">
        <v>0.9821272030848809</v>
      </c>
      <c r="Y1378" s="15" t="n">
        <v>0.2121722610084303</v>
      </c>
      <c r="Z1378" s="15" t="n">
        <v>0.005902762055327629</v>
      </c>
      <c r="AA1378" s="15" t="n">
        <v>5.284782728823982</v>
      </c>
      <c r="AB1378" s="15" t="n">
        <v>2.132225806491648</v>
      </c>
      <c r="AC1378" s="15" t="n">
        <v>17.03120755745675</v>
      </c>
      <c r="AD1378" s="15" t="n">
        <v>57.99713724846388</v>
      </c>
      <c r="AE1378" s="15" t="n">
        <v>94.38129120118298</v>
      </c>
      <c r="AF1378" s="15" t="n">
        <v>126.6880065186405</v>
      </c>
      <c r="AH1378" s="42">
        <f>HIPERLINK($A$1 &amp; "\Dados\Magnet_fields_1378.txt.txt", "Magnet_fields_1378.txt")</f>
        <v/>
      </c>
      <c r="AI1378" t="n">
        <v>13421</v>
      </c>
      <c r="AJ1378" t="n">
        <v>31</v>
      </c>
      <c r="AK1378" s="42">
        <f>HIPERLINK($A$1 &amp; "\Dados\Magnet_3D_results_1378.txt.txt", "Magnet_3D_results_1378.txt")</f>
        <v/>
      </c>
      <c r="AL1378" s="42">
        <f>HIPERLINK($A$1 &amp; "\Dados\Magnet_fields_2D_1378.txt.txt", "Magnet_fields_2D_1378.txt")</f>
        <v/>
      </c>
    </row>
    <row r="1379">
      <c r="E1379" s="15" t="n">
        <v>132</v>
      </c>
      <c r="F1379" s="15" t="n">
        <v>171</v>
      </c>
      <c r="G1379" s="15" t="n">
        <v>372</v>
      </c>
      <c r="H1379" s="15" t="n">
        <v>27</v>
      </c>
      <c r="I1379" s="15" t="n">
        <v>173</v>
      </c>
      <c r="J1379" s="13" t="n">
        <v>25</v>
      </c>
      <c r="K1379" t="n">
        <v>55</v>
      </c>
      <c r="L1379" s="13" t="n">
        <v>2.6</v>
      </c>
      <c r="M1379" s="12" t="n"/>
      <c r="N1379" s="8" t="n">
        <v>1.5152778409335</v>
      </c>
      <c r="O1379" s="15" t="n">
        <v>1.313126380311066</v>
      </c>
      <c r="P1379" s="15" t="n">
        <v>1.449199358003905</v>
      </c>
      <c r="Q1379" s="15" t="n">
        <v>0.01131067282368241</v>
      </c>
      <c r="R1379" s="15" t="n">
        <v>0.04355455225904774</v>
      </c>
      <c r="S1379" s="15" t="n">
        <v>0.01148443789165784</v>
      </c>
      <c r="T1379" s="42">
        <f>HIPERLINK($A$1 &amp; "\Dados\Imagem_perfil_1379.png", "Imagem_perfil_1379")</f>
        <v/>
      </c>
      <c r="U1379" s="42">
        <f>HIPERLINK($A$1 &amp; "\Dados\Results_airgap1379.txt", "Results_airgap1379")</f>
        <v/>
      </c>
      <c r="V1379" s="19" t="n"/>
      <c r="W1379" s="15" t="n">
        <v>1.935152173913043</v>
      </c>
      <c r="X1379" s="15" t="n">
        <v>0.9279743034384947</v>
      </c>
      <c r="Y1379" s="15" t="n">
        <v>0.2862490726931055</v>
      </c>
      <c r="Z1379" s="15" t="n">
        <v>0.009070260505440268</v>
      </c>
      <c r="AA1379" s="15" t="n">
        <v>5.300275362549832</v>
      </c>
      <c r="AB1379" s="15" t="n">
        <v>1.504659653907932</v>
      </c>
      <c r="AC1379" s="15" t="n">
        <v>15.6111205099239</v>
      </c>
      <c r="AD1379" s="15" t="n">
        <v>56.9467951383638</v>
      </c>
      <c r="AE1379" s="15" t="n">
        <v>93.21911373837942</v>
      </c>
      <c r="AF1379" s="15" t="n">
        <v>125.964748564762</v>
      </c>
      <c r="AH1379" s="42">
        <f>HIPERLINK($A$1 &amp; "\Dados\Magnet_fields_1379.txt.txt", "Magnet_fields_1379.txt")</f>
        <v/>
      </c>
      <c r="AI1379" t="n">
        <v>12964</v>
      </c>
      <c r="AJ1379" t="n">
        <v>31</v>
      </c>
      <c r="AK1379" s="42">
        <f>HIPERLINK($A$1 &amp; "\Dados\Magnet_3D_results_1379.txt.txt", "Magnet_3D_results_1379.txt")</f>
        <v/>
      </c>
      <c r="AL1379" s="42">
        <f>HIPERLINK($A$1 &amp; "\Dados\Magnet_fields_2D_1379.txt.txt", "Magnet_fields_2D_1379.txt")</f>
        <v/>
      </c>
    </row>
    <row r="1380">
      <c r="E1380" s="15" t="n">
        <v>123</v>
      </c>
      <c r="F1380" s="15" t="n">
        <v>173</v>
      </c>
      <c r="G1380" s="15" t="n">
        <v>373</v>
      </c>
      <c r="H1380" s="15" t="n">
        <v>30</v>
      </c>
      <c r="I1380" s="15" t="n">
        <v>176</v>
      </c>
      <c r="J1380" s="13" t="n">
        <v>25</v>
      </c>
      <c r="K1380" t="n">
        <v>45</v>
      </c>
      <c r="L1380" s="13" t="n">
        <v>2.6</v>
      </c>
      <c r="M1380" s="12" t="n"/>
      <c r="N1380" s="8" t="n">
        <v>1.32940533492463</v>
      </c>
      <c r="O1380" s="15" t="n">
        <v>1.161697885213257</v>
      </c>
      <c r="P1380" s="15" t="n">
        <v>1.2806383397088</v>
      </c>
      <c r="Q1380" s="15" t="n">
        <v>0.004361214566876596</v>
      </c>
      <c r="R1380" s="15" t="n">
        <v>0.04179804333820237</v>
      </c>
      <c r="S1380" s="15" t="n">
        <v>0.004406624030785868</v>
      </c>
      <c r="T1380" s="42">
        <f>HIPERLINK($A$1 &amp; "\Dados\Imagem_perfil_1380.png", "Imagem_perfil_1380")</f>
        <v/>
      </c>
      <c r="U1380" s="42">
        <f>HIPERLINK($A$1 &amp; "\Dados\Results_airgap1380.txt", "Results_airgap1380")</f>
        <v/>
      </c>
      <c r="V1380" s="19" t="n"/>
      <c r="W1380" s="15" t="n">
        <v>1.673669130434782</v>
      </c>
      <c r="X1380" s="15" t="n">
        <v>0.8405472135114058</v>
      </c>
      <c r="Y1380" s="15" t="n">
        <v>0.6316930719400152</v>
      </c>
      <c r="Z1380" s="15" t="n">
        <v>0.001258717779971627</v>
      </c>
      <c r="AA1380" s="15" t="n">
        <v>0.1067405828095271</v>
      </c>
      <c r="AB1380" s="15" t="n">
        <v>2.712499061806333</v>
      </c>
      <c r="AC1380" s="15" t="n">
        <v>14.00603226046253</v>
      </c>
      <c r="AD1380" s="15" t="n">
        <v>46.47908599164106</v>
      </c>
      <c r="AE1380" s="15" t="n">
        <v>85.75798632510232</v>
      </c>
      <c r="AF1380" s="15" t="n">
        <v>118.0256570672038</v>
      </c>
      <c r="AH1380" s="42">
        <f>HIPERLINK($A$1 &amp; "\Dados\Magnet_fields_1380.txt.txt", "Magnet_fields_1380.txt")</f>
        <v/>
      </c>
      <c r="AI1380" t="n">
        <v>8471</v>
      </c>
      <c r="AJ1380" t="n">
        <v>29</v>
      </c>
      <c r="AK1380" s="42">
        <f>HIPERLINK($A$1 &amp; "\Dados\Magnet_3D_results_1380.txt.txt", "Magnet_3D_results_1380.txt")</f>
        <v/>
      </c>
      <c r="AL1380" s="42">
        <f>HIPERLINK($A$1 &amp; "\Dados\Magnet_fields_2D_1380.txt.txt", "Magnet_fields_2D_1380.txt")</f>
        <v/>
      </c>
    </row>
    <row r="1381">
      <c r="E1381" s="15" t="n">
        <v>125</v>
      </c>
      <c r="F1381" s="15" t="n">
        <v>172</v>
      </c>
      <c r="G1381" s="15" t="n">
        <v>405</v>
      </c>
      <c r="H1381" s="15" t="n">
        <v>26</v>
      </c>
      <c r="I1381" s="15" t="n">
        <v>166</v>
      </c>
      <c r="J1381" s="13" t="n">
        <v>25</v>
      </c>
      <c r="K1381" t="n">
        <v>55</v>
      </c>
      <c r="L1381" s="13" t="n">
        <v>2.6</v>
      </c>
      <c r="M1381" s="12" t="n"/>
      <c r="N1381" s="8" t="n">
        <v>1.465090898774407</v>
      </c>
      <c r="O1381" s="15" t="n">
        <v>1.233292920457142</v>
      </c>
      <c r="P1381" s="15" t="n">
        <v>1.390274865311616</v>
      </c>
      <c r="Q1381" s="15" t="n">
        <v>0.01697603207913916</v>
      </c>
      <c r="R1381" s="15" t="n">
        <v>0.06073423308900112</v>
      </c>
      <c r="S1381" s="15" t="n">
        <v>0.01741442772164469</v>
      </c>
      <c r="T1381" s="42">
        <f>HIPERLINK($A$1 &amp; "\Dados\Imagem_perfil_1381.png", "Imagem_perfil_1381")</f>
        <v/>
      </c>
      <c r="U1381" s="42">
        <f>HIPERLINK($A$1 &amp; "\Dados\Results_airgap1381.txt", "Results_airgap1381")</f>
        <v/>
      </c>
      <c r="V1381" s="19" t="n"/>
      <c r="W1381" s="15" t="n">
        <v>1.972812608695652</v>
      </c>
      <c r="X1381" s="15" t="n">
        <v>0.922404775811123</v>
      </c>
      <c r="Y1381" s="15" t="n">
        <v>0.2888902862700951</v>
      </c>
      <c r="Z1381" s="15" t="n">
        <v>0.001897495075440133</v>
      </c>
      <c r="AA1381" s="15" t="n">
        <v>3.415787863690136</v>
      </c>
      <c r="AB1381" s="15" t="n">
        <v>3.411731164762157</v>
      </c>
      <c r="AC1381" s="15" t="n">
        <v>20.82772243814055</v>
      </c>
      <c r="AD1381" s="15" t="n">
        <v>59.08788609744071</v>
      </c>
      <c r="AE1381" s="15" t="n">
        <v>93.65295187563561</v>
      </c>
      <c r="AF1381" s="15" t="n">
        <v>126.3306318806356</v>
      </c>
      <c r="AH1381" s="42">
        <f>HIPERLINK($A$1 &amp; "\Dados\Magnet_fields_1381.txt.txt", "Magnet_fields_1381.txt")</f>
        <v/>
      </c>
      <c r="AI1381" t="n">
        <v>13490</v>
      </c>
      <c r="AJ1381" t="n">
        <v>32</v>
      </c>
      <c r="AK1381" s="42">
        <f>HIPERLINK($A$1 &amp; "\Dados\Magnet_3D_results_1381.txt.txt", "Magnet_3D_results_1381.txt")</f>
        <v/>
      </c>
      <c r="AL1381" s="42">
        <f>HIPERLINK($A$1 &amp; "\Dados\Magnet_fields_2D_1381.txt.txt", "Magnet_fields_2D_1381.txt")</f>
        <v/>
      </c>
    </row>
    <row r="1382">
      <c r="E1382" s="15" t="n">
        <v>143</v>
      </c>
      <c r="F1382" s="15" t="n">
        <v>176</v>
      </c>
      <c r="G1382" s="15" t="n">
        <v>390</v>
      </c>
      <c r="H1382" s="15" t="n">
        <v>37</v>
      </c>
      <c r="I1382" s="15" t="n">
        <v>164</v>
      </c>
      <c r="J1382" s="13" t="n">
        <v>25</v>
      </c>
      <c r="K1382" t="n">
        <v>45</v>
      </c>
      <c r="L1382" s="13" t="n">
        <v>2.6</v>
      </c>
      <c r="M1382" s="12" t="n"/>
      <c r="N1382" s="8" t="n">
        <v>1.587075326853231</v>
      </c>
      <c r="O1382" s="15" t="n">
        <v>1.35834454947381</v>
      </c>
      <c r="P1382" s="15" t="n">
        <v>1.524004697156305</v>
      </c>
      <c r="Q1382" s="15" t="n">
        <v>0.003787475621012362</v>
      </c>
      <c r="R1382" s="15" t="n">
        <v>0.03688622712776563</v>
      </c>
      <c r="S1382" s="15" t="n">
        <v>0.003956074440696259</v>
      </c>
      <c r="T1382" s="42">
        <f>HIPERLINK($A$1 &amp; "\Dados\Imagem_perfil_1382.png", "Imagem_perfil_1382")</f>
        <v/>
      </c>
      <c r="U1382" s="42">
        <f>HIPERLINK($A$1 &amp; "\Dados\Results_airgap1382.txt", "Results_airgap1382")</f>
        <v/>
      </c>
      <c r="V1382" s="19" t="n"/>
      <c r="W1382" s="15" t="n">
        <v>1.978460434782609</v>
      </c>
      <c r="X1382" s="15" t="n">
        <v>1.010450633342759</v>
      </c>
      <c r="Y1382" s="15" t="n">
        <v>0.2707042264749991</v>
      </c>
      <c r="Z1382" s="15" t="n">
        <v>0</v>
      </c>
      <c r="AA1382" s="15" t="n">
        <v>0.05097762083300544</v>
      </c>
      <c r="AB1382" s="15" t="n">
        <v>0.08442305717091562</v>
      </c>
      <c r="AC1382" s="15" t="n">
        <v>7.259845521468653</v>
      </c>
      <c r="AD1382" s="15" t="n">
        <v>46.30837512934038</v>
      </c>
      <c r="AE1382" s="15" t="n">
        <v>88.37870789080854</v>
      </c>
      <c r="AF1382" s="15" t="n">
        <v>118.8217097782063</v>
      </c>
      <c r="AH1382" s="42">
        <f>HIPERLINK($A$1 &amp; "\Dados\Magnet_fields_1382.txt.txt", "Magnet_fields_1382.txt")</f>
        <v/>
      </c>
      <c r="AI1382" t="n">
        <v>7522</v>
      </c>
      <c r="AJ1382" t="n">
        <v>29</v>
      </c>
      <c r="AK1382" s="42">
        <f>HIPERLINK($A$1 &amp; "\Dados\Magnet_3D_results_1382.txt.txt", "Magnet_3D_results_1382.txt")</f>
        <v/>
      </c>
      <c r="AL1382" s="42">
        <f>HIPERLINK($A$1 &amp; "\Dados\Magnet_fields_2D_1382.txt.txt", "Magnet_fields_2D_1382.txt")</f>
        <v/>
      </c>
    </row>
    <row r="1383">
      <c r="E1383" s="15" t="n">
        <v>139</v>
      </c>
      <c r="F1383" s="15" t="n">
        <v>173</v>
      </c>
      <c r="G1383" s="15" t="n">
        <v>370</v>
      </c>
      <c r="H1383" s="15" t="n">
        <v>39</v>
      </c>
      <c r="I1383" s="15" t="n">
        <v>148</v>
      </c>
      <c r="J1383" s="13" t="n">
        <v>25</v>
      </c>
      <c r="K1383" t="n">
        <v>45</v>
      </c>
      <c r="L1383" s="13" t="n">
        <v>2.6</v>
      </c>
      <c r="M1383" s="12" t="n"/>
      <c r="N1383" s="8" t="n">
        <v>1.484088825767197</v>
      </c>
      <c r="O1383" s="15" t="n">
        <v>1.20629200281045</v>
      </c>
      <c r="P1383" s="15" t="n">
        <v>1.409056183083837</v>
      </c>
      <c r="Q1383" s="15" t="n">
        <v>0.003242967386056834</v>
      </c>
      <c r="R1383" s="15" t="n">
        <v>0.03283747320513472</v>
      </c>
      <c r="S1383" s="15" t="n">
        <v>0.003476346434029297</v>
      </c>
      <c r="T1383" s="42">
        <f>HIPERLINK($A$1 &amp; "\Dados\Imagem_perfil_1383.png", "Imagem_perfil_1383")</f>
        <v/>
      </c>
      <c r="U1383" s="42">
        <f>HIPERLINK($A$1 &amp; "\Dados\Results_airgap1383.txt", "Results_airgap1383")</f>
        <v/>
      </c>
      <c r="V1383" s="19" t="n"/>
      <c r="W1383" s="15" t="n">
        <v>1.881621956521739</v>
      </c>
      <c r="X1383" s="15" t="n">
        <v>0.9525012736318865</v>
      </c>
      <c r="Y1383" s="15" t="n">
        <v>0.3681905344306803</v>
      </c>
      <c r="Z1383" s="15" t="n">
        <v>0</v>
      </c>
      <c r="AA1383" s="15" t="n">
        <v>0.02370611333322443</v>
      </c>
      <c r="AB1383" s="15" t="n">
        <v>0.2857602800889892</v>
      </c>
      <c r="AC1383" s="15" t="n">
        <v>7.011246848799019</v>
      </c>
      <c r="AD1383" s="15" t="n">
        <v>40.20374913473486</v>
      </c>
      <c r="AE1383" s="15" t="n">
        <v>83.87213634292742</v>
      </c>
      <c r="AF1383" s="15" t="n">
        <v>117.5309264963218</v>
      </c>
      <c r="AH1383" s="42">
        <f>HIPERLINK($A$1 &amp; "\Dados\Magnet_fields_1383.txt.txt", "Magnet_fields_1383.txt")</f>
        <v/>
      </c>
      <c r="AI1383" t="n">
        <v>6435</v>
      </c>
      <c r="AJ1383" t="n">
        <v>29</v>
      </c>
      <c r="AK1383" s="42">
        <f>HIPERLINK($A$1 &amp; "\Dados\Magnet_3D_results_1383.txt.txt", "Magnet_3D_results_1383.txt")</f>
        <v/>
      </c>
      <c r="AL1383" s="42">
        <f>HIPERLINK($A$1 &amp; "\Dados\Magnet_fields_2D_1383.txt.txt", "Magnet_fields_2D_1383.txt")</f>
        <v/>
      </c>
    </row>
    <row r="1384">
      <c r="E1384" s="15" t="n">
        <v>136</v>
      </c>
      <c r="F1384" s="15" t="n">
        <v>174</v>
      </c>
      <c r="G1384" s="15" t="n">
        <v>375</v>
      </c>
      <c r="H1384" s="15" t="n">
        <v>28</v>
      </c>
      <c r="I1384" s="15" t="n">
        <v>162</v>
      </c>
      <c r="J1384" s="13" t="n">
        <v>25</v>
      </c>
      <c r="K1384" t="n">
        <v>50</v>
      </c>
      <c r="L1384" s="13" t="n">
        <v>2.6</v>
      </c>
      <c r="M1384" s="12" t="n"/>
      <c r="N1384" s="8" t="n">
        <v>1.464210192286076</v>
      </c>
      <c r="O1384" s="15" t="n">
        <v>1.245882684927317</v>
      </c>
      <c r="P1384" s="15" t="n">
        <v>1.399488056447232</v>
      </c>
      <c r="Q1384" s="15" t="n">
        <v>0.004945501652147433</v>
      </c>
      <c r="R1384" s="15" t="n">
        <v>0.03840938974137569</v>
      </c>
      <c r="S1384" s="15" t="n">
        <v>0.005192644745770899</v>
      </c>
      <c r="T1384" s="42">
        <f>HIPERLINK($A$1 &amp; "\Dados\Imagem_perfil_1384.png", "Imagem_perfil_1384")</f>
        <v/>
      </c>
      <c r="U1384" s="42">
        <f>HIPERLINK($A$1 &amp; "\Dados\Results_airgap1384.txt", "Results_airgap1384")</f>
        <v/>
      </c>
      <c r="V1384" s="19" t="n"/>
      <c r="W1384" s="15" t="n">
        <v>1.875952608695652</v>
      </c>
      <c r="X1384" s="15" t="n">
        <v>0.9107729743002986</v>
      </c>
      <c r="Y1384" s="15" t="n">
        <v>0.345525290644755</v>
      </c>
      <c r="Z1384" s="15" t="n">
        <v>0.005185822972798339</v>
      </c>
      <c r="AA1384" s="15" t="n">
        <v>3.527641332579059</v>
      </c>
      <c r="AB1384" s="15" t="n">
        <v>0.2780924132677344</v>
      </c>
      <c r="AC1384" s="15" t="n">
        <v>6.348741848973988</v>
      </c>
      <c r="AD1384" s="15" t="n">
        <v>49.38781548226032</v>
      </c>
      <c r="AE1384" s="15" t="n">
        <v>92.90630526240471</v>
      </c>
      <c r="AF1384" s="15" t="n">
        <v>122.8847381438197</v>
      </c>
      <c r="AH1384" s="42">
        <f>HIPERLINK($A$1 &amp; "\Dados\Magnet_fields_1384.txt.txt", "Magnet_fields_1384.txt")</f>
        <v/>
      </c>
      <c r="AI1384" t="n">
        <v>8874</v>
      </c>
      <c r="AJ1384" t="n">
        <v>30</v>
      </c>
      <c r="AK1384" s="42">
        <f>HIPERLINK($A$1 &amp; "\Dados\Magnet_3D_results_1384.txt.txt", "Magnet_3D_results_1384.txt")</f>
        <v/>
      </c>
      <c r="AL1384" s="42">
        <f>HIPERLINK($A$1 &amp; "\Dados\Magnet_fields_2D_1384.txt.txt", "Magnet_fields_2D_1384.txt")</f>
        <v/>
      </c>
    </row>
    <row r="1385">
      <c r="E1385" s="15" t="n">
        <v>138</v>
      </c>
      <c r="F1385" s="15" t="n">
        <v>176</v>
      </c>
      <c r="G1385" s="15" t="n">
        <v>371</v>
      </c>
      <c r="H1385" s="15" t="n">
        <v>30</v>
      </c>
      <c r="I1385" s="15" t="n">
        <v>176</v>
      </c>
      <c r="J1385" s="13" t="n">
        <v>25</v>
      </c>
      <c r="K1385" t="n">
        <v>40</v>
      </c>
      <c r="L1385" s="13" t="n">
        <v>2.6</v>
      </c>
      <c r="M1385" s="12" t="n"/>
      <c r="N1385" s="8" t="n">
        <v>1.417564433035455</v>
      </c>
      <c r="O1385" s="15" t="n">
        <v>1.24576730022986</v>
      </c>
      <c r="P1385" s="15" t="n">
        <v>1.372893230332805</v>
      </c>
      <c r="Q1385" s="15" t="n">
        <v>0.001414332280165437</v>
      </c>
      <c r="R1385" s="15" t="n">
        <v>0.02756279724721527</v>
      </c>
      <c r="S1385" s="15" t="n">
        <v>0.001526037021032605</v>
      </c>
      <c r="T1385" s="42">
        <f>HIPERLINK($A$1 &amp; "\Dados\Imagem_perfil_1385.png", "Imagem_perfil_1385")</f>
        <v/>
      </c>
      <c r="U1385" s="42">
        <f>HIPERLINK($A$1 &amp; "\Dados\Results_airgap1385.txt", "Results_airgap1385")</f>
        <v/>
      </c>
      <c r="V1385" s="19" t="n"/>
      <c r="W1385" s="15" t="n">
        <v>1.714186304347826</v>
      </c>
      <c r="X1385" s="15" t="n">
        <v>0.8686568721296481</v>
      </c>
      <c r="Y1385" s="15" t="n">
        <v>0.5627612764102994</v>
      </c>
      <c r="Z1385" s="15" t="n">
        <v>0.007790292646806863</v>
      </c>
      <c r="AA1385" s="15" t="n">
        <v>1.737288310400632</v>
      </c>
      <c r="AB1385" s="15" t="n">
        <v>0.3990446402150286</v>
      </c>
      <c r="AC1385" s="15" t="n">
        <v>4.174122561814247</v>
      </c>
      <c r="AD1385" s="15" t="n">
        <v>29.63301878262341</v>
      </c>
      <c r="AE1385" s="15" t="n">
        <v>80.95138028114727</v>
      </c>
      <c r="AF1385" s="15" t="n">
        <v>114.8556050796709</v>
      </c>
      <c r="AH1385" s="42">
        <f>HIPERLINK($A$1 &amp; "\Dados\Magnet_fields_1385.txt.txt", "Magnet_fields_1385.txt")</f>
        <v/>
      </c>
      <c r="AI1385" t="n">
        <v>9016</v>
      </c>
      <c r="AJ1385" t="n">
        <v>29</v>
      </c>
      <c r="AK1385" s="42">
        <f>HIPERLINK($A$1 &amp; "\Dados\Magnet_3D_results_1385.txt.txt", "Magnet_3D_results_1385.txt")</f>
        <v/>
      </c>
      <c r="AL1385" s="42">
        <f>HIPERLINK($A$1 &amp; "\Dados\Magnet_fields_2D_1385.txt.txt", "Magnet_fields_2D_1385.txt")</f>
        <v/>
      </c>
    </row>
    <row r="1386">
      <c r="E1386" s="15" t="n">
        <v>143</v>
      </c>
      <c r="F1386" s="15" t="n">
        <v>176</v>
      </c>
      <c r="G1386" s="15" t="n">
        <v>375</v>
      </c>
      <c r="H1386" s="15" t="n">
        <v>28</v>
      </c>
      <c r="I1386" s="15" t="n">
        <v>151</v>
      </c>
      <c r="J1386" s="13" t="n">
        <v>25</v>
      </c>
      <c r="K1386" t="n">
        <v>55</v>
      </c>
      <c r="L1386" s="13" t="n">
        <v>2.6</v>
      </c>
      <c r="M1386" s="12" t="n"/>
      <c r="N1386" s="8" t="n">
        <v>1.517314176600435</v>
      </c>
      <c r="O1386" s="15" t="n">
        <v>1.266613553356599</v>
      </c>
      <c r="P1386" s="15" t="n">
        <v>1.441692569738174</v>
      </c>
      <c r="Q1386" s="15" t="n">
        <v>0.008763224727999236</v>
      </c>
      <c r="R1386" s="15" t="n">
        <v>0.03873619665037906</v>
      </c>
      <c r="S1386" s="15" t="n">
        <v>0.008976201475951429</v>
      </c>
      <c r="T1386" s="42">
        <f>HIPERLINK($A$1 &amp; "\Dados\Imagem_perfil_1386.png", "Imagem_perfil_1386")</f>
        <v/>
      </c>
      <c r="U1386" s="42">
        <f>HIPERLINK($A$1 &amp; "\Dados\Results_airgap1386.txt", "Results_airgap1386")</f>
        <v/>
      </c>
      <c r="V1386" s="19" t="n"/>
      <c r="W1386" s="15" t="n">
        <v>1.984658260869565</v>
      </c>
      <c r="X1386" s="15" t="n">
        <v>0.972119061122405</v>
      </c>
      <c r="Y1386" s="15" t="n">
        <v>0.2055819946130952</v>
      </c>
      <c r="Z1386" s="15" t="n">
        <v>0.02950877299281593</v>
      </c>
      <c r="AA1386" s="15" t="n">
        <v>3.008469162168578</v>
      </c>
      <c r="AB1386" s="15" t="n">
        <v>0</v>
      </c>
      <c r="AC1386" s="15" t="n">
        <v>8.901731425604249</v>
      </c>
      <c r="AD1386" s="15" t="n">
        <v>65.41722758036768</v>
      </c>
      <c r="AE1386" s="15" t="n">
        <v>98.77747129107223</v>
      </c>
      <c r="AF1386" s="15" t="n">
        <v>127.5742718563676</v>
      </c>
      <c r="AH1386" s="42">
        <f>HIPERLINK($A$1 &amp; "\Dados\Magnet_fields_1386.txt.txt", "Magnet_fields_1386.txt")</f>
        <v/>
      </c>
      <c r="AI1386" t="n">
        <v>12307</v>
      </c>
      <c r="AJ1386" t="n">
        <v>31</v>
      </c>
      <c r="AK1386" s="42">
        <f>HIPERLINK($A$1 &amp; "\Dados\Magnet_3D_results_1386.txt.txt", "Magnet_3D_results_1386.txt")</f>
        <v/>
      </c>
      <c r="AL1386" s="42">
        <f>HIPERLINK($A$1 &amp; "\Dados\Magnet_fields_2D_1386.txt.txt", "Magnet_fields_2D_1386.txt")</f>
        <v/>
      </c>
    </row>
    <row r="1387">
      <c r="E1387" s="15" t="n">
        <v>133</v>
      </c>
      <c r="F1387" s="15" t="n">
        <v>179</v>
      </c>
      <c r="G1387" s="15" t="n">
        <v>394</v>
      </c>
      <c r="H1387" s="15" t="n">
        <v>26</v>
      </c>
      <c r="I1387" s="15" t="n">
        <v>150</v>
      </c>
      <c r="J1387" s="13" t="n">
        <v>25</v>
      </c>
      <c r="K1387" t="n">
        <v>55</v>
      </c>
      <c r="L1387" s="13" t="n">
        <v>2.6</v>
      </c>
      <c r="M1387" s="12" t="n"/>
      <c r="N1387" s="8" t="n">
        <v>1.375469817608468</v>
      </c>
      <c r="O1387" s="15" t="n">
        <v>1.110880357231726</v>
      </c>
      <c r="P1387" s="15" t="n">
        <v>1.296950343868259</v>
      </c>
      <c r="Q1387" s="15" t="n">
        <v>0.01175458588824714</v>
      </c>
      <c r="R1387" s="15" t="n">
        <v>0.05081563477819481</v>
      </c>
      <c r="S1387" s="15" t="n">
        <v>0.01204023121555635</v>
      </c>
      <c r="T1387" s="42">
        <f>HIPERLINK($A$1 &amp; "\Dados\Imagem_perfil_1387.png", "Imagem_perfil_1387")</f>
        <v/>
      </c>
      <c r="U1387" s="42">
        <f>HIPERLINK($A$1 &amp; "\Dados\Results_airgap1387.txt", "Results_airgap1387")</f>
        <v/>
      </c>
      <c r="V1387" s="19" t="n"/>
      <c r="W1387" s="15" t="n">
        <v>1.898371739130435</v>
      </c>
      <c r="X1387" s="15" t="n">
        <v>0.8670727904225763</v>
      </c>
      <c r="Y1387" s="15" t="n">
        <v>0.3312427457254356</v>
      </c>
      <c r="Z1387" s="15" t="n">
        <v>0.0161904908207612</v>
      </c>
      <c r="AA1387" s="15" t="n">
        <v>2.907345640763416</v>
      </c>
      <c r="AB1387" s="15" t="n">
        <v>0.9241966369891499</v>
      </c>
      <c r="AC1387" s="15" t="n">
        <v>17.48044552245016</v>
      </c>
      <c r="AD1387" s="15" t="n">
        <v>64.72008343035201</v>
      </c>
      <c r="AE1387" s="15" t="n">
        <v>96.7878268742313</v>
      </c>
      <c r="AF1387" s="15" t="n">
        <v>126.9417328266066</v>
      </c>
      <c r="AH1387" s="42">
        <f>HIPERLINK($A$1 &amp; "\Dados\Magnet_fields_1387.txt.txt", "Magnet_fields_1387.txt")</f>
        <v/>
      </c>
      <c r="AI1387" t="n">
        <v>12773</v>
      </c>
      <c r="AJ1387" t="n">
        <v>33</v>
      </c>
      <c r="AK1387" s="42">
        <f>HIPERLINK($A$1 &amp; "\Dados\Magnet_3D_results_1387.txt.txt", "Magnet_3D_results_1387.txt")</f>
        <v/>
      </c>
      <c r="AL1387" s="42">
        <f>HIPERLINK($A$1 &amp; "\Dados\Magnet_fields_2D_1387.txt.txt", "Magnet_fields_2D_1387.txt")</f>
        <v/>
      </c>
    </row>
    <row r="1388">
      <c r="E1388" s="15" t="n">
        <v>127</v>
      </c>
      <c r="F1388" s="15" t="n">
        <v>170</v>
      </c>
      <c r="G1388" s="15" t="n">
        <v>381</v>
      </c>
      <c r="H1388" s="15" t="n">
        <v>35</v>
      </c>
      <c r="I1388" s="15" t="n">
        <v>170</v>
      </c>
      <c r="J1388" s="13" t="n">
        <v>25</v>
      </c>
      <c r="K1388" t="n">
        <v>40</v>
      </c>
      <c r="L1388" s="13" t="n">
        <v>2.6</v>
      </c>
      <c r="M1388" s="12" t="n"/>
      <c r="N1388" s="8" t="n">
        <v>1.39833222356127</v>
      </c>
      <c r="O1388" s="15" t="n">
        <v>1.222024966323613</v>
      </c>
      <c r="P1388" s="15" t="n">
        <v>1.347715939823561</v>
      </c>
      <c r="Q1388" s="15" t="n">
        <v>0.001670123334555893</v>
      </c>
      <c r="R1388" s="15" t="n">
        <v>0.03603921103098714</v>
      </c>
      <c r="S1388" s="15" t="n">
        <v>0.001796292191462503</v>
      </c>
      <c r="T1388" s="42">
        <f>HIPERLINK($A$1 &amp; "\Dados\Imagem_perfil_1388.png", "Imagem_perfil_1388")</f>
        <v/>
      </c>
      <c r="U1388" s="42">
        <f>HIPERLINK($A$1 &amp; "\Dados\Results_airgap1388.txt", "Results_airgap1388")</f>
        <v/>
      </c>
      <c r="V1388" s="19" t="n"/>
      <c r="W1388" s="15" t="n">
        <v>1.726105869565217</v>
      </c>
      <c r="X1388" s="15" t="n">
        <v>0.8460140752416564</v>
      </c>
      <c r="Y1388" s="15" t="n">
        <v>0.6521883948268362</v>
      </c>
      <c r="Z1388" s="15" t="n">
        <v>0.0278805835543113</v>
      </c>
      <c r="AA1388" s="15" t="n">
        <v>0.01107845096126314</v>
      </c>
      <c r="AB1388" s="15" t="n">
        <v>2.976533433074509</v>
      </c>
      <c r="AC1388" s="15" t="n">
        <v>13.47138920061909</v>
      </c>
      <c r="AD1388" s="15" t="n">
        <v>39.23890440676191</v>
      </c>
      <c r="AE1388" s="15" t="n">
        <v>77.45943586636622</v>
      </c>
      <c r="AF1388" s="15" t="n">
        <v>112.4077255108205</v>
      </c>
      <c r="AH1388" s="42">
        <f>HIPERLINK($A$1 &amp; "\Dados\Magnet_fields_1388.txt.txt", "Magnet_fields_1388.txt")</f>
        <v/>
      </c>
      <c r="AI1388" t="n">
        <v>8368</v>
      </c>
      <c r="AJ1388" t="n">
        <v>29</v>
      </c>
      <c r="AK1388" s="42">
        <f>HIPERLINK($A$1 &amp; "\Dados\Magnet_3D_results_1388.txt.txt", "Magnet_3D_results_1388.txt")</f>
        <v/>
      </c>
      <c r="AL1388" s="42">
        <f>HIPERLINK($A$1 &amp; "\Dados\Magnet_fields_2D_1388.txt.txt", "Magnet_fields_2D_1388.txt")</f>
        <v/>
      </c>
    </row>
    <row r="1389">
      <c r="E1389" s="15" t="n">
        <v>139</v>
      </c>
      <c r="F1389" s="15" t="n">
        <v>170</v>
      </c>
      <c r="G1389" s="15" t="n">
        <v>394</v>
      </c>
      <c r="H1389" s="15" t="n">
        <v>29</v>
      </c>
      <c r="I1389" s="15" t="n">
        <v>170</v>
      </c>
      <c r="J1389" s="13" t="n">
        <v>25</v>
      </c>
      <c r="K1389" t="n">
        <v>50</v>
      </c>
      <c r="L1389" s="13" t="n">
        <v>2.6</v>
      </c>
      <c r="M1389" s="12" t="n"/>
      <c r="N1389" s="8" t="n">
        <v>1.650503245420978</v>
      </c>
      <c r="O1389" s="15" t="n">
        <v>1.432143263683959</v>
      </c>
      <c r="P1389" s="15" t="n">
        <v>1.584356857523896</v>
      </c>
      <c r="Q1389" s="15" t="n">
        <v>0.008097930005750304</v>
      </c>
      <c r="R1389" s="15" t="n">
        <v>0.04166943505487088</v>
      </c>
      <c r="S1389" s="15" t="n">
        <v>0.008114713344395102</v>
      </c>
      <c r="T1389" s="42">
        <f>HIPERLINK($A$1 &amp; "\Dados\Imagem_perfil_1389.png", "Imagem_perfil_1389")</f>
        <v/>
      </c>
      <c r="U1389" s="42">
        <f>HIPERLINK($A$1 &amp; "\Dados\Results_airgap1389.txt", "Results_airgap1389")</f>
        <v/>
      </c>
      <c r="V1389" s="19" t="n"/>
      <c r="W1389" s="15" t="n">
        <v>2.08266847826087</v>
      </c>
      <c r="X1389" s="15" t="n">
        <v>1.02355525019331</v>
      </c>
      <c r="Y1389" s="15" t="n">
        <v>0.1843673400197092</v>
      </c>
      <c r="Z1389" s="15" t="n">
        <v>0.002168887971654102</v>
      </c>
      <c r="AA1389" s="15" t="n">
        <v>4.551488585790732</v>
      </c>
      <c r="AB1389" s="15" t="n">
        <v>0.3904632707979626</v>
      </c>
      <c r="AC1389" s="15" t="n">
        <v>6.393153112376606</v>
      </c>
      <c r="AD1389" s="15" t="n">
        <v>47.67511328818893</v>
      </c>
      <c r="AE1389" s="15" t="n">
        <v>91.83261662569514</v>
      </c>
      <c r="AF1389" s="15" t="n">
        <v>123.1946002902327</v>
      </c>
      <c r="AH1389" s="42">
        <f>HIPERLINK($A$1 &amp; "\Dados\Magnet_fields_1389.txt.txt", "Magnet_fields_1389.txt")</f>
        <v/>
      </c>
      <c r="AI1389" t="n">
        <v>9248</v>
      </c>
      <c r="AJ1389" t="n">
        <v>31</v>
      </c>
      <c r="AK1389" s="42">
        <f>HIPERLINK($A$1 &amp; "\Dados\Magnet_3D_results_1389.txt.txt", "Magnet_3D_results_1389.txt")</f>
        <v/>
      </c>
      <c r="AL1389" s="42">
        <f>HIPERLINK($A$1 &amp; "\Dados\Magnet_fields_2D_1389.txt.txt", "Magnet_fields_2D_1389.txt")</f>
        <v/>
      </c>
    </row>
    <row r="1390">
      <c r="E1390" s="15" t="n">
        <v>143</v>
      </c>
      <c r="F1390" s="15" t="n">
        <v>189</v>
      </c>
      <c r="G1390" s="15" t="n">
        <v>376</v>
      </c>
      <c r="H1390" s="15" t="n">
        <v>30</v>
      </c>
      <c r="I1390" s="15" t="n">
        <v>146</v>
      </c>
      <c r="J1390" s="13" t="n">
        <v>25</v>
      </c>
      <c r="K1390" t="n">
        <v>50</v>
      </c>
      <c r="L1390" s="13" t="n">
        <v>2.6</v>
      </c>
      <c r="M1390" s="12" t="n"/>
      <c r="N1390" s="8" t="n">
        <v>1.240906023609171</v>
      </c>
      <c r="O1390" s="15" t="n">
        <v>0.9902190338065461</v>
      </c>
      <c r="P1390" s="15" t="n">
        <v>1.16924643468811</v>
      </c>
      <c r="Q1390" s="15" t="n">
        <v>0.003821732819638425</v>
      </c>
      <c r="R1390" s="15" t="n">
        <v>0.03453935988420979</v>
      </c>
      <c r="S1390" s="15" t="n">
        <v>0.004569924931294296</v>
      </c>
      <c r="T1390" s="42">
        <f>HIPERLINK($A$1 &amp; "\Dados\Imagem_perfil_1390.png", "Imagem_perfil_1390")</f>
        <v/>
      </c>
      <c r="U1390" s="42">
        <f>HIPERLINK($A$1 &amp; "\Dados\Results_airgap1390.txt", "Results_airgap1390")</f>
        <v/>
      </c>
      <c r="V1390" s="19" t="n"/>
      <c r="W1390" s="15" t="n">
        <v>1.686304565217392</v>
      </c>
      <c r="X1390" s="15" t="n">
        <v>0.7810310794203612</v>
      </c>
      <c r="Y1390" s="15" t="n">
        <v>0.5323870873409158</v>
      </c>
      <c r="Z1390" s="15" t="n">
        <v>0</v>
      </c>
      <c r="AA1390" s="15" t="n">
        <v>2.640244938878288</v>
      </c>
      <c r="AB1390" s="15" t="n">
        <v>0.2053886064624608</v>
      </c>
      <c r="AC1390" s="15" t="n">
        <v>6.758330075833235</v>
      </c>
      <c r="AD1390" s="15" t="n">
        <v>48.30859844763254</v>
      </c>
      <c r="AE1390" s="15" t="n">
        <v>91.08718673619393</v>
      </c>
      <c r="AF1390" s="15" t="n">
        <v>121.892443212757</v>
      </c>
      <c r="AH1390" s="42">
        <f>HIPERLINK($A$1 &amp; "\Dados\Magnet_fields_1390.txt.txt", "Magnet_fields_1390.txt")</f>
        <v/>
      </c>
      <c r="AI1390" t="n">
        <v>7902</v>
      </c>
      <c r="AJ1390" t="n">
        <v>31</v>
      </c>
      <c r="AK1390" s="42">
        <f>HIPERLINK($A$1 &amp; "\Dados\Magnet_3D_results_1390.txt.txt", "Magnet_3D_results_1390.txt")</f>
        <v/>
      </c>
      <c r="AL1390" s="42">
        <f>HIPERLINK($A$1 &amp; "\Dados\Magnet_fields_2D_1390.txt.txt", "Magnet_fields_2D_1390.txt")</f>
        <v/>
      </c>
    </row>
    <row r="1391">
      <c r="E1391" s="15" t="n">
        <v>142</v>
      </c>
      <c r="F1391" s="15" t="n">
        <v>189</v>
      </c>
      <c r="G1391" s="15" t="n">
        <v>399</v>
      </c>
      <c r="H1391" s="15" t="n">
        <v>25</v>
      </c>
      <c r="I1391" s="15" t="n">
        <v>166</v>
      </c>
      <c r="J1391" s="13" t="n">
        <v>25</v>
      </c>
      <c r="K1391" t="n">
        <v>45</v>
      </c>
      <c r="L1391" s="13" t="n">
        <v>2.6</v>
      </c>
      <c r="M1391" s="12" t="n"/>
      <c r="N1391" s="8" t="n">
        <v>1.316802335868429</v>
      </c>
      <c r="O1391" s="15" t="n">
        <v>1.111292914429447</v>
      </c>
      <c r="P1391" s="15" t="n">
        <v>1.261368379717534</v>
      </c>
      <c r="Q1391" s="15" t="n">
        <v>0.002394428955915809</v>
      </c>
      <c r="R1391" s="15" t="n">
        <v>0.03461952240082131</v>
      </c>
      <c r="S1391" s="15" t="n">
        <v>0.002637399708355679</v>
      </c>
      <c r="T1391" s="42">
        <f>HIPERLINK($A$1 &amp; "\Dados\Imagem_perfil_1391.png", "Imagem_perfil_1391")</f>
        <v/>
      </c>
      <c r="U1391" s="42">
        <f>HIPERLINK($A$1 &amp; "\Dados\Results_airgap1391.txt", "Results_airgap1391")</f>
        <v/>
      </c>
      <c r="V1391" s="19" t="n"/>
      <c r="W1391" s="15" t="n">
        <v>1.718653695652174</v>
      </c>
      <c r="X1391" s="15" t="n">
        <v>0.8337465862608845</v>
      </c>
      <c r="Y1391" s="15" t="n">
        <v>0.5734766103798339</v>
      </c>
      <c r="Z1391" s="15" t="n">
        <v>0</v>
      </c>
      <c r="AA1391" s="15" t="n">
        <v>4.371016695315673</v>
      </c>
      <c r="AB1391" s="15" t="n">
        <v>1.152956352318131</v>
      </c>
      <c r="AC1391" s="15" t="n">
        <v>8.502778377847724</v>
      </c>
      <c r="AD1391" s="15" t="n">
        <v>39.43663565242813</v>
      </c>
      <c r="AE1391" s="15" t="n">
        <v>84.21348935451662</v>
      </c>
      <c r="AF1391" s="15" t="n">
        <v>117.8301524380763</v>
      </c>
      <c r="AH1391" s="42">
        <f>HIPERLINK($A$1 &amp; "\Dados\Magnet_fields_1391.txt.txt", "Magnet_fields_1391.txt")</f>
        <v/>
      </c>
      <c r="AI1391" t="n">
        <v>10080</v>
      </c>
      <c r="AJ1391" t="n">
        <v>30</v>
      </c>
      <c r="AK1391" s="42">
        <f>HIPERLINK($A$1 &amp; "\Dados\Magnet_3D_results_1391.txt.txt", "Magnet_3D_results_1391.txt")</f>
        <v/>
      </c>
      <c r="AL1391" s="42">
        <f>HIPERLINK($A$1 &amp; "\Dados\Magnet_fields_2D_1391.txt.txt", "Magnet_fields_2D_1391.txt")</f>
        <v/>
      </c>
    </row>
    <row r="1392">
      <c r="E1392" s="15" t="n">
        <v>136</v>
      </c>
      <c r="F1392" s="15" t="n">
        <v>182</v>
      </c>
      <c r="G1392" s="15" t="n">
        <v>395</v>
      </c>
      <c r="H1392" s="15" t="n">
        <v>40</v>
      </c>
      <c r="I1392" s="15" t="n">
        <v>159</v>
      </c>
      <c r="J1392" s="13" t="n">
        <v>25</v>
      </c>
      <c r="K1392" t="n">
        <v>45</v>
      </c>
      <c r="L1392" s="13" t="n">
        <v>2.6</v>
      </c>
      <c r="M1392" s="12" t="n"/>
      <c r="N1392" s="8" t="n">
        <v>1.361081643348117</v>
      </c>
      <c r="O1392" s="15" t="n">
        <v>1.132987840031108</v>
      </c>
      <c r="P1392" s="15" t="n">
        <v>1.291124639964626</v>
      </c>
      <c r="Q1392" s="15" t="n">
        <v>0.002876302590540219</v>
      </c>
      <c r="R1392" s="15" t="n">
        <v>0.04115456821866368</v>
      </c>
      <c r="S1392" s="15" t="n">
        <v>0.003298253792434606</v>
      </c>
      <c r="T1392" s="42">
        <f>HIPERLINK($A$1 &amp; "\Dados\Imagem_perfil_1392.png", "Imagem_perfil_1392")</f>
        <v/>
      </c>
      <c r="U1392" s="42">
        <f>HIPERLINK($A$1 &amp; "\Dados\Results_airgap1392.txt", "Results_airgap1392")</f>
        <v/>
      </c>
      <c r="V1392" s="19" t="n"/>
      <c r="W1392" s="15" t="n">
        <v>1.771171956521739</v>
      </c>
      <c r="X1392" s="15" t="n">
        <v>0.8799177889030364</v>
      </c>
      <c r="Y1392" s="15" t="n">
        <v>0.5294891839630478</v>
      </c>
      <c r="Z1392" s="15" t="n">
        <v>0.001071823791907985</v>
      </c>
      <c r="AA1392" s="15" t="n">
        <v>0</v>
      </c>
      <c r="AB1392" s="15" t="n">
        <v>2.267318275600598</v>
      </c>
      <c r="AC1392" s="15" t="n">
        <v>13.21060735021188</v>
      </c>
      <c r="AD1392" s="15" t="n">
        <v>43.75657260906115</v>
      </c>
      <c r="AE1392" s="15" t="n">
        <v>82.73908405000385</v>
      </c>
      <c r="AF1392" s="15" t="n">
        <v>116.8588939822186</v>
      </c>
      <c r="AH1392" s="42">
        <f>HIPERLINK($A$1 &amp; "\Dados\Magnet_fields_1392.txt.txt", "Magnet_fields_1392.txt")</f>
        <v/>
      </c>
      <c r="AI1392" t="n">
        <v>6513</v>
      </c>
      <c r="AJ1392" t="n">
        <v>28</v>
      </c>
      <c r="AK1392" s="42">
        <f>HIPERLINK($A$1 &amp; "\Dados\Magnet_3D_results_1392.txt.txt", "Magnet_3D_results_1392.txt")</f>
        <v/>
      </c>
      <c r="AL1392" s="42">
        <f>HIPERLINK($A$1 &amp; "\Dados\Magnet_fields_2D_1392.txt.txt", "Magnet_fields_2D_1392.txt")</f>
        <v/>
      </c>
    </row>
    <row r="1393">
      <c r="E1393" s="15" t="n">
        <v>128</v>
      </c>
      <c r="F1393" s="15" t="n">
        <v>177</v>
      </c>
      <c r="G1393" s="15" t="n">
        <v>374</v>
      </c>
      <c r="H1393" s="15" t="n">
        <v>41</v>
      </c>
      <c r="I1393" s="15" t="n">
        <v>165</v>
      </c>
      <c r="J1393" s="13" t="n">
        <v>25</v>
      </c>
      <c r="K1393" t="n">
        <v>45</v>
      </c>
      <c r="L1393" s="13" t="n">
        <v>2.6</v>
      </c>
      <c r="M1393" s="12" t="n"/>
      <c r="N1393" s="8" t="n">
        <v>1.30044031824711</v>
      </c>
      <c r="O1393" s="15" t="n">
        <v>1.096807386071205</v>
      </c>
      <c r="P1393" s="15" t="n">
        <v>1.23719676086424</v>
      </c>
      <c r="Q1393" s="15" t="n">
        <v>0.003382773962081278</v>
      </c>
      <c r="R1393" s="15" t="n">
        <v>0.04067115551104511</v>
      </c>
      <c r="S1393" s="15" t="n">
        <v>0.003790627746591032</v>
      </c>
      <c r="T1393" s="42">
        <f>HIPERLINK($A$1 &amp; "\Dados\Imagem_perfil_1393.png", "Imagem_perfil_1393")</f>
        <v/>
      </c>
      <c r="U1393" s="42">
        <f>HIPERLINK($A$1 &amp; "\Dados\Results_airgap1393.txt", "Results_airgap1393")</f>
        <v/>
      </c>
      <c r="V1393" s="19" t="n"/>
      <c r="W1393" s="15" t="n">
        <v>1.658611304347825</v>
      </c>
      <c r="X1393" s="15" t="n">
        <v>0.8024792276214864</v>
      </c>
      <c r="Y1393" s="15" t="n">
        <v>0.653062587869021</v>
      </c>
      <c r="Z1393" s="15" t="n">
        <v>0.00141824474830901</v>
      </c>
      <c r="AA1393" s="15" t="n">
        <v>0</v>
      </c>
      <c r="AB1393" s="15" t="n">
        <v>1.905001418842911</v>
      </c>
      <c r="AC1393" s="15" t="n">
        <v>10.82768812756038</v>
      </c>
      <c r="AD1393" s="15" t="n">
        <v>41.65924343093413</v>
      </c>
      <c r="AE1393" s="15" t="n">
        <v>84.36167382357567</v>
      </c>
      <c r="AF1393" s="15" t="n">
        <v>117.8687554264612</v>
      </c>
      <c r="AH1393" s="42">
        <f>HIPERLINK($A$1 &amp; "\Dados\Magnet_fields_1393.txt.txt", "Magnet_fields_1393.txt")</f>
        <v/>
      </c>
      <c r="AI1393" t="n">
        <v>5984</v>
      </c>
      <c r="AJ1393" t="n">
        <v>28</v>
      </c>
      <c r="AK1393" s="42">
        <f>HIPERLINK($A$1 &amp; "\Dados\Magnet_3D_results_1393.txt.txt", "Magnet_3D_results_1393.txt")</f>
        <v/>
      </c>
      <c r="AL1393" s="42">
        <f>HIPERLINK($A$1 &amp; "\Dados\Magnet_fields_2D_1393.txt.txt", "Magnet_fields_2D_1393.txt")</f>
        <v/>
      </c>
    </row>
    <row r="1394">
      <c r="E1394" s="15" t="n">
        <v>140</v>
      </c>
      <c r="F1394" s="15" t="n">
        <v>178</v>
      </c>
      <c r="G1394" s="15" t="n">
        <v>351</v>
      </c>
      <c r="H1394" s="15" t="n">
        <v>30</v>
      </c>
      <c r="I1394" s="15" t="n">
        <v>150</v>
      </c>
      <c r="J1394" s="13" t="n">
        <v>25</v>
      </c>
      <c r="K1394" t="n">
        <v>40</v>
      </c>
      <c r="L1394" s="13" t="n">
        <v>2.6</v>
      </c>
      <c r="M1394" s="12" t="n"/>
      <c r="N1394" s="8" t="n">
        <v>1.303266024687045</v>
      </c>
      <c r="O1394" s="15" t="n">
        <v>1.067140422876071</v>
      </c>
      <c r="P1394" s="15" t="n">
        <v>1.247386198118027</v>
      </c>
      <c r="Q1394" s="15" t="n">
        <v>0.001213893999373034</v>
      </c>
      <c r="R1394" s="15" t="n">
        <v>0.02257367285323489</v>
      </c>
      <c r="S1394" s="15" t="n">
        <v>0.00143383555524482</v>
      </c>
      <c r="T1394" s="42">
        <f>HIPERLINK($A$1 &amp; "\Dados\Imagem_perfil_1394.png", "Imagem_perfil_1394")</f>
        <v/>
      </c>
      <c r="U1394" s="42">
        <f>HIPERLINK($A$1 &amp; "\Dados\Results_airgap1394.txt", "Results_airgap1394")</f>
        <v/>
      </c>
      <c r="V1394" s="19" t="n"/>
      <c r="W1394" s="15" t="n">
        <v>1.633849347826087</v>
      </c>
      <c r="X1394" s="15" t="n">
        <v>0.7997473271502823</v>
      </c>
      <c r="Y1394" s="15" t="n">
        <v>0.6313418338648173</v>
      </c>
      <c r="Z1394" s="15" t="n">
        <v>0</v>
      </c>
      <c r="AA1394" s="15" t="n">
        <v>1.799243983780207</v>
      </c>
      <c r="AB1394" s="15" t="n">
        <v>0.01583764752917206</v>
      </c>
      <c r="AC1394" s="15" t="n">
        <v>3.753095139944419</v>
      </c>
      <c r="AD1394" s="15" t="n">
        <v>28.81859962237741</v>
      </c>
      <c r="AE1394" s="15" t="n">
        <v>79.62286565141206</v>
      </c>
      <c r="AF1394" s="15" t="n">
        <v>114.1043610576329</v>
      </c>
      <c r="AH1394" s="42">
        <f>HIPERLINK($A$1 &amp; "\Dados\Magnet_fields_1394.txt.txt", "Magnet_fields_1394.txt")</f>
        <v/>
      </c>
      <c r="AI1394" t="n">
        <v>8526</v>
      </c>
      <c r="AJ1394" t="n">
        <v>30</v>
      </c>
      <c r="AK1394" s="42">
        <f>HIPERLINK($A$1 &amp; "\Dados\Magnet_3D_results_1394.txt.txt", "Magnet_3D_results_1394.txt")</f>
        <v/>
      </c>
      <c r="AL1394" s="42">
        <f>HIPERLINK($A$1 &amp; "\Dados\Magnet_fields_2D_1394.txt.txt", "Magnet_fields_2D_1394.txt")</f>
        <v/>
      </c>
    </row>
    <row r="1395">
      <c r="E1395" s="15" t="n">
        <v>123</v>
      </c>
      <c r="F1395" s="15" t="n">
        <v>170</v>
      </c>
      <c r="G1395" s="15" t="n">
        <v>408</v>
      </c>
      <c r="H1395" s="15" t="n">
        <v>42</v>
      </c>
      <c r="I1395" s="15" t="n">
        <v>141</v>
      </c>
      <c r="J1395" s="13" t="n">
        <v>25</v>
      </c>
      <c r="K1395" t="n">
        <v>50</v>
      </c>
      <c r="L1395" s="13" t="n">
        <v>2.6</v>
      </c>
      <c r="M1395" s="12" t="n"/>
      <c r="N1395" s="8" t="n">
        <v>1.3685473703729</v>
      </c>
      <c r="O1395" s="15" t="n">
        <v>1.069027242802881</v>
      </c>
      <c r="P1395" s="15" t="n">
        <v>1.276478242990761</v>
      </c>
      <c r="Q1395" s="15" t="n">
        <v>0.008332175496169755</v>
      </c>
      <c r="R1395" s="15" t="n">
        <v>0.05859111789172852</v>
      </c>
      <c r="S1395" s="15" t="n">
        <v>0.00971240756905495</v>
      </c>
      <c r="T1395" s="42">
        <f>HIPERLINK($A$1 &amp; "\Dados\Imagem_perfil_1395.png", "Imagem_perfil_1395")</f>
        <v/>
      </c>
      <c r="U1395" s="42">
        <f>HIPERLINK($A$1 &amp; "\Dados\Results_airgap1395.txt", "Results_airgap1395")</f>
        <v/>
      </c>
      <c r="V1395" s="19" t="n"/>
      <c r="W1395" s="15" t="n">
        <v>1.928475</v>
      </c>
      <c r="X1395" s="15" t="n">
        <v>0.9079824260435538</v>
      </c>
      <c r="Y1395" s="15" t="n">
        <v>0.3541233053448977</v>
      </c>
      <c r="Z1395" s="15" t="n">
        <v>0.001214061131965786</v>
      </c>
      <c r="AA1395" s="15" t="n">
        <v>0.01441738802973476</v>
      </c>
      <c r="AB1395" s="15" t="n">
        <v>2.552672741890142</v>
      </c>
      <c r="AC1395" s="15" t="n">
        <v>15.73880589203463</v>
      </c>
      <c r="AD1395" s="15" t="n">
        <v>55.27428439908817</v>
      </c>
      <c r="AE1395" s="15" t="n">
        <v>92.94652950111126</v>
      </c>
      <c r="AF1395" s="15" t="n">
        <v>123.2769044799899</v>
      </c>
      <c r="AH1395" s="42">
        <f>HIPERLINK($A$1 &amp; "\Dados\Magnet_fields_1395.txt.txt", "Magnet_fields_1395.txt")</f>
        <v/>
      </c>
      <c r="AI1395" t="n">
        <v>7248</v>
      </c>
      <c r="AJ1395" t="n">
        <v>28</v>
      </c>
      <c r="AK1395" s="42">
        <f>HIPERLINK($A$1 &amp; "\Dados\Magnet_3D_results_1395.txt.txt", "Magnet_3D_results_1395.txt")</f>
        <v/>
      </c>
      <c r="AL1395" s="42">
        <f>HIPERLINK($A$1 &amp; "\Dados\Magnet_fields_2D_1395.txt.txt", "Magnet_fields_2D_1395.txt")</f>
        <v/>
      </c>
    </row>
    <row r="1396">
      <c r="E1396" s="15" t="n">
        <v>144</v>
      </c>
      <c r="F1396" s="15" t="n">
        <v>179</v>
      </c>
      <c r="G1396" s="15" t="n">
        <v>375</v>
      </c>
      <c r="H1396" s="15" t="n">
        <v>42</v>
      </c>
      <c r="I1396" s="15" t="n">
        <v>169</v>
      </c>
      <c r="J1396" s="13" t="n">
        <v>25</v>
      </c>
      <c r="K1396" t="n">
        <v>60</v>
      </c>
      <c r="L1396" s="13" t="n">
        <v>2.6</v>
      </c>
      <c r="M1396" s="12" t="n"/>
      <c r="N1396" s="8" t="n">
        <v>1.557439969278892</v>
      </c>
      <c r="O1396" s="15" t="n">
        <v>1.342134158020103</v>
      </c>
      <c r="P1396" s="15" t="n">
        <v>1.4968840135002</v>
      </c>
      <c r="Q1396" s="15" t="n">
        <v>0.01915866440376362</v>
      </c>
      <c r="R1396" s="15" t="n">
        <v>0.04702267544622145</v>
      </c>
      <c r="S1396" s="15" t="n">
        <v>0.01808724961101644</v>
      </c>
      <c r="T1396" s="42">
        <f>HIPERLINK($A$1 &amp; "\Dados\Imagem_perfil_1396.png", "Imagem_perfil_1396")</f>
        <v/>
      </c>
      <c r="U1396" s="42">
        <f>HIPERLINK($A$1 &amp; "\Dados\Results_airgap1396.txt", "Results_airgap1396")</f>
        <v/>
      </c>
      <c r="V1396" s="19" t="n"/>
      <c r="W1396" s="15" t="n">
        <v>1.976753260869565</v>
      </c>
      <c r="X1396" s="15" t="n">
        <v>0.9695423311461928</v>
      </c>
      <c r="Y1396" s="15" t="n">
        <v>0.2141022654492802</v>
      </c>
      <c r="Z1396" s="15" t="n">
        <v>0.004667789954447678</v>
      </c>
      <c r="AA1396" s="15" t="n">
        <v>0.06054357538895389</v>
      </c>
      <c r="AB1396" s="15" t="n">
        <v>0.8971455108012227</v>
      </c>
      <c r="AC1396" s="15" t="n">
        <v>18.85418234947292</v>
      </c>
      <c r="AD1396" s="15" t="n">
        <v>66.32398987851887</v>
      </c>
      <c r="AE1396" s="15" t="n">
        <v>98.88175492825394</v>
      </c>
      <c r="AF1396" s="15" t="n">
        <v>130.6716386948389</v>
      </c>
      <c r="AH1396" s="42">
        <f>HIPERLINK($A$1 &amp; "\Dados\Magnet_fields_1396.txt.txt", "Magnet_fields_1396.txt")</f>
        <v/>
      </c>
      <c r="AI1396" t="n">
        <v>7320</v>
      </c>
      <c r="AJ1396" t="n">
        <v>29</v>
      </c>
      <c r="AK1396" s="42">
        <f>HIPERLINK($A$1 &amp; "\Dados\Magnet_3D_results_1396.txt.txt", "Magnet_3D_results_1396.txt")</f>
        <v/>
      </c>
      <c r="AL1396" s="42">
        <f>HIPERLINK($A$1 &amp; "\Dados\Magnet_fields_2D_1396.txt.txt", "Magnet_fields_2D_1396.txt")</f>
        <v/>
      </c>
    </row>
    <row r="1397">
      <c r="E1397" s="15" t="n">
        <v>150</v>
      </c>
      <c r="F1397" s="15" t="n">
        <v>191</v>
      </c>
      <c r="G1397" s="15" t="n">
        <v>422</v>
      </c>
      <c r="H1397" s="15" t="n">
        <v>30</v>
      </c>
      <c r="I1397" s="15" t="n">
        <v>155</v>
      </c>
      <c r="J1397" s="13" t="n">
        <v>25</v>
      </c>
      <c r="K1397" t="n">
        <v>45</v>
      </c>
      <c r="L1397" s="13" t="n">
        <v>2.6</v>
      </c>
      <c r="M1397" s="12" t="n"/>
      <c r="N1397" s="8" t="n">
        <v>1.446784499471871</v>
      </c>
      <c r="O1397" s="15" t="n">
        <v>1.206656474435865</v>
      </c>
      <c r="P1397" s="15" t="n">
        <v>1.375120565664457</v>
      </c>
      <c r="Q1397" s="15" t="n">
        <v>0.002566543555318641</v>
      </c>
      <c r="R1397" s="15" t="n">
        <v>0.0378766746309875</v>
      </c>
      <c r="S1397" s="15" t="n">
        <v>0.002973774255376628</v>
      </c>
      <c r="T1397" s="42">
        <f>HIPERLINK($A$1 &amp; "\Dados\Imagem_perfil_1397.png", "Imagem_perfil_1397")</f>
        <v/>
      </c>
      <c r="U1397" s="42">
        <f>HIPERLINK($A$1 &amp; "\Dados\Results_airgap1397.txt", "Results_airgap1397")</f>
        <v/>
      </c>
      <c r="V1397" s="19" t="n"/>
      <c r="W1397" s="15" t="n">
        <v>1.906867391304348</v>
      </c>
      <c r="X1397" s="15" t="n">
        <v>0.9409228509104782</v>
      </c>
      <c r="Y1397" s="15" t="n">
        <v>0.3517021816197631</v>
      </c>
      <c r="Z1397" s="15" t="n">
        <v>0</v>
      </c>
      <c r="AA1397" s="15" t="n">
        <v>1.846145613979126</v>
      </c>
      <c r="AB1397" s="15" t="n">
        <v>1.128191631480243</v>
      </c>
      <c r="AC1397" s="15" t="n">
        <v>11.04486311553574</v>
      </c>
      <c r="AD1397" s="15" t="n">
        <v>46.61033469206868</v>
      </c>
      <c r="AE1397" s="15" t="n">
        <v>86.15408439663108</v>
      </c>
      <c r="AF1397" s="15" t="n">
        <v>118.0800513361835</v>
      </c>
      <c r="AH1397" s="42">
        <f>HIPERLINK($A$1 &amp; "\Dados\Magnet_fields_1397.txt.txt", "Magnet_fields_1397.txt")</f>
        <v/>
      </c>
      <c r="AI1397" t="n">
        <v>7649</v>
      </c>
      <c r="AJ1397" t="n">
        <v>30</v>
      </c>
      <c r="AK1397" s="42">
        <f>HIPERLINK($A$1 &amp; "\Dados\Magnet_3D_results_1397.txt.txt", "Magnet_3D_results_1397.txt")</f>
        <v/>
      </c>
      <c r="AL1397" s="42">
        <f>HIPERLINK($A$1 &amp; "\Dados\Magnet_fields_2D_1397.txt.txt", "Magnet_fields_2D_1397.txt")</f>
        <v/>
      </c>
    </row>
    <row r="1398">
      <c r="E1398" s="15" t="n">
        <v>131</v>
      </c>
      <c r="F1398" s="15" t="n">
        <v>181</v>
      </c>
      <c r="G1398" s="15" t="n">
        <v>419</v>
      </c>
      <c r="H1398" s="15" t="n">
        <v>43</v>
      </c>
      <c r="I1398" s="15" t="n">
        <v>153</v>
      </c>
      <c r="J1398" s="13" t="n">
        <v>25</v>
      </c>
      <c r="K1398" t="n">
        <v>45</v>
      </c>
      <c r="L1398" s="13" t="n">
        <v>2.6</v>
      </c>
      <c r="M1398" s="12" t="n"/>
      <c r="N1398" s="8" t="n">
        <v>1.339081763694241</v>
      </c>
      <c r="O1398" s="15" t="n">
        <v>1.093667491206182</v>
      </c>
      <c r="P1398" s="15" t="n">
        <v>1.264809912187246</v>
      </c>
      <c r="Q1398" s="15" t="n">
        <v>0.003701951995449379</v>
      </c>
      <c r="R1398" s="15" t="n">
        <v>0.05031123284012375</v>
      </c>
      <c r="S1398" s="15" t="n">
        <v>0.004778824181873113</v>
      </c>
      <c r="T1398" s="42">
        <f>HIPERLINK($A$1 &amp; "\Dados\Imagem_perfil_1398.png", "Imagem_perfil_1398")</f>
        <v/>
      </c>
      <c r="U1398" s="42">
        <f>HIPERLINK($A$1 &amp; "\Dados\Results_airgap1398.txt", "Results_airgap1398")</f>
        <v/>
      </c>
      <c r="V1398" s="19" t="n"/>
      <c r="W1398" s="15" t="n">
        <v>1.809663260869566</v>
      </c>
      <c r="X1398" s="15" t="n">
        <v>0.8557862110516491</v>
      </c>
      <c r="Y1398" s="15" t="n">
        <v>0.4748309755444514</v>
      </c>
      <c r="Z1398" s="15" t="n">
        <v>0</v>
      </c>
      <c r="AA1398" s="15" t="n">
        <v>0</v>
      </c>
      <c r="AB1398" s="15" t="n">
        <v>2.784224581742386</v>
      </c>
      <c r="AC1398" s="15" t="n">
        <v>15.03260985588056</v>
      </c>
      <c r="AD1398" s="15" t="n">
        <v>50.54265942165842</v>
      </c>
      <c r="AE1398" s="15" t="n">
        <v>88.80347192795202</v>
      </c>
      <c r="AF1398" s="15" t="n">
        <v>118.997723433642</v>
      </c>
      <c r="AH1398" s="42">
        <f>HIPERLINK($A$1 &amp; "\Dados\Magnet_fields_1398.txt.txt", "Magnet_fields_1398.txt")</f>
        <v/>
      </c>
      <c r="AI1398" t="n">
        <v>6071</v>
      </c>
      <c r="AJ1398" t="n">
        <v>27</v>
      </c>
      <c r="AK1398" s="42">
        <f>HIPERLINK($A$1 &amp; "\Dados\Magnet_3D_results_1398.txt.txt", "Magnet_3D_results_1398.txt")</f>
        <v/>
      </c>
      <c r="AL1398" s="42">
        <f>HIPERLINK($A$1 &amp; "\Dados\Magnet_fields_2D_1398.txt.txt", "Magnet_fields_2D_1398.txt")</f>
        <v/>
      </c>
    </row>
    <row r="1399">
      <c r="E1399" s="15" t="n">
        <v>134</v>
      </c>
      <c r="F1399" s="15" t="n">
        <v>180</v>
      </c>
      <c r="G1399" s="15" t="n">
        <v>413</v>
      </c>
      <c r="H1399" s="15" t="n">
        <v>39</v>
      </c>
      <c r="I1399" s="15" t="n">
        <v>141</v>
      </c>
      <c r="J1399" s="13" t="n">
        <v>25</v>
      </c>
      <c r="K1399" t="n">
        <v>60</v>
      </c>
      <c r="L1399" s="13" t="n">
        <v>2.6</v>
      </c>
      <c r="M1399" s="12" t="n"/>
      <c r="N1399" s="8" t="n">
        <v>1.388283261279954</v>
      </c>
      <c r="O1399" s="15" t="n">
        <v>1.078111830992845</v>
      </c>
      <c r="P1399" s="15" t="n">
        <v>1.295315178877153</v>
      </c>
      <c r="Q1399" s="15" t="n">
        <v>0.02605521022460359</v>
      </c>
      <c r="R1399" s="15" t="n">
        <v>0.06492255916783528</v>
      </c>
      <c r="S1399" s="15" t="n">
        <v>0.02628357995909418</v>
      </c>
      <c r="T1399" s="42">
        <f>HIPERLINK($A$1 &amp; "\Dados\Imagem_perfil_1399.png", "Imagem_perfil_1399")</f>
        <v/>
      </c>
      <c r="U1399" s="42">
        <f>HIPERLINK($A$1 &amp; "\Dados\Results_airgap1399.txt", "Results_airgap1399")</f>
        <v/>
      </c>
      <c r="V1399" s="19" t="n"/>
      <c r="W1399" s="15" t="n">
        <v>1.994146086956522</v>
      </c>
      <c r="X1399" s="15" t="n">
        <v>0.9145047223498561</v>
      </c>
      <c r="Y1399" s="15" t="n">
        <v>0.2575618209951049</v>
      </c>
      <c r="Z1399" s="15" t="n">
        <v>0</v>
      </c>
      <c r="AA1399" s="15" t="n">
        <v>0</v>
      </c>
      <c r="AB1399" s="15" t="n">
        <v>1.505250313559093</v>
      </c>
      <c r="AC1399" s="15" t="n">
        <v>19.39994789543604</v>
      </c>
      <c r="AD1399" s="15" t="n">
        <v>66.47608415146611</v>
      </c>
      <c r="AE1399" s="15" t="n">
        <v>99.77708166644088</v>
      </c>
      <c r="AF1399" s="15" t="n">
        <v>131.4804548636017</v>
      </c>
      <c r="AH1399" s="42">
        <f>HIPERLINK($A$1 &amp; "\Dados\Magnet_fields_1399.txt.txt", "Magnet_fields_1399.txt")</f>
        <v/>
      </c>
      <c r="AI1399" t="n">
        <v>8324</v>
      </c>
      <c r="AJ1399" t="n">
        <v>29</v>
      </c>
      <c r="AK1399" s="42">
        <f>HIPERLINK($A$1 &amp; "\Dados\Magnet_3D_results_1399.txt.txt", "Magnet_3D_results_1399.txt")</f>
        <v/>
      </c>
      <c r="AL1399" s="42">
        <f>HIPERLINK($A$1 &amp; "\Dados\Magnet_fields_2D_1399.txt.txt", "Magnet_fields_2D_1399.txt")</f>
        <v/>
      </c>
    </row>
    <row r="1400">
      <c r="E1400" s="15" t="n">
        <v>133</v>
      </c>
      <c r="F1400" s="15" t="n">
        <v>174</v>
      </c>
      <c r="G1400" s="15" t="n">
        <v>375</v>
      </c>
      <c r="H1400" s="15" t="n">
        <v>44</v>
      </c>
      <c r="I1400" s="15" t="n">
        <v>144</v>
      </c>
      <c r="J1400" s="13" t="n">
        <v>25</v>
      </c>
      <c r="K1400" t="n">
        <v>40</v>
      </c>
      <c r="L1400" s="13" t="n">
        <v>2.6</v>
      </c>
      <c r="M1400" s="12" t="n"/>
      <c r="N1400" s="8" t="n">
        <v>1.327596837301486</v>
      </c>
      <c r="O1400" s="15" t="n">
        <v>1.054160367079245</v>
      </c>
      <c r="P1400" s="15" t="n">
        <v>1.255371895136326</v>
      </c>
      <c r="Q1400" s="15" t="n">
        <v>0.001405221889386567</v>
      </c>
      <c r="R1400" s="15" t="n">
        <v>0.03182958856874051</v>
      </c>
      <c r="S1400" s="15" t="n">
        <v>0.001895206246960637</v>
      </c>
      <c r="T1400" s="42">
        <f>HIPERLINK($A$1 &amp; "\Dados\Imagem_perfil_1400.png", "Imagem_perfil_1400")</f>
        <v/>
      </c>
      <c r="U1400" s="42">
        <f>HIPERLINK($A$1 &amp; "\Dados\Results_airgap1400.txt", "Results_airgap1400")</f>
        <v/>
      </c>
      <c r="V1400" s="19" t="n"/>
      <c r="W1400" s="15" t="n">
        <v>1.710368478260869</v>
      </c>
      <c r="X1400" s="15" t="n">
        <v>0.8572835593707727</v>
      </c>
      <c r="Y1400" s="15" t="n">
        <v>0.6513862784833437</v>
      </c>
      <c r="Z1400" s="15" t="n">
        <v>0.008590625031972585</v>
      </c>
      <c r="AA1400" s="15" t="n">
        <v>0.002016613866448253</v>
      </c>
      <c r="AB1400" s="15" t="n">
        <v>1.869446597701891</v>
      </c>
      <c r="AC1400" s="15" t="n">
        <v>9.956145590604473</v>
      </c>
      <c r="AD1400" s="15" t="n">
        <v>35.11375951741306</v>
      </c>
      <c r="AE1400" s="15" t="n">
        <v>76.385200909703</v>
      </c>
      <c r="AF1400" s="15" t="n">
        <v>112.3855051690991</v>
      </c>
      <c r="AH1400" s="42">
        <f>HIPERLINK($A$1 &amp; "\Dados\Magnet_fields_1400.txt.txt", "Magnet_fields_1400.txt")</f>
        <v/>
      </c>
      <c r="AI1400" t="n">
        <v>6913</v>
      </c>
      <c r="AJ1400" t="n">
        <v>28</v>
      </c>
      <c r="AK1400" s="42">
        <f>HIPERLINK($A$1 &amp; "\Dados\Magnet_3D_results_1400.txt.txt", "Magnet_3D_results_1400.txt")</f>
        <v/>
      </c>
      <c r="AL1400" s="42">
        <f>HIPERLINK($A$1 &amp; "\Dados\Magnet_fields_2D_1400.txt.txt", "Magnet_fields_2D_1400.txt")</f>
        <v/>
      </c>
    </row>
    <row r="1401">
      <c r="E1401" s="15" t="n">
        <v>144</v>
      </c>
      <c r="F1401" s="15" t="n">
        <v>179</v>
      </c>
      <c r="G1401" s="15" t="n">
        <v>388</v>
      </c>
      <c r="H1401" s="15" t="n">
        <v>40</v>
      </c>
      <c r="I1401" s="15" t="n">
        <v>178</v>
      </c>
      <c r="J1401" s="13" t="n">
        <v>25</v>
      </c>
      <c r="K1401" t="n">
        <v>55</v>
      </c>
      <c r="L1401" s="13" t="n">
        <v>2.6</v>
      </c>
      <c r="M1401" s="12" t="n"/>
      <c r="N1401" s="8" t="n">
        <v>1.599535549395282</v>
      </c>
      <c r="O1401" s="15" t="n">
        <v>1.401469033900988</v>
      </c>
      <c r="P1401" s="15" t="n">
        <v>1.543763086212121</v>
      </c>
      <c r="Q1401" s="15" t="n">
        <v>0.01121689933861195</v>
      </c>
      <c r="R1401" s="15" t="n">
        <v>0.04720680978293933</v>
      </c>
      <c r="S1401" s="15" t="n">
        <v>0.01128658841840591</v>
      </c>
      <c r="T1401" s="42">
        <f>HIPERLINK($A$1 &amp; "\Dados\Imagem_perfil_1401.png", "Imagem_perfil_1401")</f>
        <v/>
      </c>
      <c r="U1401" s="42">
        <f>HIPERLINK($A$1 &amp; "\Dados\Results_airgap1401.txt", "Results_airgap1401")</f>
        <v/>
      </c>
      <c r="V1401" s="19" t="n"/>
      <c r="W1401" s="15" t="n">
        <v>2.009653695652174</v>
      </c>
      <c r="X1401" s="15" t="n">
        <v>0.9842905743998571</v>
      </c>
      <c r="Y1401" s="15" t="n">
        <v>0.2081000072040818</v>
      </c>
      <c r="Z1401" s="15" t="n">
        <v>0</v>
      </c>
      <c r="AA1401" s="15" t="n">
        <v>0.001655954488646365</v>
      </c>
      <c r="AB1401" s="15" t="n">
        <v>0.4920665600432979</v>
      </c>
      <c r="AC1401" s="15" t="n">
        <v>13.52500655862833</v>
      </c>
      <c r="AD1401" s="15" t="n">
        <v>60.31524077993684</v>
      </c>
      <c r="AE1401" s="15" t="n">
        <v>95.89456172789383</v>
      </c>
      <c r="AF1401" s="15" t="n">
        <v>126.8778207691425</v>
      </c>
      <c r="AH1401" s="42">
        <f>HIPERLINK($A$1 &amp; "\Dados\Magnet_fields_1401.txt.txt", "Magnet_fields_1401.txt")</f>
        <v/>
      </c>
      <c r="AI1401" t="n">
        <v>10825</v>
      </c>
      <c r="AJ1401" t="n">
        <v>31</v>
      </c>
      <c r="AK1401" s="42">
        <f>HIPERLINK($A$1 &amp; "\Dados\Magnet_3D_results_1401.txt.txt", "Magnet_3D_results_1401.txt")</f>
        <v/>
      </c>
      <c r="AL1401" s="42">
        <f>HIPERLINK($A$1 &amp; "\Dados\Magnet_fields_2D_1401.txt.txt", "Magnet_fields_2D_1401.txt")</f>
        <v/>
      </c>
    </row>
    <row r="1402">
      <c r="E1402" s="15" t="n">
        <v>136</v>
      </c>
      <c r="F1402" s="15" t="n">
        <v>177</v>
      </c>
      <c r="G1402" s="15" t="n">
        <v>373</v>
      </c>
      <c r="H1402" s="15" t="n">
        <v>35</v>
      </c>
      <c r="I1402" s="15" t="n">
        <v>151</v>
      </c>
      <c r="J1402" s="13" t="n">
        <v>25</v>
      </c>
      <c r="K1402" t="n">
        <v>40</v>
      </c>
      <c r="L1402" s="13" t="n">
        <v>2.6</v>
      </c>
      <c r="M1402" s="12" t="n"/>
      <c r="N1402" s="8" t="n">
        <v>1.333304848695254</v>
      </c>
      <c r="O1402" s="15" t="n">
        <v>1.098332980530738</v>
      </c>
      <c r="P1402" s="15" t="n">
        <v>1.26034657985289</v>
      </c>
      <c r="Q1402" s="15" t="n">
        <v>0.001311978811141004</v>
      </c>
      <c r="R1402" s="15" t="n">
        <v>0.02952841192497913</v>
      </c>
      <c r="S1402" s="15" t="n">
        <v>0.001656475639810112</v>
      </c>
      <c r="T1402" s="42">
        <f>HIPERLINK($A$1 &amp; "\Dados\Imagem_perfil_1402.png", "Imagem_perfil_1402")</f>
        <v/>
      </c>
      <c r="U1402" s="42">
        <f>HIPERLINK($A$1 &amp; "\Dados\Results_airgap1402.txt", "Results_airgap1402")</f>
        <v/>
      </c>
      <c r="V1402" s="19" t="n"/>
      <c r="W1402" s="15" t="n">
        <v>1.690681304347826</v>
      </c>
      <c r="X1402" s="15" t="n">
        <v>0.8543086838359892</v>
      </c>
      <c r="Y1402" s="15" t="n">
        <v>0.6531428759570133</v>
      </c>
      <c r="Z1402" s="15" t="n">
        <v>0.004206247262749395</v>
      </c>
      <c r="AA1402" s="15" t="n">
        <v>0.04313237887044644</v>
      </c>
      <c r="AB1402" s="15" t="n">
        <v>1.387604909032346</v>
      </c>
      <c r="AC1402" s="15" t="n">
        <v>8.550065371368072</v>
      </c>
      <c r="AD1402" s="15" t="n">
        <v>34.06942800767538</v>
      </c>
      <c r="AE1402" s="15" t="n">
        <v>77.0092093746328</v>
      </c>
      <c r="AF1402" s="15" t="n">
        <v>112.7513179283104</v>
      </c>
      <c r="AH1402" s="42">
        <f>HIPERLINK($A$1 &amp; "\Dados\Magnet_fields_1402.txt.txt", "Magnet_fields_1402.txt")</f>
        <v/>
      </c>
      <c r="AI1402" t="n">
        <v>7896</v>
      </c>
      <c r="AJ1402" t="n">
        <v>29</v>
      </c>
      <c r="AK1402" s="42">
        <f>HIPERLINK($A$1 &amp; "\Dados\Magnet_3D_results_1402.txt.txt", "Magnet_3D_results_1402.txt")</f>
        <v/>
      </c>
      <c r="AL1402" s="42">
        <f>HIPERLINK($A$1 &amp; "\Dados\Magnet_fields_2D_1402.txt.txt", "Magnet_fields_2D_1402.txt")</f>
        <v/>
      </c>
    </row>
    <row r="1403">
      <c r="E1403" s="15" t="n">
        <v>134</v>
      </c>
      <c r="F1403" s="15" t="n">
        <v>175</v>
      </c>
      <c r="G1403" s="15" t="n">
        <v>386</v>
      </c>
      <c r="H1403" s="15" t="n">
        <v>43</v>
      </c>
      <c r="I1403" s="15" t="n">
        <v>156</v>
      </c>
      <c r="J1403" s="13" t="n">
        <v>25</v>
      </c>
      <c r="K1403" t="n">
        <v>40</v>
      </c>
      <c r="L1403" s="13" t="n">
        <v>2.6</v>
      </c>
      <c r="M1403" s="12" t="n"/>
      <c r="N1403" s="8" t="n">
        <v>1.382045652709147</v>
      </c>
      <c r="O1403" s="15" t="n">
        <v>1.147343940605351</v>
      </c>
      <c r="P1403" s="15" t="n">
        <v>1.308030524417843</v>
      </c>
      <c r="Q1403" s="15" t="n">
        <v>0.001498875261990296</v>
      </c>
      <c r="R1403" s="15" t="n">
        <v>0.03405157431215749</v>
      </c>
      <c r="S1403" s="15" t="n">
        <v>0.001784684196629019</v>
      </c>
      <c r="T1403" s="42">
        <f>HIPERLINK($A$1 &amp; "\Dados\Imagem_perfil_1403.png", "Imagem_perfil_1403")</f>
        <v/>
      </c>
      <c r="U1403" s="42">
        <f>HIPERLINK($A$1 &amp; "\Dados\Results_airgap1403.txt", "Results_airgap1403")</f>
        <v/>
      </c>
      <c r="V1403" s="19" t="n"/>
      <c r="W1403" s="15" t="n">
        <v>1.738724999999999</v>
      </c>
      <c r="X1403" s="15" t="n">
        <v>0.8835659207432583</v>
      </c>
      <c r="Y1403" s="15" t="n">
        <v>0.6103238705682089</v>
      </c>
      <c r="Z1403" s="15" t="n">
        <v>0.01243831891174832</v>
      </c>
      <c r="AA1403" s="15" t="n">
        <v>0.0009857481264561416</v>
      </c>
      <c r="AB1403" s="15" t="n">
        <v>1.780760904663025</v>
      </c>
      <c r="AC1403" s="15" t="n">
        <v>9.177957304621858</v>
      </c>
      <c r="AD1403" s="15" t="n">
        <v>34.74820545621473</v>
      </c>
      <c r="AE1403" s="15" t="n">
        <v>78.09462948581294</v>
      </c>
      <c r="AF1403" s="15" t="n">
        <v>113.3387480379073</v>
      </c>
      <c r="AH1403" s="42">
        <f>HIPERLINK($A$1 &amp; "\Dados\Magnet_fields_1403.txt.txt", "Magnet_fields_1403.txt")</f>
        <v/>
      </c>
      <c r="AI1403" t="n">
        <v>7117</v>
      </c>
      <c r="AJ1403" t="n">
        <v>30</v>
      </c>
      <c r="AK1403" s="42">
        <f>HIPERLINK($A$1 &amp; "\Dados\Magnet_3D_results_1403.txt.txt", "Magnet_3D_results_1403.txt")</f>
        <v/>
      </c>
      <c r="AL1403" s="42">
        <f>HIPERLINK($A$1 &amp; "\Dados\Magnet_fields_2D_1403.txt.txt", "Magnet_fields_2D_1403.txt")</f>
        <v/>
      </c>
    </row>
    <row r="1404">
      <c r="E1404" s="15" t="n">
        <v>127</v>
      </c>
      <c r="F1404" s="15" t="n">
        <v>177</v>
      </c>
      <c r="G1404" s="15" t="n">
        <v>359</v>
      </c>
      <c r="H1404" s="15" t="n">
        <v>45</v>
      </c>
      <c r="I1404" s="15" t="n">
        <v>156</v>
      </c>
      <c r="J1404" s="13" t="n">
        <v>25</v>
      </c>
      <c r="K1404" t="n">
        <v>40</v>
      </c>
      <c r="L1404" s="13" t="n">
        <v>2.6</v>
      </c>
      <c r="M1404" s="12" t="n"/>
      <c r="N1404" s="8" t="n">
        <v>1.198223295311226</v>
      </c>
      <c r="O1404" s="15" t="n">
        <v>1.006452730180269</v>
      </c>
      <c r="P1404" s="15" t="n">
        <v>1.134667485640414</v>
      </c>
      <c r="Q1404" s="15" t="n">
        <v>0.00168475612080477</v>
      </c>
      <c r="R1404" s="15" t="n">
        <v>0.03169310499073672</v>
      </c>
      <c r="S1404" s="15" t="n">
        <v>0.002343396990701334</v>
      </c>
      <c r="T1404" s="42">
        <f>HIPERLINK($A$1 &amp; "\Dados\Imagem_perfil_1404.png", "Imagem_perfil_1404")</f>
        <v/>
      </c>
      <c r="U1404" s="42">
        <f>HIPERLINK($A$1 &amp; "\Dados\Results_airgap1404.txt", "Results_airgap1404")</f>
        <v/>
      </c>
      <c r="V1404" s="19" t="n"/>
      <c r="W1404" s="15" t="n">
        <v>1.513158260869565</v>
      </c>
      <c r="X1404" s="15" t="n">
        <v>0.7739124881732721</v>
      </c>
      <c r="Y1404" s="15" t="n">
        <v>0.9051096015441045</v>
      </c>
      <c r="Z1404" s="15" t="n">
        <v>0.04171591331260025</v>
      </c>
      <c r="AA1404" s="15" t="n">
        <v>0.008938000103347067</v>
      </c>
      <c r="AB1404" s="15" t="n">
        <v>2.484788033028612</v>
      </c>
      <c r="AC1404" s="15" t="n">
        <v>11.27175456949309</v>
      </c>
      <c r="AD1404" s="15" t="n">
        <v>35.0513278768024</v>
      </c>
      <c r="AE1404" s="15" t="n">
        <v>75.31519057111073</v>
      </c>
      <c r="AF1404" s="15" t="n">
        <v>112.2728158689941</v>
      </c>
      <c r="AH1404" s="42">
        <f>HIPERLINK($A$1 &amp; "\Dados\Magnet_fields_1404.txt.txt", "Magnet_fields_1404.txt")</f>
        <v/>
      </c>
      <c r="AI1404" t="n">
        <v>6626</v>
      </c>
      <c r="AJ1404" t="n">
        <v>28</v>
      </c>
      <c r="AK1404" s="42">
        <f>HIPERLINK($A$1 &amp; "\Dados\Magnet_3D_results_1404.txt.txt", "Magnet_3D_results_1404.txt")</f>
        <v/>
      </c>
      <c r="AL1404" s="42">
        <f>HIPERLINK($A$1 &amp; "\Dados\Magnet_fields_2D_1404.txt.txt", "Magnet_fields_2D_1404.txt")</f>
        <v/>
      </c>
    </row>
    <row r="1405">
      <c r="E1405" s="15" t="n">
        <v>138</v>
      </c>
      <c r="F1405" s="15" t="n">
        <v>186</v>
      </c>
      <c r="G1405" s="15" t="n">
        <v>372</v>
      </c>
      <c r="H1405" s="15" t="n">
        <v>31</v>
      </c>
      <c r="I1405" s="15" t="n">
        <v>140</v>
      </c>
      <c r="J1405" s="13" t="n">
        <v>25</v>
      </c>
      <c r="K1405" t="n">
        <v>55</v>
      </c>
      <c r="L1405" s="13" t="n">
        <v>2.6</v>
      </c>
      <c r="M1405" s="12" t="n"/>
      <c r="N1405" s="8" t="n">
        <v>1.248674102162233</v>
      </c>
      <c r="O1405" s="15" t="n">
        <v>0.9662480504024216</v>
      </c>
      <c r="P1405" s="15" t="n">
        <v>1.170936634213725</v>
      </c>
      <c r="Q1405" s="15" t="n">
        <v>0.00933323094271752</v>
      </c>
      <c r="R1405" s="15" t="n">
        <v>0.04125171341182814</v>
      </c>
      <c r="S1405" s="15" t="n">
        <v>0.01049001497251634</v>
      </c>
      <c r="T1405" s="42">
        <f>HIPERLINK($A$1 &amp; "\Dados\Imagem_perfil_1405.png", "Imagem_perfil_1405")</f>
        <v/>
      </c>
      <c r="U1405" s="42">
        <f>HIPERLINK($A$1 &amp; "\Dados\Results_airgap1405.txt", "Results_airgap1405")</f>
        <v/>
      </c>
      <c r="V1405" s="19" t="n"/>
      <c r="W1405" s="15" t="n">
        <v>1.724501304347826</v>
      </c>
      <c r="X1405" s="15" t="n">
        <v>0.8180651521466382</v>
      </c>
      <c r="Y1405" s="15" t="n">
        <v>0.4802875206651302</v>
      </c>
      <c r="Z1405" s="15" t="n">
        <v>0</v>
      </c>
      <c r="AA1405" s="15" t="n">
        <v>0.6589428347095371</v>
      </c>
      <c r="AB1405" s="15" t="n">
        <v>0.08456627597917855</v>
      </c>
      <c r="AC1405" s="15" t="n">
        <v>15.63129075539096</v>
      </c>
      <c r="AD1405" s="15" t="n">
        <v>62.94982489372618</v>
      </c>
      <c r="AE1405" s="15" t="n">
        <v>95.18710235908841</v>
      </c>
      <c r="AF1405" s="15" t="n">
        <v>125.7256249462373</v>
      </c>
      <c r="AH1405" s="42">
        <f>HIPERLINK($A$1 &amp; "\Dados\Magnet_fields_1405.txt.txt", "Magnet_fields_1405.txt")</f>
        <v/>
      </c>
      <c r="AI1405" t="n">
        <v>11900</v>
      </c>
      <c r="AJ1405" t="n">
        <v>30</v>
      </c>
      <c r="AK1405" s="42">
        <f>HIPERLINK($A$1 &amp; "\Dados\Magnet_3D_results_1405.txt.txt", "Magnet_3D_results_1405.txt")</f>
        <v/>
      </c>
      <c r="AL1405" s="42">
        <f>HIPERLINK($A$1 &amp; "\Dados\Magnet_fields_2D_1405.txt.txt", "Magnet_fields_2D_1405.txt")</f>
        <v/>
      </c>
    </row>
    <row r="1406">
      <c r="E1406" s="15" t="n">
        <v>141</v>
      </c>
      <c r="F1406" s="15" t="n">
        <v>184</v>
      </c>
      <c r="G1406" s="15" t="n">
        <v>392</v>
      </c>
      <c r="H1406" s="15" t="n">
        <v>44</v>
      </c>
      <c r="I1406" s="15" t="n">
        <v>166</v>
      </c>
      <c r="J1406" s="13" t="n">
        <v>25</v>
      </c>
      <c r="K1406" t="n">
        <v>50</v>
      </c>
      <c r="L1406" s="13" t="n">
        <v>2.6</v>
      </c>
      <c r="M1406" s="12" t="n"/>
      <c r="N1406" s="8" t="n">
        <v>1.461297549042782</v>
      </c>
      <c r="O1406" s="15" t="n">
        <v>1.256036904169752</v>
      </c>
      <c r="P1406" s="15" t="n">
        <v>1.393276517411121</v>
      </c>
      <c r="Q1406" s="15" t="n">
        <v>0.005321140555850808</v>
      </c>
      <c r="R1406" s="15" t="n">
        <v>0.04508326837006302</v>
      </c>
      <c r="S1406" s="15" t="n">
        <v>0.005543992609903002</v>
      </c>
      <c r="T1406" s="42">
        <f>HIPERLINK($A$1 &amp; "\Dados\Imagem_perfil_1406.png", "Imagem_perfil_1406")</f>
        <v/>
      </c>
      <c r="U1406" s="42">
        <f>HIPERLINK($A$1 &amp; "\Dados\Results_airgap1406.txt", "Results_airgap1406")</f>
        <v/>
      </c>
      <c r="V1406" s="19" t="n"/>
      <c r="W1406" s="15" t="n">
        <v>1.867582391304348</v>
      </c>
      <c r="X1406" s="15" t="n">
        <v>0.9350539986843428</v>
      </c>
      <c r="Y1406" s="15" t="n">
        <v>0.3589421306905944</v>
      </c>
      <c r="Z1406" s="15" t="n">
        <v>0</v>
      </c>
      <c r="AA1406" s="15" t="n">
        <v>0</v>
      </c>
      <c r="AB1406" s="15" t="n">
        <v>1.63628100112552</v>
      </c>
      <c r="AC1406" s="15" t="n">
        <v>15.85326736049984</v>
      </c>
      <c r="AD1406" s="15" t="n">
        <v>54.75553794117022</v>
      </c>
      <c r="AE1406" s="15" t="n">
        <v>89.93305173731483</v>
      </c>
      <c r="AF1406" s="15" t="n">
        <v>121.7238245741819</v>
      </c>
      <c r="AH1406" s="42">
        <f>HIPERLINK($A$1 &amp; "\Dados\Magnet_fields_1406.txt.txt", "Magnet_fields_1406.txt")</f>
        <v/>
      </c>
      <c r="AI1406" t="n">
        <v>6276</v>
      </c>
      <c r="AJ1406" t="n">
        <v>28</v>
      </c>
      <c r="AK1406" s="42">
        <f>HIPERLINK($A$1 &amp; "\Dados\Magnet_3D_results_1406.txt.txt", "Magnet_3D_results_1406.txt")</f>
        <v/>
      </c>
      <c r="AL1406" s="42">
        <f>HIPERLINK($A$1 &amp; "\Dados\Magnet_fields_2D_1406.txt.txt", "Magnet_fields_2D_1406.txt")</f>
        <v/>
      </c>
    </row>
    <row r="1407">
      <c r="E1407" s="15" t="n">
        <v>150</v>
      </c>
      <c r="F1407" s="15" t="n">
        <v>190</v>
      </c>
      <c r="G1407" s="15" t="n">
        <v>422</v>
      </c>
      <c r="H1407" s="15" t="n">
        <v>38</v>
      </c>
      <c r="I1407" s="15" t="n">
        <v>147</v>
      </c>
      <c r="J1407" s="13" t="n">
        <v>25</v>
      </c>
      <c r="K1407" t="n">
        <v>45</v>
      </c>
      <c r="L1407" s="13" t="n">
        <v>2.6</v>
      </c>
      <c r="M1407" s="12" t="n"/>
      <c r="N1407" s="8" t="n">
        <v>1.409233371514993</v>
      </c>
      <c r="O1407" s="15" t="n">
        <v>1.136647502308224</v>
      </c>
      <c r="P1407" s="15" t="n">
        <v>1.3308370468751</v>
      </c>
      <c r="Q1407" s="15" t="n">
        <v>0.002712234026309519</v>
      </c>
      <c r="R1407" s="15" t="n">
        <v>0.03855323187447331</v>
      </c>
      <c r="S1407" s="15" t="n">
        <v>0.003153991556815876</v>
      </c>
      <c r="T1407" s="42">
        <f>HIPERLINK($A$1 &amp; "\Dados\Imagem_perfil_1407.png", "Imagem_perfil_1407")</f>
        <v/>
      </c>
      <c r="U1407" s="42">
        <f>HIPERLINK($A$1 &amp; "\Dados\Results_airgap1407.txt", "Results_airgap1407")</f>
        <v/>
      </c>
      <c r="V1407" s="19" t="n"/>
      <c r="W1407" s="15" t="n">
        <v>1.891492173913043</v>
      </c>
      <c r="X1407" s="15" t="n">
        <v>0.9339089044954512</v>
      </c>
      <c r="Y1407" s="15" t="n">
        <v>0.3679273552222749</v>
      </c>
      <c r="Z1407" s="15" t="n">
        <v>0</v>
      </c>
      <c r="AA1407" s="15" t="n">
        <v>1.10276525697064</v>
      </c>
      <c r="AB1407" s="15" t="n">
        <v>0.5393416278785177</v>
      </c>
      <c r="AC1407" s="15" t="n">
        <v>6.634205274368418</v>
      </c>
      <c r="AD1407" s="15" t="n">
        <v>39.88690148311041</v>
      </c>
      <c r="AE1407" s="15" t="n">
        <v>87.52193551763548</v>
      </c>
      <c r="AF1407" s="15" t="n">
        <v>118.8986831385358</v>
      </c>
      <c r="AH1407" s="42">
        <f>HIPERLINK($A$1 &amp; "\Dados\Magnet_fields_1407.txt.txt", "Magnet_fields_1407.txt")</f>
        <v/>
      </c>
      <c r="AI1407" t="n">
        <v>6639</v>
      </c>
      <c r="AJ1407" t="n">
        <v>28</v>
      </c>
      <c r="AK1407" s="42">
        <f>HIPERLINK($A$1 &amp; "\Dados\Magnet_3D_results_1407.txt.txt", "Magnet_3D_results_1407.txt")</f>
        <v/>
      </c>
      <c r="AL1407" s="42">
        <f>HIPERLINK($A$1 &amp; "\Dados\Magnet_fields_2D_1407.txt.txt", "Magnet_fields_2D_1407.txt")</f>
        <v/>
      </c>
    </row>
    <row r="1408">
      <c r="E1408" s="15" t="n">
        <v>146</v>
      </c>
      <c r="F1408" s="15" t="n">
        <v>192</v>
      </c>
      <c r="G1408" s="15" t="n">
        <v>395</v>
      </c>
      <c r="H1408" s="15" t="n">
        <v>32</v>
      </c>
      <c r="I1408" s="15" t="n">
        <v>156</v>
      </c>
      <c r="J1408" s="13" t="n">
        <v>25</v>
      </c>
      <c r="K1408" t="n">
        <v>40</v>
      </c>
      <c r="L1408" s="13" t="n">
        <v>2.6</v>
      </c>
      <c r="M1408" s="12" t="n"/>
      <c r="N1408" s="8" t="n">
        <v>1.273339663162991</v>
      </c>
      <c r="O1408" s="15" t="n">
        <v>1.07014594531318</v>
      </c>
      <c r="P1408" s="15" t="n">
        <v>1.212784164585734</v>
      </c>
      <c r="Q1408" s="15" t="n">
        <v>0.001105488151508019</v>
      </c>
      <c r="R1408" s="15" t="n">
        <v>0.02959418614715697</v>
      </c>
      <c r="S1408" s="15" t="n">
        <v>0.001488510441108551</v>
      </c>
      <c r="T1408" s="42">
        <f>HIPERLINK($A$1 &amp; "\Dados\Imagem_perfil_1408.png", "Imagem_perfil_1408")</f>
        <v/>
      </c>
      <c r="U1408" s="42">
        <f>HIPERLINK($A$1 &amp; "\Dados\Results_airgap1408.txt", "Results_airgap1408")</f>
        <v/>
      </c>
      <c r="V1408" s="19" t="n"/>
      <c r="W1408" s="15" t="n">
        <v>1.642437826086956</v>
      </c>
      <c r="X1408" s="15" t="n">
        <v>0.8292476506321406</v>
      </c>
      <c r="Y1408" s="15" t="n">
        <v>0.6635290790044446</v>
      </c>
      <c r="Z1408" s="15" t="n">
        <v>0.00210361635924651</v>
      </c>
      <c r="AA1408" s="15" t="n">
        <v>1.036729181580059</v>
      </c>
      <c r="AB1408" s="15" t="n">
        <v>0.885841903165736</v>
      </c>
      <c r="AC1408" s="15" t="n">
        <v>7.194417385500969</v>
      </c>
      <c r="AD1408" s="15" t="n">
        <v>35.75509359722533</v>
      </c>
      <c r="AE1408" s="15" t="n">
        <v>81.01132024017893</v>
      </c>
      <c r="AF1408" s="15" t="n">
        <v>114.1819218874347</v>
      </c>
      <c r="AH1408" s="42">
        <f>HIPERLINK($A$1 &amp; "\Dados\Magnet_fields_1408.txt.txt", "Magnet_fields_1408.txt")</f>
        <v/>
      </c>
      <c r="AI1408" t="n">
        <v>8232</v>
      </c>
      <c r="AJ1408" t="n">
        <v>30</v>
      </c>
      <c r="AK1408" s="42">
        <f>HIPERLINK($A$1 &amp; "\Dados\Magnet_3D_results_1408.txt.txt", "Magnet_3D_results_1408.txt")</f>
        <v/>
      </c>
      <c r="AL1408" s="42">
        <f>HIPERLINK($A$1 &amp; "\Dados\Magnet_fields_2D_1408.txt.txt", "Magnet_fields_2D_1408.txt")</f>
        <v/>
      </c>
    </row>
    <row r="1409">
      <c r="E1409" s="15" t="n">
        <v>139</v>
      </c>
      <c r="F1409" s="15" t="n">
        <v>174</v>
      </c>
      <c r="G1409" s="15" t="n">
        <v>430</v>
      </c>
      <c r="H1409" s="15" t="n">
        <v>25</v>
      </c>
      <c r="I1409" s="15" t="n">
        <v>149</v>
      </c>
      <c r="J1409" s="13" t="n">
        <v>25</v>
      </c>
      <c r="K1409" t="n">
        <v>50</v>
      </c>
      <c r="L1409" s="13" t="n">
        <v>2.6</v>
      </c>
      <c r="M1409" s="12" t="n"/>
      <c r="N1409" s="8" t="n">
        <v>1.573278977406011</v>
      </c>
      <c r="O1409" s="15" t="n">
        <v>1.28651324171279</v>
      </c>
      <c r="P1409" s="15" t="n">
        <v>1.489785726697047</v>
      </c>
      <c r="Q1409" s="15" t="n">
        <v>0.007353074457508281</v>
      </c>
      <c r="R1409" s="15" t="n">
        <v>0.04918803142364014</v>
      </c>
      <c r="S1409" s="15" t="n">
        <v>0.007745071479776277</v>
      </c>
      <c r="T1409" s="42">
        <f>HIPERLINK($A$1 &amp; "\Dados\Imagem_perfil_1409.png", "Imagem_perfil_1409")</f>
        <v/>
      </c>
      <c r="U1409" s="42">
        <f>HIPERLINK($A$1 &amp; "\Dados\Results_airgap1409.txt", "Results_airgap1409")</f>
        <v/>
      </c>
      <c r="V1409" s="19" t="n"/>
      <c r="W1409" s="15" t="n">
        <v>2.143277608695652</v>
      </c>
      <c r="X1409" s="15" t="n">
        <v>0.9812386728048251</v>
      </c>
      <c r="Y1409" s="15" t="n">
        <v>0.1692570183568364</v>
      </c>
      <c r="Z1409" s="15" t="n">
        <v>0.004163081273020514</v>
      </c>
      <c r="AA1409" s="15" t="n">
        <v>4.736674390028908</v>
      </c>
      <c r="AB1409" s="15" t="n">
        <v>1.168075624038541</v>
      </c>
      <c r="AC1409" s="15" t="n">
        <v>9.67996230806426</v>
      </c>
      <c r="AD1409" s="15" t="n">
        <v>49.19850065891202</v>
      </c>
      <c r="AE1409" s="15" t="n">
        <v>91.81051027519123</v>
      </c>
      <c r="AF1409" s="15" t="n">
        <v>123.3316517954676</v>
      </c>
      <c r="AH1409" s="42">
        <f>HIPERLINK($A$1 &amp; "\Dados\Magnet_fields_1409.txt.txt", "Magnet_fields_1409.txt")</f>
        <v/>
      </c>
      <c r="AI1409" t="n">
        <v>10009</v>
      </c>
      <c r="AJ1409" t="n">
        <v>30</v>
      </c>
      <c r="AK1409" s="42">
        <f>HIPERLINK($A$1 &amp; "\Dados\Magnet_3D_results_1409.txt.txt", "Magnet_3D_results_1409.txt")</f>
        <v/>
      </c>
      <c r="AL1409" s="42">
        <f>HIPERLINK($A$1 &amp; "\Dados\Magnet_fields_2D_1409.txt.txt", "Magnet_fields_2D_1409.txt")</f>
        <v/>
      </c>
    </row>
    <row r="1410">
      <c r="E1410" s="15" t="n">
        <v>149</v>
      </c>
      <c r="F1410" s="15" t="n">
        <v>195</v>
      </c>
      <c r="G1410" s="15" t="n">
        <v>407</v>
      </c>
      <c r="H1410" s="15" t="n">
        <v>29</v>
      </c>
      <c r="I1410" s="15" t="n">
        <v>165</v>
      </c>
      <c r="J1410" s="13" t="n">
        <v>25</v>
      </c>
      <c r="K1410" t="n">
        <v>40</v>
      </c>
      <c r="L1410" s="13" t="n">
        <v>2.6</v>
      </c>
      <c r="M1410" s="12" t="n"/>
      <c r="N1410" s="8" t="n">
        <v>1.306488058047161</v>
      </c>
      <c r="O1410" s="15" t="n">
        <v>1.106878578934055</v>
      </c>
      <c r="P1410" s="15" t="n">
        <v>1.243028841322492</v>
      </c>
      <c r="Q1410" s="15" t="n">
        <v>0.001091521404269124</v>
      </c>
      <c r="R1410" s="15" t="n">
        <v>0.02975682650785581</v>
      </c>
      <c r="S1410" s="15" t="n">
        <v>0.001357366504775324</v>
      </c>
      <c r="T1410" s="42">
        <f>HIPERLINK($A$1 &amp; "\Dados\Imagem_perfil_1410.png", "Imagem_perfil_1410")</f>
        <v/>
      </c>
      <c r="U1410" s="42">
        <f>HIPERLINK($A$1 &amp; "\Dados\Results_airgap1410.txt", "Results_airgap1410")</f>
        <v/>
      </c>
      <c r="V1410" s="19" t="n"/>
      <c r="W1410" s="15" t="n">
        <v>1.665861086956521</v>
      </c>
      <c r="X1410" s="15" t="n">
        <v>0.7921480414755134</v>
      </c>
      <c r="Y1410" s="15" t="n">
        <v>0.6498794758282141</v>
      </c>
      <c r="Z1410" s="15" t="n">
        <v>0.001350227111941412</v>
      </c>
      <c r="AA1410" s="15" t="n">
        <v>1.916387127830414</v>
      </c>
      <c r="AB1410" s="15" t="n">
        <v>0.9962158967926636</v>
      </c>
      <c r="AC1410" s="15" t="n">
        <v>7.26500634220824</v>
      </c>
      <c r="AD1410" s="15" t="n">
        <v>34.06051732849294</v>
      </c>
      <c r="AE1410" s="15" t="n">
        <v>80.03281672110241</v>
      </c>
      <c r="AF1410" s="15" t="n">
        <v>114.0781689575825</v>
      </c>
      <c r="AH1410" s="42">
        <f>HIPERLINK($A$1 &amp; "\Dados\Magnet_fields_1410.txt.txt", "Magnet_fields_1410.txt")</f>
        <v/>
      </c>
      <c r="AI1410" t="n">
        <v>9351</v>
      </c>
      <c r="AJ1410" t="n">
        <v>30</v>
      </c>
      <c r="AK1410" s="42">
        <f>HIPERLINK($A$1 &amp; "\Dados\Magnet_3D_results_1410.txt.txt", "Magnet_3D_results_1410.txt")</f>
        <v/>
      </c>
      <c r="AL1410" s="42">
        <f>HIPERLINK($A$1 &amp; "\Dados\Magnet_fields_2D_1410.txt.txt", "Magnet_fields_2D_1410.txt")</f>
        <v/>
      </c>
    </row>
    <row r="1411">
      <c r="E1411" s="15" t="n">
        <v>142</v>
      </c>
      <c r="F1411" s="15" t="n">
        <v>181</v>
      </c>
      <c r="G1411" s="15" t="n">
        <v>390</v>
      </c>
      <c r="H1411" s="15" t="n">
        <v>41</v>
      </c>
      <c r="I1411" s="15" t="n">
        <v>151</v>
      </c>
      <c r="J1411" s="13" t="n">
        <v>25</v>
      </c>
      <c r="K1411" t="n">
        <v>45</v>
      </c>
      <c r="L1411" s="13" t="n">
        <v>2.6</v>
      </c>
      <c r="M1411" s="12" t="n"/>
      <c r="N1411" s="8" t="n">
        <v>1.416013487998093</v>
      </c>
      <c r="O1411" s="15" t="n">
        <v>1.160368728389705</v>
      </c>
      <c r="P1411" s="15" t="n">
        <v>1.345915313273269</v>
      </c>
      <c r="Q1411" s="15" t="n">
        <v>0.002708711194822602</v>
      </c>
      <c r="R1411" s="15" t="n">
        <v>0.03654918559945732</v>
      </c>
      <c r="S1411" s="15" t="n">
        <v>0.003063765874620781</v>
      </c>
      <c r="T1411" s="42">
        <f>HIPERLINK($A$1 &amp; "\Dados\Imagem_perfil_1411.png", "Imagem_perfil_1411")</f>
        <v/>
      </c>
      <c r="U1411" s="42">
        <f>HIPERLINK($A$1 &amp; "\Dados\Results_airgap1411.txt", "Results_airgap1411")</f>
        <v/>
      </c>
      <c r="V1411" s="19" t="n"/>
      <c r="W1411" s="15" t="n">
        <v>1.832151304347826</v>
      </c>
      <c r="X1411" s="15" t="n">
        <v>0.9374917423985617</v>
      </c>
      <c r="Y1411" s="15" t="n">
        <v>0.4160888703385817</v>
      </c>
      <c r="Z1411" s="15" t="n">
        <v>0</v>
      </c>
      <c r="AA1411" s="15" t="n">
        <v>0.00958122351230443</v>
      </c>
      <c r="AB1411" s="15" t="n">
        <v>0.4228649889327826</v>
      </c>
      <c r="AC1411" s="15" t="n">
        <v>5.400014234161765</v>
      </c>
      <c r="AD1411" s="15" t="n">
        <v>40.51855063193732</v>
      </c>
      <c r="AE1411" s="15" t="n">
        <v>87.67906711334909</v>
      </c>
      <c r="AF1411" s="15" t="n">
        <v>118.7785763063541</v>
      </c>
      <c r="AH1411" s="42">
        <f>HIPERLINK($A$1 &amp; "\Dados\Magnet_fields_1411.txt.txt", "Magnet_fields_1411.txt")</f>
        <v/>
      </c>
      <c r="AI1411" t="n">
        <v>5990</v>
      </c>
      <c r="AJ1411" t="n">
        <v>28</v>
      </c>
      <c r="AK1411" s="42">
        <f>HIPERLINK($A$1 &amp; "\Dados\Magnet_3D_results_1411.txt.txt", "Magnet_3D_results_1411.txt")</f>
        <v/>
      </c>
      <c r="AL1411" s="42">
        <f>HIPERLINK($A$1 &amp; "\Dados\Magnet_fields_2D_1411.txt.txt", "Magnet_fields_2D_1411.txt")</f>
        <v/>
      </c>
    </row>
    <row r="1412">
      <c r="E1412" s="15" t="n">
        <v>150</v>
      </c>
      <c r="F1412" s="15" t="n">
        <v>190</v>
      </c>
      <c r="G1412" s="15" t="n">
        <v>373</v>
      </c>
      <c r="H1412" s="15" t="n">
        <v>25</v>
      </c>
      <c r="I1412" s="15" t="n">
        <v>147</v>
      </c>
      <c r="J1412" s="13" t="n">
        <v>25</v>
      </c>
      <c r="K1412" t="n">
        <v>60</v>
      </c>
      <c r="L1412" s="13" t="n">
        <v>2.6</v>
      </c>
      <c r="M1412" s="12" t="n"/>
      <c r="N1412" s="8" t="n">
        <v>1.367767853187001</v>
      </c>
      <c r="O1412" s="15" t="n">
        <v>1.095827531053304</v>
      </c>
      <c r="P1412" s="15" t="n">
        <v>1.281262654243275</v>
      </c>
      <c r="Q1412" s="15" t="n">
        <v>0.01209449439133965</v>
      </c>
      <c r="R1412" s="15" t="n">
        <v>0.03361616619487989</v>
      </c>
      <c r="S1412" s="15" t="n">
        <v>0.01248262737661209</v>
      </c>
      <c r="T1412" s="42">
        <f>HIPERLINK($A$1 &amp; "\Dados\Imagem_perfil_1412.png", "Imagem_perfil_1412")</f>
        <v/>
      </c>
      <c r="U1412" s="42">
        <f>HIPERLINK($A$1 &amp; "\Dados\Results_airgap1412.txt", "Results_airgap1412")</f>
        <v/>
      </c>
      <c r="V1412" s="19" t="n"/>
      <c r="W1412" s="15" t="n">
        <v>1.835625652173913</v>
      </c>
      <c r="X1412" s="15" t="n">
        <v>0.8711549495372088</v>
      </c>
      <c r="Y1412" s="15" t="n">
        <v>0.3379894186647427</v>
      </c>
      <c r="Z1412" s="15" t="n">
        <v>0.003852438369655648</v>
      </c>
      <c r="AA1412" s="15" t="n">
        <v>6.3417994395417</v>
      </c>
      <c r="AB1412" s="15" t="n">
        <v>0.6178913242267924</v>
      </c>
      <c r="AC1412" s="15" t="n">
        <v>22.30919496060641</v>
      </c>
      <c r="AD1412" s="15" t="n">
        <v>69.42952033367227</v>
      </c>
      <c r="AE1412" s="15" t="n">
        <v>98.52745474048861</v>
      </c>
      <c r="AF1412" s="15" t="n">
        <v>129.9307091404091</v>
      </c>
      <c r="AH1412" s="42">
        <f>HIPERLINK($A$1 &amp; "\Dados\Magnet_fields_1412.txt.txt", "Magnet_fields_1412.txt")</f>
        <v/>
      </c>
      <c r="AI1412" t="n">
        <v>10183</v>
      </c>
      <c r="AJ1412" t="n">
        <v>30</v>
      </c>
      <c r="AK1412" s="42">
        <f>HIPERLINK($A$1 &amp; "\Dados\Magnet_3D_results_1412.txt.txt", "Magnet_3D_results_1412.txt")</f>
        <v/>
      </c>
      <c r="AL1412" s="42">
        <f>HIPERLINK($A$1 &amp; "\Dados\Magnet_fields_2D_1412.txt.txt", "Magnet_fields_2D_1412.txt")</f>
        <v/>
      </c>
    </row>
    <row r="1413">
      <c r="E1413" s="15" t="n">
        <v>137</v>
      </c>
      <c r="F1413" s="15" t="n">
        <v>183</v>
      </c>
      <c r="G1413" s="15" t="n">
        <v>415</v>
      </c>
      <c r="H1413" s="15" t="n">
        <v>36</v>
      </c>
      <c r="I1413" s="15" t="n">
        <v>180</v>
      </c>
      <c r="J1413" s="13" t="n">
        <v>25</v>
      </c>
      <c r="K1413" t="n">
        <v>55</v>
      </c>
      <c r="L1413" s="13" t="n">
        <v>2.6</v>
      </c>
      <c r="M1413" s="12" t="n"/>
      <c r="N1413" s="8" t="n">
        <v>1.506426942094212</v>
      </c>
      <c r="O1413" s="15" t="n">
        <v>1.338762891638389</v>
      </c>
      <c r="P1413" s="15" t="n">
        <v>1.446600798469782</v>
      </c>
      <c r="Q1413" s="15" t="n">
        <v>0.01284266513397227</v>
      </c>
      <c r="R1413" s="15" t="n">
        <v>0.06123998969586811</v>
      </c>
      <c r="S1413" s="15" t="n">
        <v>0.01315743298695212</v>
      </c>
      <c r="T1413" s="42">
        <f>HIPERLINK($A$1 &amp; "\Dados\Imagem_perfil_1413.png", "Imagem_perfil_1413")</f>
        <v/>
      </c>
      <c r="U1413" s="42">
        <f>HIPERLINK($A$1 &amp; "\Dados\Results_airgap1413.txt", "Results_airgap1413")</f>
        <v/>
      </c>
      <c r="V1413" s="19" t="n"/>
      <c r="W1413" s="15" t="n">
        <v>1.960005434782609</v>
      </c>
      <c r="X1413" s="15" t="n">
        <v>0.9448781754855778</v>
      </c>
      <c r="Y1413" s="15" t="n">
        <v>0.2818116730506548</v>
      </c>
      <c r="Z1413" s="15" t="n">
        <v>0.02444532932457743</v>
      </c>
      <c r="AA1413" s="15" t="n">
        <v>0.005581731042077403</v>
      </c>
      <c r="AB1413" s="15" t="n">
        <v>0.977519517666273</v>
      </c>
      <c r="AC1413" s="15" t="n">
        <v>16.88775125529606</v>
      </c>
      <c r="AD1413" s="15" t="n">
        <v>65.10586824865268</v>
      </c>
      <c r="AE1413" s="15" t="n">
        <v>97.36761842456558</v>
      </c>
      <c r="AF1413" s="15" t="n">
        <v>127.3386086887804</v>
      </c>
      <c r="AH1413" s="42">
        <f>HIPERLINK($A$1 &amp; "\Dados\Magnet_fields_1413.txt.txt", "Magnet_fields_1413.txt")</f>
        <v/>
      </c>
      <c r="AI1413" t="n">
        <v>11774</v>
      </c>
      <c r="AJ1413" t="n">
        <v>32</v>
      </c>
      <c r="AK1413" s="42">
        <f>HIPERLINK($A$1 &amp; "\Dados\Magnet_3D_results_1413.txt.txt", "Magnet_3D_results_1413.txt")</f>
        <v/>
      </c>
      <c r="AL1413" s="42">
        <f>HIPERLINK($A$1 &amp; "\Dados\Magnet_fields_2D_1413.txt.txt", "Magnet_fields_2D_1413.txt")</f>
        <v/>
      </c>
    </row>
    <row r="1414">
      <c r="E1414" s="15" t="n">
        <v>130</v>
      </c>
      <c r="F1414" s="15" t="n">
        <v>174</v>
      </c>
      <c r="G1414" s="15" t="n">
        <v>393</v>
      </c>
      <c r="H1414" s="15" t="n">
        <v>28</v>
      </c>
      <c r="I1414" s="15" t="n">
        <v>151</v>
      </c>
      <c r="J1414" s="13" t="n">
        <v>25</v>
      </c>
      <c r="K1414" t="n">
        <v>60</v>
      </c>
      <c r="L1414" s="13" t="n">
        <v>2.6</v>
      </c>
      <c r="M1414" s="12" t="n"/>
      <c r="N1414" s="8" t="n">
        <v>1.418490274313764</v>
      </c>
      <c r="O1414" s="15" t="n">
        <v>1.159010197273477</v>
      </c>
      <c r="P1414" s="15" t="n">
        <v>1.341036151108685</v>
      </c>
      <c r="Q1414" s="15" t="n">
        <v>0.0261350810663524</v>
      </c>
      <c r="R1414" s="15" t="n">
        <v>0.05778667633996919</v>
      </c>
      <c r="S1414" s="15" t="n">
        <v>0.02667255697849491</v>
      </c>
      <c r="T1414" s="42">
        <f>HIPERLINK($A$1 &amp; "\Dados\Imagem_perfil_1414.png", "Imagem_perfil_1414")</f>
        <v/>
      </c>
      <c r="U1414" s="42">
        <f>HIPERLINK($A$1 &amp; "\Dados\Results_airgap1414.txt", "Results_airgap1414")</f>
        <v/>
      </c>
      <c r="V1414" s="19" t="n"/>
      <c r="W1414" s="15" t="n">
        <v>1.970019347826087</v>
      </c>
      <c r="X1414" s="15" t="n">
        <v>0.9247583542691654</v>
      </c>
      <c r="Y1414" s="15" t="n">
        <v>0.2722102804503178</v>
      </c>
      <c r="Z1414" s="15" t="n">
        <v>0.0174305344818116</v>
      </c>
      <c r="AA1414" s="15" t="n">
        <v>4.314536719996732</v>
      </c>
      <c r="AB1414" s="15" t="n">
        <v>1.41582771490952</v>
      </c>
      <c r="AC1414" s="15" t="n">
        <v>18.71436185999772</v>
      </c>
      <c r="AD1414" s="15" t="n">
        <v>66.17129106641816</v>
      </c>
      <c r="AE1414" s="15" t="n">
        <v>99.67460860325654</v>
      </c>
      <c r="AF1414" s="15" t="n">
        <v>131.4258803986751</v>
      </c>
      <c r="AH1414" s="42">
        <f>HIPERLINK($A$1 &amp; "\Dados\Magnet_fields_1414.txt.txt", "Magnet_fields_1414.txt")</f>
        <v/>
      </c>
      <c r="AI1414" t="n">
        <v>9633</v>
      </c>
      <c r="AJ1414" t="n">
        <v>30</v>
      </c>
      <c r="AK1414" s="42">
        <f>HIPERLINK($A$1 &amp; "\Dados\Magnet_3D_results_1414.txt.txt", "Magnet_3D_results_1414.txt")</f>
        <v/>
      </c>
      <c r="AL1414" s="42">
        <f>HIPERLINK($A$1 &amp; "\Dados\Magnet_fields_2D_1414.txt.txt", "Magnet_fields_2D_1414.txt")</f>
        <v/>
      </c>
    </row>
    <row r="1415">
      <c r="E1415" s="15" t="n">
        <v>148</v>
      </c>
      <c r="F1415" s="15" t="n">
        <v>190</v>
      </c>
      <c r="G1415" s="15" t="n">
        <v>410</v>
      </c>
      <c r="H1415" s="15" t="n">
        <v>45</v>
      </c>
      <c r="I1415" s="15" t="n">
        <v>158</v>
      </c>
      <c r="J1415" s="13" t="n">
        <v>25</v>
      </c>
      <c r="K1415" t="n">
        <v>40</v>
      </c>
      <c r="L1415" s="13" t="n">
        <v>2.6</v>
      </c>
      <c r="M1415" s="12" t="n"/>
      <c r="N1415" s="8" t="n">
        <v>1.375138003435256</v>
      </c>
      <c r="O1415" s="15" t="n">
        <v>1.153028445785485</v>
      </c>
      <c r="P1415" s="15" t="n">
        <v>1.304609414286999</v>
      </c>
      <c r="Q1415" s="15" t="n">
        <v>0.00145317082032562</v>
      </c>
      <c r="R1415" s="15" t="n">
        <v>0.03291026755711113</v>
      </c>
      <c r="S1415" s="15" t="n">
        <v>0.001676402097729179</v>
      </c>
      <c r="T1415" s="42">
        <f>HIPERLINK($A$1 &amp; "\Dados\Imagem_perfil_1415.png", "Imagem_perfil_1415")</f>
        <v/>
      </c>
      <c r="U1415" s="42">
        <f>HIPERLINK($A$1 &amp; "\Dados\Results_airgap1415.txt", "Results_airgap1415")</f>
        <v/>
      </c>
      <c r="V1415" s="19" t="n"/>
      <c r="W1415" s="15" t="n">
        <v>1.757431304347826</v>
      </c>
      <c r="X1415" s="15" t="n">
        <v>0.8847710968630345</v>
      </c>
      <c r="Y1415" s="15" t="n">
        <v>0.5797946421679108</v>
      </c>
      <c r="Z1415" s="15" t="n">
        <v>0.003698428936920084</v>
      </c>
      <c r="AA1415" s="15" t="n">
        <v>0.005204430851428197</v>
      </c>
      <c r="AB1415" s="15" t="n">
        <v>1.520520346657315</v>
      </c>
      <c r="AC1415" s="15" t="n">
        <v>9.307555987602726</v>
      </c>
      <c r="AD1415" s="15" t="n">
        <v>35.62071262150186</v>
      </c>
      <c r="AE1415" s="15" t="n">
        <v>76.85246217380147</v>
      </c>
      <c r="AF1415" s="15" t="n">
        <v>112.3644514753666</v>
      </c>
      <c r="AH1415" s="42">
        <f>HIPERLINK($A$1 &amp; "\Dados\Magnet_fields_1415.txt.txt", "Magnet_fields_1415.txt")</f>
        <v/>
      </c>
      <c r="AI1415" t="n">
        <v>6824</v>
      </c>
      <c r="AJ1415" t="n">
        <v>29</v>
      </c>
      <c r="AK1415" s="42">
        <f>HIPERLINK($A$1 &amp; "\Dados\Magnet_3D_results_1415.txt.txt", "Magnet_3D_results_1415.txt")</f>
        <v/>
      </c>
      <c r="AL1415" s="42">
        <f>HIPERLINK($A$1 &amp; "\Dados\Magnet_fields_2D_1415.txt.txt", "Magnet_fields_2D_1415.txt")</f>
        <v/>
      </c>
    </row>
    <row r="1416">
      <c r="E1416" s="15" t="n">
        <v>142</v>
      </c>
      <c r="F1416" s="15" t="n">
        <v>192</v>
      </c>
      <c r="G1416" s="15" t="n">
        <v>388</v>
      </c>
      <c r="H1416" s="15" t="n">
        <v>35</v>
      </c>
      <c r="I1416" s="15" t="n">
        <v>148</v>
      </c>
      <c r="J1416" s="13" t="n">
        <v>25</v>
      </c>
      <c r="K1416" t="n">
        <v>55</v>
      </c>
      <c r="L1416" s="13" t="n">
        <v>2.6</v>
      </c>
      <c r="M1416" s="12" t="n"/>
      <c r="N1416" s="8" t="n">
        <v>1.255515852334436</v>
      </c>
      <c r="O1416" s="15" t="n">
        <v>1.028400735509418</v>
      </c>
      <c r="P1416" s="15" t="n">
        <v>1.190068255908369</v>
      </c>
      <c r="Q1416" s="15" t="n">
        <v>0.01031756278186414</v>
      </c>
      <c r="R1416" s="15" t="n">
        <v>0.04394086170431435</v>
      </c>
      <c r="S1416" s="15" t="n">
        <v>0.01101731116795869</v>
      </c>
      <c r="T1416" s="42">
        <f>HIPERLINK($A$1 &amp; "\Dados\Imagem_perfil_1416.png", "Imagem_perfil_1416")</f>
        <v/>
      </c>
      <c r="U1416" s="42">
        <f>HIPERLINK($A$1 &amp; "\Dados\Results_airgap1416.txt", "Results_airgap1416")</f>
        <v/>
      </c>
      <c r="V1416" s="19" t="n"/>
      <c r="W1416" s="15" t="n">
        <v>1.7291</v>
      </c>
      <c r="X1416" s="15" t="n">
        <v>0.8173773812053442</v>
      </c>
      <c r="Y1416" s="15" t="n">
        <v>0.4844014420508362</v>
      </c>
      <c r="Z1416" s="15" t="n">
        <v>0</v>
      </c>
      <c r="AA1416" s="15" t="n">
        <v>1.1595270332327</v>
      </c>
      <c r="AB1416" s="15" t="n">
        <v>1.260304777950898</v>
      </c>
      <c r="AC1416" s="15" t="n">
        <v>15.27568352681428</v>
      </c>
      <c r="AD1416" s="15" t="n">
        <v>56.91238094398144</v>
      </c>
      <c r="AE1416" s="15" t="n">
        <v>92.39428144751699</v>
      </c>
      <c r="AF1416" s="15" t="n">
        <v>124.9703872627192</v>
      </c>
      <c r="AH1416" s="42">
        <f>HIPERLINK($A$1 &amp; "\Dados\Magnet_fields_1416.txt.txt", "Magnet_fields_1416.txt")</f>
        <v/>
      </c>
      <c r="AI1416" t="n">
        <v>11281</v>
      </c>
      <c r="AJ1416" t="n">
        <v>30</v>
      </c>
      <c r="AK1416" s="42">
        <f>HIPERLINK($A$1 &amp; "\Dados\Magnet_3D_results_1416.txt.txt", "Magnet_3D_results_1416.txt")</f>
        <v/>
      </c>
      <c r="AL1416" s="42">
        <f>HIPERLINK($A$1 &amp; "\Dados\Magnet_fields_2D_1416.txt.txt", "Magnet_fields_2D_1416.txt")</f>
        <v/>
      </c>
    </row>
    <row r="1417">
      <c r="E1417" s="15" t="n">
        <v>140</v>
      </c>
      <c r="F1417" s="15" t="n">
        <v>187</v>
      </c>
      <c r="G1417" s="15" t="n">
        <v>379</v>
      </c>
      <c r="H1417" s="15" t="n">
        <v>26</v>
      </c>
      <c r="I1417" s="15" t="n">
        <v>162</v>
      </c>
      <c r="J1417" s="13" t="n">
        <v>25</v>
      </c>
      <c r="K1417" t="n">
        <v>50</v>
      </c>
      <c r="L1417" s="13" t="n">
        <v>2.6</v>
      </c>
      <c r="M1417" s="12" t="n"/>
      <c r="N1417" s="8" t="n">
        <v>1.303676528497</v>
      </c>
      <c r="O1417" s="15" t="n">
        <v>1.108353671323225</v>
      </c>
      <c r="P1417" s="15" t="n">
        <v>1.249238181150023</v>
      </c>
      <c r="Q1417" s="15" t="n">
        <v>0.004561442057048592</v>
      </c>
      <c r="R1417" s="15" t="n">
        <v>0.03525200808697224</v>
      </c>
      <c r="S1417" s="15" t="n">
        <v>0.004980052168085774</v>
      </c>
      <c r="T1417" s="42">
        <f>HIPERLINK($A$1 &amp; "\Dados\Imagem_perfil_1417.png", "Imagem_perfil_1417")</f>
        <v/>
      </c>
      <c r="U1417" s="42">
        <f>HIPERLINK($A$1 &amp; "\Dados\Results_airgap1417.txt", "Results_airgap1417")</f>
        <v/>
      </c>
      <c r="V1417" s="19" t="n"/>
      <c r="W1417" s="15" t="n">
        <v>1.723909130434783</v>
      </c>
      <c r="X1417" s="15" t="n">
        <v>0.8019768323428244</v>
      </c>
      <c r="Y1417" s="15" t="n">
        <v>0.5176002192960591</v>
      </c>
      <c r="Z1417" s="15" t="n">
        <v>0.001929943569166037</v>
      </c>
      <c r="AA1417" s="15" t="n">
        <v>4.742593783694025</v>
      </c>
      <c r="AB1417" s="15" t="n">
        <v>1.628777077141892</v>
      </c>
      <c r="AC1417" s="15" t="n">
        <v>13.91237984257476</v>
      </c>
      <c r="AD1417" s="15" t="n">
        <v>48.70793475734664</v>
      </c>
      <c r="AE1417" s="15" t="n">
        <v>86.15946234295076</v>
      </c>
      <c r="AF1417" s="15" t="n">
        <v>120.3077527603245</v>
      </c>
      <c r="AH1417" s="42">
        <f>HIPERLINK($A$1 &amp; "\Dados\Magnet_fields_1417.txt.txt", "Magnet_fields_1417.txt")</f>
        <v/>
      </c>
      <c r="AI1417" t="n">
        <v>9084</v>
      </c>
      <c r="AJ1417" t="n">
        <v>29</v>
      </c>
      <c r="AK1417" s="42">
        <f>HIPERLINK($A$1 &amp; "\Dados\Magnet_3D_results_1417.txt.txt", "Magnet_3D_results_1417.txt")</f>
        <v/>
      </c>
      <c r="AL1417" s="42">
        <f>HIPERLINK($A$1 &amp; "\Dados\Magnet_fields_2D_1417.txt.txt", "Magnet_fields_2D_1417.txt")</f>
        <v/>
      </c>
    </row>
    <row r="1418">
      <c r="E1418" s="15" t="n">
        <v>141</v>
      </c>
      <c r="F1418" s="15" t="n">
        <v>184</v>
      </c>
      <c r="G1418" s="15" t="n">
        <v>397</v>
      </c>
      <c r="H1418" s="15" t="n">
        <v>32</v>
      </c>
      <c r="I1418" s="15" t="n">
        <v>180</v>
      </c>
      <c r="J1418" s="13" t="n">
        <v>25</v>
      </c>
      <c r="K1418" t="n">
        <v>50</v>
      </c>
      <c r="L1418" s="13" t="n">
        <v>2.6</v>
      </c>
      <c r="M1418" s="12" t="n"/>
      <c r="N1418" s="8" t="n">
        <v>1.462908955305559</v>
      </c>
      <c r="O1418" s="15" t="n">
        <v>1.292848677057353</v>
      </c>
      <c r="P1418" s="15" t="n">
        <v>1.401186676806162</v>
      </c>
      <c r="Q1418" s="15" t="n">
        <v>0.005112033938541653</v>
      </c>
      <c r="R1418" s="15" t="n">
        <v>0.043697319186358</v>
      </c>
      <c r="S1418" s="15" t="n">
        <v>0.005263054790457817</v>
      </c>
      <c r="T1418" s="42">
        <f>HIPERLINK($A$1 &amp; "\Dados\Imagem_perfil_1418.png", "Imagem_perfil_1418")</f>
        <v/>
      </c>
      <c r="U1418" s="42">
        <f>HIPERLINK($A$1 &amp; "\Dados\Results_airgap1418.txt", "Results_airgap1418")</f>
        <v/>
      </c>
      <c r="V1418" s="19" t="n"/>
      <c r="W1418" s="15" t="n">
        <v>1.84208152173913</v>
      </c>
      <c r="X1418" s="15" t="n">
        <v>0.9368090103299821</v>
      </c>
      <c r="Y1418" s="15" t="n">
        <v>0.3885455670598147</v>
      </c>
      <c r="Z1418" s="15" t="n">
        <v>0.008230843470603056</v>
      </c>
      <c r="AA1418" s="15" t="n">
        <v>1.916530193714934</v>
      </c>
      <c r="AB1418" s="15" t="n">
        <v>0.4285435560594998</v>
      </c>
      <c r="AC1418" s="15" t="n">
        <v>7.507365174855633</v>
      </c>
      <c r="AD1418" s="15" t="n">
        <v>49.25430046622538</v>
      </c>
      <c r="AE1418" s="15" t="n">
        <v>92.46342545237023</v>
      </c>
      <c r="AF1418" s="15" t="n">
        <v>122.7856753280416</v>
      </c>
      <c r="AH1418" s="42">
        <f>HIPERLINK($A$1 &amp; "\Dados\Magnet_fields_1418.txt.txt", "Magnet_fields_1418.txt")</f>
        <v/>
      </c>
      <c r="AI1418" t="n">
        <v>7878</v>
      </c>
      <c r="AJ1418" t="n">
        <v>29</v>
      </c>
      <c r="AK1418" s="42">
        <f>HIPERLINK($A$1 &amp; "\Dados\Magnet_3D_results_1418.txt.txt", "Magnet_3D_results_1418.txt")</f>
        <v/>
      </c>
      <c r="AL1418" s="42">
        <f>HIPERLINK($A$1 &amp; "\Dados\Magnet_fields_2D_1418.txt.txt", "Magnet_fields_2D_1418.txt")</f>
        <v/>
      </c>
    </row>
    <row r="1419">
      <c r="E1419" s="15" t="n">
        <v>149</v>
      </c>
      <c r="F1419" s="15" t="n">
        <v>180</v>
      </c>
      <c r="G1419" s="15" t="n">
        <v>425</v>
      </c>
      <c r="H1419" s="15" t="n">
        <v>26</v>
      </c>
      <c r="I1419" s="15" t="n">
        <v>161</v>
      </c>
      <c r="J1419" s="13" t="n">
        <v>25</v>
      </c>
      <c r="K1419" t="n">
        <v>50</v>
      </c>
      <c r="L1419" s="13" t="n">
        <v>2.6</v>
      </c>
      <c r="M1419" s="12" t="n"/>
      <c r="N1419" s="8" t="n">
        <v>1.646374652698815</v>
      </c>
      <c r="O1419" s="15" t="n">
        <v>1.419975753153312</v>
      </c>
      <c r="P1419" s="15" t="n">
        <v>1.587976610530081</v>
      </c>
      <c r="Q1419" s="15" t="n">
        <v>0.007971016088374677</v>
      </c>
      <c r="R1419" s="15" t="n">
        <v>0.04345805722596055</v>
      </c>
      <c r="S1419" s="15" t="n">
        <v>0.007974771316681287</v>
      </c>
      <c r="T1419" s="42">
        <f>HIPERLINK($A$1 &amp; "\Dados\Imagem_perfil_1419.png", "Imagem_perfil_1419")</f>
        <v/>
      </c>
      <c r="U1419" s="42">
        <f>HIPERLINK($A$1 &amp; "\Dados\Results_airgap1419.txt", "Results_airgap1419")</f>
        <v/>
      </c>
      <c r="V1419" s="19" t="n"/>
      <c r="W1419" s="15" t="n">
        <v>2.170493260869566</v>
      </c>
      <c r="X1419" s="15" t="n">
        <v>1.019877269291581</v>
      </c>
      <c r="Y1419" s="15" t="n">
        <v>0.1259499084881517</v>
      </c>
      <c r="Z1419" s="15" t="n">
        <v>0.01526976635240719</v>
      </c>
      <c r="AA1419" s="15" t="n">
        <v>4.720087220726484</v>
      </c>
      <c r="AB1419" s="15" t="n">
        <v>0.6422427043876231</v>
      </c>
      <c r="AC1419" s="15" t="n">
        <v>8.784743498784799</v>
      </c>
      <c r="AD1419" s="15" t="n">
        <v>52.49881588201384</v>
      </c>
      <c r="AE1419" s="15" t="n">
        <v>93.50054017430416</v>
      </c>
      <c r="AF1419" s="15" t="n">
        <v>123.8331959494369</v>
      </c>
      <c r="AH1419" s="42">
        <f>HIPERLINK($A$1 &amp; "\Dados\Magnet_fields_1419.txt.txt", "Magnet_fields_1419.txt")</f>
        <v/>
      </c>
      <c r="AI1419" t="n">
        <v>10002</v>
      </c>
      <c r="AJ1419" t="n">
        <v>30</v>
      </c>
      <c r="AK1419" s="42">
        <f>HIPERLINK($A$1 &amp; "\Dados\Magnet_3D_results_1419.txt.txt", "Magnet_3D_results_1419.txt")</f>
        <v/>
      </c>
      <c r="AL1419" s="42">
        <f>HIPERLINK($A$1 &amp; "\Dados\Magnet_fields_2D_1419.txt.txt", "Magnet_fields_2D_1419.txt")</f>
        <v/>
      </c>
    </row>
    <row r="1420">
      <c r="E1420" s="15" t="n">
        <v>141</v>
      </c>
      <c r="F1420" s="15" t="n">
        <v>184</v>
      </c>
      <c r="G1420" s="15" t="n">
        <v>422</v>
      </c>
      <c r="H1420" s="15" t="n">
        <v>45</v>
      </c>
      <c r="I1420" s="15" t="n">
        <v>168</v>
      </c>
      <c r="J1420" s="13" t="n">
        <v>25</v>
      </c>
      <c r="K1420" t="n">
        <v>50</v>
      </c>
      <c r="L1420" s="13" t="n">
        <v>2.6</v>
      </c>
      <c r="M1420" s="12" t="n"/>
      <c r="N1420" s="8" t="n">
        <v>1.492902903252592</v>
      </c>
      <c r="O1420" s="15" t="n">
        <v>1.274352319547728</v>
      </c>
      <c r="P1420" s="15" t="n">
        <v>1.418571163300676</v>
      </c>
      <c r="Q1420" s="15" t="n">
        <v>0.006169718492241125</v>
      </c>
      <c r="R1420" s="15" t="n">
        <v>0.05358682260846309</v>
      </c>
      <c r="S1420" s="15" t="n">
        <v>0.006190198967372917</v>
      </c>
      <c r="T1420" s="42">
        <f>HIPERLINK($A$1 &amp; "\Dados\Imagem_perfil_1420.png", "Imagem_perfil_1420")</f>
        <v/>
      </c>
      <c r="U1420" s="42">
        <f>HIPERLINK($A$1 &amp; "\Dados\Results_airgap1420.txt", "Results_airgap1420")</f>
        <v/>
      </c>
      <c r="V1420" s="19" t="n"/>
      <c r="W1420" s="15" t="n">
        <v>1.940171739130435</v>
      </c>
      <c r="X1420" s="15" t="n">
        <v>0.9570444514253224</v>
      </c>
      <c r="Y1420" s="15" t="n">
        <v>0.3159048373163104</v>
      </c>
      <c r="Z1420" s="15" t="n">
        <v>9.458532810834524e-05</v>
      </c>
      <c r="AA1420" s="15" t="n">
        <v>0.009425630058962145</v>
      </c>
      <c r="AB1420" s="15" t="n">
        <v>0.8538533124972222</v>
      </c>
      <c r="AC1420" s="15" t="n">
        <v>8.499809983486495</v>
      </c>
      <c r="AD1420" s="15" t="n">
        <v>50.19433895125866</v>
      </c>
      <c r="AE1420" s="15" t="n">
        <v>93.29582487840645</v>
      </c>
      <c r="AF1420" s="15" t="n">
        <v>123.3068496139158</v>
      </c>
      <c r="AH1420" s="42">
        <f>HIPERLINK($A$1 &amp; "\Dados\Magnet_fields_1420.txt.txt", "Magnet_fields_1420.txt")</f>
        <v/>
      </c>
      <c r="AI1420" t="n">
        <v>6702</v>
      </c>
      <c r="AJ1420" t="n">
        <v>28</v>
      </c>
      <c r="AK1420" s="42">
        <f>HIPERLINK($A$1 &amp; "\Dados\Magnet_3D_results_1420.txt.txt", "Magnet_3D_results_1420.txt")</f>
        <v/>
      </c>
      <c r="AL1420" s="42">
        <f>HIPERLINK($A$1 &amp; "\Dados\Magnet_fields_2D_1420.txt.txt", "Magnet_fields_2D_1420.txt")</f>
        <v/>
      </c>
    </row>
    <row r="1421">
      <c r="E1421" s="15" t="n">
        <v>149</v>
      </c>
      <c r="F1421" s="15" t="n">
        <v>197</v>
      </c>
      <c r="G1421" s="15" t="n">
        <v>409</v>
      </c>
      <c r="H1421" s="15" t="n">
        <v>38</v>
      </c>
      <c r="I1421" s="15" t="n">
        <v>171</v>
      </c>
      <c r="J1421" s="13" t="n">
        <v>25</v>
      </c>
      <c r="K1421" t="n">
        <v>50</v>
      </c>
      <c r="L1421" s="13" t="n">
        <v>2.6</v>
      </c>
      <c r="M1421" s="12" t="n"/>
      <c r="N1421" s="8" t="n">
        <v>1.371492959346052</v>
      </c>
      <c r="O1421" s="15" t="n">
        <v>1.185365006738172</v>
      </c>
      <c r="P1421" s="15" t="n">
        <v>1.310527067548596</v>
      </c>
      <c r="Q1421" s="15" t="n">
        <v>0.004766093178908011</v>
      </c>
      <c r="R1421" s="15" t="n">
        <v>0.04357826218542812</v>
      </c>
      <c r="S1421" s="15" t="n">
        <v>0.004822561336292613</v>
      </c>
      <c r="T1421" s="42">
        <f>HIPERLINK($A$1 &amp; "\Dados\Imagem_perfil_1421.png", "Imagem_perfil_1421")</f>
        <v/>
      </c>
      <c r="U1421" s="42">
        <f>HIPERLINK($A$1 &amp; "\Dados\Results_airgap1421.txt", "Results_airgap1421")</f>
        <v/>
      </c>
      <c r="V1421" s="19" t="n"/>
      <c r="W1421" s="15" t="n">
        <v>1.779083043478261</v>
      </c>
      <c r="X1421" s="15" t="n">
        <v>0.8439774272880824</v>
      </c>
      <c r="Y1421" s="15" t="n">
        <v>0.4546916125402792</v>
      </c>
      <c r="Z1421" s="15" t="n">
        <v>0.0003312239756083535</v>
      </c>
      <c r="AA1421" s="15" t="n">
        <v>0.09489599686602912</v>
      </c>
      <c r="AB1421" s="15" t="n">
        <v>1.234144366376883</v>
      </c>
      <c r="AC1421" s="15" t="n">
        <v>12.0505243482322</v>
      </c>
      <c r="AD1421" s="15" t="n">
        <v>50.67916337643928</v>
      </c>
      <c r="AE1421" s="15" t="n">
        <v>89.25028919586059</v>
      </c>
      <c r="AF1421" s="15" t="n">
        <v>121.4540721934086</v>
      </c>
      <c r="AH1421" s="42">
        <f>HIPERLINK($A$1 &amp; "\Dados\Magnet_fields_1421.txt.txt", "Magnet_fields_1421.txt")</f>
        <v/>
      </c>
      <c r="AI1421" t="n">
        <v>7051</v>
      </c>
      <c r="AJ1421" t="n">
        <v>30</v>
      </c>
      <c r="AK1421" s="42">
        <f>HIPERLINK($A$1 &amp; "\Dados\Magnet_3D_results_1421.txt.txt", "Magnet_3D_results_1421.txt")</f>
        <v/>
      </c>
      <c r="AL1421" s="42">
        <f>HIPERLINK($A$1 &amp; "\Dados\Magnet_fields_2D_1421.txt.txt", "Magnet_fields_2D_1421.txt")</f>
        <v/>
      </c>
    </row>
    <row r="1422">
      <c r="E1422" s="15" t="n">
        <v>141</v>
      </c>
      <c r="F1422" s="15" t="n">
        <v>171</v>
      </c>
      <c r="G1422" s="15" t="n">
        <v>353</v>
      </c>
      <c r="H1422" s="15" t="n">
        <v>25</v>
      </c>
      <c r="I1422" s="15" t="n">
        <v>174</v>
      </c>
      <c r="J1422" s="13" t="n">
        <v>25</v>
      </c>
      <c r="K1422" t="n">
        <v>55</v>
      </c>
      <c r="L1422" s="13" t="n">
        <v>2.6</v>
      </c>
      <c r="M1422" s="12" t="n"/>
      <c r="N1422" s="8" t="n">
        <v>1.602701370639657</v>
      </c>
      <c r="O1422" s="15" t="n">
        <v>1.41506839784515</v>
      </c>
      <c r="P1422" s="15" t="n">
        <v>1.545212224403539</v>
      </c>
      <c r="Q1422" s="15" t="n">
        <v>0.009629745177199129</v>
      </c>
      <c r="R1422" s="15" t="n">
        <v>0.031082002375944</v>
      </c>
      <c r="S1422" s="15" t="n">
        <v>0.009848159462592172</v>
      </c>
      <c r="T1422" s="42">
        <f>HIPERLINK($A$1 &amp; "\Dados\Imagem_perfil_1422.png", "Imagem_perfil_1422")</f>
        <v/>
      </c>
      <c r="U1422" s="42">
        <f>HIPERLINK($A$1 &amp; "\Dados\Results_airgap1422.txt", "Results_airgap1422")</f>
        <v/>
      </c>
      <c r="V1422" s="19" t="n"/>
      <c r="W1422" s="15" t="n">
        <v>1.970497608695652</v>
      </c>
      <c r="X1422" s="15" t="n">
        <v>0.9544606425485052</v>
      </c>
      <c r="Y1422" s="15" t="n">
        <v>0.2151627040205239</v>
      </c>
      <c r="Z1422" s="15" t="n">
        <v>0.0261125404981365</v>
      </c>
      <c r="AA1422" s="15" t="n">
        <v>6.612421676310835</v>
      </c>
      <c r="AB1422" s="15" t="n">
        <v>0</v>
      </c>
      <c r="AC1422" s="15" t="n">
        <v>11.92030260942636</v>
      </c>
      <c r="AD1422" s="15" t="n">
        <v>60.5388336223819</v>
      </c>
      <c r="AE1422" s="15" t="n">
        <v>96.2424457809404</v>
      </c>
      <c r="AF1422" s="15" t="n">
        <v>126.8278511448765</v>
      </c>
      <c r="AH1422" s="42">
        <f>HIPERLINK($A$1 &amp; "\Dados\Magnet_fields_1422.txt.txt", "Magnet_fields_1422.txt")</f>
        <v/>
      </c>
      <c r="AI1422" t="n">
        <v>14093</v>
      </c>
      <c r="AJ1422" t="n">
        <v>31</v>
      </c>
      <c r="AK1422" s="42">
        <f>HIPERLINK($A$1 &amp; "\Dados\Magnet_3D_results_1422.txt.txt", "Magnet_3D_results_1422.txt")</f>
        <v/>
      </c>
      <c r="AL1422" s="42">
        <f>HIPERLINK($A$1 &amp; "\Dados\Magnet_fields_2D_1422.txt.txt", "Magnet_fields_2D_1422.txt")</f>
        <v/>
      </c>
    </row>
    <row r="1423">
      <c r="E1423" s="15" t="n">
        <v>131</v>
      </c>
      <c r="F1423" s="15" t="n">
        <v>174</v>
      </c>
      <c r="G1423" s="15" t="n">
        <v>363</v>
      </c>
      <c r="H1423" s="15" t="n">
        <v>35</v>
      </c>
      <c r="I1423" s="15" t="n">
        <v>145</v>
      </c>
      <c r="J1423" s="13" t="n">
        <v>25</v>
      </c>
      <c r="K1423" t="n">
        <v>50</v>
      </c>
      <c r="L1423" s="13" t="n">
        <v>2.6</v>
      </c>
      <c r="M1423" s="12" t="n"/>
      <c r="N1423" s="8" t="n">
        <v>1.33839535087009</v>
      </c>
      <c r="O1423" s="15" t="n">
        <v>1.080954329467392</v>
      </c>
      <c r="P1423" s="15" t="n">
        <v>1.261453359970085</v>
      </c>
      <c r="Q1423" s="15" t="n">
        <v>0.005223908005526543</v>
      </c>
      <c r="R1423" s="15" t="n">
        <v>0.03845157785843806</v>
      </c>
      <c r="S1423" s="15" t="n">
        <v>0.005771206394098637</v>
      </c>
      <c r="T1423" s="42">
        <f>HIPERLINK($A$1 &amp; "\Dados\Imagem_perfil_1423.png", "Imagem_perfil_1423")</f>
        <v/>
      </c>
      <c r="U1423" s="42">
        <f>HIPERLINK($A$1 &amp; "\Dados\Results_airgap1423.txt", "Results_airgap1423")</f>
        <v/>
      </c>
      <c r="V1423" s="19" t="n"/>
      <c r="W1423" s="15" t="n">
        <v>1.780296739130435</v>
      </c>
      <c r="X1423" s="15" t="n">
        <v>0.8720585524868791</v>
      </c>
      <c r="Y1423" s="15" t="n">
        <v>0.4596073354595491</v>
      </c>
      <c r="Z1423" s="15" t="n">
        <v>0.001378230314899931</v>
      </c>
      <c r="AA1423" s="15" t="n">
        <v>0.2153292110145181</v>
      </c>
      <c r="AB1423" s="15" t="n">
        <v>1.913884588207914</v>
      </c>
      <c r="AC1423" s="15" t="n">
        <v>13.7136632876542</v>
      </c>
      <c r="AD1423" s="15" t="n">
        <v>48.95509748431389</v>
      </c>
      <c r="AE1423" s="15" t="n">
        <v>86.86395878850077</v>
      </c>
      <c r="AF1423" s="15" t="n">
        <v>120.7358582897</v>
      </c>
      <c r="AH1423" s="42">
        <f>HIPERLINK($A$1 &amp; "\Dados\Magnet_fields_1423.txt.txt", "Magnet_fields_1423.txt")</f>
        <v/>
      </c>
      <c r="AI1423" t="n">
        <v>7451</v>
      </c>
      <c r="AJ1423" t="n">
        <v>29</v>
      </c>
      <c r="AK1423" s="42">
        <f>HIPERLINK($A$1 &amp; "\Dados\Magnet_3D_results_1423.txt.txt", "Magnet_3D_results_1423.txt")</f>
        <v/>
      </c>
      <c r="AL1423" s="42">
        <f>HIPERLINK($A$1 &amp; "\Dados\Magnet_fields_2D_1423.txt.txt", "Magnet_fields_2D_1423.txt")</f>
        <v/>
      </c>
    </row>
    <row r="1424">
      <c r="E1424" s="15" t="n">
        <v>140</v>
      </c>
      <c r="F1424" s="15" t="n">
        <v>172</v>
      </c>
      <c r="G1424" s="15" t="n">
        <v>428</v>
      </c>
      <c r="H1424" s="15" t="n">
        <v>33</v>
      </c>
      <c r="I1424" s="15" t="n">
        <v>167</v>
      </c>
      <c r="J1424" s="13" t="n">
        <v>25</v>
      </c>
      <c r="K1424" t="n">
        <v>50</v>
      </c>
      <c r="L1424" s="13" t="n">
        <v>2.6</v>
      </c>
      <c r="M1424" s="12" t="n"/>
      <c r="N1424" s="8" t="n">
        <v>1.676064683741757</v>
      </c>
      <c r="O1424" s="15" t="n">
        <v>1.443299511066628</v>
      </c>
      <c r="P1424" s="15" t="n">
        <v>1.614405108987463</v>
      </c>
      <c r="Q1424" s="15" t="n">
        <v>0.009663957874361731</v>
      </c>
      <c r="R1424" s="15" t="n">
        <v>0.05259263533631044</v>
      </c>
      <c r="S1424" s="15" t="n">
        <v>0.009716224951858594</v>
      </c>
      <c r="T1424" s="42">
        <f>HIPERLINK($A$1 &amp; "\Dados\Imagem_perfil_1424.png", "Imagem_perfil_1424")</f>
        <v/>
      </c>
      <c r="U1424" s="42">
        <f>HIPERLINK($A$1 &amp; "\Dados\Results_airgap1424.txt", "Results_airgap1424")</f>
        <v/>
      </c>
      <c r="V1424" s="19" t="n"/>
      <c r="W1424" s="15" t="n">
        <v>2.184765217391304</v>
      </c>
      <c r="X1424" s="15" t="n">
        <v>1.067958566811824</v>
      </c>
      <c r="Y1424" s="15" t="n">
        <v>0.1368110485563075</v>
      </c>
      <c r="Z1424" s="15" t="n">
        <v>0.002218013481456726</v>
      </c>
      <c r="AA1424" s="15" t="n">
        <v>2.582904969962879</v>
      </c>
      <c r="AB1424" s="15" t="n">
        <v>0.7277234544819093</v>
      </c>
      <c r="AC1424" s="15" t="n">
        <v>7.310176440105054</v>
      </c>
      <c r="AD1424" s="15" t="n">
        <v>48.69766358279581</v>
      </c>
      <c r="AE1424" s="15" t="n">
        <v>92.54037155383033</v>
      </c>
      <c r="AF1424" s="15" t="n">
        <v>123.6938764423504</v>
      </c>
      <c r="AH1424" s="42">
        <f>HIPERLINK($A$1 &amp; "\Dados\Magnet_fields_1424.txt.txt", "Magnet_fields_1424.txt")</f>
        <v/>
      </c>
      <c r="AI1424" t="n">
        <v>8358</v>
      </c>
      <c r="AJ1424" t="n">
        <v>29</v>
      </c>
      <c r="AK1424" s="42">
        <f>HIPERLINK($A$1 &amp; "\Dados\Magnet_3D_results_1424.txt.txt", "Magnet_3D_results_1424.txt")</f>
        <v/>
      </c>
      <c r="AL1424" s="42">
        <f>HIPERLINK($A$1 &amp; "\Dados\Magnet_fields_2D_1424.txt.txt", "Magnet_fields_2D_1424.txt")</f>
        <v/>
      </c>
    </row>
    <row r="1425">
      <c r="E1425" s="15" t="n">
        <v>140</v>
      </c>
      <c r="F1425" s="15" t="n">
        <v>189</v>
      </c>
      <c r="G1425" s="15" t="n">
        <v>401</v>
      </c>
      <c r="H1425" s="15" t="n">
        <v>38</v>
      </c>
      <c r="I1425" s="15" t="n">
        <v>171</v>
      </c>
      <c r="J1425" s="13" t="n">
        <v>25</v>
      </c>
      <c r="K1425" t="n">
        <v>60</v>
      </c>
      <c r="L1425" s="13" t="n">
        <v>2.6</v>
      </c>
      <c r="M1425" s="12" t="n"/>
      <c r="N1425" s="8" t="n">
        <v>1.387279014576091</v>
      </c>
      <c r="O1425" s="15" t="n">
        <v>1.180735079544773</v>
      </c>
      <c r="P1425" s="15" t="n">
        <v>1.326039284073817</v>
      </c>
      <c r="Q1425" s="15" t="n">
        <v>0.0248471777611371</v>
      </c>
      <c r="R1425" s="15" t="n">
        <v>0.05863095197164801</v>
      </c>
      <c r="S1425" s="15" t="n">
        <v>0.02407474053444476</v>
      </c>
      <c r="T1425" s="42">
        <f>HIPERLINK($A$1 &amp; "\Dados\Imagem_perfil_1425.png", "Imagem_perfil_1425")</f>
        <v/>
      </c>
      <c r="U1425" s="42">
        <f>HIPERLINK($A$1 &amp; "\Dados\Results_airgap1425.txt", "Results_airgap1425")</f>
        <v/>
      </c>
      <c r="V1425" s="19" t="n"/>
      <c r="W1425" s="15" t="n">
        <v>1.840358695652174</v>
      </c>
      <c r="X1425" s="15" t="n">
        <v>0.8762951838758741</v>
      </c>
      <c r="Y1425" s="15" t="n">
        <v>0.3733672906994833</v>
      </c>
      <c r="Z1425" s="15" t="n">
        <v>0.008996269673340536</v>
      </c>
      <c r="AA1425" s="15" t="n">
        <v>0.04082594489936271</v>
      </c>
      <c r="AB1425" s="15" t="n">
        <v>0.6409340906899312</v>
      </c>
      <c r="AC1425" s="15" t="n">
        <v>17.55834144710239</v>
      </c>
      <c r="AD1425" s="15" t="n">
        <v>66.91026211633051</v>
      </c>
      <c r="AE1425" s="15" t="n">
        <v>99.40764038613892</v>
      </c>
      <c r="AF1425" s="15" t="n">
        <v>131.1986259720433</v>
      </c>
      <c r="AH1425" s="42">
        <f>HIPERLINK($A$1 &amp; "\Dados\Magnet_fields_1425.txt.txt", "Magnet_fields_1425.txt")</f>
        <v/>
      </c>
      <c r="AI1425" t="n">
        <v>8164</v>
      </c>
      <c r="AJ1425" t="n">
        <v>29</v>
      </c>
      <c r="AK1425" s="42">
        <f>HIPERLINK($A$1 &amp; "\Dados\Magnet_3D_results_1425.txt.txt", "Magnet_3D_results_1425.txt")</f>
        <v/>
      </c>
      <c r="AL1425" s="42">
        <f>HIPERLINK($A$1 &amp; "\Dados\Magnet_fields_2D_1425.txt.txt", "Magnet_fields_2D_1425.txt")</f>
        <v/>
      </c>
    </row>
    <row r="1426">
      <c r="E1426" s="15" t="n">
        <v>143</v>
      </c>
      <c r="F1426" s="15" t="n">
        <v>173</v>
      </c>
      <c r="G1426" s="15" t="n">
        <v>378</v>
      </c>
      <c r="H1426" s="15" t="n">
        <v>44</v>
      </c>
      <c r="I1426" s="15" t="n">
        <v>157</v>
      </c>
      <c r="J1426" s="13" t="n">
        <v>25</v>
      </c>
      <c r="K1426" t="n">
        <v>45</v>
      </c>
      <c r="L1426" s="13" t="n">
        <v>2.6</v>
      </c>
      <c r="M1426" s="12" t="n"/>
      <c r="N1426" s="8" t="n">
        <v>1.587346844734236</v>
      </c>
      <c r="O1426" s="15" t="n">
        <v>1.329401677785556</v>
      </c>
      <c r="P1426" s="15" t="n">
        <v>1.521885491152181</v>
      </c>
      <c r="Q1426" s="15" t="n">
        <v>0.004217442501658054</v>
      </c>
      <c r="R1426" s="15" t="n">
        <v>0.03376696971759429</v>
      </c>
      <c r="S1426" s="15" t="n">
        <v>0.00431999442140829</v>
      </c>
      <c r="T1426" s="42">
        <f>HIPERLINK($A$1 &amp; "\Dados\Imagem_perfil_1426.png", "Imagem_perfil_1426")</f>
        <v/>
      </c>
      <c r="U1426" s="42">
        <f>HIPERLINK($A$1 &amp; "\Dados\Results_airgap1426.txt", "Results_airgap1426")</f>
        <v/>
      </c>
      <c r="V1426" s="19" t="n"/>
      <c r="W1426" s="15" t="n">
        <v>1.964782826086956</v>
      </c>
      <c r="X1426" s="15" t="n">
        <v>0.9935131469753375</v>
      </c>
      <c r="Y1426" s="15" t="n">
        <v>0.2769983273612359</v>
      </c>
      <c r="Z1426" s="15" t="n">
        <v>0</v>
      </c>
      <c r="AA1426" s="15" t="n">
        <v>0</v>
      </c>
      <c r="AB1426" s="15" t="n">
        <v>0</v>
      </c>
      <c r="AC1426" s="15" t="n">
        <v>4.230673378207791</v>
      </c>
      <c r="AD1426" s="15" t="n">
        <v>38.55703753721537</v>
      </c>
      <c r="AE1426" s="15" t="n">
        <v>85.76144600658785</v>
      </c>
      <c r="AF1426" s="15" t="n">
        <v>118.4298605341125</v>
      </c>
      <c r="AH1426" s="42">
        <f>HIPERLINK($A$1 &amp; "\Dados\Magnet_fields_1426.txt.txt", "Magnet_fields_1426.txt")</f>
        <v/>
      </c>
      <c r="AI1426" t="n">
        <v>6037</v>
      </c>
      <c r="AJ1426" t="n">
        <v>29</v>
      </c>
      <c r="AK1426" s="42">
        <f>HIPERLINK($A$1 &amp; "\Dados\Magnet_3D_results_1426.txt.txt", "Magnet_3D_results_1426.txt")</f>
        <v/>
      </c>
      <c r="AL1426" s="42">
        <f>HIPERLINK($A$1 &amp; "\Dados\Magnet_fields_2D_1426.txt.txt", "Magnet_fields_2D_1426.txt")</f>
        <v/>
      </c>
    </row>
    <row r="1427">
      <c r="E1427" s="15" t="n">
        <v>148</v>
      </c>
      <c r="F1427" s="15" t="n">
        <v>187</v>
      </c>
      <c r="G1427" s="15" t="n">
        <v>406</v>
      </c>
      <c r="H1427" s="15" t="n">
        <v>32</v>
      </c>
      <c r="I1427" s="15" t="n">
        <v>156</v>
      </c>
      <c r="J1427" s="13" t="n">
        <v>25</v>
      </c>
      <c r="K1427" t="n">
        <v>55</v>
      </c>
      <c r="L1427" s="13" t="n">
        <v>2.6</v>
      </c>
      <c r="M1427" s="12" t="n"/>
      <c r="N1427" s="8" t="n">
        <v>1.492275316896334</v>
      </c>
      <c r="O1427" s="15" t="n">
        <v>1.256874170479407</v>
      </c>
      <c r="P1427" s="15" t="n">
        <v>1.424301707484876</v>
      </c>
      <c r="Q1427" s="15" t="n">
        <v>0.008965800722982168</v>
      </c>
      <c r="R1427" s="15" t="n">
        <v>0.04615133010349086</v>
      </c>
      <c r="S1427" s="15" t="n">
        <v>0.00918031785387957</v>
      </c>
      <c r="T1427" s="42">
        <f>HIPERLINK($A$1 &amp; "\Dados\Imagem_perfil_1427.png", "Imagem_perfil_1427")</f>
        <v/>
      </c>
      <c r="U1427" s="42">
        <f>HIPERLINK($A$1 &amp; "\Dados\Results_airgap1427.txt", "Results_airgap1427")</f>
        <v/>
      </c>
      <c r="V1427" s="19" t="n"/>
      <c r="W1427" s="15" t="n">
        <v>1.996195434782609</v>
      </c>
      <c r="X1427" s="15" t="n">
        <v>0.9629987644478838</v>
      </c>
      <c r="Y1427" s="15" t="n">
        <v>0.2261389396247352</v>
      </c>
      <c r="Z1427" s="15" t="n">
        <v>0</v>
      </c>
      <c r="AA1427" s="15" t="n">
        <v>1.685892105379747</v>
      </c>
      <c r="AB1427" s="15" t="n">
        <v>0.7884853973634252</v>
      </c>
      <c r="AC1427" s="15" t="n">
        <v>16.87249937054929</v>
      </c>
      <c r="AD1427" s="15" t="n">
        <v>62.38641373204431</v>
      </c>
      <c r="AE1427" s="15" t="n">
        <v>95.70326634732265</v>
      </c>
      <c r="AF1427" s="15" t="n">
        <v>126.7634004854847</v>
      </c>
      <c r="AH1427" s="42">
        <f>HIPERLINK($A$1 &amp; "\Dados\Magnet_fields_1427.txt.txt", "Magnet_fields_1427.txt")</f>
        <v/>
      </c>
      <c r="AI1427" t="n">
        <v>11076</v>
      </c>
      <c r="AJ1427" t="n">
        <v>31</v>
      </c>
      <c r="AK1427" s="42">
        <f>HIPERLINK($A$1 &amp; "\Dados\Magnet_3D_results_1427.txt.txt", "Magnet_3D_results_1427.txt")</f>
        <v/>
      </c>
      <c r="AL1427" s="42">
        <f>HIPERLINK($A$1 &amp; "\Dados\Magnet_fields_2D_1427.txt.txt", "Magnet_fields_2D_1427.txt")</f>
        <v/>
      </c>
    </row>
    <row r="1428">
      <c r="E1428" s="15" t="n">
        <v>138</v>
      </c>
      <c r="F1428" s="15" t="n">
        <v>175</v>
      </c>
      <c r="G1428" s="15" t="n">
        <v>422</v>
      </c>
      <c r="H1428" s="15" t="n">
        <v>44</v>
      </c>
      <c r="I1428" s="15" t="n">
        <v>172</v>
      </c>
      <c r="J1428" s="13" t="n">
        <v>25</v>
      </c>
      <c r="K1428" t="n">
        <v>55</v>
      </c>
      <c r="L1428" s="13" t="n">
        <v>2.6</v>
      </c>
      <c r="M1428" s="12" t="n"/>
      <c r="N1428" s="8" t="n">
        <v>1.659648829053364</v>
      </c>
      <c r="O1428" s="15" t="n">
        <v>1.462418399209322</v>
      </c>
      <c r="P1428" s="15" t="n">
        <v>1.60862903227399</v>
      </c>
      <c r="Q1428" s="15" t="n">
        <v>0.01553815067852906</v>
      </c>
      <c r="R1428" s="15" t="n">
        <v>0.06447212072226138</v>
      </c>
      <c r="S1428" s="15" t="n">
        <v>0.01542087911892319</v>
      </c>
      <c r="T1428" s="42">
        <f>HIPERLINK($A$1 &amp; "\Dados\Imagem_perfil_1428.png", "Imagem_perfil_1428")</f>
        <v/>
      </c>
      <c r="U1428" s="42">
        <f>HIPERLINK($A$1 &amp; "\Dados\Results_airgap1428.txt", "Results_airgap1428")</f>
        <v/>
      </c>
      <c r="V1428" s="19" t="n"/>
      <c r="W1428" s="15" t="n">
        <v>2.170907608695652</v>
      </c>
      <c r="X1428" s="15" t="n">
        <v>1.072126338040514</v>
      </c>
      <c r="Y1428" s="15" t="n">
        <v>0.1278611910773818</v>
      </c>
      <c r="Z1428" s="15" t="n">
        <v>0</v>
      </c>
      <c r="AA1428" s="15" t="n">
        <v>0.001704436866055773</v>
      </c>
      <c r="AB1428" s="15" t="n">
        <v>1.467119022656345</v>
      </c>
      <c r="AC1428" s="15" t="n">
        <v>17.91275652461069</v>
      </c>
      <c r="AD1428" s="15" t="n">
        <v>63.21147333920636</v>
      </c>
      <c r="AE1428" s="15" t="n">
        <v>97.07515649516917</v>
      </c>
      <c r="AF1428" s="15" t="n">
        <v>127.6574887484023</v>
      </c>
      <c r="AH1428" s="42">
        <f>HIPERLINK($A$1 &amp; "\Dados\Magnet_fields_1428.txt.txt", "Magnet_fields_1428.txt")</f>
        <v/>
      </c>
      <c r="AI1428" t="n">
        <v>11343</v>
      </c>
      <c r="AJ1428" t="n">
        <v>31</v>
      </c>
      <c r="AK1428" s="42">
        <f>HIPERLINK($A$1 &amp; "\Dados\Magnet_3D_results_1428.txt.txt", "Magnet_3D_results_1428.txt")</f>
        <v/>
      </c>
      <c r="AL1428" s="42">
        <f>HIPERLINK($A$1 &amp; "\Dados\Magnet_fields_2D_1428.txt.txt", "Magnet_fields_2D_1428.txt")</f>
        <v/>
      </c>
    </row>
    <row r="1429">
      <c r="E1429" s="15" t="n">
        <v>135</v>
      </c>
      <c r="F1429" s="15" t="n">
        <v>184</v>
      </c>
      <c r="G1429" s="15" t="n">
        <v>400</v>
      </c>
      <c r="H1429" s="15" t="n">
        <v>45</v>
      </c>
      <c r="I1429" s="15" t="n">
        <v>171</v>
      </c>
      <c r="J1429" s="13" t="n">
        <v>25</v>
      </c>
      <c r="K1429" t="n">
        <v>45</v>
      </c>
      <c r="L1429" s="13" t="n">
        <v>2.6</v>
      </c>
      <c r="M1429" s="12" t="n"/>
      <c r="N1429" s="8" t="n">
        <v>1.35682599661789</v>
      </c>
      <c r="O1429" s="15" t="n">
        <v>1.172668545328064</v>
      </c>
      <c r="P1429" s="15" t="n">
        <v>1.301143811572831</v>
      </c>
      <c r="Q1429" s="15" t="n">
        <v>0.003161788319895159</v>
      </c>
      <c r="R1429" s="15" t="n">
        <v>0.0441228939866672</v>
      </c>
      <c r="S1429" s="15" t="n">
        <v>0.00339135767712858</v>
      </c>
      <c r="T1429" s="42">
        <f>HIPERLINK($A$1 &amp; "\Dados\Imagem_perfil_1429.png", "Imagem_perfil_1429")</f>
        <v/>
      </c>
      <c r="U1429" s="42">
        <f>HIPERLINK($A$1 &amp; "\Dados\Results_airgap1429.txt", "Results_airgap1429")</f>
        <v/>
      </c>
      <c r="V1429" s="19" t="n"/>
      <c r="W1429" s="15" t="n">
        <v>1.735834565217391</v>
      </c>
      <c r="X1429" s="15" t="n">
        <v>0.8572240539619103</v>
      </c>
      <c r="Y1429" s="15" t="n">
        <v>0.54876706325047</v>
      </c>
      <c r="Z1429" s="15" t="n">
        <v>0</v>
      </c>
      <c r="AA1429" s="15" t="n">
        <v>0</v>
      </c>
      <c r="AB1429" s="15" t="n">
        <v>1.697590804032229</v>
      </c>
      <c r="AC1429" s="15" t="n">
        <v>11.33741757862047</v>
      </c>
      <c r="AD1429" s="15" t="n">
        <v>45.84820450381443</v>
      </c>
      <c r="AE1429" s="15" t="n">
        <v>87.53720471357339</v>
      </c>
      <c r="AF1429" s="15" t="n">
        <v>118.6684614886048</v>
      </c>
      <c r="AH1429" s="42">
        <f>HIPERLINK($A$1 &amp; "\Dados\Magnet_fields_1429.txt.txt", "Magnet_fields_1429.txt")</f>
        <v/>
      </c>
      <c r="AI1429" t="n">
        <v>6596</v>
      </c>
      <c r="AJ1429" t="n">
        <v>28</v>
      </c>
      <c r="AK1429" s="42">
        <f>HIPERLINK($A$1 &amp; "\Dados\Magnet_3D_results_1429.txt.txt", "Magnet_3D_results_1429.txt")</f>
        <v/>
      </c>
      <c r="AL1429" s="42">
        <f>HIPERLINK($A$1 &amp; "\Dados\Magnet_fields_2D_1429.txt.txt", "Magnet_fields_2D_1429.txt")</f>
        <v/>
      </c>
    </row>
    <row r="1430">
      <c r="E1430" s="15" t="n">
        <v>132</v>
      </c>
      <c r="F1430" s="15" t="n">
        <v>170</v>
      </c>
      <c r="G1430" s="15" t="n">
        <v>357</v>
      </c>
      <c r="H1430" s="15" t="n">
        <v>36</v>
      </c>
      <c r="I1430" s="15" t="n">
        <v>155</v>
      </c>
      <c r="J1430" s="13" t="n">
        <v>25</v>
      </c>
      <c r="K1430" t="n">
        <v>45</v>
      </c>
      <c r="L1430" s="13" t="n">
        <v>2.6</v>
      </c>
      <c r="M1430" s="12" t="n"/>
      <c r="N1430" s="8" t="n">
        <v>1.438963122699523</v>
      </c>
      <c r="O1430" s="15" t="n">
        <v>1.177798883327784</v>
      </c>
      <c r="P1430" s="15" t="n">
        <v>1.365251691757942</v>
      </c>
      <c r="Q1430" s="15" t="n">
        <v>0.002775728589813052</v>
      </c>
      <c r="R1430" s="15" t="n">
        <v>0.03373319099209025</v>
      </c>
      <c r="S1430" s="15" t="n">
        <v>0.003049367720593213</v>
      </c>
      <c r="T1430" s="42">
        <f>HIPERLINK($A$1 &amp; "\Dados\Imagem_perfil_1430.png", "Imagem_perfil_1430")</f>
        <v/>
      </c>
      <c r="U1430" s="42">
        <f>HIPERLINK($A$1 &amp; "\Dados\Results_airgap1430.txt", "Results_airgap1430")</f>
        <v/>
      </c>
      <c r="V1430" s="19" t="n"/>
      <c r="W1430" s="15" t="n">
        <v>1.810093043478261</v>
      </c>
      <c r="X1430" s="15" t="n">
        <v>0.9118682233636506</v>
      </c>
      <c r="Y1430" s="15" t="n">
        <v>0.4406668083484904</v>
      </c>
      <c r="Z1430" s="15" t="n">
        <v>0</v>
      </c>
      <c r="AA1430" s="15" t="n">
        <v>0</v>
      </c>
      <c r="AB1430" s="15" t="n">
        <v>1.165531213614451</v>
      </c>
      <c r="AC1430" s="15" t="n">
        <v>11.80203366628409</v>
      </c>
      <c r="AD1430" s="15" t="n">
        <v>46.06880844643759</v>
      </c>
      <c r="AE1430" s="15" t="n">
        <v>84.63116999880739</v>
      </c>
      <c r="AF1430" s="15" t="n">
        <v>117.2592154187709</v>
      </c>
      <c r="AH1430" s="42">
        <f>HIPERLINK($A$1 &amp; "\Dados\Magnet_fields_1430.txt.txt", "Magnet_fields_1430.txt")</f>
        <v/>
      </c>
      <c r="AI1430" t="n">
        <v>6302</v>
      </c>
      <c r="AJ1430" t="n">
        <v>27</v>
      </c>
      <c r="AK1430" s="42">
        <f>HIPERLINK($A$1 &amp; "\Dados\Magnet_3D_results_1430.txt.txt", "Magnet_3D_results_1430.txt")</f>
        <v/>
      </c>
      <c r="AL1430" s="42">
        <f>HIPERLINK($A$1 &amp; "\Dados\Magnet_fields_2D_1430.txt.txt", "Magnet_fields_2D_1430.txt")</f>
        <v/>
      </c>
    </row>
    <row r="1431">
      <c r="E1431" s="15" t="n">
        <v>149</v>
      </c>
      <c r="F1431" s="15" t="n">
        <v>196</v>
      </c>
      <c r="G1431" s="15" t="n">
        <v>363</v>
      </c>
      <c r="H1431" s="15" t="n">
        <v>36</v>
      </c>
      <c r="I1431" s="15" t="n">
        <v>165</v>
      </c>
      <c r="J1431" s="13" t="n">
        <v>25</v>
      </c>
      <c r="K1431" t="n">
        <v>45</v>
      </c>
      <c r="L1431" s="13" t="n">
        <v>2.6</v>
      </c>
      <c r="M1431" s="12" t="n"/>
      <c r="N1431" s="8" t="n">
        <v>1.226301186874374</v>
      </c>
      <c r="O1431" s="15" t="n">
        <v>1.043180022798691</v>
      </c>
      <c r="P1431" s="15" t="n">
        <v>1.168864020627332</v>
      </c>
      <c r="Q1431" s="15" t="n">
        <v>0.001599014136303989</v>
      </c>
      <c r="R1431" s="15" t="n">
        <v>0.02698726528609771</v>
      </c>
      <c r="S1431" s="15" t="n">
        <v>0.001908135255179451</v>
      </c>
      <c r="T1431" s="42">
        <f>HIPERLINK($A$1 &amp; "\Dados\Imagem_perfil_1431.png", "Imagem_perfil_1431")</f>
        <v/>
      </c>
      <c r="U1431" s="42">
        <f>HIPERLINK($A$1 &amp; "\Dados\Results_airgap1431.txt", "Results_airgap1431")</f>
        <v/>
      </c>
      <c r="V1431" s="19" t="n"/>
      <c r="W1431" s="15" t="n">
        <v>1.540557826086957</v>
      </c>
      <c r="X1431" s="15" t="n">
        <v>0.7684364621324101</v>
      </c>
      <c r="Y1431" s="15" t="n">
        <v>0.7192383561573702</v>
      </c>
      <c r="Z1431" s="15" t="n">
        <v>0</v>
      </c>
      <c r="AA1431" s="15" t="n">
        <v>0.3613427361753929</v>
      </c>
      <c r="AB1431" s="15" t="n">
        <v>0</v>
      </c>
      <c r="AC1431" s="15" t="n">
        <v>4.99614103277797</v>
      </c>
      <c r="AD1431" s="15" t="n">
        <v>38.72808863589815</v>
      </c>
      <c r="AE1431" s="15" t="n">
        <v>83.69425328451253</v>
      </c>
      <c r="AF1431" s="15" t="n">
        <v>116.728811570901</v>
      </c>
      <c r="AH1431" s="42">
        <f>HIPERLINK($A$1 &amp; "\Dados\Magnet_fields_1431.txt.txt", "Magnet_fields_1431.txt")</f>
        <v/>
      </c>
      <c r="AI1431" t="n">
        <v>7036</v>
      </c>
      <c r="AJ1431" t="n">
        <v>29</v>
      </c>
      <c r="AK1431" s="42">
        <f>HIPERLINK($A$1 &amp; "\Dados\Magnet_3D_results_1431.txt.txt", "Magnet_3D_results_1431.txt")</f>
        <v/>
      </c>
      <c r="AL1431" s="42">
        <f>HIPERLINK($A$1 &amp; "\Dados\Magnet_fields_2D_1431.txt.txt", "Magnet_fields_2D_1431.txt")</f>
        <v/>
      </c>
    </row>
    <row r="1432">
      <c r="E1432" s="15" t="n">
        <v>144</v>
      </c>
      <c r="F1432" s="15" t="n">
        <v>183</v>
      </c>
      <c r="G1432" s="15" t="n">
        <v>389</v>
      </c>
      <c r="H1432" s="15" t="n">
        <v>45</v>
      </c>
      <c r="I1432" s="15" t="n">
        <v>171</v>
      </c>
      <c r="J1432" s="13" t="n">
        <v>25</v>
      </c>
      <c r="K1432" t="n">
        <v>45</v>
      </c>
      <c r="L1432" s="13" t="n">
        <v>2.6</v>
      </c>
      <c r="M1432" s="12" t="n"/>
      <c r="N1432" s="8" t="n">
        <v>1.499032993975548</v>
      </c>
      <c r="O1432" s="15" t="n">
        <v>1.288588869639863</v>
      </c>
      <c r="P1432" s="15" t="n">
        <v>1.436321892788823</v>
      </c>
      <c r="Q1432" s="15" t="n">
        <v>0.002853008042623663</v>
      </c>
      <c r="R1432" s="15" t="n">
        <v>0.03726813181719103</v>
      </c>
      <c r="S1432" s="15" t="n">
        <v>0.002941625879167603</v>
      </c>
      <c r="T1432" s="42">
        <f>HIPERLINK($A$1 &amp; "\Dados\Imagem_perfil_1432.png", "Imagem_perfil_1432")</f>
        <v/>
      </c>
      <c r="U1432" s="42">
        <f>HIPERLINK($A$1 &amp; "\Dados\Results_airgap1432.txt", "Results_airgap1432")</f>
        <v/>
      </c>
      <c r="V1432" s="19" t="n"/>
      <c r="W1432" s="15" t="n">
        <v>1.855233478260869</v>
      </c>
      <c r="X1432" s="15" t="n">
        <v>0.9572147829696513</v>
      </c>
      <c r="Y1432" s="15" t="n">
        <v>0.3892878581457255</v>
      </c>
      <c r="Z1432" s="15" t="n">
        <v>0</v>
      </c>
      <c r="AA1432" s="15" t="n">
        <v>0</v>
      </c>
      <c r="AB1432" s="15" t="n">
        <v>0.9062991109529869</v>
      </c>
      <c r="AC1432" s="15" t="n">
        <v>10.88010844995985</v>
      </c>
      <c r="AD1432" s="15" t="n">
        <v>46.15096456083018</v>
      </c>
      <c r="AE1432" s="15" t="n">
        <v>85.07421735720523</v>
      </c>
      <c r="AF1432" s="15" t="n">
        <v>117.5194666340168</v>
      </c>
      <c r="AH1432" s="42">
        <f>HIPERLINK($A$1 &amp; "\Dados\Magnet_fields_1432.txt.txt", "Magnet_fields_1432.txt")</f>
        <v/>
      </c>
      <c r="AI1432" t="n">
        <v>5562</v>
      </c>
      <c r="AJ1432" t="n">
        <v>28</v>
      </c>
      <c r="AK1432" s="42">
        <f>HIPERLINK($A$1 &amp; "\Dados\Magnet_3D_results_1432.txt.txt", "Magnet_3D_results_1432.txt")</f>
        <v/>
      </c>
      <c r="AL1432" s="42">
        <f>HIPERLINK($A$1 &amp; "\Dados\Magnet_fields_2D_1432.txt.txt", "Magnet_fields_2D_1432.txt")</f>
        <v/>
      </c>
    </row>
    <row r="1433">
      <c r="E1433" s="15" t="n">
        <v>145</v>
      </c>
      <c r="F1433" s="15" t="n">
        <v>195</v>
      </c>
      <c r="G1433" s="15" t="n">
        <v>396</v>
      </c>
      <c r="H1433" s="15" t="n">
        <v>41</v>
      </c>
      <c r="I1433" s="15" t="n">
        <v>171</v>
      </c>
      <c r="J1433" s="13" t="n">
        <v>25</v>
      </c>
      <c r="K1433" t="n">
        <v>40</v>
      </c>
      <c r="L1433" s="13" t="n">
        <v>2.6</v>
      </c>
      <c r="M1433" s="12" t="n"/>
      <c r="N1433" s="8" t="n">
        <v>1.256740103260148</v>
      </c>
      <c r="O1433" s="15" t="n">
        <v>1.094521754994743</v>
      </c>
      <c r="P1433" s="15" t="n">
        <v>1.212341561684725</v>
      </c>
      <c r="Q1433" s="15" t="n">
        <v>0.001126924318914198</v>
      </c>
      <c r="R1433" s="15" t="n">
        <v>0.03131004223431312</v>
      </c>
      <c r="S1433" s="15" t="n">
        <v>0.001482407068436607</v>
      </c>
      <c r="T1433" s="42">
        <f>HIPERLINK($A$1 &amp; "\Dados\Imagem_perfil_1433.png", "Imagem_perfil_1433")</f>
        <v/>
      </c>
      <c r="U1433" s="42">
        <f>HIPERLINK($A$1 &amp; "\Dados\Results_airgap1433.txt", "Results_airgap1433")</f>
        <v/>
      </c>
      <c r="V1433" s="19" t="n"/>
      <c r="W1433" s="15" t="n">
        <v>1.573931956521739</v>
      </c>
      <c r="X1433" s="15" t="n">
        <v>0.7894244299363415</v>
      </c>
      <c r="Y1433" s="15" t="n">
        <v>0.8099778044965086</v>
      </c>
      <c r="Z1433" s="15" t="n">
        <v>0.02079847015775634</v>
      </c>
      <c r="AA1433" s="15" t="n">
        <v>0.01251099358720037</v>
      </c>
      <c r="AB1433" s="15" t="n">
        <v>1.818481822819642</v>
      </c>
      <c r="AC1433" s="15" t="n">
        <v>9.112708271479411</v>
      </c>
      <c r="AD1433" s="15" t="n">
        <v>32.97060967967133</v>
      </c>
      <c r="AE1433" s="15" t="n">
        <v>75.4187922236341</v>
      </c>
      <c r="AF1433" s="15" t="n">
        <v>112.4488732691084</v>
      </c>
      <c r="AH1433" s="42">
        <f>HIPERLINK($A$1 &amp; "\Dados\Magnet_fields_1433.txt.txt", "Magnet_fields_1433.txt")</f>
        <v/>
      </c>
      <c r="AI1433" t="n">
        <v>7335</v>
      </c>
      <c r="AJ1433" t="n">
        <v>28</v>
      </c>
      <c r="AK1433" s="42">
        <f>HIPERLINK($A$1 &amp; "\Dados\Magnet_3D_results_1433.txt.txt", "Magnet_3D_results_1433.txt")</f>
        <v/>
      </c>
      <c r="AL1433" s="42">
        <f>HIPERLINK($A$1 &amp; "\Dados\Magnet_fields_2D_1433.txt.txt", "Magnet_fields_2D_1433.txt")</f>
        <v/>
      </c>
    </row>
    <row r="1434">
      <c r="E1434" s="15" t="n">
        <v>150</v>
      </c>
      <c r="F1434" s="15" t="n">
        <v>180</v>
      </c>
      <c r="G1434" s="15" t="n">
        <v>354</v>
      </c>
      <c r="H1434" s="15" t="n">
        <v>36</v>
      </c>
      <c r="I1434" s="15" t="n">
        <v>171</v>
      </c>
      <c r="J1434" s="13" t="n">
        <v>25</v>
      </c>
      <c r="K1434" t="n">
        <v>50</v>
      </c>
      <c r="L1434" s="13" t="n">
        <v>2.6</v>
      </c>
      <c r="M1434" s="12" t="n"/>
      <c r="N1434" s="8" t="n">
        <v>1.528150957556377</v>
      </c>
      <c r="O1434" s="15" t="n">
        <v>1.364126695378159</v>
      </c>
      <c r="P1434" s="15" t="n">
        <v>1.479181439831774</v>
      </c>
      <c r="Q1434" s="15" t="n">
        <v>0.005340361455629299</v>
      </c>
      <c r="R1434" s="15" t="n">
        <v>0.02675640915070172</v>
      </c>
      <c r="S1434" s="15" t="n">
        <v>0.005375951801242233</v>
      </c>
      <c r="T1434" s="42">
        <f>HIPERLINK($A$1 &amp; "\Dados\Imagem_perfil_1434.png", "Imagem_perfil_1434")</f>
        <v/>
      </c>
      <c r="U1434" s="42">
        <f>HIPERLINK($A$1 &amp; "\Dados\Results_airgap1434.txt", "Results_airgap1434")</f>
        <v/>
      </c>
      <c r="V1434" s="19" t="n"/>
      <c r="W1434" s="15" t="n">
        <v>1.84446847826087</v>
      </c>
      <c r="X1434" s="15" t="n">
        <v>0.958798846004045</v>
      </c>
      <c r="Y1434" s="15" t="n">
        <v>0.3126153410274239</v>
      </c>
      <c r="Z1434" s="15" t="n">
        <v>0</v>
      </c>
      <c r="AA1434" s="15" t="n">
        <v>1.759633096907167</v>
      </c>
      <c r="AB1434" s="15" t="n">
        <v>0</v>
      </c>
      <c r="AC1434" s="15" t="n">
        <v>3.097801341489019</v>
      </c>
      <c r="AD1434" s="15" t="n">
        <v>45.76627504358539</v>
      </c>
      <c r="AE1434" s="15" t="n">
        <v>90.18610063034023</v>
      </c>
      <c r="AF1434" s="15" t="n">
        <v>121.9416566640697</v>
      </c>
      <c r="AH1434" s="42">
        <f>HIPERLINK($A$1 &amp; "\Dados\Magnet_fields_1434.txt.txt", "Magnet_fields_1434.txt")</f>
        <v/>
      </c>
      <c r="AI1434" t="n">
        <v>8027</v>
      </c>
      <c r="AJ1434" t="n">
        <v>30</v>
      </c>
      <c r="AK1434" s="42">
        <f>HIPERLINK($A$1 &amp; "\Dados\Magnet_3D_results_1434.txt.txt", "Magnet_3D_results_1434.txt")</f>
        <v/>
      </c>
      <c r="AL1434" s="42">
        <f>HIPERLINK($A$1 &amp; "\Dados\Magnet_fields_2D_1434.txt.txt", "Magnet_fields_2D_1434.txt")</f>
        <v/>
      </c>
    </row>
    <row r="1435">
      <c r="E1435" s="15" t="n">
        <v>145</v>
      </c>
      <c r="F1435" s="15" t="n">
        <v>175</v>
      </c>
      <c r="G1435" s="15" t="n">
        <v>402</v>
      </c>
      <c r="H1435" s="15" t="n">
        <v>36</v>
      </c>
      <c r="I1435" s="15" t="n">
        <v>146</v>
      </c>
      <c r="J1435" s="13" t="n">
        <v>25</v>
      </c>
      <c r="K1435" t="n">
        <v>40</v>
      </c>
      <c r="L1435" s="13" t="n">
        <v>2.6</v>
      </c>
      <c r="M1435" s="12" t="n"/>
      <c r="N1435" s="8" t="n">
        <v>1.539981284638662</v>
      </c>
      <c r="O1435" s="15" t="n">
        <v>1.264390078939771</v>
      </c>
      <c r="P1435" s="15" t="n">
        <v>1.469314471888609</v>
      </c>
      <c r="Q1435" s="15" t="n">
        <v>0.002495018689908673</v>
      </c>
      <c r="R1435" s="15" t="n">
        <v>0.02972450914705322</v>
      </c>
      <c r="S1435" s="15" t="n">
        <v>0.002580584300372198</v>
      </c>
      <c r="T1435" s="42">
        <f>HIPERLINK($A$1 &amp; "\Dados\Imagem_perfil_1435.png", "Imagem_perfil_1435")</f>
        <v/>
      </c>
      <c r="U1435" s="42">
        <f>HIPERLINK($A$1 &amp; "\Dados\Results_airgap1435.txt", "Results_airgap1435")</f>
        <v/>
      </c>
      <c r="V1435" s="19" t="n"/>
      <c r="W1435" s="15" t="n">
        <v>1.953956956521739</v>
      </c>
      <c r="X1435" s="15" t="n">
        <v>0.9726908184921534</v>
      </c>
      <c r="Y1435" s="15" t="n">
        <v>0.3592053040042106</v>
      </c>
      <c r="Z1435" s="15" t="n">
        <v>0</v>
      </c>
      <c r="AA1435" s="15" t="n">
        <v>1.509013944836578</v>
      </c>
      <c r="AB1435" s="15" t="n">
        <v>0.0352983295621429</v>
      </c>
      <c r="AC1435" s="15" t="n">
        <v>4.347472380063484</v>
      </c>
      <c r="AD1435" s="15" t="n">
        <v>29.47767685577919</v>
      </c>
      <c r="AE1435" s="15" t="n">
        <v>76.42876716921388</v>
      </c>
      <c r="AF1435" s="15" t="n">
        <v>113.0378002979621</v>
      </c>
      <c r="AH1435" s="42">
        <f>HIPERLINK($A$1 &amp; "\Dados\Magnet_fields_1435.txt.txt", "Magnet_fields_1435.txt")</f>
        <v/>
      </c>
      <c r="AI1435" t="n">
        <v>8362</v>
      </c>
      <c r="AJ1435" t="n">
        <v>30</v>
      </c>
      <c r="AK1435" s="42">
        <f>HIPERLINK($A$1 &amp; "\Dados\Magnet_3D_results_1435.txt.txt", "Magnet_3D_results_1435.txt")</f>
        <v/>
      </c>
      <c r="AL1435" s="42">
        <f>HIPERLINK($A$1 &amp; "\Dados\Magnet_fields_2D_1435.txt.txt", "Magnet_fields_2D_1435.txt")</f>
        <v/>
      </c>
    </row>
    <row r="1436">
      <c r="E1436" s="15" t="n">
        <v>130</v>
      </c>
      <c r="F1436" s="15" t="n">
        <v>175</v>
      </c>
      <c r="G1436" s="15" t="n">
        <v>409</v>
      </c>
      <c r="H1436" s="15" t="n">
        <v>34</v>
      </c>
      <c r="I1436" s="15" t="n">
        <v>179</v>
      </c>
      <c r="J1436" s="13" t="n">
        <v>25</v>
      </c>
      <c r="K1436" t="n">
        <v>60</v>
      </c>
      <c r="L1436" s="13" t="n">
        <v>2.6</v>
      </c>
      <c r="M1436" s="12" t="n"/>
      <c r="N1436" s="8" t="n">
        <v>1.522869965179035</v>
      </c>
      <c r="O1436" s="15" t="n">
        <v>1.342491329938148</v>
      </c>
      <c r="P1436" s="15" t="n">
        <v>1.462026837596407</v>
      </c>
      <c r="Q1436" s="15" t="n">
        <v>0.03233688029440601</v>
      </c>
      <c r="R1436" s="15" t="n">
        <v>0.06957361218304978</v>
      </c>
      <c r="S1436" s="15" t="n">
        <v>0.03171244783375687</v>
      </c>
      <c r="T1436" s="42">
        <f>HIPERLINK($A$1 &amp; "\Dados\Imagem_perfil_1436.png", "Imagem_perfil_1436")</f>
        <v/>
      </c>
      <c r="U1436" s="42">
        <f>HIPERLINK($A$1 &amp; "\Dados\Results_airgap1436.txt", "Results_airgap1436")</f>
        <v/>
      </c>
      <c r="V1436" s="19" t="n"/>
      <c r="W1436" s="15" t="n">
        <v>2.00922847826087</v>
      </c>
      <c r="X1436" s="15" t="n">
        <v>0.9551480326668237</v>
      </c>
      <c r="Y1436" s="15" t="n">
        <v>0.2476762385745181</v>
      </c>
      <c r="Z1436" s="15" t="n">
        <v>0.01332568497182848</v>
      </c>
      <c r="AA1436" s="15" t="n">
        <v>0.7175267517261414</v>
      </c>
      <c r="AB1436" s="15" t="n">
        <v>1.530993100412096</v>
      </c>
      <c r="AC1436" s="15" t="n">
        <v>17.11257185504228</v>
      </c>
      <c r="AD1436" s="15" t="n">
        <v>65.15326617793319</v>
      </c>
      <c r="AE1436" s="15" t="n">
        <v>99.79317261526862</v>
      </c>
      <c r="AF1436" s="15" t="n">
        <v>131.6194538618097</v>
      </c>
      <c r="AH1436" s="42">
        <f>HIPERLINK($A$1 &amp; "\Dados\Magnet_fields_1436.txt.txt", "Magnet_fields_1436.txt")</f>
        <v/>
      </c>
      <c r="AI1436" t="n">
        <v>8525</v>
      </c>
      <c r="AJ1436" t="n">
        <v>30</v>
      </c>
      <c r="AK1436" s="42">
        <f>HIPERLINK($A$1 &amp; "\Dados\Magnet_3D_results_1436.txt.txt", "Magnet_3D_results_1436.txt")</f>
        <v/>
      </c>
      <c r="AL1436" s="42">
        <f>HIPERLINK($A$1 &amp; "\Dados\Magnet_fields_2D_1436.txt.txt", "Magnet_fields_2D_1436.txt")</f>
        <v/>
      </c>
    </row>
    <row r="1437">
      <c r="E1437" s="15" t="n">
        <v>139</v>
      </c>
      <c r="F1437" s="15" t="n">
        <v>180</v>
      </c>
      <c r="G1437" s="15" t="n">
        <v>422</v>
      </c>
      <c r="H1437" s="15" t="n">
        <v>45</v>
      </c>
      <c r="I1437" s="15" t="n">
        <v>180</v>
      </c>
      <c r="J1437" s="13" t="n">
        <v>25</v>
      </c>
      <c r="K1437" t="n">
        <v>50</v>
      </c>
      <c r="L1437" s="13" t="n">
        <v>2.6</v>
      </c>
      <c r="M1437" s="12" t="n"/>
      <c r="N1437" s="8" t="n">
        <v>1.597061222992773</v>
      </c>
      <c r="O1437" s="15" t="n">
        <v>1.399669777695703</v>
      </c>
      <c r="P1437" s="15" t="n">
        <v>1.536534009260906</v>
      </c>
      <c r="Q1437" s="15" t="n">
        <v>0.006772411443422096</v>
      </c>
      <c r="R1437" s="15" t="n">
        <v>0.05646343113063837</v>
      </c>
      <c r="S1437" s="15" t="n">
        <v>0.007042107037590081</v>
      </c>
      <c r="T1437" s="42">
        <f>HIPERLINK($A$1 &amp; "\Dados\Imagem_perfil_1437.png", "Imagem_perfil_1437")</f>
        <v/>
      </c>
      <c r="U1437" s="42">
        <f>HIPERLINK($A$1 &amp; "\Dados\Results_airgap1437.txt", "Results_airgap1437")</f>
        <v/>
      </c>
      <c r="V1437" s="19" t="n"/>
      <c r="W1437" s="15" t="n">
        <v>2.03351804347826</v>
      </c>
      <c r="X1437" s="15" t="n">
        <v>0.9957993951855159</v>
      </c>
      <c r="Y1437" s="15" t="n">
        <v>0.2357055595991029</v>
      </c>
      <c r="Z1437" s="15" t="n">
        <v>0.0001835344393744997</v>
      </c>
      <c r="AA1437" s="15" t="n">
        <v>0.0007039566278985202</v>
      </c>
      <c r="AB1437" s="15" t="n">
        <v>1.79879558891484</v>
      </c>
      <c r="AC1437" s="15" t="n">
        <v>15.92445586482661</v>
      </c>
      <c r="AD1437" s="15" t="n">
        <v>56.09901314913846</v>
      </c>
      <c r="AE1437" s="15" t="n">
        <v>91.94532030816853</v>
      </c>
      <c r="AF1437" s="15" t="n">
        <v>122.835929660159</v>
      </c>
      <c r="AH1437" s="42">
        <f>HIPERLINK($A$1 &amp; "\Dados\Magnet_fields_1437.txt.txt", "Magnet_fields_1437.txt")</f>
        <v/>
      </c>
      <c r="AI1437" t="n">
        <v>7293</v>
      </c>
      <c r="AJ1437" t="n">
        <v>28</v>
      </c>
      <c r="AK1437" s="42">
        <f>HIPERLINK($A$1 &amp; "\Dados\Magnet_3D_results_1437.txt.txt", "Magnet_3D_results_1437.txt")</f>
        <v/>
      </c>
      <c r="AL1437" s="42">
        <f>HIPERLINK($A$1 &amp; "\Dados\Magnet_fields_2D_1437.txt.txt", "Magnet_fields_2D_1437.txt")</f>
        <v/>
      </c>
    </row>
    <row r="1438">
      <c r="E1438" s="15" t="n">
        <v>145</v>
      </c>
      <c r="F1438" s="15" t="n">
        <v>181</v>
      </c>
      <c r="G1438" s="15" t="n">
        <v>401</v>
      </c>
      <c r="H1438" s="15" t="n">
        <v>37</v>
      </c>
      <c r="I1438" s="15" t="n">
        <v>159</v>
      </c>
      <c r="J1438" s="13" t="n">
        <v>25</v>
      </c>
      <c r="K1438" t="n">
        <v>60</v>
      </c>
      <c r="L1438" s="13" t="n">
        <v>2.6</v>
      </c>
      <c r="M1438" s="12" t="n"/>
      <c r="N1438" s="8" t="n">
        <v>1.558166213948345</v>
      </c>
      <c r="O1438" s="15" t="n">
        <v>1.310415097471639</v>
      </c>
      <c r="P1438" s="15" t="n">
        <v>1.486601315790598</v>
      </c>
      <c r="Q1438" s="15" t="n">
        <v>0.02088342862344737</v>
      </c>
      <c r="R1438" s="15" t="n">
        <v>0.05346930069682359</v>
      </c>
      <c r="S1438" s="15" t="n">
        <v>0.02072728482752813</v>
      </c>
      <c r="T1438" s="42">
        <f>HIPERLINK($A$1 &amp; "\Dados\Imagem_perfil_1438.png", "Imagem_perfil_1438")</f>
        <v/>
      </c>
      <c r="U1438" s="42">
        <f>HIPERLINK($A$1 &amp; "\Dados\Results_airgap1438.txt", "Results_airgap1438")</f>
        <v/>
      </c>
      <c r="V1438" s="19" t="n"/>
      <c r="W1438" s="15" t="n">
        <v>2.075516086956522</v>
      </c>
      <c r="X1438" s="15" t="n">
        <v>0.9929277222299624</v>
      </c>
      <c r="Y1438" s="15" t="n">
        <v>0.1576599483626601</v>
      </c>
      <c r="Z1438" s="15" t="n">
        <v>0.003639907002252333</v>
      </c>
      <c r="AA1438" s="15" t="n">
        <v>0.4977521723705182</v>
      </c>
      <c r="AB1438" s="15" t="n">
        <v>1.463643299894788</v>
      </c>
      <c r="AC1438" s="15" t="n">
        <v>19.71137671747878</v>
      </c>
      <c r="AD1438" s="15" t="n">
        <v>66.55753744074389</v>
      </c>
      <c r="AE1438" s="15" t="n">
        <v>99.38276804633283</v>
      </c>
      <c r="AF1438" s="15" t="n">
        <v>131.3705651011427</v>
      </c>
      <c r="AH1438" s="42">
        <f>HIPERLINK($A$1 &amp; "\Dados\Magnet_fields_1438.txt.txt", "Magnet_fields_1438.txt")</f>
        <v/>
      </c>
      <c r="AI1438" t="n">
        <v>7867</v>
      </c>
      <c r="AJ1438" t="n">
        <v>29</v>
      </c>
      <c r="AK1438" s="42">
        <f>HIPERLINK($A$1 &amp; "\Dados\Magnet_3D_results_1438.txt.txt", "Magnet_3D_results_1438.txt")</f>
        <v/>
      </c>
      <c r="AL1438" s="42">
        <f>HIPERLINK($A$1 &amp; "\Dados\Magnet_fields_2D_1438.txt.txt", "Magnet_fields_2D_1438.txt")</f>
        <v/>
      </c>
    </row>
    <row r="1439">
      <c r="E1439" s="15" t="n">
        <v>150</v>
      </c>
      <c r="F1439" s="15" t="n">
        <v>199</v>
      </c>
      <c r="G1439" s="15" t="n">
        <v>377</v>
      </c>
      <c r="H1439" s="15" t="n">
        <v>31</v>
      </c>
      <c r="I1439" s="15" t="n">
        <v>168</v>
      </c>
      <c r="J1439" s="13" t="n">
        <v>25</v>
      </c>
      <c r="K1439" t="n">
        <v>50</v>
      </c>
      <c r="L1439" s="13" t="n">
        <v>2.6</v>
      </c>
      <c r="M1439" s="12" t="n"/>
      <c r="N1439" s="8" t="n">
        <v>1.258534196293736</v>
      </c>
      <c r="O1439" s="15" t="n">
        <v>1.077358984958468</v>
      </c>
      <c r="P1439" s="15" t="n">
        <v>1.201364225815386</v>
      </c>
      <c r="Q1439" s="15" t="n">
        <v>0.003680451037531431</v>
      </c>
      <c r="R1439" s="15" t="n">
        <v>0.03204545269279127</v>
      </c>
      <c r="S1439" s="15" t="n">
        <v>0.004033446885675646</v>
      </c>
      <c r="T1439" s="42">
        <f>HIPERLINK($A$1 &amp; "\Dados\Imagem_perfil_1439.png", "Imagem_perfil_1439")</f>
        <v/>
      </c>
      <c r="U1439" s="42">
        <f>HIPERLINK($A$1 &amp; "\Dados\Results_airgap1439.txt", "Results_airgap1439")</f>
        <v/>
      </c>
      <c r="V1439" s="19" t="n"/>
      <c r="W1439" s="15" t="n">
        <v>1.615265434782609</v>
      </c>
      <c r="X1439" s="15" t="n">
        <v>0.803348475005115</v>
      </c>
      <c r="Y1439" s="15" t="n">
        <v>0.6101737484227286</v>
      </c>
      <c r="Z1439" s="15" t="n">
        <v>0</v>
      </c>
      <c r="AA1439" s="15" t="n">
        <v>2.617064067501674</v>
      </c>
      <c r="AB1439" s="15" t="n">
        <v>0.07752277133035376</v>
      </c>
      <c r="AC1439" s="15" t="n">
        <v>9.909101530525188</v>
      </c>
      <c r="AD1439" s="15" t="n">
        <v>50.12682352983457</v>
      </c>
      <c r="AE1439" s="15" t="n">
        <v>88.53532696045065</v>
      </c>
      <c r="AF1439" s="15" t="n">
        <v>120.5668624588041</v>
      </c>
      <c r="AH1439" s="42">
        <f>HIPERLINK($A$1 &amp; "\Dados\Magnet_fields_1439.txt.txt", "Magnet_fields_1439.txt")</f>
        <v/>
      </c>
      <c r="AI1439" t="n">
        <v>7556</v>
      </c>
      <c r="AJ1439" t="n">
        <v>29</v>
      </c>
      <c r="AK1439" s="42">
        <f>HIPERLINK($A$1 &amp; "\Dados\Magnet_3D_results_1439.txt.txt", "Magnet_3D_results_1439.txt")</f>
        <v/>
      </c>
      <c r="AL1439" s="42">
        <f>HIPERLINK($A$1 &amp; "\Dados\Magnet_fields_2D_1439.txt.txt", "Magnet_fields_2D_1439.txt")</f>
        <v/>
      </c>
    </row>
    <row r="1440">
      <c r="E1440" s="15" t="n">
        <v>146</v>
      </c>
      <c r="F1440" s="15" t="n">
        <v>190</v>
      </c>
      <c r="G1440" s="15" t="n">
        <v>398</v>
      </c>
      <c r="H1440" s="15" t="n">
        <v>45</v>
      </c>
      <c r="I1440" s="15" t="n">
        <v>145</v>
      </c>
      <c r="J1440" s="13" t="n">
        <v>25</v>
      </c>
      <c r="K1440" t="n">
        <v>55</v>
      </c>
      <c r="L1440" s="13" t="n">
        <v>2.6</v>
      </c>
      <c r="M1440" s="12" t="n"/>
      <c r="N1440" s="8" t="n">
        <v>1.376436449100443</v>
      </c>
      <c r="O1440" s="15" t="n">
        <v>1.091378069379092</v>
      </c>
      <c r="P1440" s="15" t="n">
        <v>1.292680252616708</v>
      </c>
      <c r="Q1440" s="15" t="n">
        <v>0.007972444691986606</v>
      </c>
      <c r="R1440" s="15" t="n">
        <v>0.04811786865824597</v>
      </c>
      <c r="S1440" s="15" t="n">
        <v>0.009210296459548142</v>
      </c>
      <c r="T1440" s="42">
        <f>HIPERLINK($A$1 &amp; "\Dados\Imagem_perfil_1440.png", "Imagem_perfil_1440")</f>
        <v/>
      </c>
      <c r="U1440" s="42">
        <f>HIPERLINK($A$1 &amp; "\Dados\Results_airgap1440.txt", "Results_airgap1440")</f>
        <v/>
      </c>
      <c r="V1440" s="19" t="n"/>
      <c r="W1440" s="15" t="n">
        <v>1.869877608695653</v>
      </c>
      <c r="X1440" s="15" t="n">
        <v>0.9147591337259036</v>
      </c>
      <c r="Y1440" s="15" t="n">
        <v>0.3369717958072622</v>
      </c>
      <c r="Z1440" s="15" t="n">
        <v>0</v>
      </c>
      <c r="AA1440" s="15" t="n">
        <v>0</v>
      </c>
      <c r="AB1440" s="15" t="n">
        <v>0.2167978077921227</v>
      </c>
      <c r="AC1440" s="15" t="n">
        <v>15.49117829079837</v>
      </c>
      <c r="AD1440" s="15" t="n">
        <v>63.68997775472015</v>
      </c>
      <c r="AE1440" s="15" t="n">
        <v>96.19346812434577</v>
      </c>
      <c r="AF1440" s="15" t="n">
        <v>126.4875495360929</v>
      </c>
      <c r="AH1440" s="42">
        <f>HIPERLINK($A$1 &amp; "\Dados\Magnet_fields_1440.txt.txt", "Magnet_fields_1440.txt")</f>
        <v/>
      </c>
      <c r="AI1440" t="n">
        <v>10442</v>
      </c>
      <c r="AJ1440" t="n">
        <v>30</v>
      </c>
      <c r="AK1440" s="42">
        <f>HIPERLINK($A$1 &amp; "\Dados\Magnet_3D_results_1440.txt.txt", "Magnet_3D_results_1440.txt")</f>
        <v/>
      </c>
      <c r="AL1440" s="42">
        <f>HIPERLINK($A$1 &amp; "\Dados\Magnet_fields_2D_1440.txt.txt", "Magnet_fields_2D_1440.txt")</f>
        <v/>
      </c>
    </row>
    <row r="1441">
      <c r="E1441" s="15" t="n">
        <v>143</v>
      </c>
      <c r="F1441" s="15" t="n">
        <v>179</v>
      </c>
      <c r="G1441" s="15" t="n">
        <v>358</v>
      </c>
      <c r="H1441" s="15" t="n">
        <v>29</v>
      </c>
      <c r="I1441" s="15" t="n">
        <v>160</v>
      </c>
      <c r="J1441" s="13" t="n">
        <v>25</v>
      </c>
      <c r="K1441" t="n">
        <v>50</v>
      </c>
      <c r="L1441" s="13" t="n">
        <v>2.6</v>
      </c>
      <c r="M1441" s="12" t="n"/>
      <c r="N1441" s="8" t="n">
        <v>1.427791760670069</v>
      </c>
      <c r="O1441" s="15" t="n">
        <v>1.202301454726707</v>
      </c>
      <c r="P1441" s="15" t="n">
        <v>1.369140872685927</v>
      </c>
      <c r="Q1441" s="15" t="n">
        <v>0.004059831531284155</v>
      </c>
      <c r="R1441" s="15" t="n">
        <v>0.02886249692341119</v>
      </c>
      <c r="S1441" s="15" t="n">
        <v>0.004170162293776587</v>
      </c>
      <c r="T1441" s="42">
        <f>HIPERLINK($A$1 &amp; "\Dados\Imagem_perfil_1441.png", "Imagem_perfil_1441")</f>
        <v/>
      </c>
      <c r="U1441" s="42">
        <f>HIPERLINK($A$1 &amp; "\Dados\Results_airgap1441.txt", "Results_airgap1441")</f>
        <v/>
      </c>
      <c r="V1441" s="19" t="n"/>
      <c r="W1441" s="15" t="n">
        <v>1.802801956521739</v>
      </c>
      <c r="X1441" s="15" t="n">
        <v>0.8955264560539541</v>
      </c>
      <c r="Y1441" s="15" t="n">
        <v>0.3909168835361477</v>
      </c>
      <c r="Z1441" s="15" t="n">
        <v>0</v>
      </c>
      <c r="AA1441" s="15" t="n">
        <v>4.664797978865476</v>
      </c>
      <c r="AB1441" s="15" t="n">
        <v>0</v>
      </c>
      <c r="AC1441" s="15" t="n">
        <v>8.055846769925321</v>
      </c>
      <c r="AD1441" s="15" t="n">
        <v>46.40794360067509</v>
      </c>
      <c r="AE1441" s="15" t="n">
        <v>88.00734736058607</v>
      </c>
      <c r="AF1441" s="15" t="n">
        <v>121.133287779133</v>
      </c>
      <c r="AH1441" s="42">
        <f>HIPERLINK($A$1 &amp; "\Dados\Magnet_fields_1441.txt.txt", "Magnet_fields_1441.txt")</f>
        <v/>
      </c>
      <c r="AI1441" t="n">
        <v>8750</v>
      </c>
      <c r="AJ1441" t="n">
        <v>29</v>
      </c>
      <c r="AK1441" s="42">
        <f>HIPERLINK($A$1 &amp; "\Dados\Magnet_3D_results_1441.txt.txt", "Magnet_3D_results_1441.txt")</f>
        <v/>
      </c>
      <c r="AL1441" s="42">
        <f>HIPERLINK($A$1 &amp; "\Dados\Magnet_fields_2D_1441.txt.txt", "Magnet_fields_2D_1441.txt")</f>
        <v/>
      </c>
    </row>
    <row r="1442">
      <c r="E1442" s="15" t="n">
        <v>125</v>
      </c>
      <c r="F1442" s="15" t="n">
        <v>171</v>
      </c>
      <c r="G1442" s="15" t="n">
        <v>395</v>
      </c>
      <c r="H1442" s="15" t="n">
        <v>32</v>
      </c>
      <c r="I1442" s="15" t="n">
        <v>152</v>
      </c>
      <c r="J1442" s="13" t="n">
        <v>25</v>
      </c>
      <c r="K1442" t="n">
        <v>60</v>
      </c>
      <c r="L1442" s="13" t="n">
        <v>2.6</v>
      </c>
      <c r="M1442" s="12" t="n"/>
      <c r="N1442" s="8" t="n">
        <v>1.416746339108179</v>
      </c>
      <c r="O1442" s="15" t="n">
        <v>1.158346001756461</v>
      </c>
      <c r="P1442" s="15" t="n">
        <v>1.334254097615708</v>
      </c>
      <c r="Q1442" s="15" t="n">
        <v>0.03107985425669863</v>
      </c>
      <c r="R1442" s="15" t="n">
        <v>0.06532831168609463</v>
      </c>
      <c r="S1442" s="15" t="n">
        <v>0.02978452021235972</v>
      </c>
      <c r="T1442" s="42">
        <f>HIPERLINK($A$1 &amp; "\Dados\Imagem_perfil_1442.png", "Imagem_perfil_1442")</f>
        <v/>
      </c>
      <c r="U1442" s="42">
        <f>HIPERLINK($A$1 &amp; "\Dados\Results_airgap1442.txt", "Results_airgap1442")</f>
        <v/>
      </c>
      <c r="V1442" s="19" t="n"/>
      <c r="W1442" s="15" t="n">
        <v>1.971846739130435</v>
      </c>
      <c r="X1442" s="15" t="n">
        <v>0.9149335441852219</v>
      </c>
      <c r="Y1442" s="15" t="n">
        <v>0.2777636109307772</v>
      </c>
      <c r="Z1442" s="15" t="n">
        <v>0.01911725599688079</v>
      </c>
      <c r="AA1442" s="15" t="n">
        <v>0.5438190074171519</v>
      </c>
      <c r="AB1442" s="15" t="n">
        <v>1.794868593448532</v>
      </c>
      <c r="AC1442" s="15" t="n">
        <v>18.86363965448173</v>
      </c>
      <c r="AD1442" s="15" t="n">
        <v>67.14349026388547</v>
      </c>
      <c r="AE1442" s="15" t="n">
        <v>100.2168057594462</v>
      </c>
      <c r="AF1442" s="15" t="n">
        <v>132.0303858483044</v>
      </c>
      <c r="AH1442" s="42">
        <f>HIPERLINK($A$1 &amp; "\Dados\Magnet_fields_1442.txt.txt", "Magnet_fields_1442.txt")</f>
        <v/>
      </c>
      <c r="AI1442" t="n">
        <v>9677</v>
      </c>
      <c r="AJ1442" t="n">
        <v>30</v>
      </c>
      <c r="AK1442" s="42">
        <f>HIPERLINK($A$1 &amp; "\Dados\Magnet_3D_results_1442.txt.txt", "Magnet_3D_results_1442.txt")</f>
        <v/>
      </c>
      <c r="AL1442" s="42">
        <f>HIPERLINK($A$1 &amp; "\Dados\Magnet_fields_2D_1442.txt.txt", "Magnet_fields_2D_1442.txt")</f>
        <v/>
      </c>
    </row>
    <row r="1443">
      <c r="E1443" s="15" t="n">
        <v>146</v>
      </c>
      <c r="F1443" s="15" t="n">
        <v>194</v>
      </c>
      <c r="G1443" s="15" t="n">
        <v>384</v>
      </c>
      <c r="H1443" s="15" t="n">
        <v>41</v>
      </c>
      <c r="I1443" s="15" t="n">
        <v>175</v>
      </c>
      <c r="J1443" s="13" t="n">
        <v>25</v>
      </c>
      <c r="K1443" t="n">
        <v>40</v>
      </c>
      <c r="L1443" s="13" t="n">
        <v>2.6</v>
      </c>
      <c r="M1443" s="12" t="n"/>
      <c r="N1443" s="8" t="n">
        <v>1.265305639520414</v>
      </c>
      <c r="O1443" s="15" t="n">
        <v>1.114486316028477</v>
      </c>
      <c r="P1443" s="15" t="n">
        <v>1.222169222905426</v>
      </c>
      <c r="Q1443" s="15" t="n">
        <v>0.001051569649231218</v>
      </c>
      <c r="R1443" s="15" t="n">
        <v>0.02921568607939479</v>
      </c>
      <c r="S1443" s="15" t="n">
        <v>0.001258997361943338</v>
      </c>
      <c r="T1443" s="42">
        <f>HIPERLINK($A$1 &amp; "\Dados\Imagem_perfil_1443.png", "Imagem_perfil_1443")</f>
        <v/>
      </c>
      <c r="U1443" s="42">
        <f>HIPERLINK($A$1 &amp; "\Dados\Results_airgap1443.txt", "Results_airgap1443")</f>
        <v/>
      </c>
      <c r="V1443" s="19" t="n"/>
      <c r="W1443" s="15" t="n">
        <v>1.56146152173913</v>
      </c>
      <c r="X1443" s="15" t="n">
        <v>0.7816862043797184</v>
      </c>
      <c r="Y1443" s="15" t="n">
        <v>0.7677720175315286</v>
      </c>
      <c r="Z1443" s="15" t="n">
        <v>0.0157188119932076</v>
      </c>
      <c r="AA1443" s="15" t="n">
        <v>0.002684529383554994</v>
      </c>
      <c r="AB1443" s="15" t="n">
        <v>0.8020314126202291</v>
      </c>
      <c r="AC1443" s="15" t="n">
        <v>6.548037117653139</v>
      </c>
      <c r="AD1443" s="15" t="n">
        <v>32.33740519444682</v>
      </c>
      <c r="AE1443" s="15" t="n">
        <v>78.57558503561208</v>
      </c>
      <c r="AF1443" s="15" t="n">
        <v>113.6670152461406</v>
      </c>
      <c r="AH1443" s="42">
        <f>HIPERLINK($A$1 &amp; "\Dados\Magnet_fields_1443.txt.txt", "Magnet_fields_1443.txt")</f>
        <v/>
      </c>
      <c r="AI1443" t="n">
        <v>7264</v>
      </c>
      <c r="AJ1443" t="n">
        <v>29</v>
      </c>
      <c r="AK1443" s="42">
        <f>HIPERLINK($A$1 &amp; "\Dados\Magnet_3D_results_1443.txt.txt", "Magnet_3D_results_1443.txt")</f>
        <v/>
      </c>
      <c r="AL1443" s="42">
        <f>HIPERLINK($A$1 &amp; "\Dados\Magnet_fields_2D_1443.txt.txt", "Magnet_fields_2D_1443.txt")</f>
        <v/>
      </c>
    </row>
    <row r="1444">
      <c r="E1444" s="15" t="n">
        <v>144</v>
      </c>
      <c r="F1444" s="15" t="n">
        <v>187</v>
      </c>
      <c r="G1444" s="15" t="n">
        <v>378</v>
      </c>
      <c r="H1444" s="15" t="n">
        <v>25</v>
      </c>
      <c r="I1444" s="15" t="n">
        <v>179</v>
      </c>
      <c r="J1444" s="13" t="n">
        <v>25</v>
      </c>
      <c r="K1444" t="n">
        <v>45</v>
      </c>
      <c r="L1444" s="13" t="n">
        <v>2.6</v>
      </c>
      <c r="M1444" s="12" t="n"/>
      <c r="N1444" s="8" t="n">
        <v>1.36598986638097</v>
      </c>
      <c r="O1444" s="15" t="n">
        <v>1.195662726950681</v>
      </c>
      <c r="P1444" s="15" t="n">
        <v>1.312442485265076</v>
      </c>
      <c r="Q1444" s="15" t="n">
        <v>0.001965956549579188</v>
      </c>
      <c r="R1444" s="15" t="n">
        <v>0.02985645656291047</v>
      </c>
      <c r="S1444" s="15" t="n">
        <v>0.002156533911206427</v>
      </c>
      <c r="T1444" s="42">
        <f>HIPERLINK($A$1 &amp; "\Dados\Imagem_perfil_1444.png", "Imagem_perfil_1444")</f>
        <v/>
      </c>
      <c r="U1444" s="42">
        <f>HIPERLINK($A$1 &amp; "\Dados\Results_airgap1444.txt", "Results_airgap1444")</f>
        <v/>
      </c>
      <c r="V1444" s="19" t="n"/>
      <c r="W1444" s="15" t="n">
        <v>1.697918913043478</v>
      </c>
      <c r="X1444" s="15" t="n">
        <v>0.8328049869397256</v>
      </c>
      <c r="Y1444" s="15" t="n">
        <v>0.5429357677362171</v>
      </c>
      <c r="Z1444" s="15" t="n">
        <v>0</v>
      </c>
      <c r="AA1444" s="15" t="n">
        <v>4.304323102216802</v>
      </c>
      <c r="AB1444" s="15" t="n">
        <v>0.2401709308931385</v>
      </c>
      <c r="AC1444" s="15" t="n">
        <v>5.004266264373142</v>
      </c>
      <c r="AD1444" s="15" t="n">
        <v>39.7947702517162</v>
      </c>
      <c r="AE1444" s="15" t="n">
        <v>86.85174429592351</v>
      </c>
      <c r="AF1444" s="15" t="n">
        <v>118.3034707800232</v>
      </c>
      <c r="AH1444" s="42">
        <f>HIPERLINK($A$1 &amp; "\Dados\Magnet_fields_1444.txt.txt", "Magnet_fields_1444.txt")</f>
        <v/>
      </c>
      <c r="AI1444" t="n">
        <v>9108</v>
      </c>
      <c r="AJ1444" t="n">
        <v>30</v>
      </c>
      <c r="AK1444" s="42">
        <f>HIPERLINK($A$1 &amp; "\Dados\Magnet_3D_results_1444.txt.txt", "Magnet_3D_results_1444.txt")</f>
        <v/>
      </c>
      <c r="AL1444" s="42">
        <f>HIPERLINK($A$1 &amp; "\Dados\Magnet_fields_2D_1444.txt.txt", "Magnet_fields_2D_1444.txt")</f>
        <v/>
      </c>
    </row>
    <row r="1445">
      <c r="E1445" s="15" t="n">
        <v>144</v>
      </c>
      <c r="F1445" s="15" t="n">
        <v>174</v>
      </c>
      <c r="G1445" s="15" t="n">
        <v>412</v>
      </c>
      <c r="H1445" s="15" t="n">
        <v>35</v>
      </c>
      <c r="I1445" s="15" t="n">
        <v>172</v>
      </c>
      <c r="J1445" s="13" t="n">
        <v>25</v>
      </c>
      <c r="K1445" t="n">
        <v>40</v>
      </c>
      <c r="L1445" s="13" t="n">
        <v>2.6</v>
      </c>
      <c r="M1445" s="12" t="n"/>
      <c r="N1445" s="8" t="n">
        <v>1.636207123413475</v>
      </c>
      <c r="O1445" s="15" t="n">
        <v>1.442393820505477</v>
      </c>
      <c r="P1445" s="15" t="n">
        <v>1.57903655163412</v>
      </c>
      <c r="Q1445" s="15" t="n">
        <v>0.002751915524055432</v>
      </c>
      <c r="R1445" s="15" t="n">
        <v>0.03310248547843858</v>
      </c>
      <c r="S1445" s="15" t="n">
        <v>0.00275531748748152</v>
      </c>
      <c r="T1445" s="42">
        <f>HIPERLINK($A$1 &amp; "\Dados\Imagem_perfil_1445.png", "Imagem_perfil_1445")</f>
        <v/>
      </c>
      <c r="U1445" s="42">
        <f>HIPERLINK($A$1 &amp; "\Dados\Results_airgap1445.txt", "Results_airgap1445")</f>
        <v/>
      </c>
      <c r="V1445" s="19" t="n"/>
      <c r="W1445" s="15" t="n">
        <v>1.992082826086956</v>
      </c>
      <c r="X1445" s="15" t="n">
        <v>1.033484783274549</v>
      </c>
      <c r="Y1445" s="15" t="n">
        <v>0.3274829481998403</v>
      </c>
      <c r="Z1445" s="15" t="n">
        <v>0</v>
      </c>
      <c r="AA1445" s="15" t="n">
        <v>1.557159749702212</v>
      </c>
      <c r="AB1445" s="15" t="n">
        <v>0.2019906908881478</v>
      </c>
      <c r="AC1445" s="15" t="n">
        <v>4.414564564932929</v>
      </c>
      <c r="AD1445" s="15" t="n">
        <v>30.80270121493873</v>
      </c>
      <c r="AE1445" s="15" t="n">
        <v>78.30835025609919</v>
      </c>
      <c r="AF1445" s="15" t="n">
        <v>113.559470273313</v>
      </c>
      <c r="AH1445" s="42">
        <f>HIPERLINK($A$1 &amp; "\Dados\Magnet_fields_1445.txt.txt", "Magnet_fields_1445.txt")</f>
        <v/>
      </c>
      <c r="AI1445" t="n">
        <v>9357</v>
      </c>
      <c r="AJ1445" t="n">
        <v>31</v>
      </c>
      <c r="AK1445" s="42">
        <f>HIPERLINK($A$1 &amp; "\Dados\Magnet_3D_results_1445.txt.txt", "Magnet_3D_results_1445.txt")</f>
        <v/>
      </c>
      <c r="AL1445" s="42">
        <f>HIPERLINK($A$1 &amp; "\Dados\Magnet_fields_2D_1445.txt.txt", "Magnet_fields_2D_1445.txt")</f>
        <v/>
      </c>
    </row>
    <row r="1446">
      <c r="E1446" s="15" t="n">
        <v>146</v>
      </c>
      <c r="F1446" s="15" t="n">
        <v>176</v>
      </c>
      <c r="G1446" s="15" t="n">
        <v>402</v>
      </c>
      <c r="H1446" s="15" t="n">
        <v>42</v>
      </c>
      <c r="I1446" s="15" t="n">
        <v>145</v>
      </c>
      <c r="J1446" s="13" t="n">
        <v>25</v>
      </c>
      <c r="K1446" t="n">
        <v>55</v>
      </c>
      <c r="L1446" s="13" t="n">
        <v>2.6</v>
      </c>
      <c r="M1446" s="12" t="n"/>
      <c r="N1446" s="8" t="n">
        <v>1.634916542179727</v>
      </c>
      <c r="O1446" s="15" t="n">
        <v>1.339733459984606</v>
      </c>
      <c r="P1446" s="15" t="n">
        <v>1.550250239035096</v>
      </c>
      <c r="Q1446" s="15" t="n">
        <v>0.01406889281878114</v>
      </c>
      <c r="R1446" s="15" t="n">
        <v>0.04895867663002836</v>
      </c>
      <c r="S1446" s="15" t="n">
        <v>0.01417043585822844</v>
      </c>
      <c r="T1446" s="42">
        <f>HIPERLINK($A$1 &amp; "\Dados\Imagem_perfil_1446.png", "Imagem_perfil_1446")</f>
        <v/>
      </c>
      <c r="U1446" s="42">
        <f>HIPERLINK($A$1 &amp; "\Dados\Results_airgap1446.txt", "Results_airgap1446")</f>
        <v/>
      </c>
      <c r="V1446" s="19" t="n"/>
      <c r="W1446" s="15" t="n">
        <v>2.173390869565217</v>
      </c>
      <c r="X1446" s="15" t="n">
        <v>1.058887142273719</v>
      </c>
      <c r="Y1446" s="15" t="n">
        <v>0.1042720475157109</v>
      </c>
      <c r="Z1446" s="15" t="n">
        <v>0</v>
      </c>
      <c r="AA1446" s="15" t="n">
        <v>0</v>
      </c>
      <c r="AB1446" s="15" t="n">
        <v>0.6745105656962909</v>
      </c>
      <c r="AC1446" s="15" t="n">
        <v>13.49878353063261</v>
      </c>
      <c r="AD1446" s="15" t="n">
        <v>62.09348663315051</v>
      </c>
      <c r="AE1446" s="15" t="n">
        <v>97.85180529141496</v>
      </c>
      <c r="AF1446" s="15" t="n">
        <v>127.8959194336419</v>
      </c>
      <c r="AH1446" s="42">
        <f>HIPERLINK($A$1 &amp; "\Dados\Magnet_fields_1446.txt.txt", "Magnet_fields_1446.txt")</f>
        <v/>
      </c>
      <c r="AI1446" t="n">
        <v>11160</v>
      </c>
      <c r="AJ1446" t="n">
        <v>31</v>
      </c>
      <c r="AK1446" s="42">
        <f>HIPERLINK($A$1 &amp; "\Dados\Magnet_3D_results_1446.txt.txt", "Magnet_3D_results_1446.txt")</f>
        <v/>
      </c>
      <c r="AL1446" s="42">
        <f>HIPERLINK($A$1 &amp; "\Dados\Magnet_fields_2D_1446.txt.txt", "Magnet_fields_2D_1446.txt")</f>
        <v/>
      </c>
    </row>
    <row r="1447">
      <c r="E1447" s="15" t="n">
        <v>147</v>
      </c>
      <c r="F1447" s="15" t="n">
        <v>196</v>
      </c>
      <c r="G1447" s="15" t="n">
        <v>401</v>
      </c>
      <c r="H1447" s="15" t="n">
        <v>26</v>
      </c>
      <c r="I1447" s="15" t="n">
        <v>147</v>
      </c>
      <c r="J1447" s="13" t="n">
        <v>25</v>
      </c>
      <c r="K1447" t="n">
        <v>55</v>
      </c>
      <c r="L1447" s="13" t="n">
        <v>2.6</v>
      </c>
      <c r="M1447" s="12" t="n"/>
      <c r="N1447" s="8" t="n">
        <v>1.25176540991397</v>
      </c>
      <c r="O1447" s="15" t="n">
        <v>1.004034888045645</v>
      </c>
      <c r="P1447" s="15" t="n">
        <v>1.17552398248782</v>
      </c>
      <c r="Q1447" s="15" t="n">
        <v>0.008699958442270771</v>
      </c>
      <c r="R1447" s="15" t="n">
        <v>0.04076850156999343</v>
      </c>
      <c r="S1447" s="15" t="n">
        <v>0.009427865126451985</v>
      </c>
      <c r="T1447" s="42">
        <f>HIPERLINK($A$1 &amp; "\Dados\Imagem_perfil_1447.png", "Imagem_perfil_1447")</f>
        <v/>
      </c>
      <c r="U1447" s="42">
        <f>HIPERLINK($A$1 &amp; "\Dados\Results_airgap1447.txt", "Results_airgap1447")</f>
        <v/>
      </c>
      <c r="V1447" s="19" t="n"/>
      <c r="W1447" s="15" t="n">
        <v>1.763751521739131</v>
      </c>
      <c r="X1447" s="15" t="n">
        <v>0.8130680383364934</v>
      </c>
      <c r="Y1447" s="15" t="n">
        <v>0.4505285306043864</v>
      </c>
      <c r="Z1447" s="15" t="n">
        <v>0.01176914581624238</v>
      </c>
      <c r="AA1447" s="15" t="n">
        <v>6.289639353465182</v>
      </c>
      <c r="AB1447" s="15" t="n">
        <v>0.6553653993056411</v>
      </c>
      <c r="AC1447" s="15" t="n">
        <v>12.76889191025283</v>
      </c>
      <c r="AD1447" s="15" t="n">
        <v>56.45711341340917</v>
      </c>
      <c r="AE1447" s="15" t="n">
        <v>93.51545512561731</v>
      </c>
      <c r="AF1447" s="15" t="n">
        <v>125.5263836301953</v>
      </c>
      <c r="AH1447" s="42">
        <f>HIPERLINK($A$1 &amp; "\Dados\Magnet_fields_1447.txt.txt", "Magnet_fields_1447.txt")</f>
        <v/>
      </c>
      <c r="AI1447" t="n">
        <v>12218</v>
      </c>
      <c r="AJ1447" t="n">
        <v>30</v>
      </c>
      <c r="AK1447" s="42">
        <f>HIPERLINK($A$1 &amp; "\Dados\Magnet_3D_results_1447.txt.txt", "Magnet_3D_results_1447.txt")</f>
        <v/>
      </c>
      <c r="AL1447" s="42">
        <f>HIPERLINK($A$1 &amp; "\Dados\Magnet_fields_2D_1447.txt.txt", "Magnet_fields_2D_1447.txt")</f>
        <v/>
      </c>
    </row>
    <row r="1448">
      <c r="E1448" s="15" t="n">
        <v>140</v>
      </c>
      <c r="F1448" s="15" t="n">
        <v>181</v>
      </c>
      <c r="G1448" s="15" t="n">
        <v>389</v>
      </c>
      <c r="H1448" s="15" t="n">
        <v>28</v>
      </c>
      <c r="I1448" s="15" t="n">
        <v>156</v>
      </c>
      <c r="J1448" s="13" t="n">
        <v>25</v>
      </c>
      <c r="K1448" t="n">
        <v>50</v>
      </c>
      <c r="L1448" s="13" t="n">
        <v>2.6</v>
      </c>
      <c r="M1448" s="12" t="n"/>
      <c r="N1448" s="8" t="n">
        <v>1.412494135792313</v>
      </c>
      <c r="O1448" s="15" t="n">
        <v>1.177843680583417</v>
      </c>
      <c r="P1448" s="15" t="n">
        <v>1.344963354513928</v>
      </c>
      <c r="Q1448" s="15" t="n">
        <v>0.004332649989558778</v>
      </c>
      <c r="R1448" s="15" t="n">
        <v>0.03967349966358828</v>
      </c>
      <c r="S1448" s="15" t="n">
        <v>0.00503502175821908</v>
      </c>
      <c r="T1448" s="42">
        <f>HIPERLINK($A$1 &amp; "\Dados\Imagem_perfil_1448.png", "Imagem_perfil_1448")</f>
        <v/>
      </c>
      <c r="U1448" s="42">
        <f>HIPERLINK($A$1 &amp; "\Dados\Results_airgap1448.txt", "Results_airgap1448")</f>
        <v/>
      </c>
      <c r="V1448" s="19" t="n"/>
      <c r="W1448" s="15" t="n">
        <v>1.863808260869565</v>
      </c>
      <c r="X1448" s="15" t="n">
        <v>0.9332851859750255</v>
      </c>
      <c r="Y1448" s="15" t="n">
        <v>0.3625801445482996</v>
      </c>
      <c r="Z1448" s="15" t="n">
        <v>0</v>
      </c>
      <c r="AA1448" s="15" t="n">
        <v>3.598553751816574</v>
      </c>
      <c r="AB1448" s="15" t="n">
        <v>0.5780150761418615</v>
      </c>
      <c r="AC1448" s="15" t="n">
        <v>8.852186667799311</v>
      </c>
      <c r="AD1448" s="15" t="n">
        <v>50.63825403116073</v>
      </c>
      <c r="AE1448" s="15" t="n">
        <v>92.24750147047993</v>
      </c>
      <c r="AF1448" s="15" t="n">
        <v>122.6278610858464</v>
      </c>
      <c r="AH1448" s="42">
        <f>HIPERLINK($A$1 &amp; "\Dados\Magnet_fields_1448.txt.txt", "Magnet_fields_1448.txt")</f>
        <v/>
      </c>
      <c r="AI1448" t="n">
        <v>8417</v>
      </c>
      <c r="AJ1448" t="n">
        <v>29</v>
      </c>
      <c r="AK1448" s="42">
        <f>HIPERLINK($A$1 &amp; "\Dados\Magnet_3D_results_1448.txt.txt", "Magnet_3D_results_1448.txt")</f>
        <v/>
      </c>
      <c r="AL1448" s="42">
        <f>HIPERLINK($A$1 &amp; "\Dados\Magnet_fields_2D_1448.txt.txt", "Magnet_fields_2D_1448.txt")</f>
        <v/>
      </c>
    </row>
    <row r="1449">
      <c r="E1449" s="15" t="n">
        <v>127</v>
      </c>
      <c r="F1449" s="15" t="n">
        <v>172</v>
      </c>
      <c r="G1449" s="15" t="n">
        <v>397</v>
      </c>
      <c r="H1449" s="15" t="n">
        <v>37</v>
      </c>
      <c r="I1449" s="15" t="n">
        <v>177</v>
      </c>
      <c r="J1449" s="13" t="n">
        <v>25</v>
      </c>
      <c r="K1449" t="n">
        <v>60</v>
      </c>
      <c r="L1449" s="13" t="n">
        <v>2.6</v>
      </c>
      <c r="M1449" s="12" t="n"/>
      <c r="N1449" s="8" t="n">
        <v>1.536286576337215</v>
      </c>
      <c r="O1449" s="15" t="n">
        <v>1.348067811159466</v>
      </c>
      <c r="P1449" s="15" t="n">
        <v>1.471330387430223</v>
      </c>
      <c r="Q1449" s="15" t="n">
        <v>0.03375826193705522</v>
      </c>
      <c r="R1449" s="15" t="n">
        <v>0.06913070657757021</v>
      </c>
      <c r="S1449" s="15" t="n">
        <v>0.0327510945148285</v>
      </c>
      <c r="T1449" s="42">
        <f>HIPERLINK($A$1 &amp; "\Dados\Imagem_perfil_1449.png", "Imagem_perfil_1449")</f>
        <v/>
      </c>
      <c r="U1449" s="42">
        <f>HIPERLINK($A$1 &amp; "\Dados\Results_airgap1449.txt", "Results_airgap1449")</f>
        <v/>
      </c>
      <c r="V1449" s="19" t="n"/>
      <c r="W1449" s="15" t="n">
        <v>2.014292826086957</v>
      </c>
      <c r="X1449" s="15" t="n">
        <v>0.9475198233671834</v>
      </c>
      <c r="Y1449" s="15" t="n">
        <v>0.2342929861742007</v>
      </c>
      <c r="Z1449" s="15" t="n">
        <v>0</v>
      </c>
      <c r="AA1449" s="15" t="n">
        <v>0.01376046185772897</v>
      </c>
      <c r="AB1449" s="15" t="n">
        <v>3.185131002240508</v>
      </c>
      <c r="AC1449" s="15" t="n">
        <v>24.79479945349226</v>
      </c>
      <c r="AD1449" s="15" t="n">
        <v>66.26983681314233</v>
      </c>
      <c r="AE1449" s="15" t="n">
        <v>98.23671314190662</v>
      </c>
      <c r="AF1449" s="15" t="n">
        <v>131.3079425038815</v>
      </c>
      <c r="AH1449" s="42">
        <f>HIPERLINK($A$1 &amp; "\Dados\Magnet_fields_1449.txt.txt", "Magnet_fields_1449.txt")</f>
        <v/>
      </c>
      <c r="AI1449" t="n">
        <v>8646</v>
      </c>
      <c r="AJ1449" t="n">
        <v>30</v>
      </c>
      <c r="AK1449" s="42">
        <f>HIPERLINK($A$1 &amp; "\Dados\Magnet_3D_results_1449.txt.txt", "Magnet_3D_results_1449.txt")</f>
        <v/>
      </c>
      <c r="AL1449" s="42">
        <f>HIPERLINK($A$1 &amp; "\Dados\Magnet_fields_2D_1449.txt.txt", "Magnet_fields_2D_1449.txt")</f>
        <v/>
      </c>
    </row>
    <row r="1450">
      <c r="E1450" s="15" t="n">
        <v>132</v>
      </c>
      <c r="F1450" s="15" t="n">
        <v>176</v>
      </c>
      <c r="G1450" s="15" t="n">
        <v>423</v>
      </c>
      <c r="H1450" s="15" t="n">
        <v>30</v>
      </c>
      <c r="I1450" s="15" t="n">
        <v>173</v>
      </c>
      <c r="J1450" s="13" t="n">
        <v>25</v>
      </c>
      <c r="K1450" t="n">
        <v>60</v>
      </c>
      <c r="L1450" s="13" t="n">
        <v>2.6</v>
      </c>
      <c r="M1450" s="12" t="n"/>
      <c r="N1450" s="8" t="n">
        <v>1.535701362462576</v>
      </c>
      <c r="O1450" s="15" t="n">
        <v>1.330377190774748</v>
      </c>
      <c r="P1450" s="15" t="n">
        <v>1.474196650551203</v>
      </c>
      <c r="Q1450" s="15" t="n">
        <v>0.03146004218255418</v>
      </c>
      <c r="R1450" s="15" t="n">
        <v>0.07122740377613793</v>
      </c>
      <c r="S1450" s="15" t="n">
        <v>0.03049297885996293</v>
      </c>
      <c r="T1450" s="42">
        <f>HIPERLINK($A$1 &amp; "\Dados\Imagem_perfil_1450.png", "Imagem_perfil_1450")</f>
        <v/>
      </c>
      <c r="U1450" s="42">
        <f>HIPERLINK($A$1 &amp; "\Dados\Results_airgap1450.txt", "Results_airgap1450")</f>
        <v/>
      </c>
      <c r="V1450" s="19" t="n"/>
      <c r="W1450" s="15" t="n">
        <v>2.077961304347826</v>
      </c>
      <c r="X1450" s="15" t="n">
        <v>0.9649858490349539</v>
      </c>
      <c r="Y1450" s="15" t="n">
        <v>0.1987534174046607</v>
      </c>
      <c r="Z1450" s="15" t="n">
        <v>0.02026941420385636</v>
      </c>
      <c r="AA1450" s="15" t="n">
        <v>3.718937702552158</v>
      </c>
      <c r="AB1450" s="15" t="n">
        <v>1.789952974038076</v>
      </c>
      <c r="AC1450" s="15" t="n">
        <v>17.67679069672088</v>
      </c>
      <c r="AD1450" s="15" t="n">
        <v>65.66296055480906</v>
      </c>
      <c r="AE1450" s="15" t="n">
        <v>100.1976995404688</v>
      </c>
      <c r="AF1450" s="15" t="n">
        <v>132.0448882758479</v>
      </c>
      <c r="AH1450" s="42">
        <f>HIPERLINK($A$1 &amp; "\Dados\Magnet_fields_1450.txt.txt", "Magnet_fields_1450.txt")</f>
        <v/>
      </c>
      <c r="AI1450" t="n">
        <v>9617</v>
      </c>
      <c r="AJ1450" t="n">
        <v>30</v>
      </c>
      <c r="AK1450" s="42">
        <f>HIPERLINK($A$1 &amp; "\Dados\Magnet_3D_results_1450.txt.txt", "Magnet_3D_results_1450.txt")</f>
        <v/>
      </c>
      <c r="AL1450" s="42">
        <f>HIPERLINK($A$1 &amp; "\Dados\Magnet_fields_2D_1450.txt.txt", "Magnet_fields_2D_1450.txt")</f>
        <v/>
      </c>
    </row>
    <row r="1451">
      <c r="E1451" s="15" t="n">
        <v>141</v>
      </c>
      <c r="F1451" s="15" t="n">
        <v>175</v>
      </c>
      <c r="G1451" s="15" t="n">
        <v>405</v>
      </c>
      <c r="H1451" s="15" t="n">
        <v>44</v>
      </c>
      <c r="I1451" s="15" t="n">
        <v>172</v>
      </c>
      <c r="J1451" s="13" t="n">
        <v>25</v>
      </c>
      <c r="K1451" t="n">
        <v>55</v>
      </c>
      <c r="L1451" s="13" t="n">
        <v>2.6</v>
      </c>
      <c r="M1451" s="12" t="n"/>
      <c r="N1451" s="8" t="n">
        <v>1.659233310281836</v>
      </c>
      <c r="O1451" s="15" t="n">
        <v>1.447319962944817</v>
      </c>
      <c r="P1451" s="15" t="n">
        <v>1.599091159694437</v>
      </c>
      <c r="Q1451" s="15" t="n">
        <v>0.01443966246669937</v>
      </c>
      <c r="R1451" s="15" t="n">
        <v>0.05605337498928063</v>
      </c>
      <c r="S1451" s="15" t="n">
        <v>0.01468963295190327</v>
      </c>
      <c r="T1451" s="42">
        <f>HIPERLINK($A$1 &amp; "\Dados\Imagem_perfil_1451.png", "Imagem_perfil_1451")</f>
        <v/>
      </c>
      <c r="U1451" s="42">
        <f>HIPERLINK($A$1 &amp; "\Dados\Results_airgap1451.txt", "Results_airgap1451")</f>
        <v/>
      </c>
      <c r="V1451" s="19" t="n"/>
      <c r="W1451" s="15" t="n">
        <v>2.131408260869565</v>
      </c>
      <c r="X1451" s="15" t="n">
        <v>1.039762322161256</v>
      </c>
      <c r="Y1451" s="15" t="n">
        <v>0.140226326249649</v>
      </c>
      <c r="Z1451" s="15" t="n">
        <v>0</v>
      </c>
      <c r="AA1451" s="15" t="n">
        <v>0</v>
      </c>
      <c r="AB1451" s="15" t="n">
        <v>1.202437721662638</v>
      </c>
      <c r="AC1451" s="15" t="n">
        <v>14.54197730074406</v>
      </c>
      <c r="AD1451" s="15" t="n">
        <v>60.90312772478622</v>
      </c>
      <c r="AE1451" s="15" t="n">
        <v>96.71744132993724</v>
      </c>
      <c r="AF1451" s="15" t="n">
        <v>127.4594515458448</v>
      </c>
      <c r="AH1451" s="42">
        <f>HIPERLINK($A$1 &amp; "\Dados\Magnet_fields_1451.txt.txt", "Magnet_fields_1451.txt")</f>
        <v/>
      </c>
      <c r="AI1451" t="n">
        <v>11217</v>
      </c>
      <c r="AJ1451" t="n">
        <v>30</v>
      </c>
      <c r="AK1451" s="42">
        <f>HIPERLINK($A$1 &amp; "\Dados\Magnet_3D_results_1451.txt.txt", "Magnet_3D_results_1451.txt")</f>
        <v/>
      </c>
      <c r="AL1451" s="42">
        <f>HIPERLINK($A$1 &amp; "\Dados\Magnet_fields_2D_1451.txt.txt", "Magnet_fields_2D_1451.txt")</f>
        <v/>
      </c>
    </row>
    <row r="1452">
      <c r="E1452" s="15" t="n">
        <v>143</v>
      </c>
      <c r="F1452" s="15" t="n">
        <v>176</v>
      </c>
      <c r="G1452" s="15" t="n">
        <v>412</v>
      </c>
      <c r="H1452" s="15" t="n">
        <v>45</v>
      </c>
      <c r="I1452" s="15" t="n">
        <v>155</v>
      </c>
      <c r="J1452" s="13" t="n">
        <v>25</v>
      </c>
      <c r="K1452" t="n">
        <v>55</v>
      </c>
      <c r="L1452" s="13" t="n">
        <v>2.6</v>
      </c>
      <c r="M1452" s="12" t="n"/>
      <c r="N1452" s="8" t="n">
        <v>1.614554463056762</v>
      </c>
      <c r="O1452" s="15" t="n">
        <v>1.365839230274215</v>
      </c>
      <c r="P1452" s="15" t="n">
        <v>1.537289653586227</v>
      </c>
      <c r="Q1452" s="15" t="n">
        <v>0.01424980309261335</v>
      </c>
      <c r="R1452" s="15" t="n">
        <v>0.05504279430857489</v>
      </c>
      <c r="S1452" s="15" t="n">
        <v>0.01446485284211914</v>
      </c>
      <c r="T1452" s="42">
        <f>HIPERLINK($A$1 &amp; "\Dados\Imagem_perfil_1452.png", "Imagem_perfil_1452")</f>
        <v/>
      </c>
      <c r="U1452" s="42">
        <f>HIPERLINK($A$1 &amp; "\Dados\Results_airgap1452.txt", "Results_airgap1452")</f>
        <v/>
      </c>
      <c r="V1452" s="19" t="n"/>
      <c r="W1452" s="15" t="n">
        <v>2.141563043478261</v>
      </c>
      <c r="X1452" s="15" t="n">
        <v>1.036409129273036</v>
      </c>
      <c r="Y1452" s="15" t="n">
        <v>0.1322320599900121</v>
      </c>
      <c r="Z1452" s="15" t="n">
        <v>0</v>
      </c>
      <c r="AA1452" s="15" t="n">
        <v>0</v>
      </c>
      <c r="AB1452" s="15" t="n">
        <v>0.9767423757517492</v>
      </c>
      <c r="AC1452" s="15" t="n">
        <v>10.66604627352164</v>
      </c>
      <c r="AD1452" s="15" t="n">
        <v>57.96113837980691</v>
      </c>
      <c r="AE1452" s="15" t="n">
        <v>96.61403769820458</v>
      </c>
      <c r="AF1452" s="15" t="n">
        <v>127.5464743847</v>
      </c>
      <c r="AH1452" s="42">
        <f>HIPERLINK($A$1 &amp; "\Dados\Magnet_fields_1452.txt.txt", "Magnet_fields_1452.txt")</f>
        <v/>
      </c>
      <c r="AI1452" t="n">
        <v>10922</v>
      </c>
      <c r="AJ1452" t="n">
        <v>30</v>
      </c>
      <c r="AK1452" s="42">
        <f>HIPERLINK($A$1 &amp; "\Dados\Magnet_3D_results_1452.txt.txt", "Magnet_3D_results_1452.txt")</f>
        <v/>
      </c>
      <c r="AL1452" s="42">
        <f>HIPERLINK($A$1 &amp; "\Dados\Magnet_fields_2D_1452.txt.txt", "Magnet_fields_2D_1452.txt")</f>
        <v/>
      </c>
    </row>
    <row r="1453">
      <c r="E1453" s="15" t="n">
        <v>147</v>
      </c>
      <c r="F1453" s="15" t="n">
        <v>187</v>
      </c>
      <c r="G1453" s="15" t="n">
        <v>376</v>
      </c>
      <c r="H1453" s="15" t="n">
        <v>29</v>
      </c>
      <c r="I1453" s="15" t="n">
        <v>160</v>
      </c>
      <c r="J1453" s="13" t="n">
        <v>25</v>
      </c>
      <c r="K1453" t="n">
        <v>55</v>
      </c>
      <c r="L1453" s="13" t="n">
        <v>2.6</v>
      </c>
      <c r="M1453" s="12" t="n"/>
      <c r="N1453" s="8" t="n">
        <v>1.42276390845652</v>
      </c>
      <c r="O1453" s="15" t="n">
        <v>1.192441798006853</v>
      </c>
      <c r="P1453" s="15" t="n">
        <v>1.361727362019675</v>
      </c>
      <c r="Q1453" s="15" t="n">
        <v>0.007219713980219414</v>
      </c>
      <c r="R1453" s="15" t="n">
        <v>0.03667169376924283</v>
      </c>
      <c r="S1453" s="15" t="n">
        <v>0.00734380651012497</v>
      </c>
      <c r="T1453" s="42">
        <f>HIPERLINK($A$1 &amp; "\Dados\Imagem_perfil_1453.png", "Imagem_perfil_1453")</f>
        <v/>
      </c>
      <c r="U1453" s="42">
        <f>HIPERLINK($A$1 &amp; "\Dados\Results_airgap1453.txt", "Results_airgap1453")</f>
        <v/>
      </c>
      <c r="V1453" s="19" t="n"/>
      <c r="W1453" s="15" t="n">
        <v>1.843641521739131</v>
      </c>
      <c r="X1453" s="15" t="n">
        <v>0.9179687379423537</v>
      </c>
      <c r="Y1453" s="15" t="n">
        <v>0.3419587268315306</v>
      </c>
      <c r="Z1453" s="15" t="n">
        <v>0.008131950285820614</v>
      </c>
      <c r="AA1453" s="15" t="n">
        <v>3.395895764646461</v>
      </c>
      <c r="AB1453" s="15" t="n">
        <v>0.1646574282986451</v>
      </c>
      <c r="AC1453" s="15" t="n">
        <v>16.1163187153139</v>
      </c>
      <c r="AD1453" s="15" t="n">
        <v>61.78900362026634</v>
      </c>
      <c r="AE1453" s="15" t="n">
        <v>94.57827259397708</v>
      </c>
      <c r="AF1453" s="15" t="n">
        <v>125.8345049761566</v>
      </c>
      <c r="AH1453" s="42">
        <f>HIPERLINK($A$1 &amp; "\Dados\Magnet_fields_1453.txt.txt", "Magnet_fields_1453.txt")</f>
        <v/>
      </c>
      <c r="AI1453" t="n">
        <v>11457</v>
      </c>
      <c r="AJ1453" t="n">
        <v>30</v>
      </c>
      <c r="AK1453" s="42">
        <f>HIPERLINK($A$1 &amp; "\Dados\Magnet_3D_results_1453.txt.txt", "Magnet_3D_results_1453.txt")</f>
        <v/>
      </c>
      <c r="AL1453" s="42">
        <f>HIPERLINK($A$1 &amp; "\Dados\Magnet_fields_2D_1453.txt.txt", "Magnet_fields_2D_1453.txt")</f>
        <v/>
      </c>
    </row>
    <row r="1454">
      <c r="E1454" s="15" t="n">
        <v>137</v>
      </c>
      <c r="F1454" s="15" t="n">
        <v>172</v>
      </c>
      <c r="G1454" s="15" t="n">
        <v>360</v>
      </c>
      <c r="H1454" s="15" t="n">
        <v>40</v>
      </c>
      <c r="I1454" s="15" t="n">
        <v>171</v>
      </c>
      <c r="J1454" s="13" t="n">
        <v>25</v>
      </c>
      <c r="K1454" t="n">
        <v>50</v>
      </c>
      <c r="L1454" s="13" t="n">
        <v>2.6</v>
      </c>
      <c r="M1454" s="12" t="n"/>
      <c r="N1454" s="8" t="n">
        <v>1.5401748025942</v>
      </c>
      <c r="O1454" s="15" t="n">
        <v>1.357932183368147</v>
      </c>
      <c r="P1454" s="15" t="n">
        <v>1.486154188716475</v>
      </c>
      <c r="Q1454" s="15" t="n">
        <v>0.005728769226960026</v>
      </c>
      <c r="R1454" s="15" t="n">
        <v>0.03711326230959478</v>
      </c>
      <c r="S1454" s="15" t="n">
        <v>0.005752873669863968</v>
      </c>
      <c r="T1454" s="42">
        <f>HIPERLINK($A$1 &amp; "\Dados\Imagem_perfil_1454.png", "Imagem_perfil_1454")</f>
        <v/>
      </c>
      <c r="U1454" s="42">
        <f>HIPERLINK($A$1 &amp; "\Dados\Results_airgap1454.txt", "Results_airgap1454")</f>
        <v/>
      </c>
      <c r="V1454" s="19" t="n"/>
      <c r="W1454" s="15" t="n">
        <v>1.887498695652174</v>
      </c>
      <c r="X1454" s="15" t="n">
        <v>1.009982119824445</v>
      </c>
      <c r="Y1454" s="15" t="n">
        <v>0.3240558477067531</v>
      </c>
      <c r="Z1454" s="15" t="n">
        <v>0</v>
      </c>
      <c r="AA1454" s="15" t="n">
        <v>0</v>
      </c>
      <c r="AB1454" s="15" t="n">
        <v>0.5638334708681807</v>
      </c>
      <c r="AC1454" s="15" t="n">
        <v>10.72768989110917</v>
      </c>
      <c r="AD1454" s="15" t="n">
        <v>48.36569851445515</v>
      </c>
      <c r="AE1454" s="15" t="n">
        <v>88.13642273927411</v>
      </c>
      <c r="AF1454" s="15" t="n">
        <v>121.4208028623224</v>
      </c>
      <c r="AH1454" s="42">
        <f>HIPERLINK($A$1 &amp; "\Dados\Magnet_fields_1454.txt.txt", "Magnet_fields_1454.txt")</f>
        <v/>
      </c>
      <c r="AI1454" t="n">
        <v>7098</v>
      </c>
      <c r="AJ1454" t="n">
        <v>29</v>
      </c>
      <c r="AK1454" s="42">
        <f>HIPERLINK($A$1 &amp; "\Dados\Magnet_3D_results_1454.txt.txt", "Magnet_3D_results_1454.txt")</f>
        <v/>
      </c>
      <c r="AL1454" s="42">
        <f>HIPERLINK($A$1 &amp; "\Dados\Magnet_fields_2D_1454.txt.txt", "Magnet_fields_2D_1454.txt")</f>
        <v/>
      </c>
    </row>
    <row r="1455">
      <c r="E1455" s="15" t="n">
        <v>126</v>
      </c>
      <c r="F1455" s="15" t="n">
        <v>171</v>
      </c>
      <c r="G1455" s="15" t="n">
        <v>367</v>
      </c>
      <c r="H1455" s="15" t="n">
        <v>41</v>
      </c>
      <c r="I1455" s="15" t="n">
        <v>169</v>
      </c>
      <c r="J1455" s="13" t="n">
        <v>25</v>
      </c>
      <c r="K1455" t="n">
        <v>55</v>
      </c>
      <c r="L1455" s="13" t="n">
        <v>2.6</v>
      </c>
      <c r="M1455" s="12" t="n"/>
      <c r="N1455" s="8" t="n">
        <v>1.440953188734683</v>
      </c>
      <c r="O1455" s="15" t="n">
        <v>1.241635476580733</v>
      </c>
      <c r="P1455" s="15" t="n">
        <v>1.378828103767847</v>
      </c>
      <c r="Q1455" s="15" t="n">
        <v>0.01435190022394963</v>
      </c>
      <c r="R1455" s="15" t="n">
        <v>0.05187794029054633</v>
      </c>
      <c r="S1455" s="15" t="n">
        <v>0.01444758922094427</v>
      </c>
      <c r="T1455" s="42">
        <f>HIPERLINK($A$1 &amp; "\Dados\Imagem_perfil_1455.png", "Imagem_perfil_1455")</f>
        <v/>
      </c>
      <c r="U1455" s="42">
        <f>HIPERLINK($A$1 &amp; "\Dados\Results_airgap1455.txt", "Results_airgap1455")</f>
        <v/>
      </c>
      <c r="V1455" s="19" t="n"/>
      <c r="W1455" s="15" t="n">
        <v>1.841859782608696</v>
      </c>
      <c r="X1455" s="15" t="n">
        <v>0.8809908675537476</v>
      </c>
      <c r="Y1455" s="15" t="n">
        <v>0.385224125352682</v>
      </c>
      <c r="Z1455" s="15" t="n">
        <v>0.001385425771006248</v>
      </c>
      <c r="AA1455" s="15" t="n">
        <v>0.007326163733678033</v>
      </c>
      <c r="AB1455" s="15" t="n">
        <v>2.47496560444819</v>
      </c>
      <c r="AC1455" s="15" t="n">
        <v>19.13805500047305</v>
      </c>
      <c r="AD1455" s="15" t="n">
        <v>58.47281794097605</v>
      </c>
      <c r="AE1455" s="15" t="n">
        <v>92.70503041322381</v>
      </c>
      <c r="AF1455" s="15" t="n">
        <v>125.5083265755949</v>
      </c>
      <c r="AH1455" s="42">
        <f>HIPERLINK($A$1 &amp; "\Dados\Magnet_fields_1455.txt.txt", "Magnet_fields_1455.txt")</f>
        <v/>
      </c>
      <c r="AI1455" t="n">
        <v>10782</v>
      </c>
      <c r="AJ1455" t="n">
        <v>30</v>
      </c>
      <c r="AK1455" s="42">
        <f>HIPERLINK($A$1 &amp; "\Dados\Magnet_3D_results_1455.txt.txt", "Magnet_3D_results_1455.txt")</f>
        <v/>
      </c>
      <c r="AL1455" s="42">
        <f>HIPERLINK($A$1 &amp; "\Dados\Magnet_fields_2D_1455.txt.txt", "Magnet_fields_2D_1455.txt")</f>
        <v/>
      </c>
    </row>
    <row r="1456">
      <c r="E1456" s="15" t="n">
        <v>145</v>
      </c>
      <c r="F1456" s="15" t="n">
        <v>185</v>
      </c>
      <c r="G1456" s="15" t="n">
        <v>371</v>
      </c>
      <c r="H1456" s="15" t="n">
        <v>45</v>
      </c>
      <c r="I1456" s="15" t="n">
        <v>149</v>
      </c>
      <c r="J1456" s="13" t="n">
        <v>25</v>
      </c>
      <c r="K1456" t="n">
        <v>55</v>
      </c>
      <c r="L1456" s="13" t="n">
        <v>2.6</v>
      </c>
      <c r="M1456" s="12" t="n"/>
      <c r="N1456" s="8" t="n">
        <v>1.408025902706783</v>
      </c>
      <c r="O1456" s="15" t="n">
        <v>1.145046139854375</v>
      </c>
      <c r="P1456" s="15" t="n">
        <v>1.324542012764671</v>
      </c>
      <c r="Q1456" s="15" t="n">
        <v>0.007732770393286287</v>
      </c>
      <c r="R1456" s="15" t="n">
        <v>0.0405346130490787</v>
      </c>
      <c r="S1456" s="15" t="n">
        <v>0.008179123881214093</v>
      </c>
      <c r="T1456" s="42">
        <f>HIPERLINK($A$1 &amp; "\Dados\Imagem_perfil_1456.png", "Imagem_perfil_1456")</f>
        <v/>
      </c>
      <c r="U1456" s="42">
        <f>HIPERLINK($A$1 &amp; "\Dados\Results_airgap1456.txt", "Results_airgap1456")</f>
        <v/>
      </c>
      <c r="V1456" s="19" t="n"/>
      <c r="W1456" s="15" t="n">
        <v>1.833649347826087</v>
      </c>
      <c r="X1456" s="15" t="n">
        <v>0.9001656964727998</v>
      </c>
      <c r="Y1456" s="15" t="n">
        <v>0.3522760690255618</v>
      </c>
      <c r="Z1456" s="15" t="n">
        <v>0</v>
      </c>
      <c r="AA1456" s="15" t="n">
        <v>0</v>
      </c>
      <c r="AB1456" s="15" t="n">
        <v>0.2886148161294669</v>
      </c>
      <c r="AC1456" s="15" t="n">
        <v>16.21128788244672</v>
      </c>
      <c r="AD1456" s="15" t="n">
        <v>61.52402241857413</v>
      </c>
      <c r="AE1456" s="15" t="n">
        <v>94.27772199389041</v>
      </c>
      <c r="AF1456" s="15" t="n">
        <v>125.7214017453436</v>
      </c>
      <c r="AH1456" s="42">
        <f>HIPERLINK($A$1 &amp; "\Dados\Magnet_fields_1456.txt.txt", "Magnet_fields_1456.txt")</f>
        <v/>
      </c>
      <c r="AI1456" t="n">
        <v>9347</v>
      </c>
      <c r="AJ1456" t="n">
        <v>30</v>
      </c>
      <c r="AK1456" s="42">
        <f>HIPERLINK($A$1 &amp; "\Dados\Magnet_3D_results_1456.txt.txt", "Magnet_3D_results_1456.txt")</f>
        <v/>
      </c>
      <c r="AL1456" s="42">
        <f>HIPERLINK($A$1 &amp; "\Dados\Magnet_fields_2D_1456.txt.txt", "Magnet_fields_2D_1456.txt")</f>
        <v/>
      </c>
    </row>
    <row r="1457">
      <c r="E1457" s="15" t="n">
        <v>122</v>
      </c>
      <c r="F1457" s="15" t="n">
        <v>170</v>
      </c>
      <c r="G1457" s="15" t="n">
        <v>392</v>
      </c>
      <c r="H1457" s="15" t="n">
        <v>34</v>
      </c>
      <c r="I1457" s="15" t="n">
        <v>177</v>
      </c>
      <c r="J1457" s="13" t="n">
        <v>25</v>
      </c>
      <c r="K1457" t="n">
        <v>40</v>
      </c>
      <c r="L1457" s="13" t="n">
        <v>2.6</v>
      </c>
      <c r="M1457" s="12" t="n"/>
      <c r="N1457" s="8" t="n">
        <v>1.343989853108829</v>
      </c>
      <c r="O1457" s="15" t="n">
        <v>1.182319672136814</v>
      </c>
      <c r="P1457" s="15" t="n">
        <v>1.296922622186765</v>
      </c>
      <c r="Q1457" s="15" t="n">
        <v>0.002090825304344423</v>
      </c>
      <c r="R1457" s="15" t="n">
        <v>0.04096447238187866</v>
      </c>
      <c r="S1457" s="15" t="n">
        <v>0.002364882470432394</v>
      </c>
      <c r="T1457" s="42">
        <f>HIPERLINK($A$1 &amp; "\Dados\Imagem_perfil_1457.png", "Imagem_perfil_1457")</f>
        <v/>
      </c>
      <c r="U1457" s="42">
        <f>HIPERLINK($A$1 &amp; "\Dados\Results_airgap1457.txt", "Results_airgap1457")</f>
        <v/>
      </c>
      <c r="V1457" s="19" t="n"/>
      <c r="W1457" s="15" t="n">
        <v>1.670871739130435</v>
      </c>
      <c r="X1457" s="15" t="n">
        <v>0.8311553333108302</v>
      </c>
      <c r="Y1457" s="15" t="n">
        <v>0.7063729973721417</v>
      </c>
      <c r="Z1457" s="15" t="n">
        <v>0.05643444998043231</v>
      </c>
      <c r="AA1457" s="15" t="n">
        <v>0.02185986776761202</v>
      </c>
      <c r="AB1457" s="15" t="n">
        <v>3.135182224614148</v>
      </c>
      <c r="AC1457" s="15" t="n">
        <v>12.94394739010108</v>
      </c>
      <c r="AD1457" s="15" t="n">
        <v>38.84306357790006</v>
      </c>
      <c r="AE1457" s="15" t="n">
        <v>80.46169957594313</v>
      </c>
      <c r="AF1457" s="15" t="n">
        <v>114.5738602836889</v>
      </c>
      <c r="AH1457" s="42">
        <f>HIPERLINK($A$1 &amp; "\Dados\Magnet_fields_1457.txt.txt", "Magnet_fields_1457.txt")</f>
        <v/>
      </c>
      <c r="AI1457" t="n">
        <v>8295</v>
      </c>
      <c r="AJ1457" t="n">
        <v>29</v>
      </c>
      <c r="AK1457" s="42">
        <f>HIPERLINK($A$1 &amp; "\Dados\Magnet_3D_results_1457.txt.txt", "Magnet_3D_results_1457.txt")</f>
        <v/>
      </c>
      <c r="AL1457" s="42">
        <f>HIPERLINK($A$1 &amp; "\Dados\Magnet_fields_2D_1457.txt.txt", "Magnet_fields_2D_1457.txt")</f>
        <v/>
      </c>
    </row>
    <row r="1458">
      <c r="E1458" s="15" t="n">
        <v>148</v>
      </c>
      <c r="F1458" s="15" t="n">
        <v>197</v>
      </c>
      <c r="G1458" s="15" t="n">
        <v>413</v>
      </c>
      <c r="H1458" s="15" t="n">
        <v>33</v>
      </c>
      <c r="I1458" s="15" t="n">
        <v>173</v>
      </c>
      <c r="J1458" s="13" t="n">
        <v>25</v>
      </c>
      <c r="K1458" t="n">
        <v>40</v>
      </c>
      <c r="L1458" s="13" t="n">
        <v>2.6</v>
      </c>
      <c r="M1458" s="12" t="n"/>
      <c r="N1458" s="8" t="n">
        <v>1.294228915805728</v>
      </c>
      <c r="O1458" s="15" t="n">
        <v>1.121730996673534</v>
      </c>
      <c r="P1458" s="15" t="n">
        <v>1.241295525605851</v>
      </c>
      <c r="Q1458" s="15" t="n">
        <v>0.001225523559184716</v>
      </c>
      <c r="R1458" s="15" t="n">
        <v>0.03258969061967754</v>
      </c>
      <c r="S1458" s="15" t="n">
        <v>0.001381105562049069</v>
      </c>
      <c r="T1458" s="42">
        <f>HIPERLINK($A$1 &amp; "\Dados\Imagem_perfil_1458.png", "Imagem_perfil_1458")</f>
        <v/>
      </c>
      <c r="U1458" s="42">
        <f>HIPERLINK($A$1 &amp; "\Dados\Results_airgap1458.txt", "Results_airgap1458")</f>
        <v/>
      </c>
      <c r="V1458" s="19" t="n"/>
      <c r="W1458" s="15" t="n">
        <v>1.636833478260869</v>
      </c>
      <c r="X1458" s="15" t="n">
        <v>0.7909958815485827</v>
      </c>
      <c r="Y1458" s="15" t="n">
        <v>0.6984123865708932</v>
      </c>
      <c r="Z1458" s="15" t="n">
        <v>0.01208718394346905</v>
      </c>
      <c r="AA1458" s="15" t="n">
        <v>1.153795413312491</v>
      </c>
      <c r="AB1458" s="15" t="n">
        <v>1.408891484888629</v>
      </c>
      <c r="AC1458" s="15" t="n">
        <v>8.178294420778219</v>
      </c>
      <c r="AD1458" s="15" t="n">
        <v>34.06542745099943</v>
      </c>
      <c r="AE1458" s="15" t="n">
        <v>79.52192193391897</v>
      </c>
      <c r="AF1458" s="15" t="n">
        <v>114.1472610827821</v>
      </c>
      <c r="AH1458" s="42">
        <f>HIPERLINK($A$1 &amp; "\Dados\Magnet_fields_1458.txt.txt", "Magnet_fields_1458.txt")</f>
        <v/>
      </c>
      <c r="AI1458" t="n">
        <v>8504</v>
      </c>
      <c r="AJ1458" t="n">
        <v>29</v>
      </c>
      <c r="AK1458" s="42">
        <f>HIPERLINK($A$1 &amp; "\Dados\Magnet_3D_results_1458.txt.txt", "Magnet_3D_results_1458.txt")</f>
        <v/>
      </c>
      <c r="AL1458" s="42">
        <f>HIPERLINK($A$1 &amp; "\Dados\Magnet_fields_2D_1458.txt.txt", "Magnet_fields_2D_1458.txt")</f>
        <v/>
      </c>
    </row>
    <row r="1459">
      <c r="E1459" s="15" t="n">
        <v>130</v>
      </c>
      <c r="F1459" s="15" t="n">
        <v>174</v>
      </c>
      <c r="G1459" s="15" t="n">
        <v>400</v>
      </c>
      <c r="H1459" s="15" t="n">
        <v>32</v>
      </c>
      <c r="I1459" s="15" t="n">
        <v>164</v>
      </c>
      <c r="J1459" s="13" t="n">
        <v>25</v>
      </c>
      <c r="K1459" t="n">
        <v>55</v>
      </c>
      <c r="L1459" s="13" t="n">
        <v>2.6</v>
      </c>
      <c r="M1459" s="12" t="n"/>
      <c r="N1459" s="8" t="n">
        <v>1.483250301793568</v>
      </c>
      <c r="O1459" s="15" t="n">
        <v>1.256569289878925</v>
      </c>
      <c r="P1459" s="15" t="n">
        <v>1.413111784169723</v>
      </c>
      <c r="Q1459" s="15" t="n">
        <v>0.01342324623760494</v>
      </c>
      <c r="R1459" s="15" t="n">
        <v>0.05868825127725923</v>
      </c>
      <c r="S1459" s="15" t="n">
        <v>0.01386753752556407</v>
      </c>
      <c r="T1459" s="42">
        <f>HIPERLINK($A$1 &amp; "\Dados\Imagem_perfil_1459.png", "Imagem_perfil_1459")</f>
        <v/>
      </c>
      <c r="U1459" s="42">
        <f>HIPERLINK($A$1 &amp; "\Dados\Results_airgap1459.txt", "Results_airgap1459")</f>
        <v/>
      </c>
      <c r="V1459" s="19" t="n"/>
      <c r="W1459" s="15" t="n">
        <v>1.971061304347825</v>
      </c>
      <c r="X1459" s="15" t="n">
        <v>0.9603802618395366</v>
      </c>
      <c r="Y1459" s="15" t="n">
        <v>0.2766251511313768</v>
      </c>
      <c r="Z1459" s="15" t="n">
        <v>0.02419906043304028</v>
      </c>
      <c r="AA1459" s="15" t="n">
        <v>0.1500987592569569</v>
      </c>
      <c r="AB1459" s="15" t="n">
        <v>1.277221403049257</v>
      </c>
      <c r="AC1459" s="15" t="n">
        <v>15.74750121005913</v>
      </c>
      <c r="AD1459" s="15" t="n">
        <v>63.19146363218533</v>
      </c>
      <c r="AE1459" s="15" t="n">
        <v>97.2664448851161</v>
      </c>
      <c r="AF1459" s="15" t="n">
        <v>127.3745988072848</v>
      </c>
      <c r="AH1459" s="42">
        <f>HIPERLINK($A$1 &amp; "\Dados\Magnet_fields_1459.txt.txt", "Magnet_fields_1459.txt")</f>
        <v/>
      </c>
      <c r="AI1459" t="n">
        <v>11350</v>
      </c>
      <c r="AJ1459" t="n">
        <v>30</v>
      </c>
      <c r="AK1459" s="42">
        <f>HIPERLINK($A$1 &amp; "\Dados\Magnet_3D_results_1459.txt.txt", "Magnet_3D_results_1459.txt")</f>
        <v/>
      </c>
      <c r="AL1459" s="42">
        <f>HIPERLINK($A$1 &amp; "\Dados\Magnet_fields_2D_1459.txt.txt", "Magnet_fields_2D_1459.txt")</f>
        <v/>
      </c>
    </row>
    <row r="1460">
      <c r="E1460" s="15" t="n">
        <v>145</v>
      </c>
      <c r="F1460" s="15" t="n">
        <v>177</v>
      </c>
      <c r="G1460" s="15" t="n">
        <v>422</v>
      </c>
      <c r="H1460" s="15" t="n">
        <v>28</v>
      </c>
      <c r="I1460" s="15" t="n">
        <v>173</v>
      </c>
      <c r="J1460" s="13" t="n">
        <v>25</v>
      </c>
      <c r="K1460" t="n">
        <v>55</v>
      </c>
      <c r="L1460" s="13" t="n">
        <v>2.6</v>
      </c>
      <c r="M1460" s="12" t="n"/>
      <c r="N1460" s="8" t="n">
        <v>1.707358068324463</v>
      </c>
      <c r="O1460" s="15" t="n">
        <v>1.506356397259969</v>
      </c>
      <c r="P1460" s="15" t="n">
        <v>1.643260060878813</v>
      </c>
      <c r="Q1460" s="15" t="n">
        <v>0.01529995748973812</v>
      </c>
      <c r="R1460" s="15" t="n">
        <v>0.05338856004283673</v>
      </c>
      <c r="S1460" s="15" t="n">
        <v>0.0152520546403745</v>
      </c>
      <c r="T1460" s="42">
        <f>HIPERLINK($A$1 &amp; "\Dados\Imagem_perfil_1460.png", "Imagem_perfil_1460")</f>
        <v/>
      </c>
      <c r="U1460" s="42">
        <f>HIPERLINK($A$1 &amp; "\Dados\Results_airgap1460.txt", "Results_airgap1460")</f>
        <v/>
      </c>
      <c r="V1460" s="19" t="n"/>
      <c r="W1460" s="15" t="n">
        <v>2.217936956521739</v>
      </c>
      <c r="X1460" s="15" t="n">
        <v>1.032975191641852</v>
      </c>
      <c r="Y1460" s="15" t="n">
        <v>0.09192138494378171</v>
      </c>
      <c r="Z1460" s="15" t="n">
        <v>0.02229874978260822</v>
      </c>
      <c r="AA1460" s="15" t="n">
        <v>4.71103199057478</v>
      </c>
      <c r="AB1460" s="15" t="n">
        <v>1.030509529292861</v>
      </c>
      <c r="AC1460" s="15" t="n">
        <v>13.96449389567612</v>
      </c>
      <c r="AD1460" s="15" t="n">
        <v>61.70995330664493</v>
      </c>
      <c r="AE1460" s="15" t="n">
        <v>97.70836590037602</v>
      </c>
      <c r="AF1460" s="15" t="n">
        <v>127.9785740641819</v>
      </c>
      <c r="AH1460" s="42">
        <f>HIPERLINK($A$1 &amp; "\Dados\Magnet_fields_1460.txt.txt", "Magnet_fields_1460.txt")</f>
        <v/>
      </c>
      <c r="AI1460" t="n">
        <v>13185</v>
      </c>
      <c r="AJ1460" t="n">
        <v>32</v>
      </c>
      <c r="AK1460" s="42">
        <f>HIPERLINK($A$1 &amp; "\Dados\Magnet_3D_results_1460.txt.txt", "Magnet_3D_results_1460.txt")</f>
        <v/>
      </c>
      <c r="AL1460" s="42">
        <f>HIPERLINK($A$1 &amp; "\Dados\Magnet_fields_2D_1460.txt.txt", "Magnet_fields_2D_1460.txt")</f>
        <v/>
      </c>
    </row>
    <row r="1461">
      <c r="E1461" s="15" t="n">
        <v>147</v>
      </c>
      <c r="F1461" s="15" t="n">
        <v>185</v>
      </c>
      <c r="G1461" s="15" t="n">
        <v>387</v>
      </c>
      <c r="H1461" s="15" t="n">
        <v>35</v>
      </c>
      <c r="I1461" s="15" t="n">
        <v>175</v>
      </c>
      <c r="J1461" s="13" t="n">
        <v>25</v>
      </c>
      <c r="K1461" t="n">
        <v>45</v>
      </c>
      <c r="L1461" s="13" t="n">
        <v>2.6</v>
      </c>
      <c r="M1461" s="12" t="n"/>
      <c r="N1461" s="8" t="n">
        <v>1.480101240090148</v>
      </c>
      <c r="O1461" s="15" t="n">
        <v>1.31043851576145</v>
      </c>
      <c r="P1461" s="15" t="n">
        <v>1.43280235847603</v>
      </c>
      <c r="Q1461" s="15" t="n">
        <v>0.002665518509271085</v>
      </c>
      <c r="R1461" s="15" t="n">
        <v>0.03279943915757686</v>
      </c>
      <c r="S1461" s="15" t="n">
        <v>0.002779548740867143</v>
      </c>
      <c r="T1461" s="42">
        <f>HIPERLINK($A$1 &amp; "\Dados\Imagem_perfil_1461.png", "Imagem_perfil_1461")</f>
        <v/>
      </c>
      <c r="U1461" s="42">
        <f>HIPERLINK($A$1 &amp; "\Dados\Results_airgap1461.txt", "Results_airgap1461")</f>
        <v/>
      </c>
      <c r="V1461" s="19" t="n"/>
      <c r="W1461" s="15" t="n">
        <v>1.823945434782609</v>
      </c>
      <c r="X1461" s="15" t="n">
        <v>0.9342828713564194</v>
      </c>
      <c r="Y1461" s="15" t="n">
        <v>0.4245628811305105</v>
      </c>
      <c r="Z1461" s="15" t="n">
        <v>0</v>
      </c>
      <c r="AA1461" s="15" t="n">
        <v>1.119319628781245</v>
      </c>
      <c r="AB1461" s="15" t="n">
        <v>0.2221241282210392</v>
      </c>
      <c r="AC1461" s="15" t="n">
        <v>7.250175715729054</v>
      </c>
      <c r="AD1461" s="15" t="n">
        <v>40.08072013079006</v>
      </c>
      <c r="AE1461" s="15" t="n">
        <v>83.46659261235445</v>
      </c>
      <c r="AF1461" s="15" t="n">
        <v>117.2650804121503</v>
      </c>
      <c r="AH1461" s="42">
        <f>HIPERLINK($A$1 &amp; "\Dados\Magnet_fields_1461.txt.txt", "Magnet_fields_1461.txt")</f>
        <v/>
      </c>
      <c r="AI1461" t="n">
        <v>6789</v>
      </c>
      <c r="AJ1461" t="n">
        <v>29</v>
      </c>
      <c r="AK1461" s="42">
        <f>HIPERLINK($A$1 &amp; "\Dados\Magnet_3D_results_1461.txt.txt", "Magnet_3D_results_1461.txt")</f>
        <v/>
      </c>
      <c r="AL1461" s="42">
        <f>HIPERLINK($A$1 &amp; "\Dados\Magnet_fields_2D_1461.txt.txt", "Magnet_fields_2D_1461.txt")</f>
        <v/>
      </c>
    </row>
    <row r="1462">
      <c r="E1462" s="15" t="n">
        <v>140</v>
      </c>
      <c r="F1462" s="15" t="n">
        <v>187</v>
      </c>
      <c r="G1462" s="15" t="n">
        <v>388</v>
      </c>
      <c r="H1462" s="15" t="n">
        <v>42</v>
      </c>
      <c r="I1462" s="15" t="n">
        <v>155</v>
      </c>
      <c r="J1462" s="13" t="n">
        <v>25</v>
      </c>
      <c r="K1462" t="n">
        <v>55</v>
      </c>
      <c r="L1462" s="13" t="n">
        <v>2.6</v>
      </c>
      <c r="M1462" s="12" t="n"/>
      <c r="N1462" s="8" t="n">
        <v>1.359863192155949</v>
      </c>
      <c r="O1462" s="15" t="n">
        <v>1.121543047885884</v>
      </c>
      <c r="P1462" s="15" t="n">
        <v>1.28180098152177</v>
      </c>
      <c r="Q1462" s="15" t="n">
        <v>0.01004612942486339</v>
      </c>
      <c r="R1462" s="15" t="n">
        <v>0.04934251762389147</v>
      </c>
      <c r="S1462" s="15" t="n">
        <v>0.01042609082908843</v>
      </c>
      <c r="T1462" s="42">
        <f>HIPERLINK($A$1 &amp; "\Dados\Imagem_perfil_1462.png", "Imagem_perfil_1462")</f>
        <v/>
      </c>
      <c r="U1462" s="42">
        <f>HIPERLINK($A$1 &amp; "\Dados\Results_airgap1462.txt", "Results_airgap1462")</f>
        <v/>
      </c>
      <c r="V1462" s="19" t="n"/>
      <c r="W1462" s="15" t="n">
        <v>1.807797608695652</v>
      </c>
      <c r="X1462" s="15" t="n">
        <v>0.8678836575574921</v>
      </c>
      <c r="Y1462" s="15" t="n">
        <v>0.3989591490115497</v>
      </c>
      <c r="Z1462" s="15" t="n">
        <v>0</v>
      </c>
      <c r="AA1462" s="15" t="n">
        <v>0</v>
      </c>
      <c r="AB1462" s="15" t="n">
        <v>0.2458870009993799</v>
      </c>
      <c r="AC1462" s="15" t="n">
        <v>16.15988374484543</v>
      </c>
      <c r="AD1462" s="15" t="n">
        <v>64.60310867530124</v>
      </c>
      <c r="AE1462" s="15" t="n">
        <v>96.21906249523718</v>
      </c>
      <c r="AF1462" s="15" t="n">
        <v>126.3495847557798</v>
      </c>
      <c r="AH1462" s="42">
        <f>HIPERLINK($A$1 &amp; "\Dados\Magnet_fields_1462.txt.txt", "Magnet_fields_1462.txt")</f>
        <v/>
      </c>
      <c r="AI1462" t="n">
        <v>10800</v>
      </c>
      <c r="AJ1462" t="n">
        <v>30</v>
      </c>
      <c r="AK1462" s="42">
        <f>HIPERLINK($A$1 &amp; "\Dados\Magnet_3D_results_1462.txt.txt", "Magnet_3D_results_1462.txt")</f>
        <v/>
      </c>
      <c r="AL1462" s="42">
        <f>HIPERLINK($A$1 &amp; "\Dados\Magnet_fields_2D_1462.txt.txt", "Magnet_fields_2D_1462.txt")</f>
        <v/>
      </c>
    </row>
    <row r="1463">
      <c r="E1463" s="15" t="n">
        <v>130</v>
      </c>
      <c r="F1463" s="15" t="n">
        <v>176</v>
      </c>
      <c r="G1463" s="15" t="n">
        <v>384</v>
      </c>
      <c r="H1463" s="15" t="n">
        <v>40</v>
      </c>
      <c r="I1463" s="15" t="n">
        <v>156</v>
      </c>
      <c r="J1463" s="13" t="n">
        <v>25</v>
      </c>
      <c r="K1463" t="n">
        <v>60</v>
      </c>
      <c r="L1463" s="13" t="n">
        <v>2.6</v>
      </c>
      <c r="M1463" s="12" t="n"/>
      <c r="N1463" s="8" t="n">
        <v>1.399600678339341</v>
      </c>
      <c r="O1463" s="15" t="n">
        <v>1.160784175551388</v>
      </c>
      <c r="P1463" s="15" t="n">
        <v>1.321801026060489</v>
      </c>
      <c r="Q1463" s="15" t="n">
        <v>0.02752535077812182</v>
      </c>
      <c r="R1463" s="15" t="n">
        <v>0.05960494245945231</v>
      </c>
      <c r="S1463" s="15" t="n">
        <v>0.0267513358110553</v>
      </c>
      <c r="T1463" s="42">
        <f>HIPERLINK($A$1 &amp; "\Dados\Imagem_perfil_1463.png", "Imagem_perfil_1463")</f>
        <v/>
      </c>
      <c r="U1463" s="42">
        <f>HIPERLINK($A$1 &amp; "\Dados\Results_airgap1463.txt", "Results_airgap1463")</f>
        <v/>
      </c>
      <c r="V1463" s="19" t="n"/>
      <c r="W1463" s="15" t="n">
        <v>1.891209782608695</v>
      </c>
      <c r="X1463" s="15" t="n">
        <v>0.9089784644772354</v>
      </c>
      <c r="Y1463" s="15" t="n">
        <v>0.3320898929787305</v>
      </c>
      <c r="Z1463" s="15" t="n">
        <v>0.007578106723549064</v>
      </c>
      <c r="AA1463" s="15" t="n">
        <v>0</v>
      </c>
      <c r="AB1463" s="15" t="n">
        <v>1.345099884767094</v>
      </c>
      <c r="AC1463" s="15" t="n">
        <v>18.93949058771904</v>
      </c>
      <c r="AD1463" s="15" t="n">
        <v>66.31215795374577</v>
      </c>
      <c r="AE1463" s="15" t="n">
        <v>98.92738410807273</v>
      </c>
      <c r="AF1463" s="15" t="n">
        <v>131.0878980974997</v>
      </c>
      <c r="AH1463" s="42">
        <f>HIPERLINK($A$1 &amp; "\Dados\Magnet_fields_1463.txt.txt", "Magnet_fields_1463.txt")</f>
        <v/>
      </c>
      <c r="AI1463" t="n">
        <v>8179</v>
      </c>
      <c r="AJ1463" t="n">
        <v>30</v>
      </c>
      <c r="AK1463" s="42">
        <f>HIPERLINK($A$1 &amp; "\Dados\Magnet_3D_results_1463.txt.txt", "Magnet_3D_results_1463.txt")</f>
        <v/>
      </c>
      <c r="AL1463" s="42">
        <f>HIPERLINK($A$1 &amp; "\Dados\Magnet_fields_2D_1463.txt.txt", "Magnet_fields_2D_1463.txt")</f>
        <v/>
      </c>
    </row>
    <row r="1464">
      <c r="E1464" s="15" t="n">
        <v>131</v>
      </c>
      <c r="F1464" s="15" t="n">
        <v>170</v>
      </c>
      <c r="G1464" s="15" t="n">
        <v>367</v>
      </c>
      <c r="H1464" s="15" t="n">
        <v>27</v>
      </c>
      <c r="I1464" s="15" t="n">
        <v>180</v>
      </c>
      <c r="J1464" s="13" t="n">
        <v>25</v>
      </c>
      <c r="K1464" t="n">
        <v>55</v>
      </c>
      <c r="L1464" s="13" t="n">
        <v>2.6</v>
      </c>
      <c r="M1464" s="12" t="n"/>
      <c r="N1464" s="8" t="n">
        <v>1.525836922044895</v>
      </c>
      <c r="O1464" s="15" t="n">
        <v>1.327555220431443</v>
      </c>
      <c r="P1464" s="15" t="n">
        <v>1.469106162343161</v>
      </c>
      <c r="Q1464" s="15" t="n">
        <v>0.01156369083141518</v>
      </c>
      <c r="R1464" s="15" t="n">
        <v>0.04287574606520551</v>
      </c>
      <c r="S1464" s="15" t="n">
        <v>0.01162514953059458</v>
      </c>
      <c r="T1464" s="42">
        <f>HIPERLINK($A$1 &amp; "\Dados\Imagem_perfil_1464.png", "Imagem_perfil_1464")</f>
        <v/>
      </c>
      <c r="U1464" s="42">
        <f>HIPERLINK($A$1 &amp; "\Dados\Results_airgap1464.txt", "Results_airgap1464")</f>
        <v/>
      </c>
      <c r="V1464" s="19" t="n"/>
      <c r="W1464" s="15" t="n">
        <v>1.918682608695652</v>
      </c>
      <c r="X1464" s="15" t="n">
        <v>0.9504679051555829</v>
      </c>
      <c r="Y1464" s="15" t="n">
        <v>0.2977762393027925</v>
      </c>
      <c r="Z1464" s="15" t="n">
        <v>0.01236663198757789</v>
      </c>
      <c r="AA1464" s="15" t="n">
        <v>5.156095166506756</v>
      </c>
      <c r="AB1464" s="15" t="n">
        <v>1.479206473094742</v>
      </c>
      <c r="AC1464" s="15" t="n">
        <v>15.68159742060022</v>
      </c>
      <c r="AD1464" s="15" t="n">
        <v>56.86386929078457</v>
      </c>
      <c r="AE1464" s="15" t="n">
        <v>93.01828151381083</v>
      </c>
      <c r="AF1464" s="15" t="n">
        <v>125.8459433538152</v>
      </c>
      <c r="AH1464" s="42">
        <f>HIPERLINK($A$1 &amp; "\Dados\Magnet_fields_1464.txt.txt", "Magnet_fields_1464.txt")</f>
        <v/>
      </c>
      <c r="AI1464" t="n">
        <v>13078</v>
      </c>
      <c r="AJ1464" t="n">
        <v>31</v>
      </c>
      <c r="AK1464" s="42">
        <f>HIPERLINK($A$1 &amp; "\Dados\Magnet_3D_results_1464.txt.txt", "Magnet_3D_results_1464.txt")</f>
        <v/>
      </c>
      <c r="AL1464" s="42">
        <f>HIPERLINK($A$1 &amp; "\Dados\Magnet_fields_2D_1464.txt.txt", "Magnet_fields_2D_1464.txt")</f>
        <v/>
      </c>
    </row>
    <row r="1465">
      <c r="E1465" s="15" t="n">
        <v>132</v>
      </c>
      <c r="F1465" s="15" t="n">
        <v>176</v>
      </c>
      <c r="G1465" s="15" t="n">
        <v>360</v>
      </c>
      <c r="H1465" s="15" t="n">
        <v>39</v>
      </c>
      <c r="I1465" s="15" t="n">
        <v>176</v>
      </c>
      <c r="J1465" s="13" t="n">
        <v>25</v>
      </c>
      <c r="K1465" t="n">
        <v>45</v>
      </c>
      <c r="L1465" s="13" t="n">
        <v>2.6</v>
      </c>
      <c r="M1465" s="12" t="n"/>
      <c r="N1465" s="8" t="n">
        <v>1.382274965218868</v>
      </c>
      <c r="O1465" s="15" t="n">
        <v>1.210743929397846</v>
      </c>
      <c r="P1465" s="15" t="n">
        <v>1.330284621659293</v>
      </c>
      <c r="Q1465" s="15" t="n">
        <v>0.002749577482553596</v>
      </c>
      <c r="R1465" s="15" t="n">
        <v>0.03506721263134259</v>
      </c>
      <c r="S1465" s="15" t="n">
        <v>0.00266853240858418</v>
      </c>
      <c r="T1465" s="42">
        <f>HIPERLINK($A$1 &amp; "\Dados\Imagem_perfil_1465.png", "Imagem_perfil_1465")</f>
        <v/>
      </c>
      <c r="U1465" s="42">
        <f>HIPERLINK($A$1 &amp; "\Dados\Results_airgap1465.txt", "Results_airgap1465")</f>
        <v/>
      </c>
      <c r="V1465" s="19" t="n"/>
      <c r="W1465" s="15" t="n">
        <v>1.690318478260869</v>
      </c>
      <c r="X1465" s="15" t="n">
        <v>0.8710677932785216</v>
      </c>
      <c r="Y1465" s="15" t="n">
        <v>0.6025437339464939</v>
      </c>
      <c r="Z1465" s="15" t="n">
        <v>0</v>
      </c>
      <c r="AA1465" s="15" t="n">
        <v>0</v>
      </c>
      <c r="AB1465" s="15" t="n">
        <v>1.897573916457727</v>
      </c>
      <c r="AC1465" s="15" t="n">
        <v>12.20212453136569</v>
      </c>
      <c r="AD1465" s="15" t="n">
        <v>42.24069037615976</v>
      </c>
      <c r="AE1465" s="15" t="n">
        <v>81.19224884008869</v>
      </c>
      <c r="AF1465" s="15" t="n">
        <v>116.0742893221664</v>
      </c>
      <c r="AH1465" s="42">
        <f>HIPERLINK($A$1 &amp; "\Dados\Magnet_fields_1465.txt.txt", "Magnet_fields_1465.txt")</f>
        <v/>
      </c>
      <c r="AI1465" t="n">
        <v>6622</v>
      </c>
      <c r="AJ1465" t="n">
        <v>28</v>
      </c>
      <c r="AK1465" s="42">
        <f>HIPERLINK($A$1 &amp; "\Dados\Magnet_3D_results_1465.txt.txt", "Magnet_3D_results_1465.txt")</f>
        <v/>
      </c>
      <c r="AL1465" s="42">
        <f>HIPERLINK($A$1 &amp; "\Dados\Magnet_fields_2D_1465.txt.txt", "Magnet_fields_2D_1465.txt")</f>
        <v/>
      </c>
    </row>
    <row r="1466">
      <c r="E1466" s="15" t="n">
        <v>148</v>
      </c>
      <c r="F1466" s="15" t="n">
        <v>194</v>
      </c>
      <c r="G1466" s="15" t="n">
        <v>383</v>
      </c>
      <c r="H1466" s="15" t="n">
        <v>35</v>
      </c>
      <c r="I1466" s="15" t="n">
        <v>170</v>
      </c>
      <c r="J1466" s="13" t="n">
        <v>25</v>
      </c>
      <c r="K1466" t="n">
        <v>40</v>
      </c>
      <c r="L1466" s="13" t="n">
        <v>2.6</v>
      </c>
      <c r="M1466" s="12" t="n"/>
      <c r="N1466" s="8" t="n">
        <v>1.275667730231485</v>
      </c>
      <c r="O1466" s="15" t="n">
        <v>1.102271113366221</v>
      </c>
      <c r="P1466" s="15" t="n">
        <v>1.227845789052506</v>
      </c>
      <c r="Q1466" s="15" t="n">
        <v>0.001020820277604675</v>
      </c>
      <c r="R1466" s="15" t="n">
        <v>0.02712939553138715</v>
      </c>
      <c r="S1466" s="15" t="n">
        <v>0.001226407919776292</v>
      </c>
      <c r="T1466" s="42">
        <f>HIPERLINK($A$1 &amp; "\Dados\Imagem_perfil_1466.png", "Imagem_perfil_1466")</f>
        <v/>
      </c>
      <c r="U1466" s="42">
        <f>HIPERLINK($A$1 &amp; "\Dados\Results_airgap1466.txt", "Results_airgap1466")</f>
        <v/>
      </c>
      <c r="V1466" s="19" t="n"/>
      <c r="W1466" s="15" t="n">
        <v>1.585833260869566</v>
      </c>
      <c r="X1466" s="15" t="n">
        <v>0.803877497617546</v>
      </c>
      <c r="Y1466" s="15" t="n">
        <v>0.7292687520932614</v>
      </c>
      <c r="Z1466" s="15" t="n">
        <v>0.007181670892417449</v>
      </c>
      <c r="AA1466" s="15" t="n">
        <v>0.5324397135626466</v>
      </c>
      <c r="AB1466" s="15" t="n">
        <v>0.4337844289106696</v>
      </c>
      <c r="AC1466" s="15" t="n">
        <v>5.983707974258771</v>
      </c>
      <c r="AD1466" s="15" t="n">
        <v>32.60010394044287</v>
      </c>
      <c r="AE1466" s="15" t="n">
        <v>78.79343607288601</v>
      </c>
      <c r="AF1466" s="15" t="n">
        <v>113.5282260009941</v>
      </c>
      <c r="AH1466" s="42">
        <f>HIPERLINK($A$1 &amp; "\Dados\Magnet_fields_1466.txt.txt", "Magnet_fields_1466.txt")</f>
        <v/>
      </c>
      <c r="AI1466" t="n">
        <v>7949</v>
      </c>
      <c r="AJ1466" t="n">
        <v>29</v>
      </c>
      <c r="AK1466" s="42">
        <f>HIPERLINK($A$1 &amp; "\Dados\Magnet_3D_results_1466.txt.txt", "Magnet_3D_results_1466.txt")</f>
        <v/>
      </c>
      <c r="AL1466" s="42">
        <f>HIPERLINK($A$1 &amp; "\Dados\Magnet_fields_2D_1466.txt.txt", "Magnet_fields_2D_1466.txt")</f>
        <v/>
      </c>
    </row>
    <row r="1467">
      <c r="E1467" s="15" t="n">
        <v>139</v>
      </c>
      <c r="F1467" s="15" t="n">
        <v>181</v>
      </c>
      <c r="G1467" s="15" t="n">
        <v>407</v>
      </c>
      <c r="H1467" s="15" t="n">
        <v>43</v>
      </c>
      <c r="I1467" s="15" t="n">
        <v>141</v>
      </c>
      <c r="J1467" s="13" t="n">
        <v>25</v>
      </c>
      <c r="K1467" t="n">
        <v>55</v>
      </c>
      <c r="L1467" s="13" t="n">
        <v>2.6</v>
      </c>
      <c r="M1467" s="12" t="n"/>
      <c r="N1467" s="8" t="n">
        <v>1.413594934531891</v>
      </c>
      <c r="O1467" s="15" t="n">
        <v>1.102264951508164</v>
      </c>
      <c r="P1467" s="15" t="n">
        <v>1.322097164914342</v>
      </c>
      <c r="Q1467" s="15" t="n">
        <v>0.01069324828785774</v>
      </c>
      <c r="R1467" s="15" t="n">
        <v>0.05396017433502195</v>
      </c>
      <c r="S1467" s="15" t="n">
        <v>0.01189812016580708</v>
      </c>
      <c r="T1467" s="42">
        <f>HIPERLINK($A$1 &amp; "\Dados\Imagem_perfil_1467.png", "Imagem_perfil_1467")</f>
        <v/>
      </c>
      <c r="U1467" s="42">
        <f>HIPERLINK($A$1 &amp; "\Dados\Results_airgap1467.txt", "Results_airgap1467")</f>
        <v/>
      </c>
      <c r="V1467" s="19" t="n"/>
      <c r="W1467" s="15" t="n">
        <v>1.966215217391305</v>
      </c>
      <c r="X1467" s="15" t="n">
        <v>0.9382340901866948</v>
      </c>
      <c r="Y1467" s="15" t="n">
        <v>0.2706652888347767</v>
      </c>
      <c r="Z1467" s="15" t="n">
        <v>0</v>
      </c>
      <c r="AA1467" s="15" t="n">
        <v>0.005265785754685275</v>
      </c>
      <c r="AB1467" s="15" t="n">
        <v>1.174958763892523</v>
      </c>
      <c r="AC1467" s="15" t="n">
        <v>12.55299397854276</v>
      </c>
      <c r="AD1467" s="15" t="n">
        <v>57.69821959479362</v>
      </c>
      <c r="AE1467" s="15" t="n">
        <v>95.51210990017454</v>
      </c>
      <c r="AF1467" s="15" t="n">
        <v>126.7931576622308</v>
      </c>
      <c r="AH1467" s="42">
        <f>HIPERLINK($A$1 &amp; "\Dados\Magnet_fields_1467.txt.txt", "Magnet_fields_1467.txt")</f>
        <v/>
      </c>
      <c r="AI1467" t="n">
        <v>10748</v>
      </c>
      <c r="AJ1467" t="n">
        <v>31</v>
      </c>
      <c r="AK1467" s="42">
        <f>HIPERLINK($A$1 &amp; "\Dados\Magnet_3D_results_1467.txt.txt", "Magnet_3D_results_1467.txt")</f>
        <v/>
      </c>
      <c r="AL1467" s="42">
        <f>HIPERLINK($A$1 &amp; "\Dados\Magnet_fields_2D_1467.txt.txt", "Magnet_fields_2D_1467.txt")</f>
        <v/>
      </c>
    </row>
    <row r="1468">
      <c r="E1468" s="15" t="n">
        <v>148</v>
      </c>
      <c r="F1468" s="15" t="n">
        <v>198</v>
      </c>
      <c r="G1468" s="15" t="n">
        <v>417</v>
      </c>
      <c r="H1468" s="15" t="n">
        <v>36</v>
      </c>
      <c r="I1468" s="15" t="n">
        <v>149</v>
      </c>
      <c r="J1468" s="13" t="n">
        <v>25</v>
      </c>
      <c r="K1468" t="n">
        <v>60</v>
      </c>
      <c r="L1468" s="13" t="n">
        <v>2.6</v>
      </c>
      <c r="M1468" s="12" t="n"/>
      <c r="N1468" s="8" t="n">
        <v>1.29468192067374</v>
      </c>
      <c r="O1468" s="15" t="n">
        <v>1.057861229675478</v>
      </c>
      <c r="P1468" s="15" t="n">
        <v>1.21786671587058</v>
      </c>
      <c r="Q1468" s="15" t="n">
        <v>0.01981178742121386</v>
      </c>
      <c r="R1468" s="15" t="n">
        <v>0.05448922533307364</v>
      </c>
      <c r="S1468" s="15" t="n">
        <v>0.02025497914818093</v>
      </c>
      <c r="T1468" s="42">
        <f>HIPERLINK($A$1 &amp; "\Dados\Imagem_perfil_1468.png", "Imagem_perfil_1468")</f>
        <v/>
      </c>
      <c r="U1468" s="42">
        <f>HIPERLINK($A$1 &amp; "\Dados\Results_airgap1468.txt", "Results_airgap1468")</f>
        <v/>
      </c>
      <c r="V1468" s="19" t="n"/>
      <c r="W1468" s="15" t="n">
        <v>1.833328478260869</v>
      </c>
      <c r="X1468" s="15" t="n">
        <v>0.8434527870301077</v>
      </c>
      <c r="Y1468" s="15" t="n">
        <v>0.3711631977577566</v>
      </c>
      <c r="Z1468" s="15" t="n">
        <v>0.02316415175260267</v>
      </c>
      <c r="AA1468" s="15" t="n">
        <v>1.224372744666145</v>
      </c>
      <c r="AB1468" s="15" t="n">
        <v>0.7141578495465636</v>
      </c>
      <c r="AC1468" s="15" t="n">
        <v>15.69885005943032</v>
      </c>
      <c r="AD1468" s="15" t="n">
        <v>65.5907368342816</v>
      </c>
      <c r="AE1468" s="15" t="n">
        <v>99.11605681855907</v>
      </c>
      <c r="AF1468" s="15" t="n">
        <v>130.8295588486841</v>
      </c>
      <c r="AH1468" s="42">
        <f>HIPERLINK($A$1 &amp; "\Dados\Magnet_fields_1468.txt.txt", "Magnet_fields_1468.txt")</f>
        <v/>
      </c>
      <c r="AI1468" t="n">
        <v>7773</v>
      </c>
      <c r="AJ1468" t="n">
        <v>30</v>
      </c>
      <c r="AK1468" s="42">
        <f>HIPERLINK($A$1 &amp; "\Dados\Magnet_3D_results_1468.txt.txt", "Magnet_3D_results_1468.txt")</f>
        <v/>
      </c>
      <c r="AL1468" s="42">
        <f>HIPERLINK($A$1 &amp; "\Dados\Magnet_fields_2D_1468.txt.txt", "Magnet_fields_2D_1468.txt")</f>
        <v/>
      </c>
    </row>
    <row r="1469">
      <c r="E1469" s="15" t="n">
        <v>137</v>
      </c>
      <c r="F1469" s="15" t="n">
        <v>173</v>
      </c>
      <c r="G1469" s="15" t="n">
        <v>406</v>
      </c>
      <c r="H1469" s="15" t="n">
        <v>28</v>
      </c>
      <c r="I1469" s="15" t="n">
        <v>146</v>
      </c>
      <c r="J1469" s="13" t="n">
        <v>25</v>
      </c>
      <c r="K1469" t="n">
        <v>50</v>
      </c>
      <c r="L1469" s="13" t="n">
        <v>2.6</v>
      </c>
      <c r="M1469" s="12" t="n"/>
      <c r="N1469" s="8" t="n">
        <v>1.504600198678388</v>
      </c>
      <c r="O1469" s="15" t="n">
        <v>1.212994997674971</v>
      </c>
      <c r="P1469" s="15" t="n">
        <v>1.410268751571162</v>
      </c>
      <c r="Q1469" s="15" t="n">
        <v>0.006437636564544075</v>
      </c>
      <c r="R1469" s="15" t="n">
        <v>0.04487478889275371</v>
      </c>
      <c r="S1469" s="15" t="n">
        <v>0.006584703893879599</v>
      </c>
      <c r="T1469" s="42">
        <f>HIPERLINK($A$1 &amp; "\Dados\Imagem_perfil_1469.png", "Imagem_perfil_1469")</f>
        <v/>
      </c>
      <c r="U1469" s="42">
        <f>HIPERLINK($A$1 &amp; "\Dados\Results_airgap1469.txt", "Results_airgap1469")</f>
        <v/>
      </c>
      <c r="V1469" s="19" t="n"/>
      <c r="W1469" s="15" t="n">
        <v>2.032673913043478</v>
      </c>
      <c r="X1469" s="15" t="n">
        <v>0.9642934144071924</v>
      </c>
      <c r="Y1469" s="15" t="n">
        <v>0.2379831942677963</v>
      </c>
      <c r="Z1469" s="15" t="n">
        <v>0</v>
      </c>
      <c r="AA1469" s="15" t="n">
        <v>3.824436806458113</v>
      </c>
      <c r="AB1469" s="15" t="n">
        <v>0.7537093451285646</v>
      </c>
      <c r="AC1469" s="15" t="n">
        <v>7.05494807226717</v>
      </c>
      <c r="AD1469" s="15" t="n">
        <v>47.99154262319766</v>
      </c>
      <c r="AE1469" s="15" t="n">
        <v>93.14314017070903</v>
      </c>
      <c r="AF1469" s="15" t="n">
        <v>123.4448353990159</v>
      </c>
      <c r="AH1469" s="42">
        <f>HIPERLINK($A$1 &amp; "\Dados\Magnet_fields_1469.txt.txt", "Magnet_fields_1469.txt")</f>
        <v/>
      </c>
      <c r="AI1469" t="n">
        <v>9030</v>
      </c>
      <c r="AJ1469" t="n">
        <v>29</v>
      </c>
      <c r="AK1469" s="42">
        <f>HIPERLINK($A$1 &amp; "\Dados\Magnet_3D_results_1469.txt.txt", "Magnet_3D_results_1469.txt")</f>
        <v/>
      </c>
      <c r="AL1469" s="42">
        <f>HIPERLINK($A$1 &amp; "\Dados\Magnet_fields_2D_1469.txt.txt", "Magnet_fields_2D_1469.txt")</f>
        <v/>
      </c>
    </row>
    <row r="1470">
      <c r="E1470" s="15" t="n">
        <v>143</v>
      </c>
      <c r="F1470" s="15" t="n">
        <v>174</v>
      </c>
      <c r="G1470" s="15" t="n">
        <v>395</v>
      </c>
      <c r="H1470" s="15" t="n">
        <v>36</v>
      </c>
      <c r="I1470" s="15" t="n">
        <v>158</v>
      </c>
      <c r="J1470" s="13" t="n">
        <v>25</v>
      </c>
      <c r="K1470" t="n">
        <v>55</v>
      </c>
      <c r="L1470" s="13" t="n">
        <v>2.6</v>
      </c>
      <c r="M1470" s="12" t="n"/>
      <c r="N1470" s="8" t="n">
        <v>1.656056793515956</v>
      </c>
      <c r="O1470" s="15" t="n">
        <v>1.394802334532044</v>
      </c>
      <c r="P1470" s="15" t="n">
        <v>1.579019959051712</v>
      </c>
      <c r="Q1470" s="15" t="n">
        <v>0.01312692923856071</v>
      </c>
      <c r="R1470" s="15" t="n">
        <v>0.04835720257165844</v>
      </c>
      <c r="S1470" s="15" t="n">
        <v>0.01365186517420549</v>
      </c>
      <c r="T1470" s="42">
        <f>HIPERLINK($A$1 &amp; "\Dados\Imagem_perfil_1470.png", "Imagem_perfil_1470")</f>
        <v/>
      </c>
      <c r="U1470" s="42">
        <f>HIPERLINK($A$1 &amp; "\Dados\Results_airgap1470.txt", "Results_airgap1470")</f>
        <v/>
      </c>
      <c r="V1470" s="19" t="n"/>
      <c r="W1470" s="15" t="n">
        <v>2.137232608695652</v>
      </c>
      <c r="X1470" s="15" t="n">
        <v>1.022357770309467</v>
      </c>
      <c r="Y1470" s="15" t="n">
        <v>0.1256220683076797</v>
      </c>
      <c r="Z1470" s="15" t="n">
        <v>0.007133404922552745</v>
      </c>
      <c r="AA1470" s="15" t="n">
        <v>0.03613790291385603</v>
      </c>
      <c r="AB1470" s="15" t="n">
        <v>0.4744238992911889</v>
      </c>
      <c r="AC1470" s="15" t="n">
        <v>13.23820880370312</v>
      </c>
      <c r="AD1470" s="15" t="n">
        <v>61.34796678910648</v>
      </c>
      <c r="AE1470" s="15" t="n">
        <v>97.34519750674711</v>
      </c>
      <c r="AF1470" s="15" t="n">
        <v>127.6785006102631</v>
      </c>
      <c r="AH1470" s="42">
        <f>HIPERLINK($A$1 &amp; "\Dados\Magnet_fields_1470.txt.txt", "Magnet_fields_1470.txt")</f>
        <v/>
      </c>
      <c r="AI1470" t="n">
        <v>11685</v>
      </c>
      <c r="AJ1470" t="n">
        <v>31</v>
      </c>
      <c r="AK1470" s="42">
        <f>HIPERLINK($A$1 &amp; "\Dados\Magnet_3D_results_1470.txt.txt", "Magnet_3D_results_1470.txt")</f>
        <v/>
      </c>
      <c r="AL1470" s="42">
        <f>HIPERLINK($A$1 &amp; "\Dados\Magnet_fields_2D_1470.txt.txt", "Magnet_fields_2D_1470.txt")</f>
        <v/>
      </c>
    </row>
    <row r="1471">
      <c r="E1471" s="15" t="n">
        <v>138</v>
      </c>
      <c r="F1471" s="15" t="n">
        <v>173</v>
      </c>
      <c r="G1471" s="15" t="n">
        <v>416</v>
      </c>
      <c r="H1471" s="15" t="n">
        <v>25</v>
      </c>
      <c r="I1471" s="15" t="n">
        <v>160</v>
      </c>
      <c r="J1471" s="13" t="n">
        <v>25</v>
      </c>
      <c r="K1471" t="n">
        <v>40</v>
      </c>
      <c r="L1471" s="13" t="n">
        <v>2.6</v>
      </c>
      <c r="M1471" s="12" t="n"/>
      <c r="N1471" s="8" t="n">
        <v>1.507810459054643</v>
      </c>
      <c r="O1471" s="15" t="n">
        <v>1.283978742558905</v>
      </c>
      <c r="P1471" s="15" t="n">
        <v>1.446351841788537</v>
      </c>
      <c r="Q1471" s="15" t="n">
        <v>0.002018237910035001</v>
      </c>
      <c r="R1471" s="15" t="n">
        <v>0.03312210727340982</v>
      </c>
      <c r="S1471" s="15" t="n">
        <v>0.002111049936144217</v>
      </c>
      <c r="T1471" s="42">
        <f>HIPERLINK($A$1 &amp; "\Dados\Imagem_perfil_1471.png", "Imagem_perfil_1471")</f>
        <v/>
      </c>
      <c r="U1471" s="42">
        <f>HIPERLINK($A$1 &amp; "\Dados\Results_airgap1471.txt", "Results_airgap1471")</f>
        <v/>
      </c>
      <c r="V1471" s="19" t="n"/>
      <c r="W1471" s="15" t="n">
        <v>1.919352173913044</v>
      </c>
      <c r="X1471" s="15" t="n">
        <v>0.9577367074588525</v>
      </c>
      <c r="Y1471" s="15" t="n">
        <v>0.4513324291918285</v>
      </c>
      <c r="Z1471" s="15" t="n">
        <v>0.003655994956040492</v>
      </c>
      <c r="AA1471" s="15" t="n">
        <v>3.931300951396585</v>
      </c>
      <c r="AB1471" s="15" t="n">
        <v>1.352236665945304</v>
      </c>
      <c r="AC1471" s="15" t="n">
        <v>7.856642038540223</v>
      </c>
      <c r="AD1471" s="15" t="n">
        <v>31.89119752336533</v>
      </c>
      <c r="AE1471" s="15" t="n">
        <v>76.0401959158697</v>
      </c>
      <c r="AF1471" s="15" t="n">
        <v>112.9550390308623</v>
      </c>
      <c r="AH1471" s="42">
        <f>HIPERLINK($A$1 &amp; "\Dados\Magnet_fields_1471.txt.txt", "Magnet_fields_1471.txt")</f>
        <v/>
      </c>
      <c r="AI1471" t="n">
        <v>10724</v>
      </c>
      <c r="AJ1471" t="n">
        <v>30</v>
      </c>
      <c r="AK1471" s="42">
        <f>HIPERLINK($A$1 &amp; "\Dados\Magnet_3D_results_1471.txt.txt", "Magnet_3D_results_1471.txt")</f>
        <v/>
      </c>
      <c r="AL1471" s="42">
        <f>HIPERLINK($A$1 &amp; "\Dados\Magnet_fields_2D_1471.txt.txt", "Magnet_fields_2D_1471.txt")</f>
        <v/>
      </c>
    </row>
    <row r="1472">
      <c r="E1472" s="15" t="n">
        <v>133</v>
      </c>
      <c r="F1472" s="15" t="n">
        <v>176</v>
      </c>
      <c r="G1472" s="15" t="n">
        <v>360</v>
      </c>
      <c r="H1472" s="15" t="n">
        <v>37</v>
      </c>
      <c r="I1472" s="15" t="n">
        <v>160</v>
      </c>
      <c r="J1472" s="13" t="n">
        <v>25</v>
      </c>
      <c r="K1472" t="n">
        <v>40</v>
      </c>
      <c r="L1472" s="13" t="n">
        <v>2.6</v>
      </c>
      <c r="M1472" s="12" t="n"/>
      <c r="N1472" s="8" t="n">
        <v>1.306263176979528</v>
      </c>
      <c r="O1472" s="15" t="n">
        <v>1.111071975301189</v>
      </c>
      <c r="P1472" s="15" t="n">
        <v>1.250276292698725</v>
      </c>
      <c r="Q1472" s="15" t="n">
        <v>0.00119022938262211</v>
      </c>
      <c r="R1472" s="15" t="n">
        <v>0.02925622662477092</v>
      </c>
      <c r="S1472" s="15" t="n">
        <v>0.001440530502629789</v>
      </c>
      <c r="T1472" s="42">
        <f>HIPERLINK($A$1 &amp; "\Dados\Imagem_perfil_1472.png", "Imagem_perfil_1472")</f>
        <v/>
      </c>
      <c r="U1472" s="42">
        <f>HIPERLINK($A$1 &amp; "\Dados\Results_airgap1472.txt", "Results_airgap1472")</f>
        <v/>
      </c>
      <c r="V1472" s="19" t="n"/>
      <c r="W1472" s="15" t="n">
        <v>1.624942173913043</v>
      </c>
      <c r="X1472" s="15" t="n">
        <v>0.8382817589512866</v>
      </c>
      <c r="Y1472" s="15" t="n">
        <v>0.7006292433304783</v>
      </c>
      <c r="Z1472" s="15" t="n">
        <v>0.01195489600193602</v>
      </c>
      <c r="AA1472" s="15" t="n">
        <v>0</v>
      </c>
      <c r="AB1472" s="15" t="n">
        <v>1.261866576613586</v>
      </c>
      <c r="AC1472" s="15" t="n">
        <v>8.082793958523785</v>
      </c>
      <c r="AD1472" s="15" t="n">
        <v>35.94002616550126</v>
      </c>
      <c r="AE1472" s="15" t="n">
        <v>79.92680364225353</v>
      </c>
      <c r="AF1472" s="15" t="n">
        <v>113.4237606929862</v>
      </c>
      <c r="AH1472" s="42">
        <f>HIPERLINK($A$1 &amp; "\Dados\Magnet_fields_1472.txt.txt", "Magnet_fields_1472.txt")</f>
        <v/>
      </c>
      <c r="AI1472" t="n">
        <v>7534</v>
      </c>
      <c r="AJ1472" t="n">
        <v>29</v>
      </c>
      <c r="AK1472" s="42">
        <f>HIPERLINK($A$1 &amp; "\Dados\Magnet_3D_results_1472.txt.txt", "Magnet_3D_results_1472.txt")</f>
        <v/>
      </c>
      <c r="AL1472" s="42">
        <f>HIPERLINK($A$1 &amp; "\Dados\Magnet_fields_2D_1472.txt.txt", "Magnet_fields_2D_1472.txt")</f>
        <v/>
      </c>
    </row>
    <row r="1473">
      <c r="E1473" s="15" t="n">
        <v>149</v>
      </c>
      <c r="F1473" s="15" t="n">
        <v>195</v>
      </c>
      <c r="G1473" s="15" t="n">
        <v>359</v>
      </c>
      <c r="H1473" s="15" t="n">
        <v>25</v>
      </c>
      <c r="I1473" s="15" t="n">
        <v>151</v>
      </c>
      <c r="J1473" s="13" t="n">
        <v>25</v>
      </c>
      <c r="K1473" t="n">
        <v>40</v>
      </c>
      <c r="L1473" s="13" t="n">
        <v>2.6</v>
      </c>
      <c r="M1473" s="12" t="n"/>
      <c r="N1473" s="8" t="n">
        <v>1.160961154387923</v>
      </c>
      <c r="O1473" s="15" t="n">
        <v>0.946944042206544</v>
      </c>
      <c r="P1473" s="15" t="n">
        <v>1.092572717693259</v>
      </c>
      <c r="Q1473" s="15" t="n">
        <v>0.0008005393878095249</v>
      </c>
      <c r="R1473" s="15" t="n">
        <v>0.01975089725219679</v>
      </c>
      <c r="S1473" s="15" t="n">
        <v>0.00127552927252862</v>
      </c>
      <c r="T1473" s="42">
        <f>HIPERLINK($A$1 &amp; "\Dados\Imagem_perfil_1473.png", "Imagem_perfil_1473")</f>
        <v/>
      </c>
      <c r="U1473" s="42">
        <f>HIPERLINK($A$1 &amp; "\Dados\Results_airgap1473.txt", "Results_airgap1473")</f>
        <v/>
      </c>
      <c r="V1473" s="19" t="n"/>
      <c r="W1473" s="15" t="n">
        <v>1.487015652173913</v>
      </c>
      <c r="X1473" s="15" t="n">
        <v>0.7280870319665768</v>
      </c>
      <c r="Y1473" s="15" t="n">
        <v>0.8306313058251732</v>
      </c>
      <c r="Z1473" s="15" t="n">
        <v>0.0007412938689359029</v>
      </c>
      <c r="AA1473" s="15" t="n">
        <v>3.561779148225128</v>
      </c>
      <c r="AB1473" s="15" t="n">
        <v>0</v>
      </c>
      <c r="AC1473" s="15" t="n">
        <v>4.388393883328069</v>
      </c>
      <c r="AD1473" s="15" t="n">
        <v>30.55132706076844</v>
      </c>
      <c r="AE1473" s="15" t="n">
        <v>77.04222770054933</v>
      </c>
      <c r="AF1473" s="15" t="n">
        <v>112.6596127483421</v>
      </c>
      <c r="AH1473" s="42">
        <f>HIPERLINK($A$1 &amp; "\Dados\Magnet_fields_1473.txt.txt", "Magnet_fields_1473.txt")</f>
        <v/>
      </c>
      <c r="AI1473" t="n">
        <v>9180</v>
      </c>
      <c r="AJ1473" t="n">
        <v>30</v>
      </c>
      <c r="AK1473" s="42">
        <f>HIPERLINK($A$1 &amp; "\Dados\Magnet_3D_results_1473.txt.txt", "Magnet_3D_results_1473.txt")</f>
        <v/>
      </c>
      <c r="AL1473" s="42">
        <f>HIPERLINK($A$1 &amp; "\Dados\Magnet_fields_2D_1473.txt.txt", "Magnet_fields_2D_1473.txt")</f>
        <v/>
      </c>
    </row>
    <row r="1474">
      <c r="E1474" s="15" t="n">
        <v>150</v>
      </c>
      <c r="F1474" s="15" t="n">
        <v>190</v>
      </c>
      <c r="G1474" s="15" t="n">
        <v>407</v>
      </c>
      <c r="H1474" s="15" t="n">
        <v>29</v>
      </c>
      <c r="I1474" s="15" t="n">
        <v>180</v>
      </c>
      <c r="J1474" s="13" t="n">
        <v>25</v>
      </c>
      <c r="K1474" t="n">
        <v>40</v>
      </c>
      <c r="L1474" s="13" t="n">
        <v>2.6</v>
      </c>
      <c r="M1474" s="12" t="n"/>
      <c r="N1474" s="8" t="n">
        <v>1.420174122860488</v>
      </c>
      <c r="O1474" s="15" t="n">
        <v>1.255411913653727</v>
      </c>
      <c r="P1474" s="15" t="n">
        <v>1.375061427210479</v>
      </c>
      <c r="Q1474" s="15" t="n">
        <v>0.001384861130975758</v>
      </c>
      <c r="R1474" s="15" t="n">
        <v>0.0292372310320235</v>
      </c>
      <c r="S1474" s="15" t="n">
        <v>0.001423574664748467</v>
      </c>
      <c r="T1474" s="42">
        <f>HIPERLINK($A$1 &amp; "\Dados\Imagem_perfil_1474.png", "Imagem_perfil_1474")</f>
        <v/>
      </c>
      <c r="U1474" s="42">
        <f>HIPERLINK($A$1 &amp; "\Dados\Results_airgap1474.txt", "Results_airgap1474")</f>
        <v/>
      </c>
      <c r="V1474" s="19" t="n"/>
      <c r="W1474" s="15" t="n">
        <v>1.750436739130435</v>
      </c>
      <c r="X1474" s="15" t="n">
        <v>0.8810761881269836</v>
      </c>
      <c r="Y1474" s="15" t="n">
        <v>0.5265827054709147</v>
      </c>
      <c r="Z1474" s="15" t="n">
        <v>0.001848938925585276</v>
      </c>
      <c r="AA1474" s="15" t="n">
        <v>2.432728551110176</v>
      </c>
      <c r="AB1474" s="15" t="n">
        <v>0.4682943685047178</v>
      </c>
      <c r="AC1474" s="15" t="n">
        <v>4.213169965674799</v>
      </c>
      <c r="AD1474" s="15" t="n">
        <v>29.74568561357244</v>
      </c>
      <c r="AE1474" s="15" t="n">
        <v>81.32225132318288</v>
      </c>
      <c r="AF1474" s="15" t="n">
        <v>114.967880622294</v>
      </c>
      <c r="AH1474" s="42">
        <f>HIPERLINK($A$1 &amp; "\Dados\Magnet_fields_1474.txt.txt", "Magnet_fields_1474.txt")</f>
        <v/>
      </c>
      <c r="AI1474" t="n">
        <v>9873</v>
      </c>
      <c r="AJ1474" t="n">
        <v>30</v>
      </c>
      <c r="AK1474" s="42">
        <f>HIPERLINK($A$1 &amp; "\Dados\Magnet_3D_results_1474.txt.txt", "Magnet_3D_results_1474.txt")</f>
        <v/>
      </c>
      <c r="AL1474" s="42">
        <f>HIPERLINK($A$1 &amp; "\Dados\Magnet_fields_2D_1474.txt.txt", "Magnet_fields_2D_1474.txt")</f>
        <v/>
      </c>
    </row>
    <row r="1475">
      <c r="E1475" s="15" t="n">
        <v>148</v>
      </c>
      <c r="F1475" s="15" t="n">
        <v>190</v>
      </c>
      <c r="G1475" s="15" t="n">
        <v>370</v>
      </c>
      <c r="H1475" s="15" t="n">
        <v>31</v>
      </c>
      <c r="I1475" s="15" t="n">
        <v>141</v>
      </c>
      <c r="J1475" s="13" t="n">
        <v>25</v>
      </c>
      <c r="K1475" t="n">
        <v>55</v>
      </c>
      <c r="L1475" s="13" t="n">
        <v>2.6</v>
      </c>
      <c r="M1475" s="12" t="n"/>
      <c r="N1475" s="8" t="n">
        <v>1.31551386611562</v>
      </c>
      <c r="O1475" s="15" t="n">
        <v>1.010173118392808</v>
      </c>
      <c r="P1475" s="15" t="n">
        <v>1.221784319926817</v>
      </c>
      <c r="Q1475" s="15" t="n">
        <v>0.006455716104623747</v>
      </c>
      <c r="R1475" s="15" t="n">
        <v>0.03447212492610068</v>
      </c>
      <c r="S1475" s="15" t="n">
        <v>0.007134560354495922</v>
      </c>
      <c r="T1475" s="42">
        <f>HIPERLINK($A$1 &amp; "\Dados\Imagem_perfil_1475.png", "Imagem_perfil_1475")</f>
        <v/>
      </c>
      <c r="U1475" s="42">
        <f>HIPERLINK($A$1 &amp; "\Dados\Results_airgap1475.txt", "Results_airgap1475")</f>
        <v/>
      </c>
      <c r="V1475" s="19" t="n"/>
      <c r="W1475" s="15" t="n">
        <v>1.763846521739131</v>
      </c>
      <c r="X1475" s="15" t="n">
        <v>0.8688447229105681</v>
      </c>
      <c r="Y1475" s="15" t="n">
        <v>0.4175390586711185</v>
      </c>
      <c r="Z1475" s="15" t="n">
        <v>0.01237969469136849</v>
      </c>
      <c r="AA1475" s="15" t="n">
        <v>1.474290976467427</v>
      </c>
      <c r="AB1475" s="15" t="n">
        <v>0</v>
      </c>
      <c r="AC1475" s="15" t="n">
        <v>14.14250522403039</v>
      </c>
      <c r="AD1475" s="15" t="n">
        <v>64.12216309775177</v>
      </c>
      <c r="AE1475" s="15" t="n">
        <v>95.62846149893123</v>
      </c>
      <c r="AF1475" s="15" t="n">
        <v>125.7586787953167</v>
      </c>
      <c r="AH1475" s="42">
        <f>HIPERLINK($A$1 &amp; "\Dados\Magnet_fields_1475.txt.txt", "Magnet_fields_1475.txt")</f>
        <v/>
      </c>
      <c r="AI1475" t="n">
        <v>11013</v>
      </c>
      <c r="AJ1475" t="n">
        <v>30</v>
      </c>
      <c r="AK1475" s="42">
        <f>HIPERLINK($A$1 &amp; "\Dados\Magnet_3D_results_1475.txt.txt", "Magnet_3D_results_1475.txt")</f>
        <v/>
      </c>
      <c r="AL1475" s="42">
        <f>HIPERLINK($A$1 &amp; "\Dados\Magnet_fields_2D_1475.txt.txt", "Magnet_fields_2D_1475.txt")</f>
        <v/>
      </c>
    </row>
    <row r="1476">
      <c r="E1476" s="15" t="n">
        <v>141</v>
      </c>
      <c r="F1476" s="15" t="n">
        <v>177</v>
      </c>
      <c r="G1476" s="15" t="n">
        <v>353</v>
      </c>
      <c r="H1476" s="15" t="n">
        <v>43</v>
      </c>
      <c r="I1476" s="15" t="n">
        <v>178</v>
      </c>
      <c r="J1476" s="13" t="n">
        <v>25</v>
      </c>
      <c r="K1476" t="n">
        <v>40</v>
      </c>
      <c r="L1476" s="13" t="n">
        <v>2.6</v>
      </c>
      <c r="M1476" s="12" t="n"/>
      <c r="N1476" s="8" t="n">
        <v>1.429353909757135</v>
      </c>
      <c r="O1476" s="15" t="n">
        <v>1.264202425172386</v>
      </c>
      <c r="P1476" s="15" t="n">
        <v>1.380233172642899</v>
      </c>
      <c r="Q1476" s="15" t="n">
        <v>0.001493495592345266</v>
      </c>
      <c r="R1476" s="15" t="n">
        <v>0.02499991103748183</v>
      </c>
      <c r="S1476" s="15" t="n">
        <v>0.001519992230550765</v>
      </c>
      <c r="T1476" s="42">
        <f>HIPERLINK($A$1 &amp; "\Dados\Imagem_perfil_1476.png", "Imagem_perfil_1476")</f>
        <v/>
      </c>
      <c r="U1476" s="42">
        <f>HIPERLINK($A$1 &amp; "\Dados\Results_airgap1476.txt", "Results_airgap1476")</f>
        <v/>
      </c>
      <c r="V1476" s="19" t="n"/>
      <c r="W1476" s="15" t="n">
        <v>1.681670652173913</v>
      </c>
      <c r="X1476" s="15" t="n">
        <v>0.8562999830530836</v>
      </c>
      <c r="Y1476" s="15" t="n">
        <v>0.6287642479769946</v>
      </c>
      <c r="Z1476" s="15" t="n">
        <v>0.004093458885626775</v>
      </c>
      <c r="AA1476" s="15" t="n">
        <v>0.007078194814309327</v>
      </c>
      <c r="AB1476" s="15" t="n">
        <v>0.1769871783013321</v>
      </c>
      <c r="AC1476" s="15" t="n">
        <v>5.258028159483416</v>
      </c>
      <c r="AD1476" s="15" t="n">
        <v>29.54780716764851</v>
      </c>
      <c r="AE1476" s="15" t="n">
        <v>74.03946629522615</v>
      </c>
      <c r="AF1476" s="15" t="n">
        <v>111.6571189629265</v>
      </c>
      <c r="AH1476" s="42">
        <f>HIPERLINK($A$1 &amp; "\Dados\Magnet_fields_1476.txt.txt", "Magnet_fields_1476.txt")</f>
        <v/>
      </c>
      <c r="AI1476" t="n">
        <v>7254</v>
      </c>
      <c r="AJ1476" t="n">
        <v>28</v>
      </c>
      <c r="AK1476" s="42">
        <f>HIPERLINK($A$1 &amp; "\Dados\Magnet_3D_results_1476.txt.txt", "Magnet_3D_results_1476.txt")</f>
        <v/>
      </c>
      <c r="AL1476" s="42">
        <f>HIPERLINK($A$1 &amp; "\Dados\Magnet_fields_2D_1476.txt.txt", "Magnet_fields_2D_1476.txt")</f>
        <v/>
      </c>
    </row>
    <row r="1477">
      <c r="E1477" s="15" t="n">
        <v>129</v>
      </c>
      <c r="F1477" s="15" t="n">
        <v>179</v>
      </c>
      <c r="G1477" s="15" t="n">
        <v>430</v>
      </c>
      <c r="H1477" s="15" t="n">
        <v>41</v>
      </c>
      <c r="I1477" s="15" t="n">
        <v>148</v>
      </c>
      <c r="J1477" s="13" t="n">
        <v>25</v>
      </c>
      <c r="K1477" t="n">
        <v>60</v>
      </c>
      <c r="L1477" s="13" t="n">
        <v>2.6</v>
      </c>
      <c r="M1477" s="12" t="n"/>
      <c r="N1477" s="8" t="n">
        <v>1.417111381010979</v>
      </c>
      <c r="O1477" s="15" t="n">
        <v>1.16217074538878</v>
      </c>
      <c r="P1477" s="15" t="n">
        <v>1.340310265147471</v>
      </c>
      <c r="Q1477" s="15" t="n">
        <v>0.0322084789928327</v>
      </c>
      <c r="R1477" s="15" t="n">
        <v>0.07798315947717738</v>
      </c>
      <c r="S1477" s="15" t="n">
        <v>0.03288770013458982</v>
      </c>
      <c r="T1477" s="42">
        <f>HIPERLINK($A$1 &amp; "\Dados\Imagem_perfil_1477.png", "Imagem_perfil_1477")</f>
        <v/>
      </c>
      <c r="U1477" s="42">
        <f>HIPERLINK($A$1 &amp; "\Dados\Results_airgap1477.txt", "Results_airgap1477")</f>
        <v/>
      </c>
      <c r="V1477" s="19" t="n"/>
      <c r="W1477" s="15" t="n">
        <v>2.052086086956522</v>
      </c>
      <c r="X1477" s="15" t="n">
        <v>0.9441145246704614</v>
      </c>
      <c r="Y1477" s="15" t="n">
        <v>0.2158160821384381</v>
      </c>
      <c r="Z1477" s="15" t="n">
        <v>0</v>
      </c>
      <c r="AA1477" s="15" t="n">
        <v>0</v>
      </c>
      <c r="AB1477" s="15" t="n">
        <v>3.760752370726271</v>
      </c>
      <c r="AC1477" s="15" t="n">
        <v>27.97973502033963</v>
      </c>
      <c r="AD1477" s="15" t="n">
        <v>69.88595302424983</v>
      </c>
      <c r="AE1477" s="15" t="n">
        <v>100.0908315708117</v>
      </c>
      <c r="AF1477" s="15" t="n">
        <v>132.2356608070338</v>
      </c>
      <c r="AH1477" s="42">
        <f>HIPERLINK($A$1 &amp; "\Dados\Magnet_fields_1477.txt.txt", "Magnet_fields_1477.txt")</f>
        <v/>
      </c>
      <c r="AI1477" t="n">
        <v>8056</v>
      </c>
      <c r="AJ1477" t="n">
        <v>29</v>
      </c>
      <c r="AK1477" s="42">
        <f>HIPERLINK($A$1 &amp; "\Dados\Magnet_3D_results_1477.txt.txt", "Magnet_3D_results_1477.txt")</f>
        <v/>
      </c>
      <c r="AL1477" s="42">
        <f>HIPERLINK($A$1 &amp; "\Dados\Magnet_fields_2D_1477.txt.txt", "Magnet_fields_2D_1477.txt")</f>
        <v/>
      </c>
    </row>
    <row r="1478">
      <c r="E1478" s="15" t="n">
        <v>140</v>
      </c>
      <c r="F1478" s="15" t="n">
        <v>186</v>
      </c>
      <c r="G1478" s="15" t="n">
        <v>351</v>
      </c>
      <c r="H1478" s="15" t="n">
        <v>41</v>
      </c>
      <c r="I1478" s="15" t="n">
        <v>155</v>
      </c>
      <c r="J1478" s="13" t="n">
        <v>25</v>
      </c>
      <c r="K1478" t="n">
        <v>55</v>
      </c>
      <c r="L1478" s="13" t="n">
        <v>2.6</v>
      </c>
      <c r="M1478" s="12" t="n"/>
      <c r="N1478" s="8" t="n">
        <v>1.286038477329763</v>
      </c>
      <c r="O1478" s="15" t="n">
        <v>1.047804868826002</v>
      </c>
      <c r="P1478" s="15" t="n">
        <v>1.213544730172669</v>
      </c>
      <c r="Q1478" s="15" t="n">
        <v>0.008094917292372591</v>
      </c>
      <c r="R1478" s="15" t="n">
        <v>0.0374481496527515</v>
      </c>
      <c r="S1478" s="15" t="n">
        <v>0.008696967266250801</v>
      </c>
      <c r="T1478" s="42">
        <f>HIPERLINK($A$1 &amp; "\Dados\Imagem_perfil_1478.png", "Imagem_perfil_1478")</f>
        <v/>
      </c>
      <c r="U1478" s="42">
        <f>HIPERLINK($A$1 &amp; "\Dados\Results_airgap1478.txt", "Results_airgap1478")</f>
        <v/>
      </c>
      <c r="V1478" s="19" t="n"/>
      <c r="W1478" s="15" t="n">
        <v>1.644132608695652</v>
      </c>
      <c r="X1478" s="15" t="n">
        <v>0.8240428056859322</v>
      </c>
      <c r="Y1478" s="15" t="n">
        <v>0.5490813848295623</v>
      </c>
      <c r="Z1478" s="15" t="n">
        <v>0.007281842263615282</v>
      </c>
      <c r="AA1478" s="15" t="n">
        <v>0</v>
      </c>
      <c r="AB1478" s="15" t="n">
        <v>0</v>
      </c>
      <c r="AC1478" s="15" t="n">
        <v>14.10845816385791</v>
      </c>
      <c r="AD1478" s="15" t="n">
        <v>63.61097273982593</v>
      </c>
      <c r="AE1478" s="15" t="n">
        <v>94.80466343634689</v>
      </c>
      <c r="AF1478" s="15" t="n">
        <v>125.021923381742</v>
      </c>
      <c r="AH1478" s="42">
        <f>HIPERLINK($A$1 &amp; "\Dados\Magnet_fields_1478.txt.txt", "Magnet_fields_1478.txt")</f>
        <v/>
      </c>
      <c r="AI1478" t="n">
        <v>10324</v>
      </c>
      <c r="AJ1478" t="n">
        <v>30</v>
      </c>
      <c r="AK1478" s="42">
        <f>HIPERLINK($A$1 &amp; "\Dados\Magnet_3D_results_1478.txt.txt", "Magnet_3D_results_1478.txt")</f>
        <v/>
      </c>
      <c r="AL1478" s="42">
        <f>HIPERLINK($A$1 &amp; "\Dados\Magnet_fields_2D_1478.txt.txt", "Magnet_fields_2D_1478.txt")</f>
        <v/>
      </c>
    </row>
    <row r="1479">
      <c r="E1479" s="15" t="n">
        <v>129</v>
      </c>
      <c r="F1479" s="15" t="n">
        <v>176</v>
      </c>
      <c r="G1479" s="15" t="n">
        <v>350</v>
      </c>
      <c r="H1479" s="15" t="n">
        <v>40</v>
      </c>
      <c r="I1479" s="15" t="n">
        <v>155</v>
      </c>
      <c r="J1479" s="13" t="n">
        <v>25</v>
      </c>
      <c r="K1479" t="n">
        <v>40</v>
      </c>
      <c r="L1479" s="13" t="n">
        <v>2.6</v>
      </c>
      <c r="M1479" s="12" t="n"/>
      <c r="N1479" s="8" t="n">
        <v>1.229881616461482</v>
      </c>
      <c r="O1479" s="15" t="n">
        <v>1.022953147574695</v>
      </c>
      <c r="P1479" s="15" t="n">
        <v>1.166235534569326</v>
      </c>
      <c r="Q1479" s="15" t="n">
        <v>0.001416699412594698</v>
      </c>
      <c r="R1479" s="15" t="n">
        <v>0.02876450175137102</v>
      </c>
      <c r="S1479" s="15" t="n">
        <v>0.001881947971062086</v>
      </c>
      <c r="T1479" s="42">
        <f>HIPERLINK($A$1 &amp; "\Dados\Imagem_perfil_1479.png", "Imagem_perfil_1479")</f>
        <v/>
      </c>
      <c r="U1479" s="42">
        <f>HIPERLINK($A$1 &amp; "\Dados\Results_airgap1479.txt", "Results_airgap1479")</f>
        <v/>
      </c>
      <c r="V1479" s="19" t="n"/>
      <c r="W1479" s="15" t="n">
        <v>1.538556304347826</v>
      </c>
      <c r="X1479" s="15" t="n">
        <v>0.7728121688441274</v>
      </c>
      <c r="Y1479" s="15" t="n">
        <v>0.861884856961401</v>
      </c>
      <c r="Z1479" s="15" t="n">
        <v>0.02784775617562867</v>
      </c>
      <c r="AA1479" s="15" t="n">
        <v>0.01067566383636489</v>
      </c>
      <c r="AB1479" s="15" t="n">
        <v>2.614581547420711</v>
      </c>
      <c r="AC1479" s="15" t="n">
        <v>12.36397871816111</v>
      </c>
      <c r="AD1479" s="15" t="n">
        <v>37.28984054070474</v>
      </c>
      <c r="AE1479" s="15" t="n">
        <v>74.76783979207951</v>
      </c>
      <c r="AF1479" s="15" t="n">
        <v>111.0734517628859</v>
      </c>
      <c r="AH1479" s="42">
        <f>HIPERLINK($A$1 &amp; "\Dados\Magnet_fields_1479.txt.txt", "Magnet_fields_1479.txt")</f>
        <v/>
      </c>
      <c r="AI1479" t="n">
        <v>7145</v>
      </c>
      <c r="AJ1479" t="n">
        <v>28</v>
      </c>
      <c r="AK1479" s="42">
        <f>HIPERLINK($A$1 &amp; "\Dados\Magnet_3D_results_1479.txt.txt", "Magnet_3D_results_1479.txt")</f>
        <v/>
      </c>
      <c r="AL1479" s="42">
        <f>HIPERLINK($A$1 &amp; "\Dados\Magnet_fields_2D_1479.txt.txt", "Magnet_fields_2D_1479.txt")</f>
        <v/>
      </c>
    </row>
    <row r="1480">
      <c r="E1480" s="15" t="n">
        <v>141</v>
      </c>
      <c r="F1480" s="15" t="n">
        <v>176</v>
      </c>
      <c r="G1480" s="15" t="n">
        <v>380</v>
      </c>
      <c r="H1480" s="15" t="n">
        <v>28</v>
      </c>
      <c r="I1480" s="15" t="n">
        <v>161</v>
      </c>
      <c r="J1480" s="13" t="n">
        <v>25</v>
      </c>
      <c r="K1480" t="n">
        <v>45</v>
      </c>
      <c r="L1480" s="13" t="n">
        <v>2.6</v>
      </c>
      <c r="M1480" s="12" t="n"/>
      <c r="N1480" s="8" t="n">
        <v>1.500411446040874</v>
      </c>
      <c r="O1480" s="15" t="n">
        <v>1.2706959131675</v>
      </c>
      <c r="P1480" s="15" t="n">
        <v>1.435043023792513</v>
      </c>
      <c r="Q1480" s="15" t="n">
        <v>0.003031673798268949</v>
      </c>
      <c r="R1480" s="15" t="n">
        <v>0.03176128692414996</v>
      </c>
      <c r="S1480" s="15" t="n">
        <v>0.003168310829891499</v>
      </c>
      <c r="T1480" s="42">
        <f>HIPERLINK($A$1 &amp; "\Dados\Imagem_perfil_1480.png", "Imagem_perfil_1480")</f>
        <v/>
      </c>
      <c r="U1480" s="42">
        <f>HIPERLINK($A$1 &amp; "\Dados\Results_airgap1480.txt", "Results_airgap1480")</f>
        <v/>
      </c>
      <c r="V1480" s="19" t="n"/>
      <c r="W1480" s="15" t="n">
        <v>1.889438043478261</v>
      </c>
      <c r="X1480" s="15" t="n">
        <v>0.9342668764726904</v>
      </c>
      <c r="Y1480" s="15" t="n">
        <v>0.3653770082554086</v>
      </c>
      <c r="Z1480" s="15" t="n">
        <v>0</v>
      </c>
      <c r="AA1480" s="15" t="n">
        <v>3.242103884115761</v>
      </c>
      <c r="AB1480" s="15" t="n">
        <v>0.3462086193971735</v>
      </c>
      <c r="AC1480" s="15" t="n">
        <v>7.260780717765829</v>
      </c>
      <c r="AD1480" s="15" t="n">
        <v>40.42542648119034</v>
      </c>
      <c r="AE1480" s="15" t="n">
        <v>84.06217950762792</v>
      </c>
      <c r="AF1480" s="15" t="n">
        <v>117.619359410701</v>
      </c>
      <c r="AH1480" s="42">
        <f>HIPERLINK($A$1 &amp; "\Dados\Magnet_fields_1480.txt.txt", "Magnet_fields_1480.txt")</f>
        <v/>
      </c>
      <c r="AI1480" t="n">
        <v>8139</v>
      </c>
      <c r="AJ1480" t="n">
        <v>29</v>
      </c>
      <c r="AK1480" s="42">
        <f>HIPERLINK($A$1 &amp; "\Dados\Magnet_3D_results_1480.txt.txt", "Magnet_3D_results_1480.txt")</f>
        <v/>
      </c>
      <c r="AL1480" s="42">
        <f>HIPERLINK($A$1 &amp; "\Dados\Magnet_fields_2D_1480.txt.txt", "Magnet_fields_2D_1480.txt")</f>
        <v/>
      </c>
    </row>
    <row r="1481">
      <c r="E1481" s="15" t="n">
        <v>131</v>
      </c>
      <c r="F1481" s="15" t="n">
        <v>178</v>
      </c>
      <c r="G1481" s="15" t="n">
        <v>358</v>
      </c>
      <c r="H1481" s="15" t="n">
        <v>36</v>
      </c>
      <c r="I1481" s="15" t="n">
        <v>151</v>
      </c>
      <c r="J1481" s="13" t="n">
        <v>25</v>
      </c>
      <c r="K1481" t="n">
        <v>40</v>
      </c>
      <c r="L1481" s="13" t="n">
        <v>2.6</v>
      </c>
      <c r="M1481" s="12" t="n"/>
      <c r="N1481" s="8" t="n">
        <v>1.227722722820568</v>
      </c>
      <c r="O1481" s="15" t="n">
        <v>0.9968661967307162</v>
      </c>
      <c r="P1481" s="15" t="n">
        <v>1.159014262524083</v>
      </c>
      <c r="Q1481" s="15" t="n">
        <v>0.001265391725673075</v>
      </c>
      <c r="R1481" s="15" t="n">
        <v>0.02909988823719012</v>
      </c>
      <c r="S1481" s="15" t="n">
        <v>0.001869149727128448</v>
      </c>
      <c r="T1481" s="42">
        <f>HIPERLINK($A$1 &amp; "\Dados\Imagem_perfil_1481.png", "Imagem_perfil_1481")</f>
        <v/>
      </c>
      <c r="U1481" s="42">
        <f>HIPERLINK($A$1 &amp; "\Dados\Results_airgap1481.txt", "Results_airgap1481")</f>
        <v/>
      </c>
      <c r="V1481" s="19" t="n"/>
      <c r="W1481" s="15" t="n">
        <v>1.561213695652174</v>
      </c>
      <c r="X1481" s="15" t="n">
        <v>0.781834191189888</v>
      </c>
      <c r="Y1481" s="15" t="n">
        <v>0.8317927947400923</v>
      </c>
      <c r="Z1481" s="15" t="n">
        <v>0.01728491453184944</v>
      </c>
      <c r="AA1481" s="15" t="n">
        <v>0.01581690540534185</v>
      </c>
      <c r="AB1481" s="15" t="n">
        <v>2.547429790411819</v>
      </c>
      <c r="AC1481" s="15" t="n">
        <v>12.36318716945901</v>
      </c>
      <c r="AD1481" s="15" t="n">
        <v>37.51601683666414</v>
      </c>
      <c r="AE1481" s="15" t="n">
        <v>75.27101856470325</v>
      </c>
      <c r="AF1481" s="15" t="n">
        <v>111.3252402584794</v>
      </c>
      <c r="AH1481" s="42">
        <f>HIPERLINK($A$1 &amp; "\Dados\Magnet_fields_1481.txt.txt", "Magnet_fields_1481.txt")</f>
        <v/>
      </c>
      <c r="AI1481" t="n">
        <v>7934</v>
      </c>
      <c r="AJ1481" t="n">
        <v>29</v>
      </c>
      <c r="AK1481" s="42">
        <f>HIPERLINK($A$1 &amp; "\Dados\Magnet_3D_results_1481.txt.txt", "Magnet_3D_results_1481.txt")</f>
        <v/>
      </c>
      <c r="AL1481" s="42">
        <f>HIPERLINK($A$1 &amp; "\Dados\Magnet_fields_2D_1481.txt.txt", "Magnet_fields_2D_1481.txt")</f>
        <v/>
      </c>
    </row>
    <row r="1482">
      <c r="E1482" s="15" t="n">
        <v>147</v>
      </c>
      <c r="F1482" s="15" t="n">
        <v>177</v>
      </c>
      <c r="G1482" s="15" t="n">
        <v>406</v>
      </c>
      <c r="H1482" s="15" t="n">
        <v>36</v>
      </c>
      <c r="I1482" s="15" t="n">
        <v>176</v>
      </c>
      <c r="J1482" s="13" t="n">
        <v>25</v>
      </c>
      <c r="K1482" t="n">
        <v>40</v>
      </c>
      <c r="L1482" s="13" t="n">
        <v>2.6</v>
      </c>
      <c r="M1482" s="12" t="n"/>
      <c r="N1482" s="8" t="n">
        <v>1.62902781234302</v>
      </c>
      <c r="O1482" s="15" t="n">
        <v>1.446540694367765</v>
      </c>
      <c r="P1482" s="15" t="n">
        <v>1.575701348415213</v>
      </c>
      <c r="Q1482" s="15" t="n">
        <v>0.002558512742361438</v>
      </c>
      <c r="R1482" s="15" t="n">
        <v>0.03156862904610842</v>
      </c>
      <c r="S1482" s="15" t="n">
        <v>0.002567480260661867</v>
      </c>
      <c r="T1482" s="42">
        <f>HIPERLINK($A$1 &amp; "\Dados\Imagem_perfil_1482.png", "Imagem_perfil_1482")</f>
        <v/>
      </c>
      <c r="U1482" s="42">
        <f>HIPERLINK($A$1 &amp; "\Dados\Results_airgap1482.txt", "Results_airgap1482")</f>
        <v/>
      </c>
      <c r="V1482" s="19" t="n"/>
      <c r="W1482" s="15" t="n">
        <v>1.966468043478261</v>
      </c>
      <c r="X1482" s="15" t="n">
        <v>0.991883348139556</v>
      </c>
      <c r="Y1482" s="15" t="n">
        <v>0.3089807539944205</v>
      </c>
      <c r="Z1482" s="15" t="n">
        <v>0</v>
      </c>
      <c r="AA1482" s="15" t="n">
        <v>1.399935242580864</v>
      </c>
      <c r="AB1482" s="15" t="n">
        <v>0</v>
      </c>
      <c r="AC1482" s="15" t="n">
        <v>2.829084456351316</v>
      </c>
      <c r="AD1482" s="15" t="n">
        <v>30.94814789780094</v>
      </c>
      <c r="AE1482" s="15" t="n">
        <v>82.92068419944633</v>
      </c>
      <c r="AF1482" s="15" t="n">
        <v>114.9998561332856</v>
      </c>
      <c r="AH1482" s="42">
        <f>HIPERLINK($A$1 &amp; "\Dados\Magnet_fields_1482.txt.txt", "Magnet_fields_1482.txt")</f>
        <v/>
      </c>
      <c r="AI1482" t="n">
        <v>8865</v>
      </c>
      <c r="AJ1482" t="n">
        <v>29</v>
      </c>
      <c r="AK1482" s="42">
        <f>HIPERLINK($A$1 &amp; "\Dados\Magnet_3D_results_1482.txt.txt", "Magnet_3D_results_1482.txt")</f>
        <v/>
      </c>
      <c r="AL1482" s="42">
        <f>HIPERLINK($A$1 &amp; "\Dados\Magnet_fields_2D_1482.txt.txt", "Magnet_fields_2D_1482.txt")</f>
        <v/>
      </c>
    </row>
    <row r="1483">
      <c r="E1483" s="15" t="n">
        <v>145</v>
      </c>
      <c r="F1483" s="15" t="n">
        <v>185</v>
      </c>
      <c r="G1483" s="15" t="n">
        <v>379</v>
      </c>
      <c r="H1483" s="15" t="n">
        <v>33</v>
      </c>
      <c r="I1483" s="15" t="n">
        <v>150</v>
      </c>
      <c r="J1483" s="13" t="n">
        <v>25</v>
      </c>
      <c r="K1483" t="n">
        <v>60</v>
      </c>
      <c r="L1483" s="13" t="n">
        <v>2.6</v>
      </c>
      <c r="M1483" s="12" t="n"/>
      <c r="N1483" s="8" t="n">
        <v>1.407515280462825</v>
      </c>
      <c r="O1483" s="15" t="n">
        <v>1.141628950023931</v>
      </c>
      <c r="P1483" s="15" t="n">
        <v>1.32983177048859</v>
      </c>
      <c r="Q1483" s="15" t="n">
        <v>0.01584275547820957</v>
      </c>
      <c r="R1483" s="15" t="n">
        <v>0.04357438694887344</v>
      </c>
      <c r="S1483" s="15" t="n">
        <v>0.01581892391414189</v>
      </c>
      <c r="T1483" s="42">
        <f>HIPERLINK($A$1 &amp; "\Dados\Imagem_perfil_1483.png", "Imagem_perfil_1483")</f>
        <v/>
      </c>
      <c r="U1483" s="42">
        <f>HIPERLINK($A$1 &amp; "\Dados\Results_airgap1483.txt", "Results_airgap1483")</f>
        <v/>
      </c>
      <c r="V1483" s="19" t="n"/>
      <c r="W1483" s="15" t="n">
        <v>1.883657608695652</v>
      </c>
      <c r="X1483" s="15" t="n">
        <v>0.9005361026386852</v>
      </c>
      <c r="Y1483" s="15" t="n">
        <v>0.3039085508996794</v>
      </c>
      <c r="Z1483" s="15" t="n">
        <v>0.007566753911736855</v>
      </c>
      <c r="AA1483" s="15" t="n">
        <v>1.610734417696256</v>
      </c>
      <c r="AB1483" s="15" t="n">
        <v>0</v>
      </c>
      <c r="AC1483" s="15" t="n">
        <v>18.11316498600899</v>
      </c>
      <c r="AD1483" s="15" t="n">
        <v>70.34877453857436</v>
      </c>
      <c r="AE1483" s="15" t="n">
        <v>99.89610186924652</v>
      </c>
      <c r="AF1483" s="15" t="n">
        <v>130.6609679672556</v>
      </c>
      <c r="AH1483" s="42">
        <f>HIPERLINK($A$1 &amp; "\Dados\Magnet_fields_1483.txt.txt", "Magnet_fields_1483.txt")</f>
        <v/>
      </c>
      <c r="AI1483" t="n">
        <v>8176</v>
      </c>
      <c r="AJ1483" t="n">
        <v>31</v>
      </c>
      <c r="AK1483" s="42">
        <f>HIPERLINK($A$1 &amp; "\Dados\Magnet_3D_results_1483.txt.txt", "Magnet_3D_results_1483.txt")</f>
        <v/>
      </c>
      <c r="AL1483" s="42">
        <f>HIPERLINK($A$1 &amp; "\Dados\Magnet_fields_2D_1483.txt.txt", "Magnet_fields_2D_1483.txt")</f>
        <v/>
      </c>
    </row>
    <row r="1484">
      <c r="E1484" s="15" t="n">
        <v>141</v>
      </c>
      <c r="F1484" s="15" t="n">
        <v>172</v>
      </c>
      <c r="G1484" s="15" t="n">
        <v>415</v>
      </c>
      <c r="H1484" s="15" t="n">
        <v>32</v>
      </c>
      <c r="I1484" s="15" t="n">
        <v>171</v>
      </c>
      <c r="J1484" s="13" t="n">
        <v>25</v>
      </c>
      <c r="K1484" t="n">
        <v>55</v>
      </c>
      <c r="L1484" s="13" t="n">
        <v>2.6</v>
      </c>
      <c r="M1484" s="12" t="n"/>
      <c r="N1484" s="8" t="n">
        <v>1.735363212875058</v>
      </c>
      <c r="O1484" s="15" t="n">
        <v>1.536060176146034</v>
      </c>
      <c r="P1484" s="15" t="n">
        <v>1.67058080073501</v>
      </c>
      <c r="Q1484" s="15" t="n">
        <v>0.01749757617812868</v>
      </c>
      <c r="R1484" s="15" t="n">
        <v>0.05627542824899443</v>
      </c>
      <c r="S1484" s="15" t="n">
        <v>0.01717517389970112</v>
      </c>
      <c r="T1484" s="42">
        <f>HIPERLINK($A$1 &amp; "\Dados\Imagem_perfil_1484.png", "Imagem_perfil_1484")</f>
        <v/>
      </c>
      <c r="U1484" s="42">
        <f>HIPERLINK($A$1 &amp; "\Dados\Results_airgap1484.txt", "Results_airgap1484")</f>
        <v/>
      </c>
      <c r="V1484" s="19" t="n"/>
      <c r="W1484" s="15" t="n">
        <v>2.244027391304348</v>
      </c>
      <c r="X1484" s="15" t="n">
        <v>1.084094100969411</v>
      </c>
      <c r="Y1484" s="15" t="n">
        <v>0.08153528507757413</v>
      </c>
      <c r="Z1484" s="15" t="n">
        <v>0.01795700108643166</v>
      </c>
      <c r="AA1484" s="15" t="n">
        <v>1.504230006040561</v>
      </c>
      <c r="AB1484" s="15" t="n">
        <v>1.096256860619223</v>
      </c>
      <c r="AC1484" s="15" t="n">
        <v>14.67718385144655</v>
      </c>
      <c r="AD1484" s="15" t="n">
        <v>62.00174420604069</v>
      </c>
      <c r="AE1484" s="15" t="n">
        <v>97.84238218439685</v>
      </c>
      <c r="AF1484" s="15" t="n">
        <v>128.0709313470053</v>
      </c>
      <c r="AH1484" s="42">
        <f>HIPERLINK($A$1 &amp; "\Dados\Magnet_fields_1484.txt.txt", "Magnet_fields_1484.txt")</f>
        <v/>
      </c>
      <c r="AI1484" t="n">
        <v>11982</v>
      </c>
      <c r="AJ1484" t="n">
        <v>32</v>
      </c>
      <c r="AK1484" s="42">
        <f>HIPERLINK($A$1 &amp; "\Dados\Magnet_3D_results_1484.txt.txt", "Magnet_3D_results_1484.txt")</f>
        <v/>
      </c>
      <c r="AL1484" s="42">
        <f>HIPERLINK($A$1 &amp; "\Dados\Magnet_fields_2D_1484.txt.txt", "Magnet_fields_2D_1484.txt")</f>
        <v/>
      </c>
    </row>
    <row r="1485">
      <c r="E1485" s="15" t="n">
        <v>135</v>
      </c>
      <c r="F1485" s="15" t="n">
        <v>173</v>
      </c>
      <c r="G1485" s="15" t="n">
        <v>364</v>
      </c>
      <c r="H1485" s="15" t="n">
        <v>36</v>
      </c>
      <c r="I1485" s="15" t="n">
        <v>155</v>
      </c>
      <c r="J1485" s="13" t="n">
        <v>25</v>
      </c>
      <c r="K1485" t="n">
        <v>55</v>
      </c>
      <c r="L1485" s="13" t="n">
        <v>2.6</v>
      </c>
      <c r="M1485" s="12" t="n"/>
      <c r="N1485" s="8" t="n">
        <v>1.457565454547878</v>
      </c>
      <c r="O1485" s="15" t="n">
        <v>1.216304946260701</v>
      </c>
      <c r="P1485" s="15" t="n">
        <v>1.38380861182663</v>
      </c>
      <c r="Q1485" s="15" t="n">
        <v>0.009654463264891302</v>
      </c>
      <c r="R1485" s="15" t="n">
        <v>0.04279428534829759</v>
      </c>
      <c r="S1485" s="15" t="n">
        <v>0.009757130515498709</v>
      </c>
      <c r="T1485" s="42">
        <f>HIPERLINK($A$1 &amp; "\Dados\Imagem_perfil_1485.png", "Imagem_perfil_1485")</f>
        <v/>
      </c>
      <c r="U1485" s="42">
        <f>HIPERLINK($A$1 &amp; "\Dados\Results_airgap1485.txt", "Results_airgap1485")</f>
        <v/>
      </c>
      <c r="V1485" s="19" t="n"/>
      <c r="W1485" s="15" t="n">
        <v>1.881927391304348</v>
      </c>
      <c r="X1485" s="15" t="n">
        <v>0.9404701346876245</v>
      </c>
      <c r="Y1485" s="15" t="n">
        <v>0.3114870055279121</v>
      </c>
      <c r="Z1485" s="15" t="n">
        <v>0.0248445804887905</v>
      </c>
      <c r="AA1485" s="15" t="n">
        <v>0.0005942246845809663</v>
      </c>
      <c r="AB1485" s="15" t="n">
        <v>0.1146043750501803</v>
      </c>
      <c r="AC1485" s="15" t="n">
        <v>10.66513888988991</v>
      </c>
      <c r="AD1485" s="15" t="n">
        <v>60.79398585644063</v>
      </c>
      <c r="AE1485" s="15" t="n">
        <v>96.51749695053336</v>
      </c>
      <c r="AF1485" s="15" t="n">
        <v>126.696610546711</v>
      </c>
      <c r="AH1485" s="42">
        <f>HIPERLINK($A$1 &amp; "\Dados\Magnet_fields_1485.txt.txt", "Magnet_fields_1485.txt")</f>
        <v/>
      </c>
      <c r="AI1485" t="n">
        <v>10682</v>
      </c>
      <c r="AJ1485" t="n">
        <v>30</v>
      </c>
      <c r="AK1485" s="42">
        <f>HIPERLINK($A$1 &amp; "\Dados\Magnet_3D_results_1485.txt.txt", "Magnet_3D_results_1485.txt")</f>
        <v/>
      </c>
      <c r="AL1485" s="42">
        <f>HIPERLINK($A$1 &amp; "\Dados\Magnet_fields_2D_1485.txt.txt", "Magnet_fields_2D_1485.txt")</f>
        <v/>
      </c>
    </row>
    <row r="1486">
      <c r="E1486" s="15" t="n">
        <v>130</v>
      </c>
      <c r="F1486" s="15" t="n">
        <v>179</v>
      </c>
      <c r="G1486" s="15" t="n">
        <v>380</v>
      </c>
      <c r="H1486" s="15" t="n">
        <v>45</v>
      </c>
      <c r="I1486" s="15" t="n">
        <v>141</v>
      </c>
      <c r="J1486" s="13" t="n">
        <v>25</v>
      </c>
      <c r="K1486" t="n">
        <v>40</v>
      </c>
      <c r="L1486" s="13" t="n">
        <v>2.6</v>
      </c>
      <c r="M1486" s="12" t="n"/>
      <c r="N1486" s="8" t="n">
        <v>1.210933115454299</v>
      </c>
      <c r="O1486" s="15" t="n">
        <v>0.9397641749934416</v>
      </c>
      <c r="P1486" s="15" t="n">
        <v>1.138204965553792</v>
      </c>
      <c r="Q1486" s="15" t="n">
        <v>0.001584710102332527</v>
      </c>
      <c r="R1486" s="15" t="n">
        <v>0.03425103391634296</v>
      </c>
      <c r="S1486" s="15" t="n">
        <v>0.002748920498067288</v>
      </c>
      <c r="T1486" s="42">
        <f>HIPERLINK($A$1 &amp; "\Dados\Imagem_perfil_1486.png", "Imagem_perfil_1486")</f>
        <v/>
      </c>
      <c r="U1486" s="42">
        <f>HIPERLINK($A$1 &amp; "\Dados\Results_airgap1486.txt", "Results_airgap1486")</f>
        <v/>
      </c>
      <c r="V1486" s="19" t="n"/>
      <c r="W1486" s="15" t="n">
        <v>1.610655869565218</v>
      </c>
      <c r="X1486" s="15" t="n">
        <v>0.8054907569396434</v>
      </c>
      <c r="Y1486" s="15" t="n">
        <v>0.7160414965382592</v>
      </c>
      <c r="Z1486" s="15" t="n">
        <v>0.008236717659875277</v>
      </c>
      <c r="AA1486" s="15" t="n">
        <v>0.009032675308162524</v>
      </c>
      <c r="AB1486" s="15" t="n">
        <v>2.373357391156549</v>
      </c>
      <c r="AC1486" s="15" t="n">
        <v>12.41153133039005</v>
      </c>
      <c r="AD1486" s="15" t="n">
        <v>42.06975701330804</v>
      </c>
      <c r="AE1486" s="15" t="n">
        <v>82.3271762613749</v>
      </c>
      <c r="AF1486" s="15" t="n">
        <v>114.2127013522227</v>
      </c>
      <c r="AH1486" s="42">
        <f>HIPERLINK($A$1 &amp; "\Dados\Magnet_fields_1486.txt.txt", "Magnet_fields_1486.txt")</f>
        <v/>
      </c>
      <c r="AI1486" t="n">
        <v>7059</v>
      </c>
      <c r="AJ1486" t="n">
        <v>28</v>
      </c>
      <c r="AK1486" s="42">
        <f>HIPERLINK($A$1 &amp; "\Dados\Magnet_3D_results_1486.txt.txt", "Magnet_3D_results_1486.txt")</f>
        <v/>
      </c>
      <c r="AL1486" s="42">
        <f>HIPERLINK($A$1 &amp; "\Dados\Magnet_fields_2D_1486.txt.txt", "Magnet_fields_2D_1486.txt")</f>
        <v/>
      </c>
    </row>
    <row r="1487">
      <c r="E1487" s="15" t="n">
        <v>140</v>
      </c>
      <c r="F1487" s="15" t="n">
        <v>178</v>
      </c>
      <c r="G1487" s="15" t="n">
        <v>399</v>
      </c>
      <c r="H1487" s="15" t="n">
        <v>31</v>
      </c>
      <c r="I1487" s="15" t="n">
        <v>171</v>
      </c>
      <c r="J1487" s="13" t="n">
        <v>25</v>
      </c>
      <c r="K1487" t="n">
        <v>40</v>
      </c>
      <c r="L1487" s="13" t="n">
        <v>2.6</v>
      </c>
      <c r="M1487" s="12" t="n"/>
      <c r="N1487" s="8" t="n">
        <v>1.462101878015802</v>
      </c>
      <c r="O1487" s="15" t="n">
        <v>1.284239789653826</v>
      </c>
      <c r="P1487" s="15" t="n">
        <v>1.409480321943713</v>
      </c>
      <c r="Q1487" s="15" t="n">
        <v>0.001652715577852139</v>
      </c>
      <c r="R1487" s="15" t="n">
        <v>0.03249703040547283</v>
      </c>
      <c r="S1487" s="15" t="n">
        <v>0.001690418862285523</v>
      </c>
      <c r="T1487" s="42">
        <f>HIPERLINK($A$1 &amp; "\Dados\Imagem_perfil_1487.png", "Imagem_perfil_1487")</f>
        <v/>
      </c>
      <c r="U1487" s="42">
        <f>HIPERLINK($A$1 &amp; "\Dados\Results_airgap1487.txt", "Results_airgap1487")</f>
        <v/>
      </c>
      <c r="V1487" s="19" t="n"/>
      <c r="W1487" s="15" t="n">
        <v>1.806808043478261</v>
      </c>
      <c r="X1487" s="15" t="n">
        <v>0.8958417973814692</v>
      </c>
      <c r="Y1487" s="15" t="n">
        <v>0.4850165277069279</v>
      </c>
      <c r="Z1487" s="15" t="n">
        <v>0.005918657803438288</v>
      </c>
      <c r="AA1487" s="15" t="n">
        <v>1.518610631587486</v>
      </c>
      <c r="AB1487" s="15" t="n">
        <v>1.011971501827817</v>
      </c>
      <c r="AC1487" s="15" t="n">
        <v>6.350513646860305</v>
      </c>
      <c r="AD1487" s="15" t="n">
        <v>31.71533462843445</v>
      </c>
      <c r="AE1487" s="15" t="n">
        <v>81.85005016217505</v>
      </c>
      <c r="AF1487" s="15" t="n">
        <v>115.1458311175924</v>
      </c>
      <c r="AH1487" s="42">
        <f>HIPERLINK($A$1 &amp; "\Dados\Magnet_fields_1487.txt.txt", "Magnet_fields_1487.txt")</f>
        <v/>
      </c>
      <c r="AI1487" t="n">
        <v>10065</v>
      </c>
      <c r="AJ1487" t="n">
        <v>30</v>
      </c>
      <c r="AK1487" s="42">
        <f>HIPERLINK($A$1 &amp; "\Dados\Magnet_3D_results_1487.txt.txt", "Magnet_3D_results_1487.txt")</f>
        <v/>
      </c>
      <c r="AL1487" s="42">
        <f>HIPERLINK($A$1 &amp; "\Dados\Magnet_fields_2D_1487.txt.txt", "Magnet_fields_2D_1487.txt")</f>
        <v/>
      </c>
    </row>
    <row r="1488">
      <c r="E1488" s="15" t="n">
        <v>150</v>
      </c>
      <c r="F1488" s="15" t="n">
        <v>194</v>
      </c>
      <c r="G1488" s="15" t="n">
        <v>360</v>
      </c>
      <c r="H1488" s="15" t="n">
        <v>33</v>
      </c>
      <c r="I1488" s="15" t="n">
        <v>164</v>
      </c>
      <c r="J1488" s="13" t="n">
        <v>25</v>
      </c>
      <c r="K1488" t="n">
        <v>55</v>
      </c>
      <c r="L1488" s="13" t="n">
        <v>2.6</v>
      </c>
      <c r="M1488" s="12" t="n"/>
      <c r="N1488" s="8" t="n">
        <v>1.312378155324249</v>
      </c>
      <c r="O1488" s="15" t="n">
        <v>1.087299828010348</v>
      </c>
      <c r="P1488" s="15" t="n">
        <v>1.24505758627965</v>
      </c>
      <c r="Q1488" s="15" t="n">
        <v>0.006354910760461995</v>
      </c>
      <c r="R1488" s="15" t="n">
        <v>0.03181033402903072</v>
      </c>
      <c r="S1488" s="15" t="n">
        <v>0.006562577907033152</v>
      </c>
      <c r="T1488" s="42">
        <f>HIPERLINK($A$1 &amp; "\Dados\Imagem_perfil_1488.png", "Imagem_perfil_1488")</f>
        <v/>
      </c>
      <c r="U1488" s="42">
        <f>HIPERLINK($A$1 &amp; "\Dados\Results_airgap1488.txt", "Results_airgap1488")</f>
        <v/>
      </c>
      <c r="V1488" s="19" t="n"/>
      <c r="W1488" s="15" t="n">
        <v>1.657574347826087</v>
      </c>
      <c r="X1488" s="15" t="n">
        <v>0.8501758028497673</v>
      </c>
      <c r="Y1488" s="15" t="n">
        <v>0.521151369348912</v>
      </c>
      <c r="Z1488" s="15" t="n">
        <v>0.01074405573288102</v>
      </c>
      <c r="AA1488" s="15" t="n">
        <v>1.43800882681087</v>
      </c>
      <c r="AB1488" s="15" t="n">
        <v>0</v>
      </c>
      <c r="AC1488" s="15" t="n">
        <v>13.29710643246819</v>
      </c>
      <c r="AD1488" s="15" t="n">
        <v>61.96891273458539</v>
      </c>
      <c r="AE1488" s="15" t="n">
        <v>94.07986551284408</v>
      </c>
      <c r="AF1488" s="15" t="n">
        <v>124.742391502292</v>
      </c>
      <c r="AH1488" s="42">
        <f>HIPERLINK($A$1 &amp; "\Dados\Magnet_fields_1488.txt.txt", "Magnet_fields_1488.txt")</f>
        <v/>
      </c>
      <c r="AI1488" t="n">
        <v>10778</v>
      </c>
      <c r="AJ1488" t="n">
        <v>30</v>
      </c>
      <c r="AK1488" s="42">
        <f>HIPERLINK($A$1 &amp; "\Dados\Magnet_3D_results_1488.txt.txt", "Magnet_3D_results_1488.txt")</f>
        <v/>
      </c>
      <c r="AL1488" s="42">
        <f>HIPERLINK($A$1 &amp; "\Dados\Magnet_fields_2D_1488.txt.txt", "Magnet_fields_2D_1488.txt")</f>
        <v/>
      </c>
    </row>
    <row r="1489">
      <c r="E1489" s="15" t="n">
        <v>144</v>
      </c>
      <c r="F1489" s="15" t="n">
        <v>194</v>
      </c>
      <c r="G1489" s="15" t="n">
        <v>376</v>
      </c>
      <c r="H1489" s="15" t="n">
        <v>41</v>
      </c>
      <c r="I1489" s="15" t="n">
        <v>140</v>
      </c>
      <c r="J1489" s="13" t="n">
        <v>25</v>
      </c>
      <c r="K1489" t="n">
        <v>50</v>
      </c>
      <c r="L1489" s="13" t="n">
        <v>2.6</v>
      </c>
      <c r="M1489" s="12" t="n"/>
      <c r="N1489" s="8" t="n">
        <v>1.183318711053667</v>
      </c>
      <c r="O1489" s="15" t="n">
        <v>0.9084453804148264</v>
      </c>
      <c r="P1489" s="15" t="n">
        <v>1.107770995940484</v>
      </c>
      <c r="Q1489" s="15" t="n">
        <v>0.004523366416466602</v>
      </c>
      <c r="R1489" s="15" t="n">
        <v>0.03623777921670327</v>
      </c>
      <c r="S1489" s="15" t="n">
        <v>0.005689008671515085</v>
      </c>
      <c r="T1489" s="42">
        <f>HIPERLINK($A$1 &amp; "\Dados\Imagem_perfil_1489.png", "Imagem_perfil_1489")</f>
        <v/>
      </c>
      <c r="U1489" s="42">
        <f>HIPERLINK($A$1 &amp; "\Dados\Results_airgap1489.txt", "Results_airgap1489")</f>
        <v/>
      </c>
      <c r="V1489" s="19" t="n"/>
      <c r="W1489" s="15" t="n">
        <v>1.624366086956521</v>
      </c>
      <c r="X1489" s="15" t="n">
        <v>0.778735921118976</v>
      </c>
      <c r="Y1489" s="15" t="n">
        <v>0.616523550325526</v>
      </c>
      <c r="Z1489" s="15" t="n">
        <v>0.0002998209280057364</v>
      </c>
      <c r="AA1489" s="15" t="n">
        <v>0.0001648415144273342</v>
      </c>
      <c r="AB1489" s="15" t="n">
        <v>0.9248300654635173</v>
      </c>
      <c r="AC1489" s="15" t="n">
        <v>10.82634230485712</v>
      </c>
      <c r="AD1489" s="15" t="n">
        <v>48.38496177630833</v>
      </c>
      <c r="AE1489" s="15" t="n">
        <v>87.54588755896314</v>
      </c>
      <c r="AF1489" s="15" t="n">
        <v>120.5000555085877</v>
      </c>
      <c r="AH1489" s="42">
        <f>HIPERLINK($A$1 &amp; "\Dados\Magnet_fields_1489.txt.txt", "Magnet_fields_1489.txt")</f>
        <v/>
      </c>
      <c r="AI1489" t="n">
        <v>6492</v>
      </c>
      <c r="AJ1489" t="n">
        <v>29</v>
      </c>
      <c r="AK1489" s="42">
        <f>HIPERLINK($A$1 &amp; "\Dados\Magnet_3D_results_1489.txt.txt", "Magnet_3D_results_1489.txt")</f>
        <v/>
      </c>
      <c r="AL1489" s="42">
        <f>HIPERLINK($A$1 &amp; "\Dados\Magnet_fields_2D_1489.txt.txt", "Magnet_fields_2D_1489.txt")</f>
        <v/>
      </c>
    </row>
    <row r="1490">
      <c r="E1490" s="15" t="n">
        <v>134</v>
      </c>
      <c r="F1490" s="15" t="n">
        <v>174</v>
      </c>
      <c r="G1490" s="15" t="n">
        <v>387</v>
      </c>
      <c r="H1490" s="15" t="n">
        <v>41</v>
      </c>
      <c r="I1490" s="15" t="n">
        <v>143</v>
      </c>
      <c r="J1490" s="13" t="n">
        <v>25</v>
      </c>
      <c r="K1490" t="n">
        <v>45</v>
      </c>
      <c r="L1490" s="13" t="n">
        <v>2.6</v>
      </c>
      <c r="M1490" s="12" t="n"/>
      <c r="N1490" s="8" t="n">
        <v>1.389605677961529</v>
      </c>
      <c r="O1490" s="15" t="n">
        <v>1.113653346781646</v>
      </c>
      <c r="P1490" s="15" t="n">
        <v>1.311367202401539</v>
      </c>
      <c r="Q1490" s="15" t="n">
        <v>0.002779121191657396</v>
      </c>
      <c r="R1490" s="15" t="n">
        <v>0.03922808151966091</v>
      </c>
      <c r="S1490" s="15" t="n">
        <v>0.003555948129915579</v>
      </c>
      <c r="T1490" s="42">
        <f>HIPERLINK($A$1 &amp; "\Dados\Imagem_perfil_1490.png", "Imagem_perfil_1490")</f>
        <v/>
      </c>
      <c r="U1490" s="42">
        <f>HIPERLINK($A$1 &amp; "\Dados\Results_airgap1490.txt", "Results_airgap1490")</f>
        <v/>
      </c>
      <c r="V1490" s="19" t="n"/>
      <c r="W1490" s="15" t="n">
        <v>1.854091956521739</v>
      </c>
      <c r="X1490" s="15" t="n">
        <v>0.8871400875110372</v>
      </c>
      <c r="Y1490" s="15" t="n">
        <v>0.4339395833330718</v>
      </c>
      <c r="Z1490" s="15" t="n">
        <v>0</v>
      </c>
      <c r="AA1490" s="15" t="n">
        <v>0</v>
      </c>
      <c r="AB1490" s="15" t="n">
        <v>1.631105354228211</v>
      </c>
      <c r="AC1490" s="15" t="n">
        <v>10.47016309273747</v>
      </c>
      <c r="AD1490" s="15" t="n">
        <v>41.90654556157253</v>
      </c>
      <c r="AE1490" s="15" t="n">
        <v>83.45253930334448</v>
      </c>
      <c r="AF1490" s="15" t="n">
        <v>117.3825586014103</v>
      </c>
      <c r="AH1490" s="42">
        <f>HIPERLINK($A$1 &amp; "\Dados\Magnet_fields_1490.txt.txt", "Magnet_fields_1490.txt")</f>
        <v/>
      </c>
      <c r="AI1490" t="n">
        <v>6458</v>
      </c>
      <c r="AJ1490" t="n">
        <v>28</v>
      </c>
      <c r="AK1490" s="42">
        <f>HIPERLINK($A$1 &amp; "\Dados\Magnet_3D_results_1490.txt.txt", "Magnet_3D_results_1490.txt")</f>
        <v/>
      </c>
      <c r="AL1490" s="42">
        <f>HIPERLINK($A$1 &amp; "\Dados\Magnet_fields_2D_1490.txt.txt", "Magnet_fields_2D_1490.txt")</f>
        <v/>
      </c>
    </row>
    <row r="1491">
      <c r="E1491" s="15" t="n">
        <v>144</v>
      </c>
      <c r="F1491" s="15" t="n">
        <v>194</v>
      </c>
      <c r="G1491" s="15" t="n">
        <v>408</v>
      </c>
      <c r="H1491" s="15" t="n">
        <v>44</v>
      </c>
      <c r="I1491" s="15" t="n">
        <v>179</v>
      </c>
      <c r="J1491" s="13" t="n">
        <v>25</v>
      </c>
      <c r="K1491" t="n">
        <v>40</v>
      </c>
      <c r="L1491" s="13" t="n">
        <v>2.6</v>
      </c>
      <c r="M1491" s="12" t="n"/>
      <c r="N1491" s="8" t="n">
        <v>1.303142013590028</v>
      </c>
      <c r="O1491" s="15" t="n">
        <v>1.155241090257665</v>
      </c>
      <c r="P1491" s="15" t="n">
        <v>1.259306063944247</v>
      </c>
      <c r="Q1491" s="15" t="n">
        <v>0.001318849887690954</v>
      </c>
      <c r="R1491" s="15" t="n">
        <v>0.03486225706716184</v>
      </c>
      <c r="S1491" s="15" t="n">
        <v>0.001497556433074383</v>
      </c>
      <c r="T1491" s="42">
        <f>HIPERLINK($A$1 &amp; "\Dados\Imagem_perfil_1491.png", "Imagem_perfil_1491")</f>
        <v/>
      </c>
      <c r="U1491" s="42">
        <f>HIPERLINK($A$1 &amp; "\Dados\Results_airgap1491.txt", "Results_airgap1491")</f>
        <v/>
      </c>
      <c r="V1491" s="19" t="n"/>
      <c r="W1491" s="15" t="n">
        <v>1.624320652173913</v>
      </c>
      <c r="X1491" s="15" t="n">
        <v>0.8101917410995071</v>
      </c>
      <c r="Y1491" s="15" t="n">
        <v>0.7464742223002137</v>
      </c>
      <c r="Z1491" s="15" t="n">
        <v>0.02168759490069765</v>
      </c>
      <c r="AA1491" s="15" t="n">
        <v>0.007814489607777145</v>
      </c>
      <c r="AB1491" s="15" t="n">
        <v>2.074432626591082</v>
      </c>
      <c r="AC1491" s="15" t="n">
        <v>10.539935223957</v>
      </c>
      <c r="AD1491" s="15" t="n">
        <v>35.93325333574264</v>
      </c>
      <c r="AE1491" s="15" t="n">
        <v>77.47545270041333</v>
      </c>
      <c r="AF1491" s="15" t="n">
        <v>112.962864891461</v>
      </c>
      <c r="AH1491" s="42">
        <f>HIPERLINK($A$1 &amp; "\Dados\Magnet_fields_1491.txt.txt", "Magnet_fields_1491.txt")</f>
        <v/>
      </c>
      <c r="AI1491" t="n">
        <v>7736</v>
      </c>
      <c r="AJ1491" t="n">
        <v>29</v>
      </c>
      <c r="AK1491" s="42">
        <f>HIPERLINK($A$1 &amp; "\Dados\Magnet_3D_results_1491.txt.txt", "Magnet_3D_results_1491.txt")</f>
        <v/>
      </c>
      <c r="AL1491" s="42">
        <f>HIPERLINK($A$1 &amp; "\Dados\Magnet_fields_2D_1491.txt.txt", "Magnet_fields_2D_1491.txt")</f>
        <v/>
      </c>
    </row>
    <row r="1492">
      <c r="E1492" s="15" t="n">
        <v>149</v>
      </c>
      <c r="F1492" s="15" t="n">
        <v>186</v>
      </c>
      <c r="G1492" s="15" t="n">
        <v>406</v>
      </c>
      <c r="H1492" s="15" t="n">
        <v>34</v>
      </c>
      <c r="I1492" s="15" t="n">
        <v>162</v>
      </c>
      <c r="J1492" s="13" t="n">
        <v>25</v>
      </c>
      <c r="K1492" t="n">
        <v>50</v>
      </c>
      <c r="L1492" s="13" t="n">
        <v>2.6</v>
      </c>
      <c r="M1492" s="12" t="n"/>
      <c r="N1492" s="8" t="n">
        <v>1.500974060716914</v>
      </c>
      <c r="O1492" s="15" t="n">
        <v>1.279474863071443</v>
      </c>
      <c r="P1492" s="15" t="n">
        <v>1.436850980314707</v>
      </c>
      <c r="Q1492" s="15" t="n">
        <v>0.005144757515834375</v>
      </c>
      <c r="R1492" s="15" t="n">
        <v>0.04028852180187277</v>
      </c>
      <c r="S1492" s="15" t="n">
        <v>0.005325257181546744</v>
      </c>
      <c r="T1492" s="42">
        <f>HIPERLINK($A$1 &amp; "\Dados\Imagem_perfil_1492.png", "Imagem_perfil_1492")</f>
        <v/>
      </c>
      <c r="U1492" s="42">
        <f>HIPERLINK($A$1 &amp; "\Dados\Results_airgap1492.txt", "Results_airgap1492")</f>
        <v/>
      </c>
      <c r="V1492" s="19" t="n"/>
      <c r="W1492" s="15" t="n">
        <v>1.949947173913043</v>
      </c>
      <c r="X1492" s="15" t="n">
        <v>0.9776019143680604</v>
      </c>
      <c r="Y1492" s="15" t="n">
        <v>0.2812485146428526</v>
      </c>
      <c r="Z1492" s="15" t="n">
        <v>0</v>
      </c>
      <c r="AA1492" s="15" t="n">
        <v>2.432479305251855</v>
      </c>
      <c r="AB1492" s="15" t="n">
        <v>0.5504699352258442</v>
      </c>
      <c r="AC1492" s="15" t="n">
        <v>7.881945118491573</v>
      </c>
      <c r="AD1492" s="15" t="n">
        <v>47.25473367006898</v>
      </c>
      <c r="AE1492" s="15" t="n">
        <v>90.22539458936701</v>
      </c>
      <c r="AF1492" s="15" t="n">
        <v>122.3336919975334</v>
      </c>
      <c r="AH1492" s="42">
        <f>HIPERLINK($A$1 &amp; "\Dados\Magnet_fields_1492.txt.txt", "Magnet_fields_1492.txt")</f>
        <v/>
      </c>
      <c r="AI1492" t="n">
        <v>7941</v>
      </c>
      <c r="AJ1492" t="n">
        <v>29</v>
      </c>
      <c r="AK1492" s="42">
        <f>HIPERLINK($A$1 &amp; "\Dados\Magnet_3D_results_1492.txt.txt", "Magnet_3D_results_1492.txt")</f>
        <v/>
      </c>
      <c r="AL1492" s="42">
        <f>HIPERLINK($A$1 &amp; "\Dados\Magnet_fields_2D_1492.txt.txt", "Magnet_fields_2D_1492.txt")</f>
        <v/>
      </c>
    </row>
    <row r="1493">
      <c r="E1493" s="15" t="n">
        <v>134</v>
      </c>
      <c r="F1493" s="15" t="n">
        <v>178</v>
      </c>
      <c r="G1493" s="15" t="n">
        <v>357</v>
      </c>
      <c r="H1493" s="15" t="n">
        <v>38</v>
      </c>
      <c r="I1493" s="15" t="n">
        <v>162</v>
      </c>
      <c r="J1493" s="13" t="n">
        <v>25</v>
      </c>
      <c r="K1493" t="n">
        <v>45</v>
      </c>
      <c r="L1493" s="13" t="n">
        <v>2.6</v>
      </c>
      <c r="M1493" s="12" t="n"/>
      <c r="N1493" s="8" t="n">
        <v>1.320552973807624</v>
      </c>
      <c r="O1493" s="15" t="n">
        <v>1.112117923688984</v>
      </c>
      <c r="P1493" s="15" t="n">
        <v>1.264118663921989</v>
      </c>
      <c r="Q1493" s="15" t="n">
        <v>0.002519741011227533</v>
      </c>
      <c r="R1493" s="15" t="n">
        <v>0.03250312397288683</v>
      </c>
      <c r="S1493" s="15" t="n">
        <v>0.00271922200985691</v>
      </c>
      <c r="T1493" s="42">
        <f>HIPERLINK($A$1 &amp; "\Dados\Imagem_perfil_1493.png", "Imagem_perfil_1493")</f>
        <v/>
      </c>
      <c r="U1493" s="42">
        <f>HIPERLINK($A$1 &amp; "\Dados\Results_airgap1493.txt", "Results_airgap1493")</f>
        <v/>
      </c>
      <c r="V1493" s="19" t="n"/>
      <c r="W1493" s="15" t="n">
        <v>1.660807608695652</v>
      </c>
      <c r="X1493" s="15" t="n">
        <v>0.8318757560580501</v>
      </c>
      <c r="Y1493" s="15" t="n">
        <v>0.6319514661455573</v>
      </c>
      <c r="Z1493" s="15" t="n">
        <v>0.001440340895451317</v>
      </c>
      <c r="AA1493" s="15" t="n">
        <v>0</v>
      </c>
      <c r="AB1493" s="15" t="n">
        <v>1.449760512349368</v>
      </c>
      <c r="AC1493" s="15" t="n">
        <v>10.83442758901263</v>
      </c>
      <c r="AD1493" s="15" t="n">
        <v>40.50660113034775</v>
      </c>
      <c r="AE1493" s="15" t="n">
        <v>80.36868083364612</v>
      </c>
      <c r="AF1493" s="15" t="n">
        <v>115.803541347662</v>
      </c>
      <c r="AH1493" s="42">
        <f>HIPERLINK($A$1 &amp; "\Dados\Magnet_fields_1493.txt.txt", "Magnet_fields_1493.txt")</f>
        <v/>
      </c>
      <c r="AI1493" t="n">
        <v>6416</v>
      </c>
      <c r="AJ1493" t="n">
        <v>29</v>
      </c>
      <c r="AK1493" s="42">
        <f>HIPERLINK($A$1 &amp; "\Dados\Magnet_3D_results_1493.txt.txt", "Magnet_3D_results_1493.txt")</f>
        <v/>
      </c>
      <c r="AL1493" s="42">
        <f>HIPERLINK($A$1 &amp; "\Dados\Magnet_fields_2D_1493.txt.txt", "Magnet_fields_2D_1493.txt")</f>
        <v/>
      </c>
    </row>
    <row r="1494">
      <c r="E1494" s="15" t="n">
        <v>138</v>
      </c>
      <c r="F1494" s="15" t="n">
        <v>175</v>
      </c>
      <c r="G1494" s="15" t="n">
        <v>387</v>
      </c>
      <c r="H1494" s="15" t="n">
        <v>29</v>
      </c>
      <c r="I1494" s="15" t="n">
        <v>142</v>
      </c>
      <c r="J1494" s="13" t="n">
        <v>25</v>
      </c>
      <c r="K1494" t="n">
        <v>45</v>
      </c>
      <c r="L1494" s="13" t="n">
        <v>2.6</v>
      </c>
      <c r="M1494" s="12" t="n"/>
      <c r="N1494" s="8" t="n">
        <v>1.453700426710669</v>
      </c>
      <c r="O1494" s="15" t="n">
        <v>1.143800531745369</v>
      </c>
      <c r="P1494" s="15" t="n">
        <v>1.366875528302742</v>
      </c>
      <c r="Q1494" s="15" t="n">
        <v>0.002966694883022623</v>
      </c>
      <c r="R1494" s="15" t="n">
        <v>0.03545128200654601</v>
      </c>
      <c r="S1494" s="15" t="n">
        <v>0.003406628772217376</v>
      </c>
      <c r="T1494" s="42">
        <f>HIPERLINK($A$1 &amp; "\Dados\Imagem_perfil_1494.png", "Imagem_perfil_1494")</f>
        <v/>
      </c>
      <c r="U1494" s="42">
        <f>HIPERLINK($A$1 &amp; "\Dados\Results_airgap1494.txt", "Results_airgap1494")</f>
        <v/>
      </c>
      <c r="V1494" s="19" t="n"/>
      <c r="W1494" s="15" t="n">
        <v>1.919695434782609</v>
      </c>
      <c r="X1494" s="15" t="n">
        <v>0.9458664219987206</v>
      </c>
      <c r="Y1494" s="15" t="n">
        <v>0.3367899547237748</v>
      </c>
      <c r="Z1494" s="15" t="n">
        <v>0</v>
      </c>
      <c r="AA1494" s="15" t="n">
        <v>1.56794708347001</v>
      </c>
      <c r="AB1494" s="15" t="n">
        <v>1.138667900893217</v>
      </c>
      <c r="AC1494" s="15" t="n">
        <v>11.40094079284217</v>
      </c>
      <c r="AD1494" s="15" t="n">
        <v>46.86531715161545</v>
      </c>
      <c r="AE1494" s="15" t="n">
        <v>85.93672931026441</v>
      </c>
      <c r="AF1494" s="15" t="n">
        <v>118.0005095302346</v>
      </c>
      <c r="AH1494" s="42">
        <f>HIPERLINK($A$1 &amp; "\Dados\Magnet_fields_1494.txt.txt", "Magnet_fields_1494.txt")</f>
        <v/>
      </c>
      <c r="AI1494" t="n">
        <v>7919</v>
      </c>
      <c r="AJ1494" t="n">
        <v>30</v>
      </c>
      <c r="AK1494" s="42">
        <f>HIPERLINK($A$1 &amp; "\Dados\Magnet_3D_results_1494.txt.txt", "Magnet_3D_results_1494.txt")</f>
        <v/>
      </c>
      <c r="AL1494" s="42">
        <f>HIPERLINK($A$1 &amp; "\Dados\Magnet_fields_2D_1494.txt.txt", "Magnet_fields_2D_1494.txt")</f>
        <v/>
      </c>
    </row>
    <row r="1495">
      <c r="E1495" s="15" t="n">
        <v>144</v>
      </c>
      <c r="F1495" s="15" t="n">
        <v>177</v>
      </c>
      <c r="G1495" s="15" t="n">
        <v>378</v>
      </c>
      <c r="H1495" s="15" t="n">
        <v>43</v>
      </c>
      <c r="I1495" s="15" t="n">
        <v>147</v>
      </c>
      <c r="J1495" s="13" t="n">
        <v>25</v>
      </c>
      <c r="K1495" t="n">
        <v>55</v>
      </c>
      <c r="L1495" s="13" t="n">
        <v>2.6</v>
      </c>
      <c r="M1495" s="12" t="n"/>
      <c r="N1495" s="8" t="n">
        <v>1.534208029400762</v>
      </c>
      <c r="O1495" s="15" t="n">
        <v>1.254101147647879</v>
      </c>
      <c r="P1495" s="15" t="n">
        <v>1.456842624721613</v>
      </c>
      <c r="Q1495" s="15" t="n">
        <v>0.009462436656952596</v>
      </c>
      <c r="R1495" s="15" t="n">
        <v>0.04345196900873398</v>
      </c>
      <c r="S1495" s="15" t="n">
        <v>0.009894311928692355</v>
      </c>
      <c r="T1495" s="42">
        <f>HIPERLINK($A$1 &amp; "\Dados\Imagem_perfil_1495.png", "Imagem_perfil_1495")</f>
        <v/>
      </c>
      <c r="U1495" s="42">
        <f>HIPERLINK($A$1 &amp; "\Dados\Results_airgap1495.txt", "Results_airgap1495")</f>
        <v/>
      </c>
      <c r="V1495" s="19" t="n"/>
      <c r="W1495" s="15" t="n">
        <v>1.992823695652174</v>
      </c>
      <c r="X1495" s="15" t="n">
        <v>0.9724919261877575</v>
      </c>
      <c r="Y1495" s="15" t="n">
        <v>0.2008593994279119</v>
      </c>
      <c r="Z1495" s="15" t="n">
        <v>0.03032110449879938</v>
      </c>
      <c r="AA1495" s="15" t="n">
        <v>0</v>
      </c>
      <c r="AB1495" s="15" t="n">
        <v>0</v>
      </c>
      <c r="AC1495" s="15" t="n">
        <v>9.117831132694732</v>
      </c>
      <c r="AD1495" s="15" t="n">
        <v>65.32216097546936</v>
      </c>
      <c r="AE1495" s="15" t="n">
        <v>98.72390718705648</v>
      </c>
      <c r="AF1495" s="15" t="n">
        <v>127.5368876955164</v>
      </c>
      <c r="AH1495" s="42">
        <f>HIPERLINK($A$1 &amp; "\Dados\Magnet_fields_1495.txt.txt", "Magnet_fields_1495.txt")</f>
        <v/>
      </c>
      <c r="AI1495" t="n">
        <v>11073</v>
      </c>
      <c r="AJ1495" t="n">
        <v>30</v>
      </c>
      <c r="AK1495" s="42">
        <f>HIPERLINK($A$1 &amp; "\Dados\Magnet_3D_results_1495.txt.txt", "Magnet_3D_results_1495.txt")</f>
        <v/>
      </c>
      <c r="AL1495" s="42">
        <f>HIPERLINK($A$1 &amp; "\Dados\Magnet_fields_2D_1495.txt.txt", "Magnet_fields_2D_1495.txt")</f>
        <v/>
      </c>
    </row>
    <row r="1496">
      <c r="E1496" s="15" t="n">
        <v>129</v>
      </c>
      <c r="F1496" s="15" t="n">
        <v>178</v>
      </c>
      <c r="G1496" s="15" t="n">
        <v>398</v>
      </c>
      <c r="H1496" s="15" t="n">
        <v>35</v>
      </c>
      <c r="I1496" s="15" t="n">
        <v>155</v>
      </c>
      <c r="J1496" s="13" t="n">
        <v>25</v>
      </c>
      <c r="K1496" t="n">
        <v>50</v>
      </c>
      <c r="L1496" s="13" t="n">
        <v>2.6</v>
      </c>
      <c r="M1496" s="12" t="n"/>
      <c r="N1496" s="8" t="n">
        <v>1.354054756392565</v>
      </c>
      <c r="O1496" s="15" t="n">
        <v>1.122079672637456</v>
      </c>
      <c r="P1496" s="15" t="n">
        <v>1.281777523954773</v>
      </c>
      <c r="Q1496" s="15" t="n">
        <v>0.007126144047851423</v>
      </c>
      <c r="R1496" s="15" t="n">
        <v>0.05239870679322706</v>
      </c>
      <c r="S1496" s="15" t="n">
        <v>0.007735201359487001</v>
      </c>
      <c r="T1496" s="42">
        <f>HIPERLINK($A$1 &amp; "\Dados\Imagem_perfil_1496.png", "Imagem_perfil_1496")</f>
        <v/>
      </c>
      <c r="U1496" s="42">
        <f>HIPERLINK($A$1 &amp; "\Dados\Results_airgap1496.txt", "Results_airgap1496")</f>
        <v/>
      </c>
      <c r="V1496" s="19" t="n"/>
      <c r="W1496" s="15" t="n">
        <v>1.836520652173913</v>
      </c>
      <c r="X1496" s="15" t="n">
        <v>0.8659291867775702</v>
      </c>
      <c r="Y1496" s="15" t="n">
        <v>0.4159417328272843</v>
      </c>
      <c r="Z1496" s="15" t="n">
        <v>0</v>
      </c>
      <c r="AA1496" s="15" t="n">
        <v>0</v>
      </c>
      <c r="AB1496" s="15" t="n">
        <v>2.120554046504022</v>
      </c>
      <c r="AC1496" s="15" t="n">
        <v>16.77305025386665</v>
      </c>
      <c r="AD1496" s="15" t="n">
        <v>57.69546782090309</v>
      </c>
      <c r="AE1496" s="15" t="n">
        <v>92.72590099041895</v>
      </c>
      <c r="AF1496" s="15" t="n">
        <v>122.8040599788853</v>
      </c>
      <c r="AH1496" s="42">
        <f>HIPERLINK($A$1 &amp; "\Dados\Magnet_fields_1496.txt.txt", "Magnet_fields_1496.txt")</f>
        <v/>
      </c>
      <c r="AI1496" t="n">
        <v>7893</v>
      </c>
      <c r="AJ1496" t="n">
        <v>29</v>
      </c>
      <c r="AK1496" s="42">
        <f>HIPERLINK($A$1 &amp; "\Dados\Magnet_3D_results_1496.txt.txt", "Magnet_3D_results_1496.txt")</f>
        <v/>
      </c>
      <c r="AL1496" s="42">
        <f>HIPERLINK($A$1 &amp; "\Dados\Magnet_fields_2D_1496.txt.txt", "Magnet_fields_2D_1496.txt")</f>
        <v/>
      </c>
    </row>
    <row r="1497">
      <c r="E1497" s="15" t="n">
        <v>142</v>
      </c>
      <c r="F1497" s="15" t="n">
        <v>176</v>
      </c>
      <c r="G1497" s="15" t="n">
        <v>350</v>
      </c>
      <c r="H1497" s="15" t="n">
        <v>44</v>
      </c>
      <c r="I1497" s="15" t="n">
        <v>142</v>
      </c>
      <c r="J1497" s="13" t="n">
        <v>25</v>
      </c>
      <c r="K1497" t="n">
        <v>60</v>
      </c>
      <c r="L1497" s="13" t="n">
        <v>2.6</v>
      </c>
      <c r="M1497" s="12" t="n"/>
      <c r="N1497" s="8" t="n">
        <v>1.462360054578278</v>
      </c>
      <c r="O1497" s="15" t="n">
        <v>1.140256455640444</v>
      </c>
      <c r="P1497" s="15" t="n">
        <v>1.365825911019816</v>
      </c>
      <c r="Q1497" s="15" t="n">
        <v>0.01403836838438529</v>
      </c>
      <c r="R1497" s="15" t="n">
        <v>0.03917707011093386</v>
      </c>
      <c r="S1497" s="15" t="n">
        <v>0.01410591838780981</v>
      </c>
      <c r="T1497" s="42">
        <f>HIPERLINK($A$1 &amp; "\Dados\Imagem_perfil_1497.png", "Imagem_perfil_1497")</f>
        <v/>
      </c>
      <c r="U1497" s="42">
        <f>HIPERLINK($A$1 &amp; "\Dados\Results_airgap1497.txt", "Results_airgap1497")</f>
        <v/>
      </c>
      <c r="V1497" s="19" t="n"/>
      <c r="W1497" s="15" t="n">
        <v>1.879663043478261</v>
      </c>
      <c r="X1497" s="15" t="n">
        <v>0.9065058583485595</v>
      </c>
      <c r="Y1497" s="15" t="n">
        <v>0.2879055158279445</v>
      </c>
      <c r="Z1497" s="15" t="n">
        <v>0.03800936861501113</v>
      </c>
      <c r="AA1497" s="15" t="n">
        <v>0</v>
      </c>
      <c r="AB1497" s="15" t="n">
        <v>0</v>
      </c>
      <c r="AC1497" s="15" t="n">
        <v>16.4294282876699</v>
      </c>
      <c r="AD1497" s="15" t="n">
        <v>73.19748787111945</v>
      </c>
      <c r="AE1497" s="15" t="n">
        <v>101.0439669106378</v>
      </c>
      <c r="AF1497" s="15" t="n">
        <v>130.7502991303083</v>
      </c>
      <c r="AH1497" s="42">
        <f>HIPERLINK($A$1 &amp; "\Dados\Magnet_fields_1497.txt.txt", "Magnet_fields_1497.txt")</f>
        <v/>
      </c>
      <c r="AI1497" t="n">
        <v>7140</v>
      </c>
      <c r="AJ1497" t="n">
        <v>29</v>
      </c>
      <c r="AK1497" s="42">
        <f>HIPERLINK($A$1 &amp; "\Dados\Magnet_3D_results_1497.txt.txt", "Magnet_3D_results_1497.txt")</f>
        <v/>
      </c>
      <c r="AL1497" s="42">
        <f>HIPERLINK($A$1 &amp; "\Dados\Magnet_fields_2D_1497.txt.txt", "Magnet_fields_2D_1497.txt")</f>
        <v/>
      </c>
    </row>
    <row r="1498">
      <c r="E1498" s="15" t="n">
        <v>138</v>
      </c>
      <c r="F1498" s="15" t="n">
        <v>173</v>
      </c>
      <c r="G1498" s="15" t="n">
        <v>360</v>
      </c>
      <c r="H1498" s="15" t="n">
        <v>41</v>
      </c>
      <c r="I1498" s="15" t="n">
        <v>179</v>
      </c>
      <c r="J1498" s="13" t="n">
        <v>25</v>
      </c>
      <c r="K1498" t="n">
        <v>40</v>
      </c>
      <c r="L1498" s="13" t="n">
        <v>2.6</v>
      </c>
      <c r="M1498" s="12" t="n"/>
      <c r="N1498" s="8" t="n">
        <v>1.473685687853283</v>
      </c>
      <c r="O1498" s="15" t="n">
        <v>1.306977868511064</v>
      </c>
      <c r="P1498" s="15" t="n">
        <v>1.425288330419517</v>
      </c>
      <c r="Q1498" s="15" t="n">
        <v>0.001667838043465014</v>
      </c>
      <c r="R1498" s="15" t="n">
        <v>0.02699622250419794</v>
      </c>
      <c r="S1498" s="15" t="n">
        <v>0.001723375098620045</v>
      </c>
      <c r="T1498" s="42">
        <f>HIPERLINK($A$1 &amp; "\Dados\Imagem_perfil_1498.png", "Imagem_perfil_1498")</f>
        <v/>
      </c>
      <c r="U1498" s="42">
        <f>HIPERLINK($A$1 &amp; "\Dados\Results_airgap1498.txt", "Results_airgap1498")</f>
        <v/>
      </c>
      <c r="V1498" s="19" t="n"/>
      <c r="W1498" s="15" t="n">
        <v>1.736915217391304</v>
      </c>
      <c r="X1498" s="15" t="n">
        <v>0.9117794312413133</v>
      </c>
      <c r="Y1498" s="15" t="n">
        <v>0.5923145263828093</v>
      </c>
      <c r="Z1498" s="15" t="n">
        <v>0.0104091030396026</v>
      </c>
      <c r="AA1498" s="15" t="n">
        <v>0.00817923190726994</v>
      </c>
      <c r="AB1498" s="15" t="n">
        <v>0.4757394598293925</v>
      </c>
      <c r="AC1498" s="15" t="n">
        <v>5.619490220884397</v>
      </c>
      <c r="AD1498" s="15" t="n">
        <v>29.12242436292774</v>
      </c>
      <c r="AE1498" s="15" t="n">
        <v>73.66600206379982</v>
      </c>
      <c r="AF1498" s="15" t="n">
        <v>111.8125051207612</v>
      </c>
      <c r="AH1498" s="42">
        <f>HIPERLINK($A$1 &amp; "\Dados\Magnet_fields_1498.txt.txt", "Magnet_fields_1498.txt")</f>
        <v/>
      </c>
      <c r="AI1498" t="n">
        <v>7248</v>
      </c>
      <c r="AJ1498" t="n">
        <v>28</v>
      </c>
      <c r="AK1498" s="42">
        <f>HIPERLINK($A$1 &amp; "\Dados\Magnet_3D_results_1498.txt.txt", "Magnet_3D_results_1498.txt")</f>
        <v/>
      </c>
      <c r="AL1498" s="42">
        <f>HIPERLINK($A$1 &amp; "\Dados\Magnet_fields_2D_1498.txt.txt", "Magnet_fields_2D_1498.txt")</f>
        <v/>
      </c>
    </row>
    <row r="1499">
      <c r="E1499" s="15" t="n">
        <v>135</v>
      </c>
      <c r="F1499" s="15" t="n">
        <v>179</v>
      </c>
      <c r="G1499" s="15" t="n">
        <v>379</v>
      </c>
      <c r="H1499" s="15" t="n">
        <v>40</v>
      </c>
      <c r="I1499" s="15" t="n">
        <v>152</v>
      </c>
      <c r="J1499" s="13" t="n">
        <v>25</v>
      </c>
      <c r="K1499" t="n">
        <v>40</v>
      </c>
      <c r="L1499" s="13" t="n">
        <v>2.6</v>
      </c>
      <c r="M1499" s="12" t="n"/>
      <c r="N1499" s="8" t="n">
        <v>1.309373318489654</v>
      </c>
      <c r="O1499" s="15" t="n">
        <v>1.069527397089275</v>
      </c>
      <c r="P1499" s="15" t="n">
        <v>1.234130062879153</v>
      </c>
      <c r="Q1499" s="15" t="n">
        <v>0.001314200395546946</v>
      </c>
      <c r="R1499" s="15" t="n">
        <v>0.03187278062281708</v>
      </c>
      <c r="S1499" s="15" t="n">
        <v>0.001837110176167362</v>
      </c>
      <c r="T1499" s="42">
        <f>HIPERLINK($A$1 &amp; "\Dados\Imagem_perfil_1499.png", "Imagem_perfil_1499")</f>
        <v/>
      </c>
      <c r="U1499" s="42">
        <f>HIPERLINK($A$1 &amp; "\Dados\Results_airgap1499.txt", "Results_airgap1499")</f>
        <v/>
      </c>
      <c r="V1499" s="19" t="n"/>
      <c r="W1499" s="15" t="n">
        <v>1.671982391304348</v>
      </c>
      <c r="X1499" s="15" t="n">
        <v>0.8178094064570631</v>
      </c>
      <c r="Y1499" s="15" t="n">
        <v>0.6982216018429326</v>
      </c>
      <c r="Z1499" s="15" t="n">
        <v>0.01601851223233378</v>
      </c>
      <c r="AA1499" s="15" t="n">
        <v>0.009627899735881603</v>
      </c>
      <c r="AB1499" s="15" t="n">
        <v>2.407766074625765</v>
      </c>
      <c r="AC1499" s="15" t="n">
        <v>11.72094248220738</v>
      </c>
      <c r="AD1499" s="15" t="n">
        <v>37.18396418740066</v>
      </c>
      <c r="AE1499" s="15" t="n">
        <v>75.96117797070806</v>
      </c>
      <c r="AF1499" s="15" t="n">
        <v>111.7975376614029</v>
      </c>
      <c r="AH1499" s="42">
        <f>HIPERLINK($A$1 &amp; "\Dados\Magnet_fields_1499.txt.txt", "Magnet_fields_1499.txt")</f>
        <v/>
      </c>
      <c r="AI1499" t="n">
        <v>7281</v>
      </c>
      <c r="AJ1499" t="n">
        <v>28</v>
      </c>
      <c r="AK1499" s="42">
        <f>HIPERLINK($A$1 &amp; "\Dados\Magnet_3D_results_1499.txt.txt", "Magnet_3D_results_1499.txt")</f>
        <v/>
      </c>
      <c r="AL1499" s="42">
        <f>HIPERLINK($A$1 &amp; "\Dados\Magnet_fields_2D_1499.txt.txt", "Magnet_fields_2D_1499.txt")</f>
        <v/>
      </c>
    </row>
    <row r="1500">
      <c r="E1500" s="15" t="n">
        <v>143</v>
      </c>
      <c r="F1500" s="15" t="n">
        <v>188</v>
      </c>
      <c r="G1500" s="15" t="n">
        <v>397</v>
      </c>
      <c r="H1500" s="15" t="n">
        <v>38</v>
      </c>
      <c r="I1500" s="15" t="n">
        <v>175</v>
      </c>
      <c r="J1500" s="13" t="n">
        <v>25</v>
      </c>
      <c r="K1500" t="n">
        <v>50</v>
      </c>
      <c r="L1500" s="13" t="n">
        <v>2.6</v>
      </c>
      <c r="M1500" s="12" t="n"/>
      <c r="N1500" s="8" t="n">
        <v>1.446744561841488</v>
      </c>
      <c r="O1500" s="15" t="n">
        <v>1.267309736350156</v>
      </c>
      <c r="P1500" s="15" t="n">
        <v>1.38989732484455</v>
      </c>
      <c r="Q1500" s="15" t="n">
        <v>0.005076106922879495</v>
      </c>
      <c r="R1500" s="15" t="n">
        <v>0.04485370949647968</v>
      </c>
      <c r="S1500" s="15" t="n">
        <v>0.005413780958747728</v>
      </c>
      <c r="T1500" s="42">
        <f>HIPERLINK($A$1 &amp; "\Dados\Imagem_perfil_1500.png", "Imagem_perfil_1500")</f>
        <v/>
      </c>
      <c r="U1500" s="42">
        <f>HIPERLINK($A$1 &amp; "\Dados\Results_airgap1500.txt", "Results_airgap1500")</f>
        <v/>
      </c>
      <c r="V1500" s="19" t="n"/>
      <c r="W1500" s="15" t="n">
        <v>1.840311521739131</v>
      </c>
      <c r="X1500" s="15" t="n">
        <v>0.9380772169798959</v>
      </c>
      <c r="Y1500" s="15" t="n">
        <v>0.3889386115180261</v>
      </c>
      <c r="Z1500" s="15" t="n">
        <v>0</v>
      </c>
      <c r="AA1500" s="15" t="n">
        <v>0.008089853877940123</v>
      </c>
      <c r="AB1500" s="15" t="n">
        <v>2.046286269390173</v>
      </c>
      <c r="AC1500" s="15" t="n">
        <v>16.16966750041869</v>
      </c>
      <c r="AD1500" s="15" t="n">
        <v>54.77853127118798</v>
      </c>
      <c r="AE1500" s="15" t="n">
        <v>89.74020520109167</v>
      </c>
      <c r="AF1500" s="15" t="n">
        <v>121.5924011450563</v>
      </c>
      <c r="AH1500" s="42">
        <f>HIPERLINK($A$1 &amp; "\Dados\Magnet_fields_1500.txt.txt", "Magnet_fields_1500.txt")</f>
        <v/>
      </c>
      <c r="AI1500" t="n">
        <v>7191</v>
      </c>
      <c r="AJ1500" t="n">
        <v>29</v>
      </c>
      <c r="AK1500" s="42">
        <f>HIPERLINK($A$1 &amp; "\Dados\Magnet_3D_results_1500.txt.txt", "Magnet_3D_results_1500.txt")</f>
        <v/>
      </c>
      <c r="AL1500" s="42">
        <f>HIPERLINK($A$1 &amp; "\Dados\Magnet_fields_2D_1500.txt.txt", "Magnet_fields_2D_1500.txt")</f>
        <v/>
      </c>
    </row>
    <row r="1501">
      <c r="E1501" s="15" t="n">
        <v>132</v>
      </c>
      <c r="F1501" s="15" t="n">
        <v>179</v>
      </c>
      <c r="G1501" s="15" t="n">
        <v>428</v>
      </c>
      <c r="H1501" s="15" t="n">
        <v>30</v>
      </c>
      <c r="I1501" s="15" t="n">
        <v>155</v>
      </c>
      <c r="J1501" s="13" t="n">
        <v>25</v>
      </c>
      <c r="K1501" t="n">
        <v>55</v>
      </c>
      <c r="L1501" s="13" t="n">
        <v>2.6</v>
      </c>
      <c r="M1501" s="12" t="n"/>
      <c r="N1501" s="8" t="n">
        <v>1.446062963513598</v>
      </c>
      <c r="O1501" s="15" t="n">
        <v>1.192987792696184</v>
      </c>
      <c r="P1501" s="15" t="n">
        <v>1.370525640780086</v>
      </c>
      <c r="Q1501" s="15" t="n">
        <v>0.01436963612782123</v>
      </c>
      <c r="R1501" s="15" t="n">
        <v>0.06533174665307194</v>
      </c>
      <c r="S1501" s="15" t="n">
        <v>0.01508144569178801</v>
      </c>
      <c r="T1501" s="42">
        <f>HIPERLINK($A$1 &amp; "\Dados\Imagem_perfil_1501.png", "Imagem_perfil_1501")</f>
        <v/>
      </c>
      <c r="U1501" s="42">
        <f>HIPERLINK($A$1 &amp; "\Dados\Results_airgap1501.txt", "Results_airgap1501")</f>
        <v/>
      </c>
      <c r="V1501" s="19" t="n"/>
      <c r="W1501" s="15" t="n">
        <v>2.02129847826087</v>
      </c>
      <c r="X1501" s="15" t="n">
        <v>0.9240672614431302</v>
      </c>
      <c r="Y1501" s="15" t="n">
        <v>0.2461604758948645</v>
      </c>
      <c r="Z1501" s="15" t="n">
        <v>0.006238754095460808</v>
      </c>
      <c r="AA1501" s="15" t="n">
        <v>0.5668058545775159</v>
      </c>
      <c r="AB1501" s="15" t="n">
        <v>1.509935773797093</v>
      </c>
      <c r="AC1501" s="15" t="n">
        <v>18.3598100381742</v>
      </c>
      <c r="AD1501" s="15" t="n">
        <v>65.27133705710493</v>
      </c>
      <c r="AE1501" s="15" t="n">
        <v>97.86054584016721</v>
      </c>
      <c r="AF1501" s="15" t="n">
        <v>127.714055008717</v>
      </c>
      <c r="AH1501" s="42">
        <f>HIPERLINK($A$1 &amp; "\Dados\Magnet_fields_1501.txt.txt", "Magnet_fields_1501.txt")</f>
        <v/>
      </c>
      <c r="AI1501" t="n">
        <v>12942</v>
      </c>
      <c r="AJ1501" t="n">
        <v>31</v>
      </c>
      <c r="AK1501" s="42">
        <f>HIPERLINK($A$1 &amp; "\Dados\Magnet_3D_results_1501.txt.txt", "Magnet_3D_results_1501.txt")</f>
        <v/>
      </c>
      <c r="AL1501" s="42">
        <f>HIPERLINK($A$1 &amp; "\Dados\Magnet_fields_2D_1501.txt.txt", "Magnet_fields_2D_1501.txt")</f>
        <v/>
      </c>
    </row>
    <row r="1502">
      <c r="E1502" s="15" t="n">
        <v>147</v>
      </c>
      <c r="F1502" s="15" t="n">
        <v>182</v>
      </c>
      <c r="G1502" s="15" t="n">
        <v>353</v>
      </c>
      <c r="H1502" s="15" t="n">
        <v>43</v>
      </c>
      <c r="I1502" s="15" t="n">
        <v>179</v>
      </c>
      <c r="J1502" s="13" t="n">
        <v>25</v>
      </c>
      <c r="K1502" t="n">
        <v>40</v>
      </c>
      <c r="L1502" s="13" t="n">
        <v>2.6</v>
      </c>
      <c r="M1502" s="12" t="n"/>
      <c r="N1502" s="8" t="n">
        <v>1.416554888699881</v>
      </c>
      <c r="O1502" s="15" t="n">
        <v>1.249817326681723</v>
      </c>
      <c r="P1502" s="15" t="n">
        <v>1.36342565288465</v>
      </c>
      <c r="Q1502" s="15" t="n">
        <v>0.001453560384408978</v>
      </c>
      <c r="R1502" s="15" t="n">
        <v>0.02252672086274364</v>
      </c>
      <c r="S1502" s="15" t="n">
        <v>0.001467047839379068</v>
      </c>
      <c r="T1502" s="42">
        <f>HIPERLINK($A$1 &amp; "\Dados\Imagem_perfil_1502.png", "Imagem_perfil_1502")</f>
        <v/>
      </c>
      <c r="U1502" s="42">
        <f>HIPERLINK($A$1 &amp; "\Dados\Results_airgap1502.txt", "Results_airgap1502")</f>
        <v/>
      </c>
      <c r="V1502" s="19" t="n"/>
      <c r="W1502" s="15" t="n">
        <v>1.644442173913043</v>
      </c>
      <c r="X1502" s="15" t="n">
        <v>0.8731025718077747</v>
      </c>
      <c r="Y1502" s="15" t="n">
        <v>0.61104792760334</v>
      </c>
      <c r="Z1502" s="15" t="n">
        <v>0.004229181580326634</v>
      </c>
      <c r="AA1502" s="15" t="n">
        <v>0.009840963181647859</v>
      </c>
      <c r="AB1502" s="15" t="n">
        <v>0</v>
      </c>
      <c r="AC1502" s="15" t="n">
        <v>1.166341833042245</v>
      </c>
      <c r="AD1502" s="15" t="n">
        <v>22.68238445180004</v>
      </c>
      <c r="AE1502" s="15" t="n">
        <v>75.68782275631627</v>
      </c>
      <c r="AF1502" s="15" t="n">
        <v>113.3102241344055</v>
      </c>
      <c r="AH1502" s="42">
        <f>HIPERLINK($A$1 &amp; "\Dados\Magnet_fields_1502.txt.txt", "Magnet_fields_1502.txt")</f>
        <v/>
      </c>
      <c r="AI1502" t="n">
        <v>7017</v>
      </c>
      <c r="AJ1502" t="n">
        <v>28</v>
      </c>
      <c r="AK1502" s="42">
        <f>HIPERLINK($A$1 &amp; "\Dados\Magnet_3D_results_1502.txt.txt", "Magnet_3D_results_1502.txt")</f>
        <v/>
      </c>
      <c r="AL1502" s="42">
        <f>HIPERLINK($A$1 &amp; "\Dados\Magnet_fields_2D_1502.txt.txt", "Magnet_fields_2D_1502.txt")</f>
        <v/>
      </c>
    </row>
    <row r="1503">
      <c r="E1503" s="15" t="n">
        <v>136</v>
      </c>
      <c r="F1503" s="15" t="n">
        <v>183</v>
      </c>
      <c r="G1503" s="15" t="n">
        <v>403</v>
      </c>
      <c r="H1503" s="15" t="n">
        <v>31</v>
      </c>
      <c r="I1503" s="15" t="n">
        <v>171</v>
      </c>
      <c r="J1503" s="13" t="n">
        <v>25</v>
      </c>
      <c r="K1503" t="n">
        <v>55</v>
      </c>
      <c r="L1503" s="13" t="n">
        <v>2.6</v>
      </c>
      <c r="M1503" s="12" t="n"/>
      <c r="N1503" s="8" t="n">
        <v>1.442519512902857</v>
      </c>
      <c r="O1503" s="15" t="n">
        <v>1.263764519432927</v>
      </c>
      <c r="P1503" s="15" t="n">
        <v>1.385219551221396</v>
      </c>
      <c r="Q1503" s="15" t="n">
        <v>0.01207405701603117</v>
      </c>
      <c r="R1503" s="15" t="n">
        <v>0.05585621235467227</v>
      </c>
      <c r="S1503" s="15" t="n">
        <v>0.01214754791795126</v>
      </c>
      <c r="T1503" s="42">
        <f>HIPERLINK($A$1 &amp; "\Dados\Imagem_perfil_1503.png", "Imagem_perfil_1503")</f>
        <v/>
      </c>
      <c r="U1503" s="42">
        <f>HIPERLINK($A$1 &amp; "\Dados\Results_airgap1503.txt", "Results_airgap1503")</f>
        <v/>
      </c>
      <c r="V1503" s="19" t="n"/>
      <c r="W1503" s="15" t="n">
        <v>1.898269565217392</v>
      </c>
      <c r="X1503" s="15" t="n">
        <v>0.9091524701360839</v>
      </c>
      <c r="Y1503" s="15" t="n">
        <v>0.3310839960338052</v>
      </c>
      <c r="Z1503" s="15" t="n">
        <v>0.01512145231531527</v>
      </c>
      <c r="AA1503" s="15" t="n">
        <v>0.1602889105220444</v>
      </c>
      <c r="AB1503" s="15" t="n">
        <v>0.7023244821748587</v>
      </c>
      <c r="AC1503" s="15" t="n">
        <v>17.18662480265413</v>
      </c>
      <c r="AD1503" s="15" t="n">
        <v>65.11477413956921</v>
      </c>
      <c r="AE1503" s="15" t="n">
        <v>97.09857436741022</v>
      </c>
      <c r="AF1503" s="15" t="n">
        <v>127.0246072934355</v>
      </c>
      <c r="AH1503" s="42">
        <f>HIPERLINK($A$1 &amp; "\Dados\Magnet_fields_1503.txt.txt", "Magnet_fields_1503.txt")</f>
        <v/>
      </c>
      <c r="AI1503" t="n">
        <v>11917</v>
      </c>
      <c r="AJ1503" t="n">
        <v>31</v>
      </c>
      <c r="AK1503" s="42">
        <f>HIPERLINK($A$1 &amp; "\Dados\Magnet_3D_results_1503.txt.txt", "Magnet_3D_results_1503.txt")</f>
        <v/>
      </c>
      <c r="AL1503" s="42">
        <f>HIPERLINK($A$1 &amp; "\Dados\Magnet_fields_2D_1503.txt.txt", "Magnet_fields_2D_1503.txt")</f>
        <v/>
      </c>
    </row>
    <row r="1504">
      <c r="E1504" s="15" t="n">
        <v>145</v>
      </c>
      <c r="F1504" s="15" t="n">
        <v>194</v>
      </c>
      <c r="G1504" s="15" t="n">
        <v>425</v>
      </c>
      <c r="H1504" s="15" t="n">
        <v>45</v>
      </c>
      <c r="I1504" s="15" t="n">
        <v>160</v>
      </c>
      <c r="J1504" s="13" t="n">
        <v>25</v>
      </c>
      <c r="K1504" t="n">
        <v>50</v>
      </c>
      <c r="L1504" s="13" t="n">
        <v>2.6</v>
      </c>
      <c r="M1504" s="12" t="n"/>
      <c r="N1504" s="8" t="n">
        <v>1.362509444532091</v>
      </c>
      <c r="O1504" s="15" t="n">
        <v>1.139061522660717</v>
      </c>
      <c r="P1504" s="15" t="n">
        <v>1.299461619073879</v>
      </c>
      <c r="Q1504" s="15" t="n">
        <v>0.005509405544731203</v>
      </c>
      <c r="R1504" s="15" t="n">
        <v>0.05064561539920867</v>
      </c>
      <c r="S1504" s="15" t="n">
        <v>0.006061753628655494</v>
      </c>
      <c r="T1504" s="42">
        <f>HIPERLINK($A$1 &amp; "\Dados\Imagem_perfil_1504.png", "Imagem_perfil_1504")</f>
        <v/>
      </c>
      <c r="U1504" s="42">
        <f>HIPERLINK($A$1 &amp; "\Dados\Results_airgap1504.txt", "Results_airgap1504")</f>
        <v/>
      </c>
      <c r="V1504" s="19" t="n"/>
      <c r="W1504" s="15" t="n">
        <v>1.840763913043478</v>
      </c>
      <c r="X1504" s="15" t="n">
        <v>0.8716244472703206</v>
      </c>
      <c r="Y1504" s="15" t="n">
        <v>0.4135116676048243</v>
      </c>
      <c r="Z1504" s="15" t="n">
        <v>0.0008464800704030997</v>
      </c>
      <c r="AA1504" s="15" t="n">
        <v>0</v>
      </c>
      <c r="AB1504" s="15" t="n">
        <v>1.832062407527317</v>
      </c>
      <c r="AC1504" s="15" t="n">
        <v>13.12151384960903</v>
      </c>
      <c r="AD1504" s="15" t="n">
        <v>50.83273057308485</v>
      </c>
      <c r="AE1504" s="15" t="n">
        <v>89.74347762479763</v>
      </c>
      <c r="AF1504" s="15" t="n">
        <v>121.9349612956756</v>
      </c>
      <c r="AH1504" s="42">
        <f>HIPERLINK($A$1 &amp; "\Dados\Magnet_fields_1504.txt.txt", "Magnet_fields_1504.txt")</f>
        <v/>
      </c>
      <c r="AI1504" t="n">
        <v>6343</v>
      </c>
      <c r="AJ1504" t="n">
        <v>28</v>
      </c>
      <c r="AK1504" s="42">
        <f>HIPERLINK($A$1 &amp; "\Dados\Magnet_3D_results_1504.txt.txt", "Magnet_3D_results_1504.txt")</f>
        <v/>
      </c>
      <c r="AL1504" s="42">
        <f>HIPERLINK($A$1 &amp; "\Dados\Magnet_fields_2D_1504.txt.txt", "Magnet_fields_2D_1504.txt")</f>
        <v/>
      </c>
    </row>
    <row r="1505">
      <c r="E1505" s="15" t="n">
        <v>129</v>
      </c>
      <c r="F1505" s="15" t="n">
        <v>171</v>
      </c>
      <c r="G1505" s="15" t="n">
        <v>411</v>
      </c>
      <c r="H1505" s="15" t="n">
        <v>42</v>
      </c>
      <c r="I1505" s="15" t="n">
        <v>156</v>
      </c>
      <c r="J1505" s="13" t="n">
        <v>25</v>
      </c>
      <c r="K1505" t="n">
        <v>60</v>
      </c>
      <c r="L1505" s="13" t="n">
        <v>2.6</v>
      </c>
      <c r="M1505" s="12" t="n"/>
      <c r="N1505" s="8" t="n">
        <v>1.519942706784744</v>
      </c>
      <c r="O1505" s="15" t="n">
        <v>1.279972754763343</v>
      </c>
      <c r="P1505" s="15" t="n">
        <v>1.445326083098485</v>
      </c>
      <c r="Q1505" s="15" t="n">
        <v>0.03162794925298626</v>
      </c>
      <c r="R1505" s="15" t="n">
        <v>0.07228890801777361</v>
      </c>
      <c r="S1505" s="15" t="n">
        <v>0.03076031950990258</v>
      </c>
      <c r="T1505" s="42">
        <f>HIPERLINK($A$1 &amp; "\Dados\Imagem_perfil_1505.png", "Imagem_perfil_1505")</f>
        <v/>
      </c>
      <c r="U1505" s="42">
        <f>HIPERLINK($A$1 &amp; "\Dados\Results_airgap1505.txt", "Results_airgap1505")</f>
        <v/>
      </c>
      <c r="V1505" s="19" t="n"/>
      <c r="W1505" s="15" t="n">
        <v>2.094884347826087</v>
      </c>
      <c r="X1505" s="15" t="n">
        <v>0.9895395430049229</v>
      </c>
      <c r="Y1505" s="15" t="n">
        <v>0.1845220348801955</v>
      </c>
      <c r="Z1505" s="15" t="n">
        <v>0.004237786727138029</v>
      </c>
      <c r="AA1505" s="15" t="n">
        <v>0</v>
      </c>
      <c r="AB1505" s="15" t="n">
        <v>1.54910175557289</v>
      </c>
      <c r="AC1505" s="15" t="n">
        <v>18.4638727003079</v>
      </c>
      <c r="AD1505" s="15" t="n">
        <v>67.36402710597879</v>
      </c>
      <c r="AE1505" s="15" t="n">
        <v>100.5396613972622</v>
      </c>
      <c r="AF1505" s="15" t="n">
        <v>132.0957926658516</v>
      </c>
      <c r="AH1505" s="42">
        <f>HIPERLINK($A$1 &amp; "\Dados\Magnet_fields_1505.txt.txt", "Magnet_fields_1505.txt")</f>
        <v/>
      </c>
      <c r="AI1505" t="n">
        <v>7883</v>
      </c>
      <c r="AJ1505" t="n">
        <v>29</v>
      </c>
      <c r="AK1505" s="42">
        <f>HIPERLINK($A$1 &amp; "\Dados\Magnet_3D_results_1505.txt.txt", "Magnet_3D_results_1505.txt")</f>
        <v/>
      </c>
      <c r="AL1505" s="42">
        <f>HIPERLINK($A$1 &amp; "\Dados\Magnet_fields_2D_1505.txt.txt", "Magnet_fields_2D_1505.txt")</f>
        <v/>
      </c>
    </row>
    <row r="1506">
      <c r="E1506" s="15" t="n">
        <v>136</v>
      </c>
      <c r="F1506" s="15" t="n">
        <v>184</v>
      </c>
      <c r="G1506" s="15" t="n">
        <v>408</v>
      </c>
      <c r="H1506" s="15" t="n">
        <v>31</v>
      </c>
      <c r="I1506" s="15" t="n">
        <v>153</v>
      </c>
      <c r="J1506" s="13" t="n">
        <v>25</v>
      </c>
      <c r="K1506" t="n">
        <v>55</v>
      </c>
      <c r="L1506" s="13" t="n">
        <v>2.6</v>
      </c>
      <c r="M1506" s="12" t="n"/>
      <c r="N1506" s="8" t="n">
        <v>1.361411612897346</v>
      </c>
      <c r="O1506" s="15" t="n">
        <v>1.121116561639226</v>
      </c>
      <c r="P1506" s="15" t="n">
        <v>1.289481174864392</v>
      </c>
      <c r="Q1506" s="15" t="n">
        <v>0.01256123676173315</v>
      </c>
      <c r="R1506" s="15" t="n">
        <v>0.05448747057250023</v>
      </c>
      <c r="S1506" s="15" t="n">
        <v>0.01289891829362407</v>
      </c>
      <c r="T1506" s="42">
        <f>HIPERLINK($A$1 &amp; "\Dados\Imagem_perfil_1506.png", "Imagem_perfil_1506")</f>
        <v/>
      </c>
      <c r="U1506" s="42">
        <f>HIPERLINK($A$1 &amp; "\Dados\Results_airgap1506.txt", "Results_airgap1506")</f>
        <v/>
      </c>
      <c r="V1506" s="19" t="n"/>
      <c r="W1506" s="15" t="n">
        <v>1.881837608695652</v>
      </c>
      <c r="X1506" s="15" t="n">
        <v>0.8711762758488115</v>
      </c>
      <c r="Y1506" s="15" t="n">
        <v>0.3503399655025782</v>
      </c>
      <c r="Z1506" s="15" t="n">
        <v>0.02055086536857252</v>
      </c>
      <c r="AA1506" s="15" t="n">
        <v>1.16888548324169</v>
      </c>
      <c r="AB1506" s="15" t="n">
        <v>0.8353693826507651</v>
      </c>
      <c r="AC1506" s="15" t="n">
        <v>14.07388929008973</v>
      </c>
      <c r="AD1506" s="15" t="n">
        <v>61.00694292734947</v>
      </c>
      <c r="AE1506" s="15" t="n">
        <v>96.52860013892837</v>
      </c>
      <c r="AF1506" s="15" t="n">
        <v>126.9402252629304</v>
      </c>
      <c r="AH1506" s="42">
        <f>HIPERLINK($A$1 &amp; "\Dados\Magnet_fields_1506.txt.txt", "Magnet_fields_1506.txt")</f>
        <v/>
      </c>
      <c r="AI1506" t="n">
        <v>12668</v>
      </c>
      <c r="AJ1506" t="n">
        <v>31</v>
      </c>
      <c r="AK1506" s="42">
        <f>HIPERLINK($A$1 &amp; "\Dados\Magnet_3D_results_1506.txt.txt", "Magnet_3D_results_1506.txt")</f>
        <v/>
      </c>
      <c r="AL1506" s="42">
        <f>HIPERLINK($A$1 &amp; "\Dados\Magnet_fields_2D_1506.txt.txt", "Magnet_fields_2D_1506.txt")</f>
        <v/>
      </c>
    </row>
    <row r="1507">
      <c r="E1507" s="15" t="n">
        <v>148</v>
      </c>
      <c r="F1507" s="15" t="n">
        <v>178</v>
      </c>
      <c r="G1507" s="15" t="n">
        <v>427</v>
      </c>
      <c r="H1507" s="15" t="n">
        <v>42</v>
      </c>
      <c r="I1507" s="15" t="n">
        <v>159</v>
      </c>
      <c r="J1507" s="13" t="n">
        <v>25</v>
      </c>
      <c r="K1507" t="n">
        <v>55</v>
      </c>
      <c r="L1507" s="13" t="n">
        <v>2.6</v>
      </c>
      <c r="M1507" s="12" t="n"/>
      <c r="N1507" s="8" t="n">
        <v>1.708695961569305</v>
      </c>
      <c r="O1507" s="15" t="n">
        <v>1.460714066824238</v>
      </c>
      <c r="P1507" s="15" t="n">
        <v>1.635700379869205</v>
      </c>
      <c r="Q1507" s="15" t="n">
        <v>0.01602962871385545</v>
      </c>
      <c r="R1507" s="15" t="n">
        <v>0.05737741876813199</v>
      </c>
      <c r="S1507" s="15" t="n">
        <v>0.01585375088678984</v>
      </c>
      <c r="T1507" s="42">
        <f>HIPERLINK($A$1 &amp; "\Dados\Imagem_perfil_1507.png", "Imagem_perfil_1507")</f>
        <v/>
      </c>
      <c r="U1507" s="42">
        <f>HIPERLINK($A$1 &amp; "\Dados\Results_airgap1507.txt", "Results_airgap1507")</f>
        <v/>
      </c>
      <c r="V1507" s="19" t="n"/>
      <c r="W1507" s="15" t="n">
        <v>2.249744565217391</v>
      </c>
      <c r="X1507" s="15" t="n">
        <v>1.090700599773436</v>
      </c>
      <c r="Y1507" s="15" t="n">
        <v>0.06779720839418116</v>
      </c>
      <c r="Z1507" s="15" t="n">
        <v>0.0292200147946304</v>
      </c>
      <c r="AA1507" s="15" t="n">
        <v>0.01859504906038512</v>
      </c>
      <c r="AB1507" s="15" t="n">
        <v>0.9397039393374805</v>
      </c>
      <c r="AC1507" s="15" t="n">
        <v>9.887435121681653</v>
      </c>
      <c r="AD1507" s="15" t="n">
        <v>66.84918115192215</v>
      </c>
      <c r="AE1507" s="15" t="n">
        <v>100.6246466233143</v>
      </c>
      <c r="AF1507" s="15" t="n">
        <v>128.7716155202511</v>
      </c>
      <c r="AH1507" s="42">
        <f>HIPERLINK($A$1 &amp; "\Dados\Magnet_fields_1507.txt.txt", "Magnet_fields_1507.txt")</f>
        <v/>
      </c>
      <c r="AI1507" t="n">
        <v>11850</v>
      </c>
      <c r="AJ1507" t="n">
        <v>31</v>
      </c>
      <c r="AK1507" s="42">
        <f>HIPERLINK($A$1 &amp; "\Dados\Magnet_3D_results_1507.txt.txt", "Magnet_3D_results_1507.txt")</f>
        <v/>
      </c>
      <c r="AL1507" s="42">
        <f>HIPERLINK($A$1 &amp; "\Dados\Magnet_fields_2D_1507.txt.txt", "Magnet_fields_2D_1507.txt")</f>
        <v/>
      </c>
    </row>
    <row r="1508">
      <c r="E1508" s="15" t="n">
        <v>126</v>
      </c>
      <c r="F1508" s="15" t="n">
        <v>171</v>
      </c>
      <c r="G1508" s="15" t="n">
        <v>381</v>
      </c>
      <c r="H1508" s="15" t="n">
        <v>30</v>
      </c>
      <c r="I1508" s="15" t="n">
        <v>156</v>
      </c>
      <c r="J1508" s="13" t="n">
        <v>25</v>
      </c>
      <c r="K1508" t="n">
        <v>60</v>
      </c>
      <c r="L1508" s="13" t="n">
        <v>2.6</v>
      </c>
      <c r="M1508" s="12" t="n"/>
      <c r="N1508" s="8" t="n">
        <v>1.431188817315052</v>
      </c>
      <c r="O1508" s="15" t="n">
        <v>1.193172310917216</v>
      </c>
      <c r="P1508" s="15" t="n">
        <v>1.35715872159813</v>
      </c>
      <c r="Q1508" s="15" t="n">
        <v>0.02911421619439961</v>
      </c>
      <c r="R1508" s="15" t="n">
        <v>0.05754397672376845</v>
      </c>
      <c r="S1508" s="15" t="n">
        <v>0.02813935734107258</v>
      </c>
      <c r="T1508" s="42">
        <f>HIPERLINK($A$1 &amp; "\Dados\Imagem_perfil_1508.png", "Imagem_perfil_1508")</f>
        <v/>
      </c>
      <c r="U1508" s="42">
        <f>HIPERLINK($A$1 &amp; "\Dados\Results_airgap1508.txt", "Results_airgap1508")</f>
        <v/>
      </c>
      <c r="V1508" s="19" t="n"/>
      <c r="W1508" s="15" t="n">
        <v>1.94770847826087</v>
      </c>
      <c r="X1508" s="15" t="n">
        <v>0.9239977738467169</v>
      </c>
      <c r="Y1508" s="15" t="n">
        <v>0.2814314989344132</v>
      </c>
      <c r="Z1508" s="15" t="n">
        <v>0</v>
      </c>
      <c r="AA1508" s="15" t="n">
        <v>2.538307996534111</v>
      </c>
      <c r="AB1508" s="15" t="n">
        <v>3.091913362880311</v>
      </c>
      <c r="AC1508" s="15" t="n">
        <v>24.53197065651861</v>
      </c>
      <c r="AD1508" s="15" t="n">
        <v>65.80614543731534</v>
      </c>
      <c r="AE1508" s="15" t="n">
        <v>97.60326710585963</v>
      </c>
      <c r="AF1508" s="15" t="n">
        <v>130.9544400434548</v>
      </c>
      <c r="AH1508" s="42">
        <f>HIPERLINK($A$1 &amp; "\Dados\Magnet_fields_1508.txt.txt", "Magnet_fields_1508.txt")</f>
        <v/>
      </c>
      <c r="AI1508" t="n">
        <v>9073</v>
      </c>
      <c r="AJ1508" t="n">
        <v>29</v>
      </c>
      <c r="AK1508" s="42">
        <f>HIPERLINK($A$1 &amp; "\Dados\Magnet_3D_results_1508.txt.txt", "Magnet_3D_results_1508.txt")</f>
        <v/>
      </c>
      <c r="AL1508" s="42">
        <f>HIPERLINK($A$1 &amp; "\Dados\Magnet_fields_2D_1508.txt.txt", "Magnet_fields_2D_1508.txt")</f>
        <v/>
      </c>
    </row>
    <row r="1509">
      <c r="E1509" s="15" t="n">
        <v>132</v>
      </c>
      <c r="F1509" s="15" t="n">
        <v>172</v>
      </c>
      <c r="G1509" s="15" t="n">
        <v>402</v>
      </c>
      <c r="H1509" s="15" t="n">
        <v>35</v>
      </c>
      <c r="I1509" s="15" t="n">
        <v>171</v>
      </c>
      <c r="J1509" s="13" t="n">
        <v>25</v>
      </c>
      <c r="K1509" t="n">
        <v>50</v>
      </c>
      <c r="L1509" s="13" t="n">
        <v>2.6</v>
      </c>
      <c r="M1509" s="12" t="n"/>
      <c r="N1509" s="8" t="n">
        <v>1.573911625459627</v>
      </c>
      <c r="O1509" s="15" t="n">
        <v>1.351707748989617</v>
      </c>
      <c r="P1509" s="15" t="n">
        <v>1.509040643509766</v>
      </c>
      <c r="Q1509" s="15" t="n">
        <v>0.00683764317452248</v>
      </c>
      <c r="R1509" s="15" t="n">
        <v>0.05318383894272993</v>
      </c>
      <c r="S1509" s="15" t="n">
        <v>0.007207016509324695</v>
      </c>
      <c r="T1509" s="42">
        <f>HIPERLINK($A$1 &amp; "\Dados\Imagem_perfil_1509.png", "Imagem_perfil_1509")</f>
        <v/>
      </c>
      <c r="U1509" s="42">
        <f>HIPERLINK($A$1 &amp; "\Dados\Results_airgap1509.txt", "Results_airgap1509")</f>
        <v/>
      </c>
      <c r="V1509" s="19" t="n"/>
      <c r="W1509" s="15" t="n">
        <v>2.013655217391304</v>
      </c>
      <c r="X1509" s="15" t="n">
        <v>1.008118682390514</v>
      </c>
      <c r="Y1509" s="15" t="n">
        <v>0.252913879826751</v>
      </c>
      <c r="Z1509" s="15" t="n">
        <v>0</v>
      </c>
      <c r="AA1509" s="15" t="n">
        <v>0</v>
      </c>
      <c r="AB1509" s="15" t="n">
        <v>1.605444978736836</v>
      </c>
      <c r="AC1509" s="15" t="n">
        <v>15.12618752792497</v>
      </c>
      <c r="AD1509" s="15" t="n">
        <v>57.0765653140565</v>
      </c>
      <c r="AE1509" s="15" t="n">
        <v>92.91544228338357</v>
      </c>
      <c r="AF1509" s="15" t="n">
        <v>123.0828499030173</v>
      </c>
      <c r="AH1509" s="42">
        <f>HIPERLINK($A$1 &amp; "\Dados\Magnet_fields_1509.txt.txt", "Magnet_fields_1509.txt")</f>
        <v/>
      </c>
      <c r="AI1509" t="n">
        <v>7648</v>
      </c>
      <c r="AJ1509" t="n">
        <v>31</v>
      </c>
      <c r="AK1509" s="42">
        <f>HIPERLINK($A$1 &amp; "\Dados\Magnet_3D_results_1509.txt.txt", "Magnet_3D_results_1509.txt")</f>
        <v/>
      </c>
      <c r="AL1509" s="42">
        <f>HIPERLINK($A$1 &amp; "\Dados\Magnet_fields_2D_1509.txt.txt", "Magnet_fields_2D_1509.txt")</f>
        <v/>
      </c>
    </row>
    <row r="1510">
      <c r="E1510" s="15" t="n">
        <v>128</v>
      </c>
      <c r="F1510" s="15" t="n">
        <v>178</v>
      </c>
      <c r="G1510" s="15" t="n">
        <v>415</v>
      </c>
      <c r="H1510" s="15" t="n">
        <v>31</v>
      </c>
      <c r="I1510" s="15" t="n">
        <v>164</v>
      </c>
      <c r="J1510" s="13" t="n">
        <v>25</v>
      </c>
      <c r="K1510" t="n">
        <v>40</v>
      </c>
      <c r="L1510" s="13" t="n">
        <v>2.6</v>
      </c>
      <c r="M1510" s="12" t="n"/>
      <c r="N1510" s="8" t="n">
        <v>1.297561871084872</v>
      </c>
      <c r="O1510" s="15" t="n">
        <v>1.101836410447855</v>
      </c>
      <c r="P1510" s="15" t="n">
        <v>1.238388044562853</v>
      </c>
      <c r="Q1510" s="15" t="n">
        <v>0.00187301926104615</v>
      </c>
      <c r="R1510" s="15" t="n">
        <v>0.04083561131834578</v>
      </c>
      <c r="S1510" s="15" t="n">
        <v>0.002550608129172169</v>
      </c>
      <c r="T1510" s="42">
        <f>HIPERLINK($A$1 &amp; "\Dados\Imagem_perfil_1510.png", "Imagem_perfil_1510")</f>
        <v/>
      </c>
      <c r="U1510" s="42">
        <f>HIPERLINK($A$1 &amp; "\Dados\Results_airgap1510.txt", "Results_airgap1510")</f>
        <v/>
      </c>
      <c r="V1510" s="19" t="n"/>
      <c r="W1510" s="15" t="n">
        <v>1.683245217391305</v>
      </c>
      <c r="X1510" s="15" t="n">
        <v>0.8404237048315203</v>
      </c>
      <c r="Y1510" s="15" t="n">
        <v>0.7352931598501411</v>
      </c>
      <c r="Z1510" s="15" t="n">
        <v>0.0430394669830331</v>
      </c>
      <c r="AA1510" s="15" t="n">
        <v>1.138701292080205</v>
      </c>
      <c r="AB1510" s="15" t="n">
        <v>3.405391330105558</v>
      </c>
      <c r="AC1510" s="15" t="n">
        <v>13.70496851680375</v>
      </c>
      <c r="AD1510" s="15" t="n">
        <v>37.94999406417807</v>
      </c>
      <c r="AE1510" s="15" t="n">
        <v>77.89147043456282</v>
      </c>
      <c r="AF1510" s="15" t="n">
        <v>113.4951263702783</v>
      </c>
      <c r="AH1510" s="42">
        <f>HIPERLINK($A$1 &amp; "\Dados\Magnet_fields_1510.txt.txt", "Magnet_fields_1510.txt")</f>
        <v/>
      </c>
      <c r="AI1510" t="n">
        <v>8730</v>
      </c>
      <c r="AJ1510" t="n">
        <v>29</v>
      </c>
      <c r="AK1510" s="42">
        <f>HIPERLINK($A$1 &amp; "\Dados\Magnet_3D_results_1510.txt.txt", "Magnet_3D_results_1510.txt")</f>
        <v/>
      </c>
      <c r="AL1510" s="42">
        <f>HIPERLINK($A$1 &amp; "\Dados\Magnet_fields_2D_1510.txt.txt", "Magnet_fields_2D_1510.txt")</f>
        <v/>
      </c>
    </row>
    <row r="1511">
      <c r="E1511" s="15" t="n">
        <v>142</v>
      </c>
      <c r="F1511" s="15" t="n">
        <v>179</v>
      </c>
      <c r="G1511" s="15" t="n">
        <v>425</v>
      </c>
      <c r="H1511" s="15" t="n">
        <v>41</v>
      </c>
      <c r="I1511" s="15" t="n">
        <v>173</v>
      </c>
      <c r="J1511" s="13" t="n">
        <v>25</v>
      </c>
      <c r="K1511" t="n">
        <v>55</v>
      </c>
      <c r="L1511" s="13" t="n">
        <v>2.6</v>
      </c>
      <c r="M1511" s="12" t="n"/>
      <c r="N1511" s="8" t="n">
        <v>1.633686736630138</v>
      </c>
      <c r="O1511" s="15" t="n">
        <v>1.437673539487772</v>
      </c>
      <c r="P1511" s="15" t="n">
        <v>1.575532262296887</v>
      </c>
      <c r="Q1511" s="15" t="n">
        <v>0.01439090546413782</v>
      </c>
      <c r="R1511" s="15" t="n">
        <v>0.06104985308781267</v>
      </c>
      <c r="S1511" s="15" t="n">
        <v>0.01457895515693722</v>
      </c>
      <c r="T1511" s="42">
        <f>HIPERLINK($A$1 &amp; "\Dados\Imagem_perfil_1511.png", "Imagem_perfil_1511")</f>
        <v/>
      </c>
      <c r="U1511" s="42">
        <f>HIPERLINK($A$1 &amp; "\Dados\Results_airgap1511.txt", "Results_airgap1511")</f>
        <v/>
      </c>
      <c r="V1511" s="19" t="n"/>
      <c r="W1511" s="15" t="n">
        <v>2.141476739130435</v>
      </c>
      <c r="X1511" s="15" t="n">
        <v>1.009075361096068</v>
      </c>
      <c r="Y1511" s="15" t="n">
        <v>0.1426027353732805</v>
      </c>
      <c r="Z1511" s="15" t="n">
        <v>0</v>
      </c>
      <c r="AA1511" s="15" t="n">
        <v>0.001236856401088886</v>
      </c>
      <c r="AB1511" s="15" t="n">
        <v>1.718094671350241</v>
      </c>
      <c r="AC1511" s="15" t="n">
        <v>16.01614750267078</v>
      </c>
      <c r="AD1511" s="15" t="n">
        <v>58.25992300858987</v>
      </c>
      <c r="AE1511" s="15" t="n">
        <v>95.11512508551954</v>
      </c>
      <c r="AF1511" s="15" t="n">
        <v>127.1031186711303</v>
      </c>
      <c r="AH1511" s="42">
        <f>HIPERLINK($A$1 &amp; "\Dados\Magnet_fields_1511.txt.txt", "Magnet_fields_1511.txt")</f>
        <v/>
      </c>
      <c r="AI1511" t="n">
        <v>11648</v>
      </c>
      <c r="AJ1511" t="n">
        <v>31</v>
      </c>
      <c r="AK1511" s="42">
        <f>HIPERLINK($A$1 &amp; "\Dados\Magnet_3D_results_1511.txt.txt", "Magnet_3D_results_1511.txt")</f>
        <v/>
      </c>
      <c r="AL1511" s="42">
        <f>HIPERLINK($A$1 &amp; "\Dados\Magnet_fields_2D_1511.txt.txt", "Magnet_fields_2D_1511.txt")</f>
        <v/>
      </c>
    </row>
    <row r="1512">
      <c r="E1512" s="15" t="n">
        <v>133</v>
      </c>
      <c r="F1512" s="15" t="n">
        <v>176</v>
      </c>
      <c r="G1512" s="15" t="n">
        <v>427</v>
      </c>
      <c r="H1512" s="15" t="n">
        <v>27</v>
      </c>
      <c r="I1512" s="15" t="n">
        <v>161</v>
      </c>
      <c r="J1512" s="13" t="n">
        <v>25</v>
      </c>
      <c r="K1512" t="n">
        <v>40</v>
      </c>
      <c r="L1512" s="13" t="n">
        <v>2.6</v>
      </c>
      <c r="M1512" s="12" t="n"/>
      <c r="N1512" s="8" t="n">
        <v>1.407787586656723</v>
      </c>
      <c r="O1512" s="15" t="n">
        <v>1.203818148787137</v>
      </c>
      <c r="P1512" s="15" t="n">
        <v>1.348830032000204</v>
      </c>
      <c r="Q1512" s="15" t="n">
        <v>0.001666113406473256</v>
      </c>
      <c r="R1512" s="15" t="n">
        <v>0.04123630261434157</v>
      </c>
      <c r="S1512" s="15" t="n">
        <v>0.001930307735992421</v>
      </c>
      <c r="T1512" s="42">
        <f>HIPERLINK($A$1 &amp; "\Dados\Imagem_perfil_1512.png", "Imagem_perfil_1512")</f>
        <v/>
      </c>
      <c r="U1512" s="42">
        <f>HIPERLINK($A$1 &amp; "\Dados\Results_airgap1512.txt", "Results_airgap1512")</f>
        <v/>
      </c>
      <c r="V1512" s="19" t="n"/>
      <c r="W1512" s="15" t="n">
        <v>1.83387</v>
      </c>
      <c r="X1512" s="15" t="n">
        <v>0.882287069467579</v>
      </c>
      <c r="Y1512" s="15" t="n">
        <v>0.4827781992301975</v>
      </c>
      <c r="Z1512" s="15" t="n">
        <v>0.005986965344817021</v>
      </c>
      <c r="AA1512" s="15" t="n">
        <v>1.240485162789485</v>
      </c>
      <c r="AB1512" s="15" t="n">
        <v>2.207194301913825</v>
      </c>
      <c r="AC1512" s="15" t="n">
        <v>10.27597673245141</v>
      </c>
      <c r="AD1512" s="15" t="n">
        <v>39.9007314493786</v>
      </c>
      <c r="AE1512" s="15" t="n">
        <v>85.1941699229403</v>
      </c>
      <c r="AF1512" s="15" t="n">
        <v>115.8723561908361</v>
      </c>
      <c r="AH1512" s="42">
        <f>HIPERLINK($A$1 &amp; "\Dados\Magnet_fields_1512.txt.txt", "Magnet_fields_1512.txt")</f>
        <v/>
      </c>
      <c r="AI1512" t="n">
        <v>10266</v>
      </c>
      <c r="AJ1512" t="n">
        <v>30</v>
      </c>
      <c r="AK1512" s="42">
        <f>HIPERLINK($A$1 &amp; "\Dados\Magnet_3D_results_1512.txt.txt", "Magnet_3D_results_1512.txt")</f>
        <v/>
      </c>
      <c r="AL1512" s="42">
        <f>HIPERLINK($A$1 &amp; "\Dados\Magnet_fields_2D_1512.txt.txt", "Magnet_fields_2D_1512.txt")</f>
        <v/>
      </c>
    </row>
    <row r="1513">
      <c r="E1513" s="15" t="n">
        <v>149</v>
      </c>
      <c r="F1513" s="15" t="n">
        <v>183</v>
      </c>
      <c r="G1513" s="15" t="n">
        <v>367</v>
      </c>
      <c r="H1513" s="15" t="n">
        <v>44</v>
      </c>
      <c r="I1513" s="15" t="n">
        <v>140</v>
      </c>
      <c r="J1513" s="13" t="n">
        <v>25</v>
      </c>
      <c r="K1513" t="n">
        <v>55</v>
      </c>
      <c r="L1513" s="13" t="n">
        <v>2.6</v>
      </c>
      <c r="M1513" s="12" t="n"/>
      <c r="N1513" s="8" t="n">
        <v>1.437912798516003</v>
      </c>
      <c r="O1513" s="15" t="n">
        <v>1.111505736869237</v>
      </c>
      <c r="P1513" s="15" t="n">
        <v>1.341712964615351</v>
      </c>
      <c r="Q1513" s="15" t="n">
        <v>0.007200998551650003</v>
      </c>
      <c r="R1513" s="15" t="n">
        <v>0.03657092836208378</v>
      </c>
      <c r="S1513" s="15" t="n">
        <v>0.007566407539062875</v>
      </c>
      <c r="T1513" s="42">
        <f>HIPERLINK($A$1 &amp; "\Dados\Imagem_perfil_1513.png", "Imagem_perfil_1513")</f>
        <v/>
      </c>
      <c r="U1513" s="42">
        <f>HIPERLINK($A$1 &amp; "\Dados\Results_airgap1513.txt", "Results_airgap1513")</f>
        <v/>
      </c>
      <c r="V1513" s="19" t="n"/>
      <c r="W1513" s="15" t="n">
        <v>1.874709130434783</v>
      </c>
      <c r="X1513" s="15" t="n">
        <v>0.9454507074601948</v>
      </c>
      <c r="Y1513" s="15" t="n">
        <v>0.2749039391250195</v>
      </c>
      <c r="Z1513" s="15" t="n">
        <v>0.035716114717587</v>
      </c>
      <c r="AA1513" s="15" t="n">
        <v>0</v>
      </c>
      <c r="AB1513" s="15" t="n">
        <v>0</v>
      </c>
      <c r="AC1513" s="15" t="n">
        <v>7.44052829870042</v>
      </c>
      <c r="AD1513" s="15" t="n">
        <v>64.61098520623837</v>
      </c>
      <c r="AE1513" s="15" t="n">
        <v>98.12973335439162</v>
      </c>
      <c r="AF1513" s="15" t="n">
        <v>126.8613898399843</v>
      </c>
      <c r="AH1513" s="42">
        <f>HIPERLINK($A$1 &amp; "\Dados\Magnet_fields_1513.txt.txt", "Magnet_fields_1513.txt")</f>
        <v/>
      </c>
      <c r="AI1513" t="n">
        <v>9920</v>
      </c>
      <c r="AJ1513" t="n">
        <v>29</v>
      </c>
      <c r="AK1513" s="42">
        <f>HIPERLINK($A$1 &amp; "\Dados\Magnet_3D_results_1513.txt.txt", "Magnet_3D_results_1513.txt")</f>
        <v/>
      </c>
      <c r="AL1513" s="42">
        <f>HIPERLINK($A$1 &amp; "\Dados\Magnet_fields_2D_1513.txt.txt", "Magnet_fields_2D_1513.txt")</f>
        <v/>
      </c>
    </row>
    <row r="1514">
      <c r="E1514" s="15" t="n">
        <v>128</v>
      </c>
      <c r="F1514" s="15" t="n">
        <v>176</v>
      </c>
      <c r="G1514" s="15" t="n">
        <v>372</v>
      </c>
      <c r="H1514" s="15" t="n">
        <v>30</v>
      </c>
      <c r="I1514" s="15" t="n">
        <v>169</v>
      </c>
      <c r="J1514" s="13" t="n">
        <v>25</v>
      </c>
      <c r="K1514" t="n">
        <v>60</v>
      </c>
      <c r="L1514" s="13" t="n">
        <v>2.6</v>
      </c>
      <c r="M1514" s="12" t="n"/>
      <c r="N1514" s="8" t="n">
        <v>1.377884576229107</v>
      </c>
      <c r="O1514" s="15" t="n">
        <v>1.195096034309521</v>
      </c>
      <c r="P1514" s="15" t="n">
        <v>1.317932967476156</v>
      </c>
      <c r="Q1514" s="15" t="n">
        <v>0.02866928899914501</v>
      </c>
      <c r="R1514" s="15" t="n">
        <v>0.0542855282648027</v>
      </c>
      <c r="S1514" s="15" t="n">
        <v>0.02662726297349067</v>
      </c>
      <c r="T1514" s="42">
        <f>HIPERLINK($A$1 &amp; "\Dados\Imagem_perfil_1514.png", "Imagem_perfil_1514")</f>
        <v/>
      </c>
      <c r="U1514" s="42">
        <f>HIPERLINK($A$1 &amp; "\Dados\Results_airgap1514.txt", "Results_airgap1514")</f>
        <v/>
      </c>
      <c r="V1514" s="19" t="n"/>
      <c r="W1514" s="15" t="n">
        <v>1.807414565217392</v>
      </c>
      <c r="X1514" s="15" t="n">
        <v>0.8636600644572574</v>
      </c>
      <c r="Y1514" s="15" t="n">
        <v>0.4079139270265453</v>
      </c>
      <c r="Z1514" s="15" t="n">
        <v>0.02995473567983848</v>
      </c>
      <c r="AA1514" s="15" t="n">
        <v>1.29452207269558</v>
      </c>
      <c r="AB1514" s="15" t="n">
        <v>0.6034628871133116</v>
      </c>
      <c r="AC1514" s="15" t="n">
        <v>18.42876767796556</v>
      </c>
      <c r="AD1514" s="15" t="n">
        <v>68.27749664462479</v>
      </c>
      <c r="AE1514" s="15" t="n">
        <v>99.71255153266712</v>
      </c>
      <c r="AF1514" s="15" t="n">
        <v>131.0014846725053</v>
      </c>
      <c r="AH1514" s="42">
        <f>HIPERLINK($A$1 &amp; "\Dados\Magnet_fields_1514.txt.txt", "Magnet_fields_1514.txt")</f>
        <v/>
      </c>
      <c r="AI1514" t="n">
        <v>9495</v>
      </c>
      <c r="AJ1514" t="n">
        <v>30</v>
      </c>
      <c r="AK1514" s="42">
        <f>HIPERLINK($A$1 &amp; "\Dados\Magnet_3D_results_1514.txt.txt", "Magnet_3D_results_1514.txt")</f>
        <v/>
      </c>
      <c r="AL1514" s="42">
        <f>HIPERLINK($A$1 &amp; "\Dados\Magnet_fields_2D_1514.txt.txt", "Magnet_fields_2D_1514.txt")</f>
        <v/>
      </c>
    </row>
    <row r="1515">
      <c r="E1515" s="15" t="n">
        <v>142</v>
      </c>
      <c r="F1515" s="15" t="n">
        <v>189</v>
      </c>
      <c r="G1515" s="15" t="n">
        <v>389</v>
      </c>
      <c r="H1515" s="15" t="n">
        <v>26</v>
      </c>
      <c r="I1515" s="15" t="n">
        <v>142</v>
      </c>
      <c r="J1515" s="13" t="n">
        <v>25</v>
      </c>
      <c r="K1515" t="n">
        <v>45</v>
      </c>
      <c r="L1515" s="13" t="n">
        <v>2.6</v>
      </c>
      <c r="M1515" s="12" t="n"/>
      <c r="N1515" s="8" t="n">
        <v>1.226517684103309</v>
      </c>
      <c r="O1515" s="15" t="n">
        <v>0.9434892087952008</v>
      </c>
      <c r="P1515" s="15" t="n">
        <v>1.14548700789593</v>
      </c>
      <c r="Q1515" s="15" t="n">
        <v>0.002135066497585522</v>
      </c>
      <c r="R1515" s="15" t="n">
        <v>0.03166131883017496</v>
      </c>
      <c r="S1515" s="15" t="n">
        <v>0.003115306398860775</v>
      </c>
      <c r="T1515" s="42">
        <f>HIPERLINK($A$1 &amp; "\Dados\Imagem_perfil_1515.png", "Imagem_perfil_1515")</f>
        <v/>
      </c>
      <c r="U1515" s="42">
        <f>HIPERLINK($A$1 &amp; "\Dados\Results_airgap1515.txt", "Results_airgap1515")</f>
        <v/>
      </c>
      <c r="V1515" s="19" t="n"/>
      <c r="W1515" s="15" t="n">
        <v>1.680408478260869</v>
      </c>
      <c r="X1515" s="15" t="n">
        <v>0.7897869328876399</v>
      </c>
      <c r="Y1515" s="15" t="n">
        <v>0.6079060791373667</v>
      </c>
      <c r="Z1515" s="15" t="n">
        <v>0</v>
      </c>
      <c r="AA1515" s="15" t="n">
        <v>4.104044988264417</v>
      </c>
      <c r="AB1515" s="15" t="n">
        <v>0.890627898950712</v>
      </c>
      <c r="AC1515" s="15" t="n">
        <v>7.965062973793319</v>
      </c>
      <c r="AD1515" s="15" t="n">
        <v>38.87194998775252</v>
      </c>
      <c r="AE1515" s="15" t="n">
        <v>83.78528584159935</v>
      </c>
      <c r="AF1515" s="15" t="n">
        <v>117.5824055041282</v>
      </c>
      <c r="AH1515" s="42">
        <f>HIPERLINK($A$1 &amp; "\Dados\Magnet_fields_1515.txt.txt", "Magnet_fields_1515.txt")</f>
        <v/>
      </c>
      <c r="AI1515" t="n">
        <v>8938</v>
      </c>
      <c r="AJ1515" t="n">
        <v>30</v>
      </c>
      <c r="AK1515" s="42">
        <f>HIPERLINK($A$1 &amp; "\Dados\Magnet_3D_results_1515.txt.txt", "Magnet_3D_results_1515.txt")</f>
        <v/>
      </c>
      <c r="AL1515" s="42">
        <f>HIPERLINK($A$1 &amp; "\Dados\Magnet_fields_2D_1515.txt.txt", "Magnet_fields_2D_1515.txt")</f>
        <v/>
      </c>
    </row>
    <row r="1516">
      <c r="E1516" s="15" t="n">
        <v>144</v>
      </c>
      <c r="F1516" s="15" t="n">
        <v>188</v>
      </c>
      <c r="G1516" s="15" t="n">
        <v>394</v>
      </c>
      <c r="H1516" s="15" t="n">
        <v>45</v>
      </c>
      <c r="I1516" s="15" t="n">
        <v>174</v>
      </c>
      <c r="J1516" s="13" t="n">
        <v>25</v>
      </c>
      <c r="K1516" t="n">
        <v>60</v>
      </c>
      <c r="L1516" s="13" t="n">
        <v>2.6</v>
      </c>
      <c r="M1516" s="12" t="n"/>
      <c r="N1516" s="8" t="n">
        <v>1.448638969909025</v>
      </c>
      <c r="O1516" s="15" t="n">
        <v>1.260098734920106</v>
      </c>
      <c r="P1516" s="15" t="n">
        <v>1.391712325889293</v>
      </c>
      <c r="Q1516" s="15" t="n">
        <v>0.02033119545710065</v>
      </c>
      <c r="R1516" s="15" t="n">
        <v>0.05536914081818201</v>
      </c>
      <c r="S1516" s="15" t="n">
        <v>0.01984930958386039</v>
      </c>
      <c r="T1516" s="42">
        <f>HIPERLINK($A$1 &amp; "\Dados\Imagem_perfil_1516.png", "Imagem_perfil_1516")</f>
        <v/>
      </c>
      <c r="U1516" s="42">
        <f>HIPERLINK($A$1 &amp; "\Dados\Results_airgap1516.txt", "Results_airgap1516")</f>
        <v/>
      </c>
      <c r="V1516" s="19" t="n"/>
      <c r="W1516" s="15" t="n">
        <v>1.874138043478261</v>
      </c>
      <c r="X1516" s="15" t="n">
        <v>0.9219348864645415</v>
      </c>
      <c r="Y1516" s="15" t="n">
        <v>0.3234923422415458</v>
      </c>
      <c r="Z1516" s="15" t="n">
        <v>0.005209238112305773</v>
      </c>
      <c r="AA1516" s="15" t="n">
        <v>0</v>
      </c>
      <c r="AB1516" s="15" t="n">
        <v>0.4898882402514825</v>
      </c>
      <c r="AC1516" s="15" t="n">
        <v>16.71549957237509</v>
      </c>
      <c r="AD1516" s="15" t="n">
        <v>67.19322933632155</v>
      </c>
      <c r="AE1516" s="15" t="n">
        <v>99.28923560423353</v>
      </c>
      <c r="AF1516" s="15" t="n">
        <v>130.7478218394962</v>
      </c>
      <c r="AH1516" s="42">
        <f>HIPERLINK($A$1 &amp; "\Dados\Magnet_fields_1516.txt.txt", "Magnet_fields_1516.txt")</f>
        <v/>
      </c>
      <c r="AI1516" t="n">
        <v>7842</v>
      </c>
      <c r="AJ1516" t="n">
        <v>29</v>
      </c>
      <c r="AK1516" s="42">
        <f>HIPERLINK($A$1 &amp; "\Dados\Magnet_3D_results_1516.txt.txt", "Magnet_3D_results_1516.txt")</f>
        <v/>
      </c>
      <c r="AL1516" s="42">
        <f>HIPERLINK($A$1 &amp; "\Dados\Magnet_fields_2D_1516.txt.txt", "Magnet_fields_2D_1516.txt")</f>
        <v/>
      </c>
    </row>
    <row r="1517">
      <c r="E1517" s="15" t="n">
        <v>139</v>
      </c>
      <c r="F1517" s="15" t="n">
        <v>185</v>
      </c>
      <c r="G1517" s="15" t="n">
        <v>408</v>
      </c>
      <c r="H1517" s="15" t="n">
        <v>44</v>
      </c>
      <c r="I1517" s="15" t="n">
        <v>141</v>
      </c>
      <c r="J1517" s="13" t="n">
        <v>25</v>
      </c>
      <c r="K1517" t="n">
        <v>45</v>
      </c>
      <c r="L1517" s="13" t="n">
        <v>2.6</v>
      </c>
      <c r="M1517" s="12" t="n"/>
      <c r="N1517" s="8" t="n">
        <v>1.319886159667293</v>
      </c>
      <c r="O1517" s="15" t="n">
        <v>1.021658961949381</v>
      </c>
      <c r="P1517" s="15" t="n">
        <v>1.236762456063248</v>
      </c>
      <c r="Q1517" s="15" t="n">
        <v>0.002817450837543847</v>
      </c>
      <c r="R1517" s="15" t="n">
        <v>0.04158255322269453</v>
      </c>
      <c r="S1517" s="15" t="n">
        <v>0.003861476732399356</v>
      </c>
      <c r="T1517" s="42">
        <f>HIPERLINK($A$1 &amp; "\Dados\Imagem_perfil_1517.png", "Imagem_perfil_1517")</f>
        <v/>
      </c>
      <c r="U1517" s="42">
        <f>HIPERLINK($A$1 &amp; "\Dados\Results_airgap1517.txt", "Results_airgap1517")</f>
        <v/>
      </c>
      <c r="V1517" s="19" t="n"/>
      <c r="W1517" s="15" t="n">
        <v>1.802899565217391</v>
      </c>
      <c r="X1517" s="15" t="n">
        <v>0.8724341033293156</v>
      </c>
      <c r="Y1517" s="15" t="n">
        <v>0.5028038538648222</v>
      </c>
      <c r="Z1517" s="15" t="n">
        <v>0</v>
      </c>
      <c r="AA1517" s="15" t="n">
        <v>0</v>
      </c>
      <c r="AB1517" s="15" t="n">
        <v>2.360834182346133</v>
      </c>
      <c r="AC1517" s="15" t="n">
        <v>13.28323428871235</v>
      </c>
      <c r="AD1517" s="15" t="n">
        <v>43.24712017764152</v>
      </c>
      <c r="AE1517" s="15" t="n">
        <v>82.21446650406017</v>
      </c>
      <c r="AF1517" s="15" t="n">
        <v>116.7477173702863</v>
      </c>
      <c r="AH1517" s="42">
        <f>HIPERLINK($A$1 &amp; "\Dados\Magnet_fields_1517.txt.txt", "Magnet_fields_1517.txt")</f>
        <v/>
      </c>
      <c r="AI1517" t="n">
        <v>6790</v>
      </c>
      <c r="AJ1517" t="n">
        <v>28</v>
      </c>
      <c r="AK1517" s="42">
        <f>HIPERLINK($A$1 &amp; "\Dados\Magnet_3D_results_1517.txt.txt", "Magnet_3D_results_1517.txt")</f>
        <v/>
      </c>
      <c r="AL1517" s="42">
        <f>HIPERLINK($A$1 &amp; "\Dados\Magnet_fields_2D_1517.txt.txt", "Magnet_fields_2D_1517.txt")</f>
        <v/>
      </c>
    </row>
    <row r="1518">
      <c r="E1518" s="15" t="n">
        <v>149</v>
      </c>
      <c r="F1518" s="15" t="n">
        <v>183</v>
      </c>
      <c r="G1518" s="15" t="n">
        <v>388</v>
      </c>
      <c r="H1518" s="15" t="n">
        <v>26</v>
      </c>
      <c r="I1518" s="15" t="n">
        <v>165</v>
      </c>
      <c r="J1518" s="13" t="n">
        <v>25</v>
      </c>
      <c r="K1518" t="n">
        <v>40</v>
      </c>
      <c r="L1518" s="13" t="n">
        <v>2.6</v>
      </c>
      <c r="M1518" s="12" t="n"/>
      <c r="N1518" s="8" t="n">
        <v>1.464314376137515</v>
      </c>
      <c r="O1518" s="15" t="n">
        <v>1.240832057714111</v>
      </c>
      <c r="P1518" s="15" t="n">
        <v>1.395975278611089</v>
      </c>
      <c r="Q1518" s="15" t="n">
        <v>0.001685889555603712</v>
      </c>
      <c r="R1518" s="15" t="n">
        <v>0.0241878176492857</v>
      </c>
      <c r="S1518" s="15" t="n">
        <v>0.001689423237219777</v>
      </c>
      <c r="T1518" s="42">
        <f>HIPERLINK($A$1 &amp; "\Dados\Imagem_perfil_1518.png", "Imagem_perfil_1518")</f>
        <v/>
      </c>
      <c r="U1518" s="42">
        <f>HIPERLINK($A$1 &amp; "\Dados\Results_airgap1518.txt", "Results_airgap1518")</f>
        <v/>
      </c>
      <c r="V1518" s="19" t="n"/>
      <c r="W1518" s="15" t="n">
        <v>1.800208695652174</v>
      </c>
      <c r="X1518" s="15" t="n">
        <v>0.8953411097193827</v>
      </c>
      <c r="Y1518" s="15" t="n">
        <v>0.4611716660598024</v>
      </c>
      <c r="Z1518" s="15" t="n">
        <v>0</v>
      </c>
      <c r="AA1518" s="15" t="n">
        <v>4.233125496649827</v>
      </c>
      <c r="AB1518" s="15" t="n">
        <v>0</v>
      </c>
      <c r="AC1518" s="15" t="n">
        <v>2.987371500442813</v>
      </c>
      <c r="AD1518" s="15" t="n">
        <v>26.85633252579386</v>
      </c>
      <c r="AE1518" s="15" t="n">
        <v>79.26502868133382</v>
      </c>
      <c r="AF1518" s="15" t="n">
        <v>114.4038689977569</v>
      </c>
      <c r="AH1518" s="42">
        <f>HIPERLINK($A$1 &amp; "\Dados\Magnet_fields_1518.txt.txt", "Magnet_fields_1518.txt")</f>
        <v/>
      </c>
      <c r="AI1518" t="n">
        <v>9760</v>
      </c>
      <c r="AJ1518" t="n">
        <v>30</v>
      </c>
      <c r="AK1518" s="42">
        <f>HIPERLINK($A$1 &amp; "\Dados\Magnet_3D_results_1518.txt.txt", "Magnet_3D_results_1518.txt")</f>
        <v/>
      </c>
      <c r="AL1518" s="42">
        <f>HIPERLINK($A$1 &amp; "\Dados\Magnet_fields_2D_1518.txt.txt", "Magnet_fields_2D_1518.txt")</f>
        <v/>
      </c>
    </row>
    <row r="1519">
      <c r="E1519" s="15" t="n">
        <v>146</v>
      </c>
      <c r="F1519" s="15" t="n">
        <v>196</v>
      </c>
      <c r="G1519" s="15" t="n">
        <v>364</v>
      </c>
      <c r="H1519" s="15" t="n">
        <v>37</v>
      </c>
      <c r="I1519" s="15" t="n">
        <v>147</v>
      </c>
      <c r="J1519" s="13" t="n">
        <v>25</v>
      </c>
      <c r="K1519" t="n">
        <v>55</v>
      </c>
      <c r="L1519" s="13" t="n">
        <v>2.6</v>
      </c>
      <c r="M1519" s="12" t="n"/>
      <c r="N1519" s="8" t="n">
        <v>1.177496630131305</v>
      </c>
      <c r="O1519" s="15" t="n">
        <v>0.945111561403534</v>
      </c>
      <c r="P1519" s="15" t="n">
        <v>1.109746626780942</v>
      </c>
      <c r="Q1519" s="15" t="n">
        <v>0.008474564843221516</v>
      </c>
      <c r="R1519" s="15" t="n">
        <v>0.03486156323173289</v>
      </c>
      <c r="S1519" s="15" t="n">
        <v>0.009178646946239566</v>
      </c>
      <c r="T1519" s="42">
        <f>HIPERLINK($A$1 &amp; "\Dados\Imagem_perfil_1519.png", "Imagem_perfil_1519")</f>
        <v/>
      </c>
      <c r="U1519" s="42">
        <f>HIPERLINK($A$1 &amp; "\Dados\Results_airgap1519.txt", "Results_airgap1519")</f>
        <v/>
      </c>
      <c r="V1519" s="19" t="n"/>
      <c r="W1519" s="15" t="n">
        <v>1.582865217391304</v>
      </c>
      <c r="X1519" s="15" t="n">
        <v>0.759116167838553</v>
      </c>
      <c r="Y1519" s="15" t="n">
        <v>0.6250940766755617</v>
      </c>
      <c r="Z1519" s="15" t="n">
        <v>0.001107293209321014</v>
      </c>
      <c r="AA1519" s="15" t="n">
        <v>0.8521399618731369</v>
      </c>
      <c r="AB1519" s="15" t="n">
        <v>0.2633846526986044</v>
      </c>
      <c r="AC1519" s="15" t="n">
        <v>12.64467418326028</v>
      </c>
      <c r="AD1519" s="15" t="n">
        <v>55.67264993965945</v>
      </c>
      <c r="AE1519" s="15" t="n">
        <v>91.25161414659708</v>
      </c>
      <c r="AF1519" s="15" t="n">
        <v>123.8794195911293</v>
      </c>
      <c r="AH1519" s="42">
        <f>HIPERLINK($A$1 &amp; "\Dados\Magnet_fields_1519.txt.txt", "Magnet_fields_1519.txt")</f>
        <v/>
      </c>
      <c r="AI1519" t="n">
        <v>9904</v>
      </c>
      <c r="AJ1519" t="n">
        <v>29</v>
      </c>
      <c r="AK1519" s="42">
        <f>HIPERLINK($A$1 &amp; "\Dados\Magnet_3D_results_1519.txt.txt", "Magnet_3D_results_1519.txt")</f>
        <v/>
      </c>
      <c r="AL1519" s="42">
        <f>HIPERLINK($A$1 &amp; "\Dados\Magnet_fields_2D_1519.txt.txt", "Magnet_fields_2D_1519.txt")</f>
        <v/>
      </c>
    </row>
    <row r="1520">
      <c r="E1520" s="15" t="n">
        <v>141</v>
      </c>
      <c r="F1520" s="15" t="n">
        <v>186</v>
      </c>
      <c r="G1520" s="15" t="n">
        <v>403</v>
      </c>
      <c r="H1520" s="15" t="n">
        <v>43</v>
      </c>
      <c r="I1520" s="15" t="n">
        <v>161</v>
      </c>
      <c r="J1520" s="13" t="n">
        <v>25</v>
      </c>
      <c r="K1520" t="n">
        <v>50</v>
      </c>
      <c r="L1520" s="13" t="n">
        <v>2.6</v>
      </c>
      <c r="M1520" s="12" t="n"/>
      <c r="N1520" s="8" t="n">
        <v>1.418533590056302</v>
      </c>
      <c r="O1520" s="15" t="n">
        <v>1.202759147289725</v>
      </c>
      <c r="P1520" s="15" t="n">
        <v>1.350897358398798</v>
      </c>
      <c r="Q1520" s="15" t="n">
        <v>0.005339353972646752</v>
      </c>
      <c r="R1520" s="15" t="n">
        <v>0.04725919037292504</v>
      </c>
      <c r="S1520" s="15" t="n">
        <v>0.005786496644683412</v>
      </c>
      <c r="T1520" s="42">
        <f>HIPERLINK($A$1 &amp; "\Dados\Imagem_perfil_1520.png", "Imagem_perfil_1520")</f>
        <v/>
      </c>
      <c r="U1520" s="42">
        <f>HIPERLINK($A$1 &amp; "\Dados\Results_airgap1520.txt", "Results_airgap1520")</f>
        <v/>
      </c>
      <c r="V1520" s="19" t="n"/>
      <c r="W1520" s="15" t="n">
        <v>1.860853043478261</v>
      </c>
      <c r="X1520" s="15" t="n">
        <v>0.8706993481710502</v>
      </c>
      <c r="Y1520" s="15" t="n">
        <v>0.3821999870967873</v>
      </c>
      <c r="Z1520" s="15" t="n">
        <v>0.001291932178683798</v>
      </c>
      <c r="AA1520" s="15" t="n">
        <v>0</v>
      </c>
      <c r="AB1520" s="15" t="n">
        <v>1.886008577995448</v>
      </c>
      <c r="AC1520" s="15" t="n">
        <v>14.29701770713124</v>
      </c>
      <c r="AD1520" s="15" t="n">
        <v>52.00853413401902</v>
      </c>
      <c r="AE1520" s="15" t="n">
        <v>89.13539556085721</v>
      </c>
      <c r="AF1520" s="15" t="n">
        <v>121.6250258931319</v>
      </c>
      <c r="AH1520" s="42">
        <f>HIPERLINK($A$1 &amp; "\Dados\Magnet_fields_1520.txt.txt", "Magnet_fields_1520.txt")</f>
        <v/>
      </c>
      <c r="AI1520" t="n">
        <v>6417</v>
      </c>
      <c r="AJ1520" t="n">
        <v>28</v>
      </c>
      <c r="AK1520" s="42">
        <f>HIPERLINK($A$1 &amp; "\Dados\Magnet_3D_results_1520.txt.txt", "Magnet_3D_results_1520.txt")</f>
        <v/>
      </c>
      <c r="AL1520" s="42">
        <f>HIPERLINK($A$1 &amp; "\Dados\Magnet_fields_2D_1520.txt.txt", "Magnet_fields_2D_1520.txt")</f>
        <v/>
      </c>
    </row>
    <row r="1521">
      <c r="E1521" s="15" t="n">
        <v>140</v>
      </c>
      <c r="F1521" s="15" t="n">
        <v>189</v>
      </c>
      <c r="G1521" s="15" t="n">
        <v>407</v>
      </c>
      <c r="H1521" s="15" t="n">
        <v>37</v>
      </c>
      <c r="I1521" s="15" t="n">
        <v>140</v>
      </c>
      <c r="J1521" s="13" t="n">
        <v>25</v>
      </c>
      <c r="K1521" t="n">
        <v>40</v>
      </c>
      <c r="L1521" s="13" t="n">
        <v>2.6</v>
      </c>
      <c r="M1521" s="12" t="n"/>
      <c r="N1521" s="8" t="n">
        <v>1.218711654058466</v>
      </c>
      <c r="O1521" s="15" t="n">
        <v>0.9496854246785824</v>
      </c>
      <c r="P1521" s="15" t="n">
        <v>1.140241631715062</v>
      </c>
      <c r="Q1521" s="15" t="n">
        <v>0.001213011960195889</v>
      </c>
      <c r="R1521" s="15" t="n">
        <v>0.03409810996693302</v>
      </c>
      <c r="S1521" s="15" t="n">
        <v>0.002463803025114481</v>
      </c>
      <c r="T1521" s="42">
        <f>HIPERLINK($A$1 &amp; "\Dados\Imagem_perfil_1521.png", "Imagem_perfil_1521")</f>
        <v/>
      </c>
      <c r="U1521" s="42">
        <f>HIPERLINK($A$1 &amp; "\Dados\Results_airgap1521.txt", "Results_airgap1521")</f>
        <v/>
      </c>
      <c r="V1521" s="19" t="n"/>
      <c r="W1521" s="15" t="n">
        <v>1.658952608695653</v>
      </c>
      <c r="X1521" s="15" t="n">
        <v>0.7980035462107693</v>
      </c>
      <c r="Y1521" s="15" t="n">
        <v>0.7348709292297957</v>
      </c>
      <c r="Z1521" s="15" t="n">
        <v>0.01191042416071867</v>
      </c>
      <c r="AA1521" s="15" t="n">
        <v>0.01413061278719352</v>
      </c>
      <c r="AB1521" s="15" t="n">
        <v>2.959507395308844</v>
      </c>
      <c r="AC1521" s="15" t="n">
        <v>13.18480109597607</v>
      </c>
      <c r="AD1521" s="15" t="n">
        <v>38.17916163603509</v>
      </c>
      <c r="AE1521" s="15" t="n">
        <v>76.17554460476566</v>
      </c>
      <c r="AF1521" s="15" t="n">
        <v>111.9072268008908</v>
      </c>
      <c r="AH1521" s="42">
        <f>HIPERLINK($A$1 &amp; "\Dados\Magnet_fields_1521.txt.txt", "Magnet_fields_1521.txt")</f>
        <v/>
      </c>
      <c r="AI1521" t="n">
        <v>7500</v>
      </c>
      <c r="AJ1521" t="n">
        <v>28</v>
      </c>
      <c r="AK1521" s="42">
        <f>HIPERLINK($A$1 &amp; "\Dados\Magnet_3D_results_1521.txt.txt", "Magnet_3D_results_1521.txt")</f>
        <v/>
      </c>
      <c r="AL1521" s="42">
        <f>HIPERLINK($A$1 &amp; "\Dados\Magnet_fields_2D_1521.txt.txt", "Magnet_fields_2D_1521.txt")</f>
        <v/>
      </c>
    </row>
    <row r="1522">
      <c r="E1522" s="15" t="n">
        <v>138</v>
      </c>
      <c r="F1522" s="15" t="n">
        <v>181</v>
      </c>
      <c r="G1522" s="15" t="n">
        <v>427</v>
      </c>
      <c r="H1522" s="15" t="n">
        <v>33</v>
      </c>
      <c r="I1522" s="15" t="n">
        <v>173</v>
      </c>
      <c r="J1522" s="13" t="n">
        <v>25</v>
      </c>
      <c r="K1522" t="n">
        <v>50</v>
      </c>
      <c r="L1522" s="13" t="n">
        <v>2.6</v>
      </c>
      <c r="M1522" s="12" t="n"/>
      <c r="N1522" s="8" t="n">
        <v>1.514204778182199</v>
      </c>
      <c r="O1522" s="15" t="n">
        <v>1.313525881324716</v>
      </c>
      <c r="P1522" s="15" t="n">
        <v>1.463970699644802</v>
      </c>
      <c r="Q1522" s="15" t="n">
        <v>0.006861636425930265</v>
      </c>
      <c r="R1522" s="15" t="n">
        <v>0.05370861722364681</v>
      </c>
      <c r="S1522" s="15" t="n">
        <v>0.006753322730015728</v>
      </c>
      <c r="T1522" s="42">
        <f>HIPERLINK($A$1 &amp; "\Dados\Imagem_perfil_1522.png", "Imagem_perfil_1522")</f>
        <v/>
      </c>
      <c r="U1522" s="42">
        <f>HIPERLINK($A$1 &amp; "\Dados\Results_airgap1522.txt", "Results_airgap1522")</f>
        <v/>
      </c>
      <c r="V1522" s="19" t="n"/>
      <c r="W1522" s="15" t="n">
        <v>1.990667173913043</v>
      </c>
      <c r="X1522" s="15" t="n">
        <v>0.9545086614307572</v>
      </c>
      <c r="Y1522" s="15" t="n">
        <v>0.2921667917107038</v>
      </c>
      <c r="Z1522" s="15" t="n">
        <v>0.001018581066530992</v>
      </c>
      <c r="AA1522" s="15" t="n">
        <v>2.214577575082081</v>
      </c>
      <c r="AB1522" s="15" t="n">
        <v>2.085182570415317</v>
      </c>
      <c r="AC1522" s="15" t="n">
        <v>13.74477898149601</v>
      </c>
      <c r="AD1522" s="15" t="n">
        <v>49.40410815557313</v>
      </c>
      <c r="AE1522" s="15" t="n">
        <v>88.76952563354833</v>
      </c>
      <c r="AF1522" s="15" t="n">
        <v>122.014105223391</v>
      </c>
      <c r="AH1522" s="42">
        <f>HIPERLINK($A$1 &amp; "\Dados\Magnet_fields_1522.txt.txt", "Magnet_fields_1522.txt")</f>
        <v/>
      </c>
      <c r="AI1522" t="n">
        <v>7898</v>
      </c>
      <c r="AJ1522" t="n">
        <v>29</v>
      </c>
      <c r="AK1522" s="42">
        <f>HIPERLINK($A$1 &amp; "\Dados\Magnet_3D_results_1522.txt.txt", "Magnet_3D_results_1522.txt")</f>
        <v/>
      </c>
      <c r="AL1522" s="42">
        <f>HIPERLINK($A$1 &amp; "\Dados\Magnet_fields_2D_1522.txt.txt", "Magnet_fields_2D_1522.txt")</f>
        <v/>
      </c>
    </row>
    <row r="1523">
      <c r="E1523" s="15" t="n">
        <v>148</v>
      </c>
      <c r="F1523" s="15" t="n">
        <v>189</v>
      </c>
      <c r="G1523" s="15" t="n">
        <v>394</v>
      </c>
      <c r="H1523" s="15" t="n">
        <v>28</v>
      </c>
      <c r="I1523" s="15" t="n">
        <v>170</v>
      </c>
      <c r="J1523" s="13" t="n">
        <v>25</v>
      </c>
      <c r="K1523" t="n">
        <v>45</v>
      </c>
      <c r="L1523" s="13" t="n">
        <v>2.6</v>
      </c>
      <c r="M1523" s="12" t="n"/>
      <c r="N1523" s="8" t="n">
        <v>1.409476084499697</v>
      </c>
      <c r="O1523" s="15" t="n">
        <v>1.2083309953638</v>
      </c>
      <c r="P1523" s="15" t="n">
        <v>1.348644670256632</v>
      </c>
      <c r="Q1523" s="15" t="n">
        <v>0.002262668897590038</v>
      </c>
      <c r="R1523" s="15" t="n">
        <v>0.03235428858230506</v>
      </c>
      <c r="S1523" s="15" t="n">
        <v>0.00239930367998218</v>
      </c>
      <c r="T1523" s="42">
        <f>HIPERLINK($A$1 &amp; "\Dados\Imagem_perfil_1523.png", "Imagem_perfil_1523")</f>
        <v/>
      </c>
      <c r="U1523" s="42">
        <f>HIPERLINK($A$1 &amp; "\Dados\Results_airgap1523.txt", "Results_airgap1523")</f>
        <v/>
      </c>
      <c r="V1523" s="19" t="n"/>
      <c r="W1523" s="15" t="n">
        <v>1.779434347826087</v>
      </c>
      <c r="X1523" s="15" t="n">
        <v>0.8997351343693807</v>
      </c>
      <c r="Y1523" s="15" t="n">
        <v>0.4546021152203031</v>
      </c>
      <c r="Z1523" s="15" t="n">
        <v>0</v>
      </c>
      <c r="AA1523" s="15" t="n">
        <v>3.146798706616449</v>
      </c>
      <c r="AB1523" s="15" t="n">
        <v>0.05025960069425094</v>
      </c>
      <c r="AC1523" s="15" t="n">
        <v>4.68136984148741</v>
      </c>
      <c r="AD1523" s="15" t="n">
        <v>40.79613333881159</v>
      </c>
      <c r="AE1523" s="15" t="n">
        <v>88.11577505397429</v>
      </c>
      <c r="AF1523" s="15" t="n">
        <v>118.7079343167841</v>
      </c>
      <c r="AH1523" s="42">
        <f>HIPERLINK($A$1 &amp; "\Dados\Magnet_fields_1523.txt.txt", "Magnet_fields_1523.txt")</f>
        <v/>
      </c>
      <c r="AI1523" t="n">
        <v>8643</v>
      </c>
      <c r="AJ1523" t="n">
        <v>29</v>
      </c>
      <c r="AK1523" s="42">
        <f>HIPERLINK($A$1 &amp; "\Dados\Magnet_3D_results_1523.txt.txt", "Magnet_3D_results_1523.txt")</f>
        <v/>
      </c>
      <c r="AL1523" s="42">
        <f>HIPERLINK($A$1 &amp; "\Dados\Magnet_fields_2D_1523.txt.txt", "Magnet_fields_2D_1523.txt")</f>
        <v/>
      </c>
    </row>
    <row r="1524">
      <c r="E1524" s="15" t="n">
        <v>134</v>
      </c>
      <c r="F1524" s="15" t="n">
        <v>172</v>
      </c>
      <c r="G1524" s="15" t="n">
        <v>405</v>
      </c>
      <c r="H1524" s="15" t="n">
        <v>44</v>
      </c>
      <c r="I1524" s="15" t="n">
        <v>180</v>
      </c>
      <c r="J1524" s="13" t="n">
        <v>25</v>
      </c>
      <c r="K1524" t="n">
        <v>40</v>
      </c>
      <c r="L1524" s="13" t="n">
        <v>2.6</v>
      </c>
      <c r="M1524" s="12" t="n"/>
      <c r="N1524" s="8" t="n">
        <v>1.50797350419997</v>
      </c>
      <c r="O1524" s="15" t="n">
        <v>1.342869596079569</v>
      </c>
      <c r="P1524" s="15" t="n">
        <v>1.459889225916203</v>
      </c>
      <c r="Q1524" s="15" t="n">
        <v>0.001939645428775102</v>
      </c>
      <c r="R1524" s="15" t="n">
        <v>0.03831231416719869</v>
      </c>
      <c r="S1524" s="15" t="n">
        <v>0.001944175901568676</v>
      </c>
      <c r="T1524" s="42">
        <f>HIPERLINK($A$1 &amp; "\Dados\Imagem_perfil_1524.png", "Imagem_perfil_1524")</f>
        <v/>
      </c>
      <c r="U1524" s="42">
        <f>HIPERLINK($A$1 &amp; "\Dados\Results_airgap1524.txt", "Results_airgap1524")</f>
        <v/>
      </c>
      <c r="V1524" s="19" t="n"/>
      <c r="W1524" s="15" t="n">
        <v>1.83317847826087</v>
      </c>
      <c r="X1524" s="15" t="n">
        <v>0.9144684819445149</v>
      </c>
      <c r="Y1524" s="15" t="n">
        <v>0.5421911168002487</v>
      </c>
      <c r="Z1524" s="15" t="n">
        <v>0.01766566458635634</v>
      </c>
      <c r="AA1524" s="15" t="n">
        <v>0.006261367335188526</v>
      </c>
      <c r="AB1524" s="15" t="n">
        <v>1.76634302453982</v>
      </c>
      <c r="AC1524" s="15" t="n">
        <v>8.230454025823967</v>
      </c>
      <c r="AD1524" s="15" t="n">
        <v>30.35033376270918</v>
      </c>
      <c r="AE1524" s="15" t="n">
        <v>76.29911926414168</v>
      </c>
      <c r="AF1524" s="15" t="n">
        <v>113.6795179272442</v>
      </c>
      <c r="AH1524" s="42">
        <f>HIPERLINK($A$1 &amp; "\Dados\Magnet_fields_1524.txt.txt", "Magnet_fields_1524.txt")</f>
        <v/>
      </c>
      <c r="AI1524" t="n">
        <v>7815</v>
      </c>
      <c r="AJ1524" t="n">
        <v>29</v>
      </c>
      <c r="AK1524" s="42">
        <f>HIPERLINK($A$1 &amp; "\Dados\Magnet_3D_results_1524.txt.txt", "Magnet_3D_results_1524.txt")</f>
        <v/>
      </c>
      <c r="AL1524" s="42">
        <f>HIPERLINK($A$1 &amp; "\Dados\Magnet_fields_2D_1524.txt.txt", "Magnet_fields_2D_1524.txt")</f>
        <v/>
      </c>
    </row>
    <row r="1525">
      <c r="E1525" s="15" t="n">
        <v>142</v>
      </c>
      <c r="F1525" s="15" t="n">
        <v>191</v>
      </c>
      <c r="G1525" s="15" t="n">
        <v>353</v>
      </c>
      <c r="H1525" s="15" t="n">
        <v>25</v>
      </c>
      <c r="I1525" s="15" t="n">
        <v>143</v>
      </c>
      <c r="J1525" s="13" t="n">
        <v>25</v>
      </c>
      <c r="K1525" t="n">
        <v>40</v>
      </c>
      <c r="L1525" s="13" t="n">
        <v>2.6</v>
      </c>
      <c r="M1525" s="12" t="n"/>
      <c r="N1525" s="8" t="n">
        <v>1.096643419465811</v>
      </c>
      <c r="O1525" s="15" t="n">
        <v>0.864833982256947</v>
      </c>
      <c r="P1525" s="15" t="n">
        <v>1.024256649914905</v>
      </c>
      <c r="Q1525" s="15" t="n">
        <v>0.0009082170430709188</v>
      </c>
      <c r="R1525" s="15" t="n">
        <v>0.02077825803307596</v>
      </c>
      <c r="S1525" s="15" t="n">
        <v>0.001626619037927879</v>
      </c>
      <c r="T1525" s="42">
        <f>HIPERLINK($A$1 &amp; "\Dados\Imagem_perfil_1525.png", "Imagem_perfil_1525")</f>
        <v/>
      </c>
      <c r="U1525" s="42">
        <f>HIPERLINK($A$1 &amp; "\Dados\Results_airgap1525.txt", "Results_airgap1525")</f>
        <v/>
      </c>
      <c r="V1525" s="19" t="n"/>
      <c r="W1525" s="15" t="n">
        <v>1.438450434782609</v>
      </c>
      <c r="X1525" s="15" t="n">
        <v>0.698393336642277</v>
      </c>
      <c r="Y1525" s="15" t="n">
        <v>0.9243615089770407</v>
      </c>
      <c r="Z1525" s="15" t="n">
        <v>0.008149515998880891</v>
      </c>
      <c r="AA1525" s="15" t="n">
        <v>3.582228878038425</v>
      </c>
      <c r="AB1525" s="15" t="n">
        <v>0.5567831927670638</v>
      </c>
      <c r="AC1525" s="15" t="n">
        <v>5.751750500972272</v>
      </c>
      <c r="AD1525" s="15" t="n">
        <v>29.62206796122461</v>
      </c>
      <c r="AE1525" s="15" t="n">
        <v>75.23787117618862</v>
      </c>
      <c r="AF1525" s="15" t="n">
        <v>112.574910437231</v>
      </c>
      <c r="AH1525" s="42">
        <f>HIPERLINK($A$1 &amp; "\Dados\Magnet_fields_1525.txt.txt", "Magnet_fields_1525.txt")</f>
        <v/>
      </c>
      <c r="AI1525" t="n">
        <v>9356</v>
      </c>
      <c r="AJ1525" t="n">
        <v>30</v>
      </c>
      <c r="AK1525" s="42">
        <f>HIPERLINK($A$1 &amp; "\Dados\Magnet_3D_results_1525.txt.txt", "Magnet_3D_results_1525.txt")</f>
        <v/>
      </c>
      <c r="AL1525" s="42">
        <f>HIPERLINK($A$1 &amp; "\Dados\Magnet_fields_2D_1525.txt.txt", "Magnet_fields_2D_1525.txt")</f>
        <v/>
      </c>
    </row>
    <row r="1526">
      <c r="E1526" s="15" t="n">
        <v>141</v>
      </c>
      <c r="F1526" s="15" t="n">
        <v>172</v>
      </c>
      <c r="G1526" s="15" t="n">
        <v>388</v>
      </c>
      <c r="H1526" s="15" t="n">
        <v>29</v>
      </c>
      <c r="I1526" s="15" t="n">
        <v>140</v>
      </c>
      <c r="J1526" s="13" t="n">
        <v>25</v>
      </c>
      <c r="K1526" t="n">
        <v>50</v>
      </c>
      <c r="L1526" s="13" t="n">
        <v>2.6</v>
      </c>
      <c r="M1526" s="12" t="n"/>
      <c r="N1526" s="8" t="n">
        <v>1.557296056873844</v>
      </c>
      <c r="O1526" s="15" t="n">
        <v>1.215756694046808</v>
      </c>
      <c r="P1526" s="15" t="n">
        <v>1.464940893500555</v>
      </c>
      <c r="Q1526" s="15" t="n">
        <v>0.006796809629720058</v>
      </c>
      <c r="R1526" s="15" t="n">
        <v>0.03829707488016908</v>
      </c>
      <c r="S1526" s="15" t="n">
        <v>0.00706018691529369</v>
      </c>
      <c r="T1526" s="42">
        <f>HIPERLINK($A$1 &amp; "\Dados\Imagem_perfil_1526.png", "Imagem_perfil_1526")</f>
        <v/>
      </c>
      <c r="U1526" s="42">
        <f>HIPERLINK($A$1 &amp; "\Dados\Results_airgap1526.txt", "Results_airgap1526")</f>
        <v/>
      </c>
      <c r="V1526" s="19" t="n"/>
      <c r="W1526" s="15" t="n">
        <v>2.072190434782609</v>
      </c>
      <c r="X1526" s="15" t="n">
        <v>1.024675446343316</v>
      </c>
      <c r="Y1526" s="15" t="n">
        <v>0.1808399769567279</v>
      </c>
      <c r="Z1526" s="15" t="n">
        <v>0</v>
      </c>
      <c r="AA1526" s="15" t="n">
        <v>3.251302041789539</v>
      </c>
      <c r="AB1526" s="15" t="n">
        <v>0.3307377194122322</v>
      </c>
      <c r="AC1526" s="15" t="n">
        <v>8.603558073727825</v>
      </c>
      <c r="AD1526" s="15" t="n">
        <v>51.77828909197405</v>
      </c>
      <c r="AE1526" s="15" t="n">
        <v>92.55808632203484</v>
      </c>
      <c r="AF1526" s="15" t="n">
        <v>123.2092974953332</v>
      </c>
      <c r="AH1526" s="42">
        <f>HIPERLINK($A$1 &amp; "\Dados\Magnet_fields_1526.txt.txt", "Magnet_fields_1526.txt")</f>
        <v/>
      </c>
      <c r="AI1526" t="n">
        <v>9272</v>
      </c>
      <c r="AJ1526" t="n">
        <v>30</v>
      </c>
      <c r="AK1526" s="42">
        <f>HIPERLINK($A$1 &amp; "\Dados\Magnet_3D_results_1526.txt.txt", "Magnet_3D_results_1526.txt")</f>
        <v/>
      </c>
      <c r="AL1526" s="42">
        <f>HIPERLINK($A$1 &amp; "\Dados\Magnet_fields_2D_1526.txt.txt", "Magnet_fields_2D_1526.txt")</f>
        <v/>
      </c>
    </row>
    <row r="1527">
      <c r="E1527" s="15" t="n">
        <v>131</v>
      </c>
      <c r="F1527" s="15" t="n">
        <v>175</v>
      </c>
      <c r="G1527" s="15" t="n">
        <v>377</v>
      </c>
      <c r="H1527" s="15" t="n">
        <v>26</v>
      </c>
      <c r="I1527" s="15" t="n">
        <v>156</v>
      </c>
      <c r="J1527" s="13" t="n">
        <v>25</v>
      </c>
      <c r="K1527" t="n">
        <v>60</v>
      </c>
      <c r="L1527" s="13" t="n">
        <v>2.6</v>
      </c>
      <c r="M1527" s="12" t="n"/>
      <c r="N1527" s="8" t="n">
        <v>1.394866476521926</v>
      </c>
      <c r="O1527" s="15" t="n">
        <v>1.177832377920485</v>
      </c>
      <c r="P1527" s="15" t="n">
        <v>1.321197290123018</v>
      </c>
      <c r="Q1527" s="15" t="n">
        <v>0.02388759524078811</v>
      </c>
      <c r="R1527" s="15" t="n">
        <v>0.05002185571046265</v>
      </c>
      <c r="S1527" s="15" t="n">
        <v>0.02297709515716658</v>
      </c>
      <c r="T1527" s="42">
        <f>HIPERLINK($A$1 &amp; "\Dados\Imagem_perfil_1527.png", "Imagem_perfil_1527")</f>
        <v/>
      </c>
      <c r="U1527" s="42">
        <f>HIPERLINK($A$1 &amp; "\Dados\Results_airgap1527.txt", "Results_airgap1527")</f>
        <v/>
      </c>
      <c r="V1527" s="19" t="n"/>
      <c r="W1527" s="15" t="n">
        <v>1.887641086956522</v>
      </c>
      <c r="X1527" s="15" t="n">
        <v>0.8938480754521884</v>
      </c>
      <c r="Y1527" s="15" t="n">
        <v>0.33170275990026</v>
      </c>
      <c r="Z1527" s="15" t="n">
        <v>0.01939820120729991</v>
      </c>
      <c r="AA1527" s="15" t="n">
        <v>5.748953216083684</v>
      </c>
      <c r="AB1527" s="15" t="n">
        <v>0.990040760653267</v>
      </c>
      <c r="AC1527" s="15" t="n">
        <v>18.15496336897854</v>
      </c>
      <c r="AD1527" s="15" t="n">
        <v>65.90048558322715</v>
      </c>
      <c r="AE1527" s="15" t="n">
        <v>99.10968493777368</v>
      </c>
      <c r="AF1527" s="15" t="n">
        <v>130.9067379177127</v>
      </c>
      <c r="AH1527" s="42">
        <f>HIPERLINK($A$1 &amp; "\Dados\Magnet_fields_1527.txt.txt", "Magnet_fields_1527.txt")</f>
        <v/>
      </c>
      <c r="AI1527" t="n">
        <v>10404</v>
      </c>
      <c r="AJ1527" t="n">
        <v>30</v>
      </c>
      <c r="AK1527" s="42">
        <f>HIPERLINK($A$1 &amp; "\Dados\Magnet_3D_results_1527.txt.txt", "Magnet_3D_results_1527.txt")</f>
        <v/>
      </c>
      <c r="AL1527" s="42">
        <f>HIPERLINK($A$1 &amp; "\Dados\Magnet_fields_2D_1527.txt.txt", "Magnet_fields_2D_1527.txt")</f>
        <v/>
      </c>
    </row>
    <row r="1528">
      <c r="E1528" s="15" t="n">
        <v>146</v>
      </c>
      <c r="F1528" s="15" t="n">
        <v>194</v>
      </c>
      <c r="G1528" s="15" t="n">
        <v>359</v>
      </c>
      <c r="H1528" s="15" t="n">
        <v>31</v>
      </c>
      <c r="I1528" s="15" t="n">
        <v>155</v>
      </c>
      <c r="J1528" s="13" t="n">
        <v>25</v>
      </c>
      <c r="K1528" t="n">
        <v>50</v>
      </c>
      <c r="L1528" s="13" t="n">
        <v>2.6</v>
      </c>
      <c r="M1528" s="12" t="n"/>
      <c r="N1528" s="8" t="n">
        <v>1.194399035710144</v>
      </c>
      <c r="O1528" s="15" t="n">
        <v>0.9795187180850937</v>
      </c>
      <c r="P1528" s="15" t="n">
        <v>1.129553449866108</v>
      </c>
      <c r="Q1528" s="15" t="n">
        <v>0.003639013088207627</v>
      </c>
      <c r="R1528" s="15" t="n">
        <v>0.02917266642588649</v>
      </c>
      <c r="S1528" s="15" t="n">
        <v>0.004084698488826986</v>
      </c>
      <c r="T1528" s="42">
        <f>HIPERLINK($A$1 &amp; "\Dados\Imagem_perfil_1528.png", "Imagem_perfil_1528")</f>
        <v/>
      </c>
      <c r="U1528" s="42">
        <f>HIPERLINK($A$1 &amp; "\Dados\Results_airgap1528.txt", "Results_airgap1528")</f>
        <v/>
      </c>
      <c r="V1528" s="19" t="n"/>
      <c r="W1528" s="15" t="n">
        <v>1.557193043478261</v>
      </c>
      <c r="X1528" s="15" t="n">
        <v>0.7608441165707167</v>
      </c>
      <c r="Y1528" s="15" t="n">
        <v>0.6721865315529828</v>
      </c>
      <c r="Z1528" s="15" t="n">
        <v>0</v>
      </c>
      <c r="AA1528" s="15" t="n">
        <v>2.594643364501161</v>
      </c>
      <c r="AB1528" s="15" t="n">
        <v>0</v>
      </c>
      <c r="AC1528" s="15" t="n">
        <v>7.058776741537794</v>
      </c>
      <c r="AD1528" s="15" t="n">
        <v>46.53238297261074</v>
      </c>
      <c r="AE1528" s="15" t="n">
        <v>88.19447573647336</v>
      </c>
      <c r="AF1528" s="15" t="n">
        <v>120.3967402278305</v>
      </c>
      <c r="AH1528" s="42">
        <f>HIPERLINK($A$1 &amp; "\Dados\Magnet_fields_1528.txt.txt", "Magnet_fields_1528.txt")</f>
        <v/>
      </c>
      <c r="AI1528" t="n">
        <v>7479</v>
      </c>
      <c r="AJ1528" t="n">
        <v>29</v>
      </c>
      <c r="AK1528" s="42">
        <f>HIPERLINK($A$1 &amp; "\Dados\Magnet_3D_results_1528.txt.txt", "Magnet_3D_results_1528.txt")</f>
        <v/>
      </c>
      <c r="AL1528" s="42">
        <f>HIPERLINK($A$1 &amp; "\Dados\Magnet_fields_2D_1528.txt.txt", "Magnet_fields_2D_1528.txt")</f>
        <v/>
      </c>
    </row>
    <row r="1529">
      <c r="E1529" s="15" t="n">
        <v>141</v>
      </c>
      <c r="F1529" s="15" t="n">
        <v>191</v>
      </c>
      <c r="G1529" s="15" t="n">
        <v>388</v>
      </c>
      <c r="H1529" s="15" t="n">
        <v>44</v>
      </c>
      <c r="I1529" s="15" t="n">
        <v>152</v>
      </c>
      <c r="J1529" s="13" t="n">
        <v>25</v>
      </c>
      <c r="K1529" t="n">
        <v>50</v>
      </c>
      <c r="L1529" s="13" t="n">
        <v>2.6</v>
      </c>
      <c r="M1529" s="12" t="n"/>
      <c r="N1529" s="8" t="n">
        <v>1.263984336644488</v>
      </c>
      <c r="O1529" s="15" t="n">
        <v>1.044728165314317</v>
      </c>
      <c r="P1529" s="15" t="n">
        <v>1.206111932489401</v>
      </c>
      <c r="Q1529" s="15" t="n">
        <v>0.005000593630619567</v>
      </c>
      <c r="R1529" s="15" t="n">
        <v>0.04300558229005924</v>
      </c>
      <c r="S1529" s="15" t="n">
        <v>0.0058479657865392</v>
      </c>
      <c r="T1529" s="42">
        <f>HIPERLINK($A$1 &amp; "\Dados\Imagem_perfil_1529.png", "Imagem_perfil_1529")</f>
        <v/>
      </c>
      <c r="U1529" s="42">
        <f>HIPERLINK($A$1 &amp; "\Dados\Results_airgap1529.txt", "Results_airgap1529")</f>
        <v/>
      </c>
      <c r="V1529" s="19" t="n"/>
      <c r="W1529" s="15" t="n">
        <v>1.70290695652174</v>
      </c>
      <c r="X1529" s="15" t="n">
        <v>0.8361016528044104</v>
      </c>
      <c r="Y1529" s="15" t="n">
        <v>0.5343934366680416</v>
      </c>
      <c r="Z1529" s="15" t="n">
        <v>0.0002809009372111057</v>
      </c>
      <c r="AA1529" s="15" t="n">
        <v>0</v>
      </c>
      <c r="AB1529" s="15" t="n">
        <v>0.9177489624014581</v>
      </c>
      <c r="AC1529" s="15" t="n">
        <v>12.09758416685166</v>
      </c>
      <c r="AD1529" s="15" t="n">
        <v>53.33095513403231</v>
      </c>
      <c r="AE1529" s="15" t="n">
        <v>91.05829288299819</v>
      </c>
      <c r="AF1529" s="15" t="n">
        <v>121.840822542992</v>
      </c>
      <c r="AH1529" s="42">
        <f>HIPERLINK($A$1 &amp; "\Dados\Magnet_fields_1529.txt.txt", "Magnet_fields_1529.txt")</f>
        <v/>
      </c>
      <c r="AI1529" t="n">
        <v>6663</v>
      </c>
      <c r="AJ1529" t="n">
        <v>28</v>
      </c>
      <c r="AK1529" s="42">
        <f>HIPERLINK($A$1 &amp; "\Dados\Magnet_3D_results_1529.txt.txt", "Magnet_3D_results_1529.txt")</f>
        <v/>
      </c>
      <c r="AL1529" s="42">
        <f>HIPERLINK($A$1 &amp; "\Dados\Magnet_fields_2D_1529.txt.txt", "Magnet_fields_2D_1529.txt")</f>
        <v/>
      </c>
    </row>
    <row r="1530">
      <c r="E1530" s="15" t="n">
        <v>129</v>
      </c>
      <c r="F1530" s="15" t="n">
        <v>179</v>
      </c>
      <c r="G1530" s="15" t="n">
        <v>387</v>
      </c>
      <c r="H1530" s="15" t="n">
        <v>40</v>
      </c>
      <c r="I1530" s="15" t="n">
        <v>141</v>
      </c>
      <c r="J1530" s="13" t="n">
        <v>25</v>
      </c>
      <c r="K1530" t="n">
        <v>45</v>
      </c>
      <c r="L1530" s="13" t="n">
        <v>2.6</v>
      </c>
      <c r="M1530" s="12" t="n"/>
      <c r="N1530" s="8" t="n">
        <v>1.24962244862924</v>
      </c>
      <c r="O1530" s="15" t="n">
        <v>0.9765643553258819</v>
      </c>
      <c r="P1530" s="15" t="n">
        <v>1.173644706723144</v>
      </c>
      <c r="Q1530" s="15" t="n">
        <v>0.003420727309217333</v>
      </c>
      <c r="R1530" s="15" t="n">
        <v>0.04196182704987977</v>
      </c>
      <c r="S1530" s="15" t="n">
        <v>0.004767793578620756</v>
      </c>
      <c r="T1530" s="42">
        <f>HIPERLINK($A$1 &amp; "\Dados\Imagem_perfil_1530.png", "Imagem_perfil_1530")</f>
        <v/>
      </c>
      <c r="U1530" s="42">
        <f>HIPERLINK($A$1 &amp; "\Dados\Results_airgap1530.txt", "Results_airgap1530")</f>
        <v/>
      </c>
      <c r="V1530" s="19" t="n"/>
      <c r="W1530" s="15" t="n">
        <v>1.707769130434783</v>
      </c>
      <c r="X1530" s="15" t="n">
        <v>0.8237117194857234</v>
      </c>
      <c r="Y1530" s="15" t="n">
        <v>0.5818136611955274</v>
      </c>
      <c r="Z1530" s="15" t="n">
        <v>0</v>
      </c>
      <c r="AA1530" s="15" t="n">
        <v>0</v>
      </c>
      <c r="AB1530" s="15" t="n">
        <v>2.788815990106725</v>
      </c>
      <c r="AC1530" s="15" t="n">
        <v>14.90550662292779</v>
      </c>
      <c r="AD1530" s="15" t="n">
        <v>48.16597578753669</v>
      </c>
      <c r="AE1530" s="15" t="n">
        <v>85.93540261550449</v>
      </c>
      <c r="AF1530" s="15" t="n">
        <v>117.8424047044488</v>
      </c>
      <c r="AH1530" s="42">
        <f>HIPERLINK($A$1 &amp; "\Dados\Magnet_fields_1530.txt.txt", "Magnet_fields_1530.txt")</f>
        <v/>
      </c>
      <c r="AI1530" t="n">
        <v>6357</v>
      </c>
      <c r="AJ1530" t="n">
        <v>28</v>
      </c>
      <c r="AK1530" s="42">
        <f>HIPERLINK($A$1 &amp; "\Dados\Magnet_3D_results_1530.txt.txt", "Magnet_3D_results_1530.txt")</f>
        <v/>
      </c>
      <c r="AL1530" s="42">
        <f>HIPERLINK($A$1 &amp; "\Dados\Magnet_fields_2D_1530.txt.txt", "Magnet_fields_2D_1530.txt")</f>
        <v/>
      </c>
    </row>
    <row r="1531">
      <c r="E1531" s="15" t="n">
        <v>142</v>
      </c>
      <c r="F1531" s="15" t="n">
        <v>186</v>
      </c>
      <c r="G1531" s="15" t="n">
        <v>351</v>
      </c>
      <c r="H1531" s="15" t="n">
        <v>27</v>
      </c>
      <c r="I1531" s="15" t="n">
        <v>161</v>
      </c>
      <c r="J1531" s="13" t="n">
        <v>25</v>
      </c>
      <c r="K1531" t="n">
        <v>50</v>
      </c>
      <c r="L1531" s="13" t="n">
        <v>2.6</v>
      </c>
      <c r="M1531" s="12" t="n"/>
      <c r="N1531" s="8" t="n">
        <v>1.272473980700033</v>
      </c>
      <c r="O1531" s="15" t="n">
        <v>1.072755835960891</v>
      </c>
      <c r="P1531" s="15" t="n">
        <v>1.211231357192816</v>
      </c>
      <c r="Q1531" s="15" t="n">
        <v>0.003472279033467736</v>
      </c>
      <c r="R1531" s="15" t="n">
        <v>0.02782485942713746</v>
      </c>
      <c r="S1531" s="15" t="n">
        <v>0.00374169877559765</v>
      </c>
      <c r="T1531" s="42">
        <f>HIPERLINK($A$1 &amp; "\Dados\Imagem_perfil_1531.png", "Imagem_perfil_1531")</f>
        <v/>
      </c>
      <c r="U1531" s="42">
        <f>HIPERLINK($A$1 &amp; "\Dados\Results_airgap1531.txt", "Results_airgap1531")</f>
        <v/>
      </c>
      <c r="V1531" s="19" t="n"/>
      <c r="W1531" s="15" t="n">
        <v>1.620526521739131</v>
      </c>
      <c r="X1531" s="15" t="n">
        <v>0.8091216547454656</v>
      </c>
      <c r="Y1531" s="15" t="n">
        <v>0.5899858561632541</v>
      </c>
      <c r="Z1531" s="15" t="n">
        <v>0.002441979785307403</v>
      </c>
      <c r="AA1531" s="15" t="n">
        <v>4.678997993963412</v>
      </c>
      <c r="AB1531" s="15" t="n">
        <v>0</v>
      </c>
      <c r="AC1531" s="15" t="n">
        <v>7.476000381183977</v>
      </c>
      <c r="AD1531" s="15" t="n">
        <v>48.56273515291537</v>
      </c>
      <c r="AE1531" s="15" t="n">
        <v>89.85476750061876</v>
      </c>
      <c r="AF1531" s="15" t="n">
        <v>121.0234343795897</v>
      </c>
      <c r="AH1531" s="42">
        <f>HIPERLINK($A$1 &amp; "\Dados\Magnet_fields_1531.txt.txt", "Magnet_fields_1531.txt")</f>
        <v/>
      </c>
      <c r="AI1531" t="n">
        <v>8181</v>
      </c>
      <c r="AJ1531" t="n">
        <v>29</v>
      </c>
      <c r="AK1531" s="42">
        <f>HIPERLINK($A$1 &amp; "\Dados\Magnet_3D_results_1531.txt.txt", "Magnet_3D_results_1531.txt")</f>
        <v/>
      </c>
      <c r="AL1531" s="42">
        <f>HIPERLINK($A$1 &amp; "\Dados\Magnet_fields_2D_1531.txt.txt", "Magnet_fields_2D_1531.txt")</f>
        <v/>
      </c>
    </row>
    <row r="1532">
      <c r="E1532" s="15" t="n">
        <v>141</v>
      </c>
      <c r="F1532" s="15" t="n">
        <v>177</v>
      </c>
      <c r="G1532" s="15" t="n">
        <v>388</v>
      </c>
      <c r="H1532" s="15" t="n">
        <v>31</v>
      </c>
      <c r="I1532" s="15" t="n">
        <v>156</v>
      </c>
      <c r="J1532" s="13" t="n">
        <v>25</v>
      </c>
      <c r="K1532" t="n">
        <v>55</v>
      </c>
      <c r="L1532" s="13" t="n">
        <v>2.6</v>
      </c>
      <c r="M1532" s="12" t="n"/>
      <c r="N1532" s="8" t="n">
        <v>1.528159575072931</v>
      </c>
      <c r="O1532" s="15" t="n">
        <v>1.305483732254582</v>
      </c>
      <c r="P1532" s="15" t="n">
        <v>1.458168031059731</v>
      </c>
      <c r="Q1532" s="15" t="n">
        <v>0.01064304011608092</v>
      </c>
      <c r="R1532" s="15" t="n">
        <v>0.04466309718640327</v>
      </c>
      <c r="S1532" s="15" t="n">
        <v>0.0103669868472103</v>
      </c>
      <c r="T1532" s="42">
        <f>HIPERLINK($A$1 &amp; "\Dados\Imagem_perfil_1532.png", "Imagem_perfil_1532")</f>
        <v/>
      </c>
      <c r="U1532" s="42">
        <f>HIPERLINK($A$1 &amp; "\Dados\Results_airgap1532.txt", "Results_airgap1532")</f>
        <v/>
      </c>
      <c r="V1532" s="19" t="n"/>
      <c r="W1532" s="15" t="n">
        <v>2.011508695652174</v>
      </c>
      <c r="X1532" s="15" t="n">
        <v>0.9766032122265647</v>
      </c>
      <c r="Y1532" s="15" t="n">
        <v>0.213499124052576</v>
      </c>
      <c r="Z1532" s="15" t="n">
        <v>0</v>
      </c>
      <c r="AA1532" s="15" t="n">
        <v>2.559451557406887</v>
      </c>
      <c r="AB1532" s="15" t="n">
        <v>0.7487580912244259</v>
      </c>
      <c r="AC1532" s="15" t="n">
        <v>14.38883403704076</v>
      </c>
      <c r="AD1532" s="15" t="n">
        <v>60.08849737223512</v>
      </c>
      <c r="AE1532" s="15" t="n">
        <v>95.61172176877969</v>
      </c>
      <c r="AF1532" s="15" t="n">
        <v>126.8132457303395</v>
      </c>
      <c r="AH1532" s="42">
        <f>HIPERLINK($A$1 &amp; "\Dados\Magnet_fields_1532.txt.txt", "Magnet_fields_1532.txt")</f>
        <v/>
      </c>
      <c r="AI1532" t="n">
        <v>11531</v>
      </c>
      <c r="AJ1532" t="n">
        <v>30</v>
      </c>
      <c r="AK1532" s="42">
        <f>HIPERLINK($A$1 &amp; "\Dados\Magnet_3D_results_1532.txt.txt", "Magnet_3D_results_1532.txt")</f>
        <v/>
      </c>
      <c r="AL1532" s="42">
        <f>HIPERLINK($A$1 &amp; "\Dados\Magnet_fields_2D_1532.txt.txt", "Magnet_fields_2D_1532.txt")</f>
        <v/>
      </c>
    </row>
    <row r="1533">
      <c r="E1533" s="15" t="n">
        <v>150</v>
      </c>
      <c r="F1533" s="15" t="n">
        <v>180</v>
      </c>
      <c r="G1533" s="15" t="n">
        <v>386</v>
      </c>
      <c r="H1533" s="15" t="n">
        <v>40</v>
      </c>
      <c r="I1533" s="15" t="n">
        <v>141</v>
      </c>
      <c r="J1533" s="13" t="n">
        <v>25</v>
      </c>
      <c r="K1533" t="n">
        <v>45</v>
      </c>
      <c r="L1533" s="13" t="n">
        <v>2.6</v>
      </c>
      <c r="M1533" s="12" t="n"/>
      <c r="N1533" s="8" t="n">
        <v>1.553476106069485</v>
      </c>
      <c r="O1533" s="15" t="n">
        <v>1.212902964941304</v>
      </c>
      <c r="P1533" s="15" t="n">
        <v>1.460066845876638</v>
      </c>
      <c r="Q1533" s="15" t="n">
        <v>0.003895857270065679</v>
      </c>
      <c r="R1533" s="15" t="n">
        <v>0.03187133543491835</v>
      </c>
      <c r="S1533" s="15" t="n">
        <v>0.0041352999666766</v>
      </c>
      <c r="T1533" s="42">
        <f>HIPERLINK($A$1 &amp; "\Dados\Imagem_perfil_1533.png", "Imagem_perfil_1533")</f>
        <v/>
      </c>
      <c r="U1533" s="42">
        <f>HIPERLINK($A$1 &amp; "\Dados\Results_airgap1533.txt", "Results_airgap1533")</f>
        <v/>
      </c>
      <c r="V1533" s="19" t="n"/>
      <c r="W1533" s="15" t="n">
        <v>1.986610434782609</v>
      </c>
      <c r="X1533" s="15" t="n">
        <v>1.001091258331934</v>
      </c>
      <c r="Y1533" s="15" t="n">
        <v>0.2403878974117858</v>
      </c>
      <c r="Z1533" s="15" t="n">
        <v>0</v>
      </c>
      <c r="AA1533" s="15" t="n">
        <v>0</v>
      </c>
      <c r="AB1533" s="15" t="n">
        <v>0</v>
      </c>
      <c r="AC1533" s="15" t="n">
        <v>5.016132568677383</v>
      </c>
      <c r="AD1533" s="15" t="n">
        <v>45.28680238244689</v>
      </c>
      <c r="AE1533" s="15" t="n">
        <v>88.5113807572444</v>
      </c>
      <c r="AF1533" s="15" t="n">
        <v>118.8629561969892</v>
      </c>
      <c r="AH1533" s="42">
        <f>HIPERLINK($A$1 &amp; "\Dados\Magnet_fields_1533.txt.txt", "Magnet_fields_1533.txt")</f>
        <v/>
      </c>
      <c r="AI1533" t="n">
        <v>6630</v>
      </c>
      <c r="AJ1533" t="n">
        <v>29</v>
      </c>
      <c r="AK1533" s="42">
        <f>HIPERLINK($A$1 &amp; "\Dados\Magnet_3D_results_1533.txt.txt", "Magnet_3D_results_1533.txt")</f>
        <v/>
      </c>
      <c r="AL1533" s="42">
        <f>HIPERLINK($A$1 &amp; "\Dados\Magnet_fields_2D_1533.txt.txt", "Magnet_fields_2D_1533.txt")</f>
        <v/>
      </c>
    </row>
    <row r="1534">
      <c r="E1534" s="15" t="n">
        <v>130</v>
      </c>
      <c r="F1534" s="15" t="n">
        <v>179</v>
      </c>
      <c r="G1534" s="15" t="n">
        <v>414</v>
      </c>
      <c r="H1534" s="15" t="n">
        <v>32</v>
      </c>
      <c r="I1534" s="15" t="n">
        <v>180</v>
      </c>
      <c r="J1534" s="13" t="n">
        <v>25</v>
      </c>
      <c r="K1534" t="n">
        <v>45</v>
      </c>
      <c r="L1534" s="13" t="n">
        <v>2.6</v>
      </c>
      <c r="M1534" s="12" t="n"/>
      <c r="N1534" s="8" t="n">
        <v>1.43103432620078</v>
      </c>
      <c r="O1534" s="15" t="n">
        <v>1.264864204772163</v>
      </c>
      <c r="P1534" s="15" t="n">
        <v>1.384531304315693</v>
      </c>
      <c r="Q1534" s="15" t="n">
        <v>0.003809573054891744</v>
      </c>
      <c r="R1534" s="15" t="n">
        <v>0.05027558086413566</v>
      </c>
      <c r="S1534" s="15" t="n">
        <v>0.003924771230078313</v>
      </c>
      <c r="T1534" s="42">
        <f>HIPERLINK($A$1 &amp; "\Dados\Imagem_perfil_1534.png", "Imagem_perfil_1534")</f>
        <v/>
      </c>
      <c r="U1534" s="42">
        <f>HIPERLINK($A$1 &amp; "\Dados\Results_airgap1534.txt", "Results_airgap1534")</f>
        <v/>
      </c>
      <c r="V1534" s="19" t="n"/>
      <c r="W1534" s="15" t="n">
        <v>1.818883695652174</v>
      </c>
      <c r="X1534" s="15" t="n">
        <v>0.8975737351029632</v>
      </c>
      <c r="Y1534" s="15" t="n">
        <v>0.4607278249092422</v>
      </c>
      <c r="Z1534" s="15" t="n">
        <v>0.001045640189272041</v>
      </c>
      <c r="AA1534" s="15" t="n">
        <v>0.002616264959013426</v>
      </c>
      <c r="AB1534" s="15" t="n">
        <v>2.774913044706055</v>
      </c>
      <c r="AC1534" s="15" t="n">
        <v>15.60662990297976</v>
      </c>
      <c r="AD1534" s="15" t="n">
        <v>51.62237101616896</v>
      </c>
      <c r="AE1534" s="15" t="n">
        <v>89.02144349283802</v>
      </c>
      <c r="AF1534" s="15" t="n">
        <v>118.9871897543296</v>
      </c>
      <c r="AH1534" s="42">
        <f>HIPERLINK($A$1 &amp; "\Dados\Magnet_fields_1534.txt.txt", "Magnet_fields_1534.txt")</f>
        <v/>
      </c>
      <c r="AI1534" t="n">
        <v>7988</v>
      </c>
      <c r="AJ1534" t="n">
        <v>29</v>
      </c>
      <c r="AK1534" s="42">
        <f>HIPERLINK($A$1 &amp; "\Dados\Magnet_3D_results_1534.txt.txt", "Magnet_3D_results_1534.txt")</f>
        <v/>
      </c>
      <c r="AL1534" s="42">
        <f>HIPERLINK($A$1 &amp; "\Dados\Magnet_fields_2D_1534.txt.txt", "Magnet_fields_2D_1534.txt")</f>
        <v/>
      </c>
    </row>
    <row r="1535">
      <c r="E1535" s="15" t="n">
        <v>125</v>
      </c>
      <c r="F1535" s="15" t="n">
        <v>171</v>
      </c>
      <c r="G1535" s="15" t="n">
        <v>405</v>
      </c>
      <c r="H1535" s="15" t="n">
        <v>45</v>
      </c>
      <c r="I1535" s="15" t="n">
        <v>145</v>
      </c>
      <c r="J1535" s="13" t="n">
        <v>25</v>
      </c>
      <c r="K1535" t="n">
        <v>50</v>
      </c>
      <c r="L1535" s="13" t="n">
        <v>2.6</v>
      </c>
      <c r="M1535" s="12" t="n"/>
      <c r="N1535" s="8" t="n">
        <v>1.380931718907633</v>
      </c>
      <c r="O1535" s="15" t="n">
        <v>1.108644384177565</v>
      </c>
      <c r="P1535" s="15" t="n">
        <v>1.306662839491615</v>
      </c>
      <c r="Q1535" s="15" t="n">
        <v>0.007825361785068178</v>
      </c>
      <c r="R1535" s="15" t="n">
        <v>0.05695841352806332</v>
      </c>
      <c r="S1535" s="15" t="n">
        <v>0.008922375143415838</v>
      </c>
      <c r="T1535" s="42">
        <f>HIPERLINK($A$1 &amp; "\Dados\Imagem_perfil_1535.png", "Imagem_perfil_1535")</f>
        <v/>
      </c>
      <c r="U1535" s="42">
        <f>HIPERLINK($A$1 &amp; "\Dados\Results_airgap1535.txt", "Results_airgap1535")</f>
        <v/>
      </c>
      <c r="V1535" s="19" t="n"/>
      <c r="W1535" s="15" t="n">
        <v>1.918715434782609</v>
      </c>
      <c r="X1535" s="15" t="n">
        <v>0.9156406959967165</v>
      </c>
      <c r="Y1535" s="15" t="n">
        <v>0.3677639199234286</v>
      </c>
      <c r="Z1535" s="15" t="n">
        <v>0.001465839303965556</v>
      </c>
      <c r="AA1535" s="15" t="n">
        <v>0</v>
      </c>
      <c r="AB1535" s="15" t="n">
        <v>2.543437990867754</v>
      </c>
      <c r="AC1535" s="15" t="n">
        <v>14.80938070267835</v>
      </c>
      <c r="AD1535" s="15" t="n">
        <v>51.30171619897443</v>
      </c>
      <c r="AE1535" s="15" t="n">
        <v>90.92924249931394</v>
      </c>
      <c r="AF1535" s="15" t="n">
        <v>122.704964632534</v>
      </c>
      <c r="AH1535" s="42">
        <f>HIPERLINK($A$1 &amp; "\Dados\Magnet_fields_1535.txt.txt", "Magnet_fields_1535.txt")</f>
        <v/>
      </c>
      <c r="AI1535" t="n">
        <v>7081</v>
      </c>
      <c r="AJ1535" t="n">
        <v>28</v>
      </c>
      <c r="AK1535" s="42">
        <f>HIPERLINK($A$1 &amp; "\Dados\Magnet_3D_results_1535.txt.txt", "Magnet_3D_results_1535.txt")</f>
        <v/>
      </c>
      <c r="AL1535" s="42">
        <f>HIPERLINK($A$1 &amp; "\Dados\Magnet_fields_2D_1535.txt.txt", "Magnet_fields_2D_1535.txt")</f>
        <v/>
      </c>
    </row>
    <row r="1536">
      <c r="E1536" s="15" t="n">
        <v>141</v>
      </c>
      <c r="F1536" s="15" t="n">
        <v>174</v>
      </c>
      <c r="G1536" s="15" t="n">
        <v>401</v>
      </c>
      <c r="H1536" s="15" t="n">
        <v>33</v>
      </c>
      <c r="I1536" s="15" t="n">
        <v>166</v>
      </c>
      <c r="J1536" s="13" t="n">
        <v>25</v>
      </c>
      <c r="K1536" t="n">
        <v>60</v>
      </c>
      <c r="L1536" s="13" t="n">
        <v>2.6</v>
      </c>
      <c r="M1536" s="12" t="n"/>
      <c r="N1536" s="8" t="n">
        <v>1.664839127430445</v>
      </c>
      <c r="O1536" s="15" t="n">
        <v>1.410741268277442</v>
      </c>
      <c r="P1536" s="15" t="n">
        <v>1.59112336727078</v>
      </c>
      <c r="Q1536" s="15" t="n">
        <v>0.02326946935563148</v>
      </c>
      <c r="R1536" s="15" t="n">
        <v>0.05803571809618715</v>
      </c>
      <c r="S1536" s="15" t="n">
        <v>0.02335201485421459</v>
      </c>
      <c r="T1536" s="42">
        <f>HIPERLINK($A$1 &amp; "\Dados\Imagem_perfil_1536.png", "Imagem_perfil_1536")</f>
        <v/>
      </c>
      <c r="U1536" s="42">
        <f>HIPERLINK($A$1 &amp; "\Dados\Results_airgap1536.txt", "Results_airgap1536")</f>
        <v/>
      </c>
      <c r="V1536" s="19" t="n"/>
      <c r="W1536" s="15" t="n">
        <v>2.168591956521739</v>
      </c>
      <c r="X1536" s="15" t="n">
        <v>1.037554659236243</v>
      </c>
      <c r="Y1536" s="15" t="n">
        <v>0.1120676872092643</v>
      </c>
      <c r="Z1536" s="15" t="n">
        <v>0.02927528583675114</v>
      </c>
      <c r="AA1536" s="15" t="n">
        <v>1.379859746068116</v>
      </c>
      <c r="AB1536" s="15" t="n">
        <v>0.07902704632081398</v>
      </c>
      <c r="AC1536" s="15" t="n">
        <v>18.23846179851439</v>
      </c>
      <c r="AD1536" s="15" t="n">
        <v>74.3548464689146</v>
      </c>
      <c r="AE1536" s="15" t="n">
        <v>102.7677072647217</v>
      </c>
      <c r="AF1536" s="15" t="n">
        <v>132.5938469963592</v>
      </c>
      <c r="AH1536" s="42">
        <f>HIPERLINK($A$1 &amp; "\Dados\Magnet_fields_1536.txt.txt", "Magnet_fields_1536.txt")</f>
        <v/>
      </c>
      <c r="AI1536" t="n">
        <v>9100</v>
      </c>
      <c r="AJ1536" t="n">
        <v>29</v>
      </c>
      <c r="AK1536" s="42">
        <f>HIPERLINK($A$1 &amp; "\Dados\Magnet_3D_results_1536.txt.txt", "Magnet_3D_results_1536.txt")</f>
        <v/>
      </c>
      <c r="AL1536" s="42">
        <f>HIPERLINK($A$1 &amp; "\Dados\Magnet_fields_2D_1536.txt.txt", "Magnet_fields_2D_1536.txt")</f>
        <v/>
      </c>
    </row>
    <row r="1537">
      <c r="E1537" s="15" t="n">
        <v>138</v>
      </c>
      <c r="F1537" s="15" t="n">
        <v>181</v>
      </c>
      <c r="G1537" s="15" t="n">
        <v>401</v>
      </c>
      <c r="H1537" s="15" t="n">
        <v>26</v>
      </c>
      <c r="I1537" s="15" t="n">
        <v>152</v>
      </c>
      <c r="J1537" s="13" t="n">
        <v>25</v>
      </c>
      <c r="K1537" t="n">
        <v>50</v>
      </c>
      <c r="L1537" s="13" t="n">
        <v>2.6</v>
      </c>
      <c r="M1537" s="12" t="n"/>
      <c r="N1537" s="8" t="n">
        <v>1.390545370179339</v>
      </c>
      <c r="O1537" s="15" t="n">
        <v>1.122956155309727</v>
      </c>
      <c r="P1537" s="15" t="n">
        <v>1.311191625090632</v>
      </c>
      <c r="Q1537" s="15" t="n">
        <v>0.005161122827114947</v>
      </c>
      <c r="R1537" s="15" t="n">
        <v>0.04180896250191313</v>
      </c>
      <c r="S1537" s="15" t="n">
        <v>0.005532249858097478</v>
      </c>
      <c r="T1537" s="42">
        <f>HIPERLINK($A$1 &amp; "\Dados\Imagem_perfil_1537.png", "Imagem_perfil_1537")</f>
        <v/>
      </c>
      <c r="U1537" s="42">
        <f>HIPERLINK($A$1 &amp; "\Dados\Results_airgap1537.txt", "Results_airgap1537")</f>
        <v/>
      </c>
      <c r="V1537" s="19" t="n"/>
      <c r="W1537" s="15" t="n">
        <v>1.892239999999999</v>
      </c>
      <c r="X1537" s="15" t="n">
        <v>0.9321841230937576</v>
      </c>
      <c r="Y1537" s="15" t="n">
        <v>0.3632385952642829</v>
      </c>
      <c r="Z1537" s="15" t="n">
        <v>0.001445489161186467</v>
      </c>
      <c r="AA1537" s="15" t="n">
        <v>5.017039450252122</v>
      </c>
      <c r="AB1537" s="15" t="n">
        <v>1.763137350386943</v>
      </c>
      <c r="AC1537" s="15" t="n">
        <v>12.96130034580602</v>
      </c>
      <c r="AD1537" s="15" t="n">
        <v>48.35815516284326</v>
      </c>
      <c r="AE1537" s="15" t="n">
        <v>87.65861142407168</v>
      </c>
      <c r="AF1537" s="15" t="n">
        <v>121.392775330332</v>
      </c>
      <c r="AH1537" s="42">
        <f>HIPERLINK($A$1 &amp; "\Dados\Magnet_fields_1537.txt.txt", "Magnet_fields_1537.txt")</f>
        <v/>
      </c>
      <c r="AI1537" t="n">
        <v>9287</v>
      </c>
      <c r="AJ1537" t="n">
        <v>29</v>
      </c>
      <c r="AK1537" s="42">
        <f>HIPERLINK($A$1 &amp; "\Dados\Magnet_3D_results_1537.txt.txt", "Magnet_3D_results_1537.txt")</f>
        <v/>
      </c>
      <c r="AL1537" s="42">
        <f>HIPERLINK($A$1 &amp; "\Dados\Magnet_fields_2D_1537.txt.txt", "Magnet_fields_2D_1537.txt")</f>
        <v/>
      </c>
    </row>
    <row r="1538">
      <c r="E1538" s="15" t="n">
        <v>144</v>
      </c>
      <c r="F1538" s="15" t="n">
        <v>183</v>
      </c>
      <c r="G1538" s="15" t="n">
        <v>428</v>
      </c>
      <c r="H1538" s="15" t="n">
        <v>27</v>
      </c>
      <c r="I1538" s="15" t="n">
        <v>148</v>
      </c>
      <c r="J1538" s="13" t="n">
        <v>25</v>
      </c>
      <c r="K1538" t="n">
        <v>50</v>
      </c>
      <c r="L1538" s="13" t="n">
        <v>2.6</v>
      </c>
      <c r="M1538" s="12" t="n"/>
      <c r="N1538" s="8" t="n">
        <v>1.46911113931883</v>
      </c>
      <c r="O1538" s="15" t="n">
        <v>1.212502599146208</v>
      </c>
      <c r="P1538" s="15" t="n">
        <v>1.388060598306144</v>
      </c>
      <c r="Q1538" s="15" t="n">
        <v>0.005674832588009679</v>
      </c>
      <c r="R1538" s="15" t="n">
        <v>0.04639229992872625</v>
      </c>
      <c r="S1538" s="15" t="n">
        <v>0.005839290133294111</v>
      </c>
      <c r="T1538" s="42">
        <f>HIPERLINK($A$1 &amp; "\Dados\Imagem_perfil_1538.png", "Imagem_perfil_1538")</f>
        <v/>
      </c>
      <c r="U1538" s="42">
        <f>HIPERLINK($A$1 &amp; "\Dados\Results_airgap1538.txt", "Results_airgap1538")</f>
        <v/>
      </c>
      <c r="V1538" s="19" t="n"/>
      <c r="W1538" s="15" t="n">
        <v>2.022591304347826</v>
      </c>
      <c r="X1538" s="15" t="n">
        <v>0.9803859871264762</v>
      </c>
      <c r="Y1538" s="15" t="n">
        <v>0.2441565548447365</v>
      </c>
      <c r="Z1538" s="15" t="n">
        <v>0.01237213851302153</v>
      </c>
      <c r="AA1538" s="15" t="n">
        <v>4.070000254646768</v>
      </c>
      <c r="AB1538" s="15" t="n">
        <v>0.6715476056340957</v>
      </c>
      <c r="AC1538" s="15" t="n">
        <v>7.763888416030505</v>
      </c>
      <c r="AD1538" s="15" t="n">
        <v>50.19763115685611</v>
      </c>
      <c r="AE1538" s="15" t="n">
        <v>93.61164695890528</v>
      </c>
      <c r="AF1538" s="15" t="n">
        <v>123.4981354367809</v>
      </c>
      <c r="AH1538" s="42">
        <f>HIPERLINK($A$1 &amp; "\Dados\Magnet_fields_1538.txt.txt", "Magnet_fields_1538.txt")</f>
        <v/>
      </c>
      <c r="AI1538" t="n">
        <v>9991</v>
      </c>
      <c r="AJ1538" t="n">
        <v>30</v>
      </c>
      <c r="AK1538" s="42">
        <f>HIPERLINK($A$1 &amp; "\Dados\Magnet_3D_results_1538.txt.txt", "Magnet_3D_results_1538.txt")</f>
        <v/>
      </c>
      <c r="AL1538" s="42">
        <f>HIPERLINK($A$1 &amp; "\Dados\Magnet_fields_2D_1538.txt.txt", "Magnet_fields_2D_1538.txt")</f>
        <v/>
      </c>
    </row>
    <row r="1539">
      <c r="E1539" s="15" t="n">
        <v>135</v>
      </c>
      <c r="F1539" s="15" t="n">
        <v>185</v>
      </c>
      <c r="G1539" s="15" t="n">
        <v>426</v>
      </c>
      <c r="H1539" s="15" t="n">
        <v>25</v>
      </c>
      <c r="I1539" s="15" t="n">
        <v>166</v>
      </c>
      <c r="J1539" s="13" t="n">
        <v>25</v>
      </c>
      <c r="K1539" t="n">
        <v>45</v>
      </c>
      <c r="L1539" s="13" t="n">
        <v>2.6</v>
      </c>
      <c r="M1539" s="12" t="n"/>
      <c r="N1539" s="8" t="n">
        <v>1.350759987478068</v>
      </c>
      <c r="O1539" s="15" t="n">
        <v>1.144682898708762</v>
      </c>
      <c r="P1539" s="15" t="n">
        <v>1.284595985133349</v>
      </c>
      <c r="Q1539" s="15" t="n">
        <v>0.003399994155473335</v>
      </c>
      <c r="R1539" s="15" t="n">
        <v>0.04675396444889426</v>
      </c>
      <c r="S1539" s="15" t="n">
        <v>0.003835868662735703</v>
      </c>
      <c r="T1539" s="42">
        <f>HIPERLINK($A$1 &amp; "\Dados\Imagem_perfil_1539.png", "Imagem_perfil_1539")</f>
        <v/>
      </c>
      <c r="U1539" s="42">
        <f>HIPERLINK($A$1 &amp; "\Dados\Results_airgap1539.txt", "Results_airgap1539")</f>
        <v/>
      </c>
      <c r="V1539" s="19" t="n"/>
      <c r="W1539" s="15" t="n">
        <v>1.801985869565217</v>
      </c>
      <c r="X1539" s="15" t="n">
        <v>0.8732842053587403</v>
      </c>
      <c r="Y1539" s="15" t="n">
        <v>0.493964395939812</v>
      </c>
      <c r="Z1539" s="15" t="n">
        <v>0.0009193659541910415</v>
      </c>
      <c r="AA1539" s="15" t="n">
        <v>2.427211684789894</v>
      </c>
      <c r="AB1539" s="15" t="n">
        <v>2.121593504259487</v>
      </c>
      <c r="AC1539" s="15" t="n">
        <v>12.00233246165795</v>
      </c>
      <c r="AD1539" s="15" t="n">
        <v>46.25139628321127</v>
      </c>
      <c r="AE1539" s="15" t="n">
        <v>88.53031591555714</v>
      </c>
      <c r="AF1539" s="15" t="n">
        <v>119.2805432532783</v>
      </c>
      <c r="AH1539" s="42">
        <f>HIPERLINK($A$1 &amp; "\Dados\Magnet_fields_1539.txt.txt", "Magnet_fields_1539.txt")</f>
        <v/>
      </c>
      <c r="AI1539" t="n">
        <v>10541</v>
      </c>
      <c r="AJ1539" t="n">
        <v>30</v>
      </c>
      <c r="AK1539" s="42">
        <f>HIPERLINK($A$1 &amp; "\Dados\Magnet_3D_results_1539.txt.txt", "Magnet_3D_results_1539.txt")</f>
        <v/>
      </c>
      <c r="AL1539" s="42">
        <f>HIPERLINK($A$1 &amp; "\Dados\Magnet_fields_2D_1539.txt.txt", "Magnet_fields_2D_1539.txt")</f>
        <v/>
      </c>
    </row>
    <row r="1540">
      <c r="E1540" s="15" t="n">
        <v>140</v>
      </c>
      <c r="F1540" s="15" t="n">
        <v>180</v>
      </c>
      <c r="G1540" s="15" t="n">
        <v>368</v>
      </c>
      <c r="H1540" s="15" t="n">
        <v>35</v>
      </c>
      <c r="I1540" s="15" t="n">
        <v>144</v>
      </c>
      <c r="J1540" s="13" t="n">
        <v>25</v>
      </c>
      <c r="K1540" t="n">
        <v>50</v>
      </c>
      <c r="L1540" s="13" t="n">
        <v>2.6</v>
      </c>
      <c r="M1540" s="12" t="n"/>
      <c r="N1540" s="8" t="n">
        <v>1.359334937771352</v>
      </c>
      <c r="O1540" s="15" t="n">
        <v>1.083065613214507</v>
      </c>
      <c r="P1540" s="15" t="n">
        <v>1.275895726274235</v>
      </c>
      <c r="Q1540" s="15" t="n">
        <v>0.003920517333157626</v>
      </c>
      <c r="R1540" s="15" t="n">
        <v>0.03559953734466544</v>
      </c>
      <c r="S1540" s="15" t="n">
        <v>0.004706210391727861</v>
      </c>
      <c r="T1540" s="42">
        <f>HIPERLINK($A$1 &amp; "\Dados\Imagem_perfil_1540.png", "Imagem_perfil_1540")</f>
        <v/>
      </c>
      <c r="U1540" s="42">
        <f>HIPERLINK($A$1 &amp; "\Dados\Results_airgap1540.txt", "Results_airgap1540")</f>
        <v/>
      </c>
      <c r="V1540" s="19" t="n"/>
      <c r="W1540" s="15" t="n">
        <v>1.790261086956522</v>
      </c>
      <c r="X1540" s="15" t="n">
        <v>0.8887617972440752</v>
      </c>
      <c r="Y1540" s="15" t="n">
        <v>0.4166898622320708</v>
      </c>
      <c r="Z1540" s="15" t="n">
        <v>0</v>
      </c>
      <c r="AA1540" s="15" t="n">
        <v>0.1776082613963985</v>
      </c>
      <c r="AB1540" s="15" t="n">
        <v>0.1089527207254256</v>
      </c>
      <c r="AC1540" s="15" t="n">
        <v>7.731719700195464</v>
      </c>
      <c r="AD1540" s="15" t="n">
        <v>49.83552086611768</v>
      </c>
      <c r="AE1540" s="15" t="n">
        <v>91.59401372924025</v>
      </c>
      <c r="AF1540" s="15" t="n">
        <v>122.1204906764322</v>
      </c>
      <c r="AH1540" s="42">
        <f>HIPERLINK($A$1 &amp; "\Dados\Magnet_fields_1540.txt.txt", "Magnet_fields_1540.txt")</f>
        <v/>
      </c>
      <c r="AI1540" t="n">
        <v>7444</v>
      </c>
      <c r="AJ1540" t="n">
        <v>29</v>
      </c>
      <c r="AK1540" s="42">
        <f>HIPERLINK($A$1 &amp; "\Dados\Magnet_3D_results_1540.txt.txt", "Magnet_3D_results_1540.txt")</f>
        <v/>
      </c>
      <c r="AL1540" s="42">
        <f>HIPERLINK($A$1 &amp; "\Dados\Magnet_fields_2D_1540.txt.txt", "Magnet_fields_2D_1540.txt")</f>
        <v/>
      </c>
    </row>
    <row r="1541">
      <c r="E1541" s="15" t="n">
        <v>131</v>
      </c>
      <c r="F1541" s="15" t="n">
        <v>181</v>
      </c>
      <c r="G1541" s="15" t="n">
        <v>391</v>
      </c>
      <c r="H1541" s="15" t="n">
        <v>29</v>
      </c>
      <c r="I1541" s="15" t="n">
        <v>143</v>
      </c>
      <c r="J1541" s="13" t="n">
        <v>25</v>
      </c>
      <c r="K1541" t="n">
        <v>45</v>
      </c>
      <c r="L1541" s="13" t="n">
        <v>2.6</v>
      </c>
      <c r="M1541" s="12" t="n"/>
      <c r="N1541" s="8" t="n">
        <v>1.250671617918384</v>
      </c>
      <c r="O1541" s="15" t="n">
        <v>1.013512620479117</v>
      </c>
      <c r="P1541" s="15" t="n">
        <v>1.183501780487673</v>
      </c>
      <c r="Q1541" s="15" t="n">
        <v>0.003078551845978998</v>
      </c>
      <c r="R1541" s="15" t="n">
        <v>0.04072657440155725</v>
      </c>
      <c r="S1541" s="15" t="n">
        <v>0.004294933355074866</v>
      </c>
      <c r="T1541" s="42">
        <f>HIPERLINK($A$1 &amp; "\Dados\Imagem_perfil_1541.png", "Imagem_perfil_1541")</f>
        <v/>
      </c>
      <c r="U1541" s="42">
        <f>HIPERLINK($A$1 &amp; "\Dados\Results_airgap1541.txt", "Results_airgap1541")</f>
        <v/>
      </c>
      <c r="V1541" s="19" t="n"/>
      <c r="W1541" s="15" t="n">
        <v>1.714745652173913</v>
      </c>
      <c r="X1541" s="15" t="n">
        <v>0.809471429491657</v>
      </c>
      <c r="Y1541" s="15" t="n">
        <v>0.561626353891572</v>
      </c>
      <c r="Z1541" s="15" t="n">
        <v>0</v>
      </c>
      <c r="AA1541" s="15" t="n">
        <v>0.2028622567407357</v>
      </c>
      <c r="AB1541" s="15" t="n">
        <v>2.251212791694966</v>
      </c>
      <c r="AC1541" s="15" t="n">
        <v>13.88510608791011</v>
      </c>
      <c r="AD1541" s="15" t="n">
        <v>49.47028122485703</v>
      </c>
      <c r="AE1541" s="15" t="n">
        <v>87.81932309018913</v>
      </c>
      <c r="AF1541" s="15" t="n">
        <v>118.4802412945255</v>
      </c>
      <c r="AH1541" s="42">
        <f>HIPERLINK($A$1 &amp; "\Dados\Magnet_fields_1541.txt.txt", "Magnet_fields_1541.txt")</f>
        <v/>
      </c>
      <c r="AI1541" t="n">
        <v>7871</v>
      </c>
      <c r="AJ1541" t="n">
        <v>29</v>
      </c>
      <c r="AK1541" s="42">
        <f>HIPERLINK($A$1 &amp; "\Dados\Magnet_3D_results_1541.txt.txt", "Magnet_3D_results_1541.txt")</f>
        <v/>
      </c>
      <c r="AL1541" s="42">
        <f>HIPERLINK($A$1 &amp; "\Dados\Magnet_fields_2D_1541.txt.txt", "Magnet_fields_2D_1541.txt")</f>
        <v/>
      </c>
    </row>
    <row r="1542">
      <c r="E1542" s="15" t="n">
        <v>139</v>
      </c>
      <c r="F1542" s="15" t="n">
        <v>182</v>
      </c>
      <c r="G1542" s="15" t="n">
        <v>357</v>
      </c>
      <c r="H1542" s="15" t="n">
        <v>30</v>
      </c>
      <c r="I1542" s="15" t="n">
        <v>149</v>
      </c>
      <c r="J1542" s="13" t="n">
        <v>25</v>
      </c>
      <c r="K1542" t="n">
        <v>40</v>
      </c>
      <c r="L1542" s="13" t="n">
        <v>2.6</v>
      </c>
      <c r="M1542" s="12" t="n"/>
      <c r="N1542" s="8" t="n">
        <v>1.239041259472757</v>
      </c>
      <c r="O1542" s="15" t="n">
        <v>1.016345761744252</v>
      </c>
      <c r="P1542" s="15" t="n">
        <v>1.172389605870189</v>
      </c>
      <c r="Q1542" s="15" t="n">
        <v>0.001042968546736936</v>
      </c>
      <c r="R1542" s="15" t="n">
        <v>0.02413225358592375</v>
      </c>
      <c r="S1542" s="15" t="n">
        <v>0.001486395928305449</v>
      </c>
      <c r="T1542" s="42">
        <f>HIPERLINK($A$1 &amp; "\Dados\Imagem_perfil_1542.png", "Imagem_perfil_1542")</f>
        <v/>
      </c>
      <c r="U1542" s="42">
        <f>HIPERLINK($A$1 &amp; "\Dados\Results_airgap1542.txt", "Results_airgap1542")</f>
        <v/>
      </c>
      <c r="V1542" s="19" t="n"/>
      <c r="W1542" s="15" t="n">
        <v>1.573668043478261</v>
      </c>
      <c r="X1542" s="15" t="n">
        <v>0.7649372850618192</v>
      </c>
      <c r="Y1542" s="15" t="n">
        <v>0.7413639591513864</v>
      </c>
      <c r="Z1542" s="15" t="n">
        <v>0.002012874241732437</v>
      </c>
      <c r="AA1542" s="15" t="n">
        <v>1.61117298898852</v>
      </c>
      <c r="AB1542" s="15" t="n">
        <v>0.5874334367903425</v>
      </c>
      <c r="AC1542" s="15" t="n">
        <v>5.52775738656956</v>
      </c>
      <c r="AD1542" s="15" t="n">
        <v>31.02200362699073</v>
      </c>
      <c r="AE1542" s="15" t="n">
        <v>77.98225077068503</v>
      </c>
      <c r="AF1542" s="15" t="n">
        <v>113.366079402497</v>
      </c>
      <c r="AH1542" s="42">
        <f>HIPERLINK($A$1 &amp; "\Dados\Magnet_fields_1542.txt.txt", "Magnet_fields_1542.txt")</f>
        <v/>
      </c>
      <c r="AI1542" t="n">
        <v>8315</v>
      </c>
      <c r="AJ1542" t="n">
        <v>29</v>
      </c>
      <c r="AK1542" s="42">
        <f>HIPERLINK($A$1 &amp; "\Dados\Magnet_3D_results_1542.txt.txt", "Magnet_3D_results_1542.txt")</f>
        <v/>
      </c>
      <c r="AL1542" s="42">
        <f>HIPERLINK($A$1 &amp; "\Dados\Magnet_fields_2D_1542.txt.txt", "Magnet_fields_2D_1542.txt")</f>
        <v/>
      </c>
    </row>
    <row r="1543">
      <c r="E1543" s="15" t="n">
        <v>139</v>
      </c>
      <c r="F1543" s="15" t="n">
        <v>179</v>
      </c>
      <c r="G1543" s="15" t="n">
        <v>398</v>
      </c>
      <c r="H1543" s="15" t="n">
        <v>28</v>
      </c>
      <c r="I1543" s="15" t="n">
        <v>154</v>
      </c>
      <c r="J1543" s="13" t="n">
        <v>25</v>
      </c>
      <c r="K1543" t="n">
        <v>60</v>
      </c>
      <c r="L1543" s="13" t="n">
        <v>2.6</v>
      </c>
      <c r="M1543" s="12" t="n"/>
      <c r="N1543" s="8" t="n">
        <v>1.480741791813723</v>
      </c>
      <c r="O1543" s="15" t="n">
        <v>1.218323129697692</v>
      </c>
      <c r="P1543" s="15" t="n">
        <v>1.40721163829881</v>
      </c>
      <c r="Q1543" s="15" t="n">
        <v>0.01926415243788135</v>
      </c>
      <c r="R1543" s="15" t="n">
        <v>0.05344071466773213</v>
      </c>
      <c r="S1543" s="15" t="n">
        <v>0.01955907925202068</v>
      </c>
      <c r="T1543" s="42">
        <f>HIPERLINK($A$1 &amp; "\Dados\Imagem_perfil_1543.png", "Imagem_perfil_1543")</f>
        <v/>
      </c>
      <c r="U1543" s="42">
        <f>HIPERLINK($A$1 &amp; "\Dados\Results_airgap1543.txt", "Results_airgap1543")</f>
        <v/>
      </c>
      <c r="V1543" s="19" t="n"/>
      <c r="W1543" s="15" t="n">
        <v>2.02239347826087</v>
      </c>
      <c r="X1543" s="15" t="n">
        <v>0.953413273448369</v>
      </c>
      <c r="Y1543" s="15" t="n">
        <v>0.2137829881850439</v>
      </c>
      <c r="Z1543" s="15" t="n">
        <v>0.01787925796294967</v>
      </c>
      <c r="AA1543" s="15" t="n">
        <v>4.003978354303078</v>
      </c>
      <c r="AB1543" s="15" t="n">
        <v>0.6382487998002927</v>
      </c>
      <c r="AC1543" s="15" t="n">
        <v>19.64317710511062</v>
      </c>
      <c r="AD1543" s="15" t="n">
        <v>70.99810136268003</v>
      </c>
      <c r="AE1543" s="15" t="n">
        <v>100.8717140472881</v>
      </c>
      <c r="AF1543" s="15" t="n">
        <v>131.8160275116568</v>
      </c>
      <c r="AH1543" s="42">
        <f>HIPERLINK($A$1 &amp; "\Dados\Magnet_fields_1543.txt.txt", "Magnet_fields_1543.txt")</f>
        <v/>
      </c>
      <c r="AI1543" t="n">
        <v>9898</v>
      </c>
      <c r="AJ1543" t="n">
        <v>29</v>
      </c>
      <c r="AK1543" s="42">
        <f>HIPERLINK($A$1 &amp; "\Dados\Magnet_3D_results_1543.txt.txt", "Magnet_3D_results_1543.txt")</f>
        <v/>
      </c>
      <c r="AL1543" s="42">
        <f>HIPERLINK($A$1 &amp; "\Dados\Magnet_fields_2D_1543.txt.txt", "Magnet_fields_2D_1543.txt")</f>
        <v/>
      </c>
    </row>
    <row r="1544">
      <c r="E1544" s="15" t="n">
        <v>136</v>
      </c>
      <c r="F1544" s="15" t="n">
        <v>178</v>
      </c>
      <c r="G1544" s="15" t="n">
        <v>420</v>
      </c>
      <c r="H1544" s="15" t="n">
        <v>28</v>
      </c>
      <c r="I1544" s="15" t="n">
        <v>140</v>
      </c>
      <c r="J1544" s="13" t="n">
        <v>25</v>
      </c>
      <c r="K1544" t="n">
        <v>40</v>
      </c>
      <c r="L1544" s="13" t="n">
        <v>2.6</v>
      </c>
      <c r="M1544" s="12" t="n"/>
      <c r="N1544" s="8" t="n">
        <v>1.345499442138794</v>
      </c>
      <c r="O1544" s="15" t="n">
        <v>1.045377376239598</v>
      </c>
      <c r="P1544" s="15" t="n">
        <v>1.257393988881685</v>
      </c>
      <c r="Q1544" s="15" t="n">
        <v>0.001500402844768833</v>
      </c>
      <c r="R1544" s="15" t="n">
        <v>0.0359229541904305</v>
      </c>
      <c r="S1544" s="15" t="n">
        <v>0.00271876367086005</v>
      </c>
      <c r="T1544" s="42">
        <f>HIPERLINK($A$1 &amp; "\Dados\Imagem_perfil_1544.png", "Imagem_perfil_1544")</f>
        <v/>
      </c>
      <c r="U1544" s="42">
        <f>HIPERLINK($A$1 &amp; "\Dados\Results_airgap1544.txt", "Results_airgap1544")</f>
        <v/>
      </c>
      <c r="V1544" s="19" t="n"/>
      <c r="W1544" s="15" t="n">
        <v>1.816662173913044</v>
      </c>
      <c r="X1544" s="15" t="n">
        <v>0.8799949408635682</v>
      </c>
      <c r="Y1544" s="15" t="n">
        <v>0.558501845821335</v>
      </c>
      <c r="Z1544" s="15" t="n">
        <v>0.007642645992920409</v>
      </c>
      <c r="AA1544" s="15" t="n">
        <v>2.270628476287683</v>
      </c>
      <c r="AB1544" s="15" t="n">
        <v>2.408621110988592</v>
      </c>
      <c r="AC1544" s="15" t="n">
        <v>11.0873074568018</v>
      </c>
      <c r="AD1544" s="15" t="n">
        <v>36.19244074801359</v>
      </c>
      <c r="AE1544" s="15" t="n">
        <v>77.88660329281845</v>
      </c>
      <c r="AF1544" s="15" t="n">
        <v>113.2613443068136</v>
      </c>
      <c r="AH1544" s="42">
        <f>HIPERLINK($A$1 &amp; "\Dados\Magnet_fields_1544.txt.txt", "Magnet_fields_1544.txt")</f>
        <v/>
      </c>
      <c r="AI1544" t="n">
        <v>9324</v>
      </c>
      <c r="AJ1544" t="n">
        <v>30</v>
      </c>
      <c r="AK1544" s="42">
        <f>HIPERLINK($A$1 &amp; "\Dados\Magnet_3D_results_1544.txt.txt", "Magnet_3D_results_1544.txt")</f>
        <v/>
      </c>
      <c r="AL1544" s="42">
        <f>HIPERLINK($A$1 &amp; "\Dados\Magnet_fields_2D_1544.txt.txt", "Magnet_fields_2D_1544.txt")</f>
        <v/>
      </c>
    </row>
    <row r="1545">
      <c r="E1545" s="15" t="n">
        <v>148</v>
      </c>
      <c r="F1545" s="15" t="n">
        <v>185</v>
      </c>
      <c r="G1545" s="15" t="n">
        <v>374</v>
      </c>
      <c r="H1545" s="15" t="n">
        <v>42</v>
      </c>
      <c r="I1545" s="15" t="n">
        <v>166</v>
      </c>
      <c r="J1545" s="13" t="n">
        <v>25</v>
      </c>
      <c r="K1545" t="n">
        <v>45</v>
      </c>
      <c r="L1545" s="13" t="n">
        <v>2.6</v>
      </c>
      <c r="M1545" s="12" t="n"/>
      <c r="N1545" s="8" t="n">
        <v>1.454831292313056</v>
      </c>
      <c r="O1545" s="15" t="n">
        <v>1.243290404217169</v>
      </c>
      <c r="P1545" s="15" t="n">
        <v>1.388079213744859</v>
      </c>
      <c r="Q1545" s="15" t="n">
        <v>0.002599415737085033</v>
      </c>
      <c r="R1545" s="15" t="n">
        <v>0.03075269615871888</v>
      </c>
      <c r="S1545" s="15" t="n">
        <v>0.002674686188807511</v>
      </c>
      <c r="T1545" s="42">
        <f>HIPERLINK($A$1 &amp; "\Dados\Imagem_perfil_1545.png", "Imagem_perfil_1545")</f>
        <v/>
      </c>
      <c r="U1545" s="42">
        <f>HIPERLINK($A$1 &amp; "\Dados\Results_airgap1545.txt", "Results_airgap1545")</f>
        <v/>
      </c>
      <c r="V1545" s="19" t="n"/>
      <c r="W1545" s="15" t="n">
        <v>1.783730869565217</v>
      </c>
      <c r="X1545" s="15" t="n">
        <v>0.9169066964031994</v>
      </c>
      <c r="Y1545" s="15" t="n">
        <v>0.4483729951669925</v>
      </c>
      <c r="Z1545" s="15" t="n">
        <v>0</v>
      </c>
      <c r="AA1545" s="15" t="n">
        <v>0</v>
      </c>
      <c r="AB1545" s="15" t="n">
        <v>0</v>
      </c>
      <c r="AC1545" s="15" t="n">
        <v>6.252553078373751</v>
      </c>
      <c r="AD1545" s="15" t="n">
        <v>39.19836754884623</v>
      </c>
      <c r="AE1545" s="15" t="n">
        <v>82.77658834790054</v>
      </c>
      <c r="AF1545" s="15" t="n">
        <v>116.8918910304369</v>
      </c>
      <c r="AH1545" s="42">
        <f>HIPERLINK($A$1 &amp; "\Dados\Magnet_fields_1545.txt.txt", "Magnet_fields_1545.txt")</f>
        <v/>
      </c>
      <c r="AI1545" t="n">
        <v>6065</v>
      </c>
      <c r="AJ1545" t="n">
        <v>29</v>
      </c>
      <c r="AK1545" s="42">
        <f>HIPERLINK($A$1 &amp; "\Dados\Magnet_3D_results_1545.txt.txt", "Magnet_3D_results_1545.txt")</f>
        <v/>
      </c>
      <c r="AL1545" s="42">
        <f>HIPERLINK($A$1 &amp; "\Dados\Magnet_fields_2D_1545.txt.txt", "Magnet_fields_2D_1545.txt")</f>
        <v/>
      </c>
    </row>
    <row r="1546">
      <c r="E1546" s="15" t="n">
        <v>138</v>
      </c>
      <c r="F1546" s="15" t="n">
        <v>188</v>
      </c>
      <c r="G1546" s="15" t="n">
        <v>381</v>
      </c>
      <c r="H1546" s="15" t="n">
        <v>42</v>
      </c>
      <c r="I1546" s="15" t="n">
        <v>159</v>
      </c>
      <c r="J1546" s="13" t="n">
        <v>25</v>
      </c>
      <c r="K1546" t="n">
        <v>55</v>
      </c>
      <c r="L1546" s="13" t="n">
        <v>2.6</v>
      </c>
      <c r="M1546" s="12" t="n"/>
      <c r="N1546" s="8" t="n">
        <v>1.302972630922069</v>
      </c>
      <c r="O1546" s="15" t="n">
        <v>1.086736389333788</v>
      </c>
      <c r="P1546" s="15" t="n">
        <v>1.240704284532667</v>
      </c>
      <c r="Q1546" s="15" t="n">
        <v>0.01153331887352354</v>
      </c>
      <c r="R1546" s="15" t="n">
        <v>0.04803259089691252</v>
      </c>
      <c r="S1546" s="15" t="n">
        <v>0.01191115415210524</v>
      </c>
      <c r="T1546" s="42">
        <f>HIPERLINK($A$1 &amp; "\Dados\Imagem_perfil_1546.png", "Imagem_perfil_1546")</f>
        <v/>
      </c>
      <c r="U1546" s="42">
        <f>HIPERLINK($A$1 &amp; "\Dados\Results_airgap1546.txt", "Results_airgap1546")</f>
        <v/>
      </c>
      <c r="V1546" s="19" t="n"/>
      <c r="W1546" s="15" t="n">
        <v>1.725527173913044</v>
      </c>
      <c r="X1546" s="15" t="n">
        <v>0.8251632576193026</v>
      </c>
      <c r="Y1546" s="15" t="n">
        <v>0.490305320020483</v>
      </c>
      <c r="Z1546" s="15" t="n">
        <v>0</v>
      </c>
      <c r="AA1546" s="15" t="n">
        <v>0</v>
      </c>
      <c r="AB1546" s="15" t="n">
        <v>1.092282334256821</v>
      </c>
      <c r="AC1546" s="15" t="n">
        <v>15.57097473573755</v>
      </c>
      <c r="AD1546" s="15" t="n">
        <v>59.12841050645718</v>
      </c>
      <c r="AE1546" s="15" t="n">
        <v>93.53979718505111</v>
      </c>
      <c r="AF1546" s="15" t="n">
        <v>125.3862268487325</v>
      </c>
      <c r="AH1546" s="42">
        <f>HIPERLINK($A$1 &amp; "\Dados\Magnet_fields_1546.txt.txt", "Magnet_fields_1546.txt")</f>
        <v/>
      </c>
      <c r="AI1546" t="n">
        <v>9894</v>
      </c>
      <c r="AJ1546" t="n">
        <v>30</v>
      </c>
      <c r="AK1546" s="42">
        <f>HIPERLINK($A$1 &amp; "\Dados\Magnet_3D_results_1546.txt.txt", "Magnet_3D_results_1546.txt")</f>
        <v/>
      </c>
      <c r="AL1546" s="42">
        <f>HIPERLINK($A$1 &amp; "\Dados\Magnet_fields_2D_1546.txt.txt", "Magnet_fields_2D_1546.txt")</f>
        <v/>
      </c>
    </row>
    <row r="1547">
      <c r="E1547" s="15" t="n">
        <v>141</v>
      </c>
      <c r="F1547" s="15" t="n">
        <v>176</v>
      </c>
      <c r="G1547" s="15" t="n">
        <v>420</v>
      </c>
      <c r="H1547" s="15" t="n">
        <v>32</v>
      </c>
      <c r="I1547" s="15" t="n">
        <v>173</v>
      </c>
      <c r="J1547" s="13" t="n">
        <v>25</v>
      </c>
      <c r="K1547" t="n">
        <v>55</v>
      </c>
      <c r="L1547" s="13" t="n">
        <v>2.6</v>
      </c>
      <c r="M1547" s="12" t="n"/>
      <c r="N1547" s="8" t="n">
        <v>1.655987217396361</v>
      </c>
      <c r="O1547" s="15" t="n">
        <v>1.441967344615034</v>
      </c>
      <c r="P1547" s="15" t="n">
        <v>1.597978951966348</v>
      </c>
      <c r="Q1547" s="15" t="n">
        <v>0.01502656715204994</v>
      </c>
      <c r="R1547" s="15" t="n">
        <v>0.05720273452757745</v>
      </c>
      <c r="S1547" s="15" t="n">
        <v>0.01458134839959788</v>
      </c>
      <c r="T1547" s="42">
        <f>HIPERLINK($A$1 &amp; "\Dados\Imagem_perfil_1547.png", "Imagem_perfil_1547")</f>
        <v/>
      </c>
      <c r="U1547" s="42">
        <f>HIPERLINK($A$1 &amp; "\Dados\Results_airgap1547.txt", "Results_airgap1547")</f>
        <v/>
      </c>
      <c r="V1547" s="19" t="n"/>
      <c r="W1547" s="15" t="n">
        <v>2.170980434782609</v>
      </c>
      <c r="X1547" s="15" t="n">
        <v>1.009138099989104</v>
      </c>
      <c r="Y1547" s="15" t="n">
        <v>0.1229825134715328</v>
      </c>
      <c r="Z1547" s="15" t="n">
        <v>0.01451742702001239</v>
      </c>
      <c r="AA1547" s="15" t="n">
        <v>1.902032882360888</v>
      </c>
      <c r="AB1547" s="15" t="n">
        <v>1.138505923617502</v>
      </c>
      <c r="AC1547" s="15" t="n">
        <v>14.91927375337825</v>
      </c>
      <c r="AD1547" s="15" t="n">
        <v>61.15536543694735</v>
      </c>
      <c r="AE1547" s="15" t="n">
        <v>96.93148913156762</v>
      </c>
      <c r="AF1547" s="15" t="n">
        <v>127.6470330427057</v>
      </c>
      <c r="AH1547" s="42">
        <f>HIPERLINK($A$1 &amp; "\Dados\Magnet_fields_1547.txt.txt", "Magnet_fields_1547.txt")</f>
        <v/>
      </c>
      <c r="AI1547" t="n">
        <v>12094</v>
      </c>
      <c r="AJ1547" t="n">
        <v>31</v>
      </c>
      <c r="AK1547" s="42">
        <f>HIPERLINK($A$1 &amp; "\Dados\Magnet_3D_results_1547.txt.txt", "Magnet_3D_results_1547.txt")</f>
        <v/>
      </c>
      <c r="AL1547" s="42">
        <f>HIPERLINK($A$1 &amp; "\Dados\Magnet_fields_2D_1547.txt.txt", "Magnet_fields_2D_1547.txt")</f>
        <v/>
      </c>
    </row>
    <row r="1548">
      <c r="E1548" s="15" t="n">
        <v>134</v>
      </c>
      <c r="F1548" s="15" t="n">
        <v>182</v>
      </c>
      <c r="G1548" s="15" t="n">
        <v>364</v>
      </c>
      <c r="H1548" s="15" t="n">
        <v>27</v>
      </c>
      <c r="I1548" s="15" t="n">
        <v>158</v>
      </c>
      <c r="J1548" s="13" t="n">
        <v>25</v>
      </c>
      <c r="K1548" t="n">
        <v>55</v>
      </c>
      <c r="L1548" s="13" t="n">
        <v>2.6</v>
      </c>
      <c r="M1548" s="12" t="n"/>
      <c r="N1548" s="8" t="n">
        <v>1.278459055807131</v>
      </c>
      <c r="O1548" s="15" t="n">
        <v>1.069955947855121</v>
      </c>
      <c r="P1548" s="15" t="n">
        <v>1.214155334384952</v>
      </c>
      <c r="Q1548" s="15" t="n">
        <v>0.01078493761474266</v>
      </c>
      <c r="R1548" s="15" t="n">
        <v>0.03946970071259491</v>
      </c>
      <c r="S1548" s="15" t="n">
        <v>0.01106560949638653</v>
      </c>
      <c r="T1548" s="42">
        <f>HIPERLINK($A$1 &amp; "\Dados\Imagem_perfil_1548.png", "Imagem_perfil_1548")</f>
        <v/>
      </c>
      <c r="U1548" s="42">
        <f>HIPERLINK($A$1 &amp; "\Dados\Results_airgap1548.txt", "Results_airgap1548")</f>
        <v/>
      </c>
      <c r="V1548" s="19" t="n"/>
      <c r="W1548" s="15" t="n">
        <v>1.695985217391305</v>
      </c>
      <c r="X1548" s="15" t="n">
        <v>0.8006875923477094</v>
      </c>
      <c r="Y1548" s="15" t="n">
        <v>0.5183831656667227</v>
      </c>
      <c r="Z1548" s="15" t="n">
        <v>0.01482915273420217</v>
      </c>
      <c r="AA1548" s="15" t="n">
        <v>4.917728199840666</v>
      </c>
      <c r="AB1548" s="15" t="n">
        <v>0.4260827744438528</v>
      </c>
      <c r="AC1548" s="15" t="n">
        <v>13.06298682263782</v>
      </c>
      <c r="AD1548" s="15" t="n">
        <v>57.98321983924493</v>
      </c>
      <c r="AE1548" s="15" t="n">
        <v>93.96667990561706</v>
      </c>
      <c r="AF1548" s="15" t="n">
        <v>125.459108884836</v>
      </c>
      <c r="AH1548" s="42">
        <f>HIPERLINK($A$1 &amp; "\Dados\Magnet_fields_1548.txt.txt", "Magnet_fields_1548.txt")</f>
        <v/>
      </c>
      <c r="AI1548" t="n">
        <v>12993</v>
      </c>
      <c r="AJ1548" t="n">
        <v>32</v>
      </c>
      <c r="AK1548" s="42">
        <f>HIPERLINK($A$1 &amp; "\Dados\Magnet_3D_results_1548.txt.txt", "Magnet_3D_results_1548.txt")</f>
        <v/>
      </c>
      <c r="AL1548" s="42">
        <f>HIPERLINK($A$1 &amp; "\Dados\Magnet_fields_2D_1548.txt.txt", "Magnet_fields_2D_1548.txt")</f>
        <v/>
      </c>
    </row>
    <row r="1549">
      <c r="E1549" s="15" t="n">
        <v>130</v>
      </c>
      <c r="F1549" s="15" t="n">
        <v>180</v>
      </c>
      <c r="G1549" s="15" t="n">
        <v>404</v>
      </c>
      <c r="H1549" s="15" t="n">
        <v>38</v>
      </c>
      <c r="I1549" s="15" t="n">
        <v>144</v>
      </c>
      <c r="J1549" s="13" t="n">
        <v>25</v>
      </c>
      <c r="K1549" t="n">
        <v>40</v>
      </c>
      <c r="L1549" s="13" t="n">
        <v>2.6</v>
      </c>
      <c r="M1549" s="12" t="n"/>
      <c r="N1549" s="8" t="n">
        <v>1.226128177118137</v>
      </c>
      <c r="O1549" s="15" t="n">
        <v>0.9646124964508441</v>
      </c>
      <c r="P1549" s="15" t="n">
        <v>1.156773236726174</v>
      </c>
      <c r="Q1549" s="15" t="n">
        <v>0.001777064670087024</v>
      </c>
      <c r="R1549" s="15" t="n">
        <v>0.03869783240382942</v>
      </c>
      <c r="S1549" s="15" t="n">
        <v>0.002923282163829766</v>
      </c>
      <c r="T1549" s="42">
        <f>HIPERLINK($A$1 &amp; "\Dados\Imagem_perfil_1549.png", "Imagem_perfil_1549")</f>
        <v/>
      </c>
      <c r="U1549" s="42">
        <f>HIPERLINK($A$1 &amp; "\Dados\Results_airgap1549.txt", "Results_airgap1549")</f>
        <v/>
      </c>
      <c r="V1549" s="19" t="n"/>
      <c r="W1549" s="15" t="n">
        <v>1.650912608695652</v>
      </c>
      <c r="X1549" s="15" t="n">
        <v>0.8008596862867589</v>
      </c>
      <c r="Y1549" s="15" t="n">
        <v>0.6822134595574835</v>
      </c>
      <c r="Z1549" s="15" t="n">
        <v>0.009413690562866461</v>
      </c>
      <c r="AA1549" s="15" t="n">
        <v>0.0105796978529392</v>
      </c>
      <c r="AB1549" s="15" t="n">
        <v>2.793137424984523</v>
      </c>
      <c r="AC1549" s="15" t="n">
        <v>11.81366677315934</v>
      </c>
      <c r="AD1549" s="15" t="n">
        <v>38.73585949649053</v>
      </c>
      <c r="AE1549" s="15" t="n">
        <v>82.41391825674808</v>
      </c>
      <c r="AF1549" s="15" t="n">
        <v>115.249874877979</v>
      </c>
      <c r="AH1549" s="42">
        <f>HIPERLINK($A$1 &amp; "\Dados\Magnet_fields_1549.txt.txt", "Magnet_fields_1549.txt")</f>
        <v/>
      </c>
      <c r="AI1549" t="n">
        <v>7631</v>
      </c>
      <c r="AJ1549" t="n">
        <v>28</v>
      </c>
      <c r="AK1549" s="42">
        <f>HIPERLINK($A$1 &amp; "\Dados\Magnet_3D_results_1549.txt.txt", "Magnet_3D_results_1549.txt")</f>
        <v/>
      </c>
      <c r="AL1549" s="42">
        <f>HIPERLINK($A$1 &amp; "\Dados\Magnet_fields_2D_1549.txt.txt", "Magnet_fields_2D_1549.txt")</f>
        <v/>
      </c>
    </row>
    <row r="1550">
      <c r="E1550" s="15" t="n">
        <v>142</v>
      </c>
      <c r="F1550" s="15" t="n">
        <v>186</v>
      </c>
      <c r="G1550" s="15" t="n">
        <v>386</v>
      </c>
      <c r="H1550" s="15" t="n">
        <v>34</v>
      </c>
      <c r="I1550" s="15" t="n">
        <v>162</v>
      </c>
      <c r="J1550" s="13" t="n">
        <v>25</v>
      </c>
      <c r="K1550" t="n">
        <v>40</v>
      </c>
      <c r="L1550" s="13" t="n">
        <v>2.6</v>
      </c>
      <c r="M1550" s="12" t="n"/>
      <c r="N1550" s="8" t="n">
        <v>1.311202090320652</v>
      </c>
      <c r="O1550" s="15" t="n">
        <v>1.111456636987316</v>
      </c>
      <c r="P1550" s="15" t="n">
        <v>1.254966174768845</v>
      </c>
      <c r="Q1550" s="15" t="n">
        <v>0.001167864595352832</v>
      </c>
      <c r="R1550" s="15" t="n">
        <v>0.02980271722029542</v>
      </c>
      <c r="S1550" s="15" t="n">
        <v>0.001346920036839787</v>
      </c>
      <c r="T1550" s="42">
        <f>HIPERLINK($A$1 &amp; "\Dados\Imagem_perfil_1550.png", "Imagem_perfil_1550")</f>
        <v/>
      </c>
      <c r="U1550" s="42">
        <f>HIPERLINK($A$1 &amp; "\Dados\Results_airgap1550.txt", "Results_airgap1550")</f>
        <v/>
      </c>
      <c r="V1550" s="19" t="n"/>
      <c r="W1550" s="15" t="n">
        <v>1.652974782608696</v>
      </c>
      <c r="X1550" s="15" t="n">
        <v>0.8217219641903365</v>
      </c>
      <c r="Y1550" s="15" t="n">
        <v>0.6642397394392077</v>
      </c>
      <c r="Z1550" s="15" t="n">
        <v>0.00578513386768854</v>
      </c>
      <c r="AA1550" s="15" t="n">
        <v>0.8204636373989451</v>
      </c>
      <c r="AB1550" s="15" t="n">
        <v>1.085989448297312</v>
      </c>
      <c r="AC1550" s="15" t="n">
        <v>7.049945103153306</v>
      </c>
      <c r="AD1550" s="15" t="n">
        <v>32.83247947254695</v>
      </c>
      <c r="AE1550" s="15" t="n">
        <v>79.50667212273618</v>
      </c>
      <c r="AF1550" s="15" t="n">
        <v>114.0410277649761</v>
      </c>
      <c r="AH1550" s="42">
        <f>HIPERLINK($A$1 &amp; "\Dados\Magnet_fields_1550.txt.txt", "Magnet_fields_1550.txt")</f>
        <v/>
      </c>
      <c r="AI1550" t="n">
        <v>8213</v>
      </c>
      <c r="AJ1550" t="n">
        <v>29</v>
      </c>
      <c r="AK1550" s="42">
        <f>HIPERLINK($A$1 &amp; "\Dados\Magnet_3D_results_1550.txt.txt", "Magnet_3D_results_1550.txt")</f>
        <v/>
      </c>
      <c r="AL1550" s="42">
        <f>HIPERLINK($A$1 &amp; "\Dados\Magnet_fields_2D_1550.txt.txt", "Magnet_fields_2D_1550.txt")</f>
        <v/>
      </c>
    </row>
    <row r="1551">
      <c r="E1551" s="15" t="n">
        <v>137</v>
      </c>
      <c r="F1551" s="15" t="n">
        <v>175</v>
      </c>
      <c r="G1551" s="15" t="n">
        <v>415</v>
      </c>
      <c r="H1551" s="15" t="n">
        <v>30</v>
      </c>
      <c r="I1551" s="15" t="n">
        <v>168</v>
      </c>
      <c r="J1551" s="13" t="n">
        <v>25</v>
      </c>
      <c r="K1551" t="n">
        <v>40</v>
      </c>
      <c r="L1551" s="13" t="n">
        <v>2.6</v>
      </c>
      <c r="M1551" s="12" t="n"/>
      <c r="N1551" s="8" t="n">
        <v>1.480124593185053</v>
      </c>
      <c r="O1551" s="15" t="n">
        <v>1.290372272645547</v>
      </c>
      <c r="P1551" s="15" t="n">
        <v>1.426876043324475</v>
      </c>
      <c r="Q1551" s="15" t="n">
        <v>0.001788650983863671</v>
      </c>
      <c r="R1551" s="15" t="n">
        <v>0.03665706784894381</v>
      </c>
      <c r="S1551" s="15" t="n">
        <v>0.001873998371778881</v>
      </c>
      <c r="T1551" s="42">
        <f>HIPERLINK($A$1 &amp; "\Dados\Imagem_perfil_1551.png", "Imagem_perfil_1551")</f>
        <v/>
      </c>
      <c r="U1551" s="42">
        <f>HIPERLINK($A$1 &amp; "\Dados\Results_airgap1551.txt", "Results_airgap1551")</f>
        <v/>
      </c>
      <c r="V1551" s="19" t="n"/>
      <c r="W1551" s="15" t="n">
        <v>1.861281304347826</v>
      </c>
      <c r="X1551" s="15" t="n">
        <v>0.9412335097030166</v>
      </c>
      <c r="Y1551" s="15" t="n">
        <v>0.4337488853868705</v>
      </c>
      <c r="Z1551" s="15" t="n">
        <v>0.003934918080695686</v>
      </c>
      <c r="AA1551" s="15" t="n">
        <v>1.643248159229938</v>
      </c>
      <c r="AB1551" s="15" t="n">
        <v>1.335077680267958</v>
      </c>
      <c r="AC1551" s="15" t="n">
        <v>6.24929513683601</v>
      </c>
      <c r="AD1551" s="15" t="n">
        <v>32.59077618101526</v>
      </c>
      <c r="AE1551" s="15" t="n">
        <v>84.46984552316908</v>
      </c>
      <c r="AF1551" s="15" t="n">
        <v>116.1296700899956</v>
      </c>
      <c r="AH1551" s="42">
        <f>HIPERLINK($A$1 &amp; "\Dados\Magnet_fields_1551.txt.txt", "Magnet_fields_1551.txt")</f>
        <v/>
      </c>
      <c r="AI1551" t="n">
        <v>9628</v>
      </c>
      <c r="AJ1551" t="n">
        <v>30</v>
      </c>
      <c r="AK1551" s="42">
        <f>HIPERLINK($A$1 &amp; "\Dados\Magnet_3D_results_1551.txt.txt", "Magnet_3D_results_1551.txt")</f>
        <v/>
      </c>
      <c r="AL1551" s="42">
        <f>HIPERLINK($A$1 &amp; "\Dados\Magnet_fields_2D_1551.txt.txt", "Magnet_fields_2D_1551.txt")</f>
        <v/>
      </c>
    </row>
    <row r="1552">
      <c r="E1552" s="15" t="n">
        <v>125</v>
      </c>
      <c r="F1552" s="15" t="n">
        <v>171</v>
      </c>
      <c r="G1552" s="15" t="n">
        <v>409</v>
      </c>
      <c r="H1552" s="15" t="n">
        <v>37</v>
      </c>
      <c r="I1552" s="15" t="n">
        <v>141</v>
      </c>
      <c r="J1552" s="13" t="n">
        <v>25</v>
      </c>
      <c r="K1552" t="n">
        <v>40</v>
      </c>
      <c r="L1552" s="13" t="n">
        <v>2.6</v>
      </c>
      <c r="M1552" s="12" t="n"/>
      <c r="N1552" s="8" t="n">
        <v>1.303377311215039</v>
      </c>
      <c r="O1552" s="15" t="n">
        <v>1.021582563907706</v>
      </c>
      <c r="P1552" s="15" t="n">
        <v>1.221285086859887</v>
      </c>
      <c r="Q1552" s="15" t="n">
        <v>0.001848820470172596</v>
      </c>
      <c r="R1552" s="15" t="n">
        <v>0.04175431643901209</v>
      </c>
      <c r="S1552" s="15" t="n">
        <v>0.003072895730912402</v>
      </c>
      <c r="T1552" s="42">
        <f>HIPERLINK($A$1 &amp; "\Dados\Imagem_perfil_1552.png", "Imagem_perfil_1552")</f>
        <v/>
      </c>
      <c r="U1552" s="42">
        <f>HIPERLINK($A$1 &amp; "\Dados\Results_airgap1552.txt", "Results_airgap1552")</f>
        <v/>
      </c>
      <c r="V1552" s="19" t="n"/>
      <c r="W1552" s="15" t="n">
        <v>1.759581739130435</v>
      </c>
      <c r="X1552" s="15" t="n">
        <v>0.8414883283954545</v>
      </c>
      <c r="Y1552" s="15" t="n">
        <v>0.6309737658336469</v>
      </c>
      <c r="Z1552" s="15" t="n">
        <v>0.01289723435827648</v>
      </c>
      <c r="AA1552" s="15" t="n">
        <v>0.01013054544723993</v>
      </c>
      <c r="AB1552" s="15" t="n">
        <v>3.887529567984055</v>
      </c>
      <c r="AC1552" s="15" t="n">
        <v>15.75166910507097</v>
      </c>
      <c r="AD1552" s="15" t="n">
        <v>41.77846656767597</v>
      </c>
      <c r="AE1552" s="15" t="n">
        <v>79.24263745649804</v>
      </c>
      <c r="AF1552" s="15" t="n">
        <v>113.1538629946127</v>
      </c>
      <c r="AH1552" s="42">
        <f>HIPERLINK($A$1 &amp; "\Dados\Magnet_fields_1552.txt.txt", "Magnet_fields_1552.txt")</f>
        <v/>
      </c>
      <c r="AI1552" t="n">
        <v>8101</v>
      </c>
      <c r="AJ1552" t="n">
        <v>29</v>
      </c>
      <c r="AK1552" s="42">
        <f>HIPERLINK($A$1 &amp; "\Dados\Magnet_3D_results_1552.txt.txt", "Magnet_3D_results_1552.txt")</f>
        <v/>
      </c>
      <c r="AL1552" s="42">
        <f>HIPERLINK($A$1 &amp; "\Dados\Magnet_fields_2D_1552.txt.txt", "Magnet_fields_2D_1552.txt")</f>
        <v/>
      </c>
    </row>
    <row r="1553">
      <c r="E1553" s="15" t="n">
        <v>134</v>
      </c>
      <c r="F1553" s="15" t="n">
        <v>176</v>
      </c>
      <c r="G1553" s="15" t="n">
        <v>352</v>
      </c>
      <c r="H1553" s="15" t="n">
        <v>27</v>
      </c>
      <c r="I1553" s="15" t="n">
        <v>141</v>
      </c>
      <c r="J1553" s="13" t="n">
        <v>25</v>
      </c>
      <c r="K1553" t="n">
        <v>45</v>
      </c>
      <c r="L1553" s="13" t="n">
        <v>2.6</v>
      </c>
      <c r="M1553" s="12" t="n"/>
      <c r="N1553" s="8" t="n">
        <v>1.266650778200361</v>
      </c>
      <c r="O1553" s="15" t="n">
        <v>0.987153522261807</v>
      </c>
      <c r="P1553" s="15" t="n">
        <v>1.190209728978978</v>
      </c>
      <c r="Q1553" s="15" t="n">
        <v>0.002156376366225916</v>
      </c>
      <c r="R1553" s="15" t="n">
        <v>0.02715070386250283</v>
      </c>
      <c r="S1553" s="15" t="n">
        <v>0.002711091758246112</v>
      </c>
      <c r="T1553" s="42">
        <f>HIPERLINK($A$1 &amp; "\Dados\Imagem_perfil_1553.png", "Imagem_perfil_1553")</f>
        <v/>
      </c>
      <c r="U1553" s="42">
        <f>HIPERLINK($A$1 &amp; "\Dados\Results_airgap1553.txt", "Results_airgap1553")</f>
        <v/>
      </c>
      <c r="V1553" s="19" t="n"/>
      <c r="W1553" s="15" t="n">
        <v>1.675191086956522</v>
      </c>
      <c r="X1553" s="15" t="n">
        <v>0.8218119018718036</v>
      </c>
      <c r="Y1553" s="15" t="n">
        <v>0.606115853420341</v>
      </c>
      <c r="Z1553" s="15" t="n">
        <v>0</v>
      </c>
      <c r="AA1553" s="15" t="n">
        <v>3.934656114823724</v>
      </c>
      <c r="AB1553" s="15" t="n">
        <v>1.165919516163231</v>
      </c>
      <c r="AC1553" s="15" t="n">
        <v>9.907403958118376</v>
      </c>
      <c r="AD1553" s="15" t="n">
        <v>39.97110120643675</v>
      </c>
      <c r="AE1553" s="15" t="n">
        <v>80.51355033243188</v>
      </c>
      <c r="AF1553" s="15" t="n">
        <v>115.8885522128045</v>
      </c>
      <c r="AH1553" s="42">
        <f>HIPERLINK($A$1 &amp; "\Dados\Magnet_fields_1553.txt.txt", "Magnet_fields_1553.txt")</f>
        <v/>
      </c>
      <c r="AI1553" t="n">
        <v>8067</v>
      </c>
      <c r="AJ1553" t="n">
        <v>29</v>
      </c>
      <c r="AK1553" s="42">
        <f>HIPERLINK($A$1 &amp; "\Dados\Magnet_3D_results_1553.txt.txt", "Magnet_3D_results_1553.txt")</f>
        <v/>
      </c>
      <c r="AL1553" s="42">
        <f>HIPERLINK($A$1 &amp; "\Dados\Magnet_fields_2D_1553.txt.txt", "Magnet_fields_2D_1553.txt")</f>
        <v/>
      </c>
    </row>
    <row r="1554">
      <c r="E1554" s="15" t="n">
        <v>138</v>
      </c>
      <c r="F1554" s="15" t="n">
        <v>173</v>
      </c>
      <c r="G1554" s="15" t="n">
        <v>421</v>
      </c>
      <c r="H1554" s="15" t="n">
        <v>37</v>
      </c>
      <c r="I1554" s="15" t="n">
        <v>168</v>
      </c>
      <c r="J1554" s="13" t="n">
        <v>25</v>
      </c>
      <c r="K1554" t="n">
        <v>60</v>
      </c>
      <c r="L1554" s="13" t="n">
        <v>2.6</v>
      </c>
      <c r="M1554" s="12" t="n"/>
      <c r="N1554" s="8" t="n">
        <v>1.673889078495387</v>
      </c>
      <c r="O1554" s="15" t="n">
        <v>1.425934378863955</v>
      </c>
      <c r="P1554" s="15" t="n">
        <v>1.601793525301117</v>
      </c>
      <c r="Q1554" s="15" t="n">
        <v>0.03040340052385007</v>
      </c>
      <c r="R1554" s="15" t="n">
        <v>0.06865612947232901</v>
      </c>
      <c r="S1554" s="15" t="n">
        <v>0.02932428531487773</v>
      </c>
      <c r="T1554" s="42">
        <f>HIPERLINK($A$1 &amp; "\Dados\Imagem_perfil_1554.png", "Imagem_perfil_1554")</f>
        <v/>
      </c>
      <c r="U1554" s="42">
        <f>HIPERLINK($A$1 &amp; "\Dados\Results_airgap1554.txt", "Results_airgap1554")</f>
        <v/>
      </c>
      <c r="V1554" s="19" t="n"/>
      <c r="W1554" s="15" t="n">
        <v>2.239116739130435</v>
      </c>
      <c r="X1554" s="15" t="n">
        <v>1.066975580099581</v>
      </c>
      <c r="Y1554" s="15" t="n">
        <v>0.0820662405182087</v>
      </c>
      <c r="Z1554" s="15" t="n">
        <v>0</v>
      </c>
      <c r="AA1554" s="15" t="n">
        <v>0.1136423459341809</v>
      </c>
      <c r="AB1554" s="15" t="n">
        <v>1.878076962517652</v>
      </c>
      <c r="AC1554" s="15" t="n">
        <v>20.60173051628306</v>
      </c>
      <c r="AD1554" s="15" t="n">
        <v>66.82641729861669</v>
      </c>
      <c r="AE1554" s="15" t="n">
        <v>100.4448214850476</v>
      </c>
      <c r="AF1554" s="15" t="n">
        <v>132.220324190762</v>
      </c>
      <c r="AH1554" s="42">
        <f>HIPERLINK($A$1 &amp; "\Dados\Magnet_fields_1554.txt.txt", "Magnet_fields_1554.txt")</f>
        <v/>
      </c>
      <c r="AI1554" t="n">
        <v>8174</v>
      </c>
      <c r="AJ1554" t="n">
        <v>29</v>
      </c>
      <c r="AK1554" s="42">
        <f>HIPERLINK($A$1 &amp; "\Dados\Magnet_3D_results_1554.txt.txt", "Magnet_3D_results_1554.txt")</f>
        <v/>
      </c>
      <c r="AL1554" s="42">
        <f>HIPERLINK($A$1 &amp; "\Dados\Magnet_fields_2D_1554.txt.txt", "Magnet_fields_2D_1554.txt")</f>
        <v/>
      </c>
    </row>
    <row r="1555">
      <c r="E1555" s="15" t="n">
        <v>123</v>
      </c>
      <c r="F1555" s="15" t="n">
        <v>170</v>
      </c>
      <c r="G1555" s="15" t="n">
        <v>420</v>
      </c>
      <c r="H1555" s="15" t="n">
        <v>30</v>
      </c>
      <c r="I1555" s="15" t="n">
        <v>177</v>
      </c>
      <c r="J1555" s="13" t="n">
        <v>25</v>
      </c>
      <c r="K1555" t="n">
        <v>60</v>
      </c>
      <c r="L1555" s="13" t="n">
        <v>2.6</v>
      </c>
      <c r="M1555" s="12" t="n"/>
      <c r="N1555" s="8" t="n">
        <v>1.526585657430012</v>
      </c>
      <c r="O1555" s="15" t="n">
        <v>1.333788322827786</v>
      </c>
      <c r="P1555" s="15" t="n">
        <v>1.465760402607763</v>
      </c>
      <c r="Q1555" s="15" t="n">
        <v>0.03891786529182686</v>
      </c>
      <c r="R1555" s="15" t="n">
        <v>0.07980310993111697</v>
      </c>
      <c r="S1555" s="15" t="n">
        <v>0.03858153236253214</v>
      </c>
      <c r="T1555" s="42">
        <f>HIPERLINK($A$1 &amp; "\Dados\Imagem_perfil_1555.png", "Imagem_perfil_1555")</f>
        <v/>
      </c>
      <c r="U1555" s="42">
        <f>HIPERLINK($A$1 &amp; "\Dados\Results_airgap1555.txt", "Results_airgap1555")</f>
        <v/>
      </c>
      <c r="V1555" s="19" t="n"/>
      <c r="W1555" s="15" t="n">
        <v>2.066760434782609</v>
      </c>
      <c r="X1555" s="15" t="n">
        <v>0.9299757241705994</v>
      </c>
      <c r="Y1555" s="15" t="n">
        <v>0.221027308129623</v>
      </c>
      <c r="Z1555" s="15" t="n">
        <v>0.01431068555023653</v>
      </c>
      <c r="AA1555" s="15" t="n">
        <v>1.727501231157838</v>
      </c>
      <c r="AB1555" s="15" t="n">
        <v>2.06298366796714</v>
      </c>
      <c r="AC1555" s="15" t="n">
        <v>18.990265016769</v>
      </c>
      <c r="AD1555" s="15" t="n">
        <v>67.13586592881673</v>
      </c>
      <c r="AE1555" s="15" t="n">
        <v>101.0809693388457</v>
      </c>
      <c r="AF1555" s="15" t="n">
        <v>132.6408131287457</v>
      </c>
      <c r="AH1555" s="42">
        <f>HIPERLINK($A$1 &amp; "\Dados\Magnet_fields_1555.txt.txt", "Magnet_fields_1555.txt")</f>
        <v/>
      </c>
      <c r="AI1555" t="n">
        <v>9397</v>
      </c>
      <c r="AJ1555" t="n">
        <v>30</v>
      </c>
      <c r="AK1555" s="42">
        <f>HIPERLINK($A$1 &amp; "\Dados\Magnet_3D_results_1555.txt.txt", "Magnet_3D_results_1555.txt")</f>
        <v/>
      </c>
      <c r="AL1555" s="42">
        <f>HIPERLINK($A$1 &amp; "\Dados\Magnet_fields_2D_1555.txt.txt", "Magnet_fields_2D_1555.txt")</f>
        <v/>
      </c>
    </row>
    <row r="1556">
      <c r="E1556" s="15" t="n">
        <v>149</v>
      </c>
      <c r="F1556" s="15" t="n">
        <v>199</v>
      </c>
      <c r="G1556" s="15" t="n">
        <v>370</v>
      </c>
      <c r="H1556" s="15" t="n">
        <v>39</v>
      </c>
      <c r="I1556" s="15" t="n">
        <v>140</v>
      </c>
      <c r="J1556" s="13" t="n">
        <v>25</v>
      </c>
      <c r="K1556" t="n">
        <v>50</v>
      </c>
      <c r="L1556" s="13" t="n">
        <v>2.6</v>
      </c>
      <c r="M1556" s="12" t="n"/>
      <c r="N1556" s="8" t="n">
        <v>1.150762349459587</v>
      </c>
      <c r="O1556" s="15" t="n">
        <v>0.8947998302390278</v>
      </c>
      <c r="P1556" s="15" t="n">
        <v>1.074821732513742</v>
      </c>
      <c r="Q1556" s="15" t="n">
        <v>0.003638612674778542</v>
      </c>
      <c r="R1556" s="15" t="n">
        <v>0.03185310606194903</v>
      </c>
      <c r="S1556" s="15" t="n">
        <v>0.004952814360539799</v>
      </c>
      <c r="T1556" s="42">
        <f>HIPERLINK($A$1 &amp; "\Dados\Imagem_perfil_1556.png", "Imagem_perfil_1556")</f>
        <v/>
      </c>
      <c r="U1556" s="42">
        <f>HIPERLINK($A$1 &amp; "\Dados\Results_airgap1556.txt", "Results_airgap1556")</f>
        <v/>
      </c>
      <c r="V1556" s="19" t="n"/>
      <c r="W1556" s="15" t="n">
        <v>1.566344565217391</v>
      </c>
      <c r="X1556" s="15" t="n">
        <v>0.7537136087333319</v>
      </c>
      <c r="Y1556" s="15" t="n">
        <v>0.6705651590683737</v>
      </c>
      <c r="Z1556" s="15" t="n">
        <v>0</v>
      </c>
      <c r="AA1556" s="15" t="n">
        <v>0.05927074349408399</v>
      </c>
      <c r="AB1556" s="15" t="n">
        <v>0.3603413759958257</v>
      </c>
      <c r="AC1556" s="15" t="n">
        <v>9.943571322634382</v>
      </c>
      <c r="AD1556" s="15" t="n">
        <v>47.28357778429788</v>
      </c>
      <c r="AE1556" s="15" t="n">
        <v>86.21921072404734</v>
      </c>
      <c r="AF1556" s="15" t="n">
        <v>119.6474566043178</v>
      </c>
      <c r="AH1556" s="42">
        <f>HIPERLINK($A$1 &amp; "\Dados\Magnet_fields_1556.txt.txt", "Magnet_fields_1556.txt")</f>
        <v/>
      </c>
      <c r="AI1556" t="n">
        <v>6468</v>
      </c>
      <c r="AJ1556" t="n">
        <v>29</v>
      </c>
      <c r="AK1556" s="42">
        <f>HIPERLINK($A$1 &amp; "\Dados\Magnet_3D_results_1556.txt.txt", "Magnet_3D_results_1556.txt")</f>
        <v/>
      </c>
      <c r="AL1556" s="42">
        <f>HIPERLINK($A$1 &amp; "\Dados\Magnet_fields_2D_1556.txt.txt", "Magnet_fields_2D_1556.txt")</f>
        <v/>
      </c>
    </row>
    <row r="1557">
      <c r="E1557" s="15" t="n">
        <v>124</v>
      </c>
      <c r="F1557" s="15" t="n">
        <v>173</v>
      </c>
      <c r="G1557" s="15" t="n">
        <v>382</v>
      </c>
      <c r="H1557" s="15" t="n">
        <v>28</v>
      </c>
      <c r="I1557" s="15" t="n">
        <v>170</v>
      </c>
      <c r="J1557" s="13" t="n">
        <v>25</v>
      </c>
      <c r="K1557" t="n">
        <v>40</v>
      </c>
      <c r="L1557" s="13" t="n">
        <v>2.6</v>
      </c>
      <c r="M1557" s="12" t="n"/>
      <c r="N1557" s="8" t="n">
        <v>1.296371286685312</v>
      </c>
      <c r="O1557" s="15" t="n">
        <v>1.119369797734877</v>
      </c>
      <c r="P1557" s="15" t="n">
        <v>1.250157709933817</v>
      </c>
      <c r="Q1557" s="15" t="n">
        <v>0.001961849833668576</v>
      </c>
      <c r="R1557" s="15" t="n">
        <v>0.03661002730108521</v>
      </c>
      <c r="S1557" s="15" t="n">
        <v>0.002289429093428609</v>
      </c>
      <c r="T1557" s="42">
        <f>HIPERLINK($A$1 &amp; "\Dados\Imagem_perfil_1557.png", "Imagem_perfil_1557")</f>
        <v/>
      </c>
      <c r="U1557" s="42">
        <f>HIPERLINK($A$1 &amp; "\Dados\Results_airgap1557.txt", "Results_airgap1557")</f>
        <v/>
      </c>
      <c r="V1557" s="19" t="n"/>
      <c r="W1557" s="15" t="n">
        <v>1.624600217391304</v>
      </c>
      <c r="X1557" s="15" t="n">
        <v>0.8137577639263712</v>
      </c>
      <c r="Y1557" s="15" t="n">
        <v>0.7549716783041303</v>
      </c>
      <c r="Z1557" s="15" t="n">
        <v>0.04662020239763531</v>
      </c>
      <c r="AA1557" s="15" t="n">
        <v>0.7450378117703325</v>
      </c>
      <c r="AB1557" s="15" t="n">
        <v>3.148441473646185</v>
      </c>
      <c r="AC1557" s="15" t="n">
        <v>13.33554759402584</v>
      </c>
      <c r="AD1557" s="15" t="n">
        <v>39.58556915560993</v>
      </c>
      <c r="AE1557" s="15" t="n">
        <v>79.49948238693428</v>
      </c>
      <c r="AF1557" s="15" t="n">
        <v>113.70110418943</v>
      </c>
      <c r="AH1557" s="42">
        <f>HIPERLINK($A$1 &amp; "\Dados\Magnet_fields_1557.txt.txt", "Magnet_fields_1557.txt")</f>
        <v/>
      </c>
      <c r="AI1557" t="n">
        <v>9393</v>
      </c>
      <c r="AJ1557" t="n">
        <v>30</v>
      </c>
      <c r="AK1557" s="42">
        <f>HIPERLINK($A$1 &amp; "\Dados\Magnet_3D_results_1557.txt.txt", "Magnet_3D_results_1557.txt")</f>
        <v/>
      </c>
      <c r="AL1557" s="42">
        <f>HIPERLINK($A$1 &amp; "\Dados\Magnet_fields_2D_1557.txt.txt", "Magnet_fields_2D_1557.txt")</f>
        <v/>
      </c>
    </row>
    <row r="1558">
      <c r="E1558" s="15" t="n">
        <v>144</v>
      </c>
      <c r="F1558" s="15" t="n">
        <v>180</v>
      </c>
      <c r="G1558" s="15" t="n">
        <v>381</v>
      </c>
      <c r="H1558" s="15" t="n">
        <v>40</v>
      </c>
      <c r="I1558" s="15" t="n">
        <v>178</v>
      </c>
      <c r="J1558" s="13" t="n">
        <v>25</v>
      </c>
      <c r="K1558" t="n">
        <v>55</v>
      </c>
      <c r="L1558" s="13" t="n">
        <v>2.6</v>
      </c>
      <c r="M1558" s="12" t="n"/>
      <c r="N1558" s="8" t="n">
        <v>1.57205198677674</v>
      </c>
      <c r="O1558" s="15" t="n">
        <v>1.364759810438969</v>
      </c>
      <c r="P1558" s="15" t="n">
        <v>1.520999184249427</v>
      </c>
      <c r="Q1558" s="15" t="n">
        <v>0.0105542813019589</v>
      </c>
      <c r="R1558" s="15" t="n">
        <v>0.04473082070785408</v>
      </c>
      <c r="S1558" s="15" t="n">
        <v>0.01009730734490456</v>
      </c>
      <c r="T1558" s="42">
        <f>HIPERLINK($A$1 &amp; "\Dados\Imagem_perfil_1558.png", "Imagem_perfil_1558")</f>
        <v/>
      </c>
      <c r="U1558" s="42">
        <f>HIPERLINK($A$1 &amp; "\Dados\Results_airgap1558.txt", "Results_airgap1558")</f>
        <v/>
      </c>
      <c r="V1558" s="19" t="n"/>
      <c r="W1558" s="15" t="n">
        <v>1.956166739130435</v>
      </c>
      <c r="X1558" s="15" t="n">
        <v>0.9601485894714482</v>
      </c>
      <c r="Y1558" s="15" t="n">
        <v>0.2461736368142281</v>
      </c>
      <c r="Z1558" s="15" t="n">
        <v>0</v>
      </c>
      <c r="AA1558" s="15" t="n">
        <v>0.00501400128654233</v>
      </c>
      <c r="AB1558" s="15" t="n">
        <v>0.4528106971695154</v>
      </c>
      <c r="AC1558" s="15" t="n">
        <v>13.59185567727973</v>
      </c>
      <c r="AD1558" s="15" t="n">
        <v>59.86165708210484</v>
      </c>
      <c r="AE1558" s="15" t="n">
        <v>95.28345655514926</v>
      </c>
      <c r="AF1558" s="15" t="n">
        <v>126.516384026063</v>
      </c>
      <c r="AH1558" s="42">
        <f>HIPERLINK($A$1 &amp; "\Dados\Magnet_fields_1558.txt.txt", "Magnet_fields_1558.txt")</f>
        <v/>
      </c>
      <c r="AI1558" t="n">
        <v>11658</v>
      </c>
      <c r="AJ1558" t="n">
        <v>31</v>
      </c>
      <c r="AK1558" s="42">
        <f>HIPERLINK($A$1 &amp; "\Dados\Magnet_3D_results_1558.txt.txt", "Magnet_3D_results_1558.txt")</f>
        <v/>
      </c>
      <c r="AL1558" s="42">
        <f>HIPERLINK($A$1 &amp; "\Dados\Magnet_fields_2D_1558.txt.txt", "Magnet_fields_2D_1558.txt")</f>
        <v/>
      </c>
    </row>
    <row r="1559">
      <c r="E1559" s="15" t="n">
        <v>124</v>
      </c>
      <c r="F1559" s="15" t="n">
        <v>173</v>
      </c>
      <c r="G1559" s="15" t="n">
        <v>391</v>
      </c>
      <c r="H1559" s="15" t="n">
        <v>32</v>
      </c>
      <c r="I1559" s="15" t="n">
        <v>168</v>
      </c>
      <c r="J1559" s="13" t="n">
        <v>25</v>
      </c>
      <c r="K1559" t="n">
        <v>50</v>
      </c>
      <c r="L1559" s="13" t="n">
        <v>2.6</v>
      </c>
      <c r="M1559" s="12" t="n"/>
      <c r="N1559" s="8" t="n">
        <v>1.384486272028851</v>
      </c>
      <c r="O1559" s="15" t="n">
        <v>1.1952360213308</v>
      </c>
      <c r="P1559" s="15" t="n">
        <v>1.332609793555731</v>
      </c>
      <c r="Q1559" s="15" t="n">
        <v>0.00844993701339323</v>
      </c>
      <c r="R1559" s="15" t="n">
        <v>0.0531039105980724</v>
      </c>
      <c r="S1559" s="15" t="n">
        <v>0.008728068536389001</v>
      </c>
      <c r="T1559" s="42">
        <f>HIPERLINK($A$1 &amp; "\Dados\Imagem_perfil_1559.png", "Imagem_perfil_1559")</f>
        <v/>
      </c>
      <c r="U1559" s="42">
        <f>HIPERLINK($A$1 &amp; "\Dados\Results_airgap1559.txt", "Results_airgap1559")</f>
        <v/>
      </c>
      <c r="V1559" s="19" t="n"/>
      <c r="W1559" s="15" t="n">
        <v>1.819826086956521</v>
      </c>
      <c r="X1559" s="15" t="n">
        <v>0.9026637545847407</v>
      </c>
      <c r="Y1559" s="15" t="n">
        <v>0.4525632090562275</v>
      </c>
      <c r="Z1559" s="15" t="n">
        <v>0.001123395603845109</v>
      </c>
      <c r="AA1559" s="15" t="n">
        <v>0.09490032999918548</v>
      </c>
      <c r="AB1559" s="15" t="n">
        <v>2.393206589566696</v>
      </c>
      <c r="AC1559" s="15" t="n">
        <v>15.16707879021548</v>
      </c>
      <c r="AD1559" s="15" t="n">
        <v>53.23560991413979</v>
      </c>
      <c r="AE1559" s="15" t="n">
        <v>91.33664714101613</v>
      </c>
      <c r="AF1559" s="15" t="n">
        <v>122.5901963005098</v>
      </c>
      <c r="AH1559" s="42">
        <f>HIPERLINK($A$1 &amp; "\Dados\Magnet_fields_1559.txt.txt", "Magnet_fields_1559.txt")</f>
        <v/>
      </c>
      <c r="AI1559" t="n">
        <v>8640</v>
      </c>
      <c r="AJ1559" t="n">
        <v>29</v>
      </c>
      <c r="AK1559" s="42">
        <f>HIPERLINK($A$1 &amp; "\Dados\Magnet_3D_results_1559.txt.txt", "Magnet_3D_results_1559.txt")</f>
        <v/>
      </c>
      <c r="AL1559" s="42">
        <f>HIPERLINK($A$1 &amp; "\Dados\Magnet_fields_2D_1559.txt.txt", "Magnet_fields_2D_1559.txt")</f>
        <v/>
      </c>
    </row>
    <row r="1560">
      <c r="E1560" s="15" t="n">
        <v>147</v>
      </c>
      <c r="F1560" s="15" t="n">
        <v>190</v>
      </c>
      <c r="G1560" s="15" t="n">
        <v>395</v>
      </c>
      <c r="H1560" s="15" t="n">
        <v>26</v>
      </c>
      <c r="I1560" s="15" t="n">
        <v>171</v>
      </c>
      <c r="J1560" s="13" t="n">
        <v>25</v>
      </c>
      <c r="K1560" t="n">
        <v>45</v>
      </c>
      <c r="L1560" s="13" t="n">
        <v>2.6</v>
      </c>
      <c r="M1560" s="12" t="n"/>
      <c r="N1560" s="8" t="n">
        <v>1.365032012556249</v>
      </c>
      <c r="O1560" s="15" t="n">
        <v>1.174485912234374</v>
      </c>
      <c r="P1560" s="15" t="n">
        <v>1.318140916045643</v>
      </c>
      <c r="Q1560" s="15" t="n">
        <v>0.002128089393089698</v>
      </c>
      <c r="R1560" s="15" t="n">
        <v>0.03220170746394423</v>
      </c>
      <c r="S1560" s="15" t="n">
        <v>0.002279471594971786</v>
      </c>
      <c r="T1560" s="42">
        <f>HIPERLINK($A$1 &amp; "\Dados\Imagem_perfil_1560.png", "Imagem_perfil_1560")</f>
        <v/>
      </c>
      <c r="U1560" s="42">
        <f>HIPERLINK($A$1 &amp; "\Dados\Results_airgap1560.txt", "Results_airgap1560")</f>
        <v/>
      </c>
      <c r="V1560" s="19" t="n"/>
      <c r="W1560" s="15" t="n">
        <v>1.749451521739131</v>
      </c>
      <c r="X1560" s="15" t="n">
        <v>0.8772592273081632</v>
      </c>
      <c r="Y1560" s="15" t="n">
        <v>0.4945102123375737</v>
      </c>
      <c r="Z1560" s="15" t="n">
        <v>0</v>
      </c>
      <c r="AA1560" s="15" t="n">
        <v>4.080367498632826</v>
      </c>
      <c r="AB1560" s="15" t="n">
        <v>0.3820416003464459</v>
      </c>
      <c r="AC1560" s="15" t="n">
        <v>5.276262856411138</v>
      </c>
      <c r="AD1560" s="15" t="n">
        <v>39.99076036641748</v>
      </c>
      <c r="AE1560" s="15" t="n">
        <v>87.23824061635568</v>
      </c>
      <c r="AF1560" s="15" t="n">
        <v>118.5515476253264</v>
      </c>
      <c r="AH1560" s="42">
        <f>HIPERLINK($A$1 &amp; "\Dados\Magnet_fields_1560.txt.txt", "Magnet_fields_1560.txt")</f>
        <v/>
      </c>
      <c r="AI1560" t="n">
        <v>8953</v>
      </c>
      <c r="AJ1560" t="n">
        <v>30</v>
      </c>
      <c r="AK1560" s="42">
        <f>HIPERLINK($A$1 &amp; "\Dados\Magnet_3D_results_1560.txt.txt", "Magnet_3D_results_1560.txt")</f>
        <v/>
      </c>
      <c r="AL1560" s="42">
        <f>HIPERLINK($A$1 &amp; "\Dados\Magnet_fields_2D_1560.txt.txt", "Magnet_fields_2D_1560.txt")</f>
        <v/>
      </c>
    </row>
    <row r="1561">
      <c r="E1561" s="15" t="n">
        <v>131</v>
      </c>
      <c r="F1561" s="15" t="n">
        <v>178</v>
      </c>
      <c r="G1561" s="15" t="n">
        <v>378</v>
      </c>
      <c r="H1561" s="15" t="n">
        <v>28</v>
      </c>
      <c r="I1561" s="15" t="n">
        <v>157</v>
      </c>
      <c r="J1561" s="13" t="n">
        <v>25</v>
      </c>
      <c r="K1561" t="n">
        <v>55</v>
      </c>
      <c r="L1561" s="13" t="n">
        <v>2.6</v>
      </c>
      <c r="M1561" s="12" t="n"/>
      <c r="N1561" s="8" t="n">
        <v>1.348984634562527</v>
      </c>
      <c r="O1561" s="15" t="n">
        <v>1.120344422549737</v>
      </c>
      <c r="P1561" s="15" t="n">
        <v>1.281229166774439</v>
      </c>
      <c r="Q1561" s="15" t="n">
        <v>0.01251695675834574</v>
      </c>
      <c r="R1561" s="15" t="n">
        <v>0.04573930266851123</v>
      </c>
      <c r="S1561" s="15" t="n">
        <v>0.01281627134427493</v>
      </c>
      <c r="T1561" s="42">
        <f>HIPERLINK($A$1 &amp; "\Dados\Imagem_perfil_1561.png", "Imagem_perfil_1561")</f>
        <v/>
      </c>
      <c r="U1561" s="42">
        <f>HIPERLINK($A$1 &amp; "\Dados\Results_airgap1561.txt", "Results_airgap1561")</f>
        <v/>
      </c>
      <c r="V1561" s="19" t="n"/>
      <c r="W1561" s="15" t="n">
        <v>1.814673043478261</v>
      </c>
      <c r="X1561" s="15" t="n">
        <v>0.8257483521451777</v>
      </c>
      <c r="Y1561" s="15" t="n">
        <v>0.4068377394624773</v>
      </c>
      <c r="Z1561" s="15" t="n">
        <v>0.001169530519719374</v>
      </c>
      <c r="AA1561" s="15" t="n">
        <v>3.972893953943381</v>
      </c>
      <c r="AB1561" s="15" t="n">
        <v>2.603756429674439</v>
      </c>
      <c r="AC1561" s="15" t="n">
        <v>18.19568418931115</v>
      </c>
      <c r="AD1561" s="15" t="n">
        <v>56.05322222625059</v>
      </c>
      <c r="AE1561" s="15" t="n">
        <v>91.14000164214698</v>
      </c>
      <c r="AF1561" s="15" t="n">
        <v>124.9690823216518</v>
      </c>
      <c r="AH1561" s="42">
        <f>HIPERLINK($A$1 &amp; "\Dados\Magnet_fields_1561.txt.txt", "Magnet_fields_1561.txt")</f>
        <v/>
      </c>
      <c r="AI1561" t="n">
        <v>12453</v>
      </c>
      <c r="AJ1561" t="n">
        <v>31</v>
      </c>
      <c r="AK1561" s="42">
        <f>HIPERLINK($A$1 &amp; "\Dados\Magnet_3D_results_1561.txt.txt", "Magnet_3D_results_1561.txt")</f>
        <v/>
      </c>
      <c r="AL1561" s="42">
        <f>HIPERLINK($A$1 &amp; "\Dados\Magnet_fields_2D_1561.txt.txt", "Magnet_fields_2D_1561.txt")</f>
        <v/>
      </c>
    </row>
    <row r="1562">
      <c r="E1562" s="15" t="n">
        <v>130</v>
      </c>
      <c r="F1562" s="15" t="n">
        <v>178</v>
      </c>
      <c r="G1562" s="15" t="n">
        <v>418</v>
      </c>
      <c r="H1562" s="15" t="n">
        <v>42</v>
      </c>
      <c r="I1562" s="15" t="n">
        <v>148</v>
      </c>
      <c r="J1562" s="13" t="n">
        <v>25</v>
      </c>
      <c r="K1562" t="n">
        <v>60</v>
      </c>
      <c r="L1562" s="13" t="n">
        <v>2.6</v>
      </c>
      <c r="M1562" s="12" t="n"/>
      <c r="N1562" s="8" t="n">
        <v>1.406623822179379</v>
      </c>
      <c r="O1562" s="15" t="n">
        <v>1.148146813256733</v>
      </c>
      <c r="P1562" s="15" t="n">
        <v>1.328957972233229</v>
      </c>
      <c r="Q1562" s="15" t="n">
        <v>0.03075540260262157</v>
      </c>
      <c r="R1562" s="15" t="n">
        <v>0.07276658925758181</v>
      </c>
      <c r="S1562" s="15" t="n">
        <v>0.03083703189802239</v>
      </c>
      <c r="T1562" s="42">
        <f>HIPERLINK($A$1 &amp; "\Dados\Imagem_perfil_1562.png", "Imagem_perfil_1562")</f>
        <v/>
      </c>
      <c r="U1562" s="42">
        <f>HIPERLINK($A$1 &amp; "\Dados\Results_airgap1562.txt", "Results_airgap1562")</f>
        <v/>
      </c>
      <c r="V1562" s="19" t="n"/>
      <c r="W1562" s="15" t="n">
        <v>2.004822826086956</v>
      </c>
      <c r="X1562" s="15" t="n">
        <v>0.9265878741135029</v>
      </c>
      <c r="Y1562" s="15" t="n">
        <v>0.2566986851506429</v>
      </c>
      <c r="Z1562" s="15" t="n">
        <v>0</v>
      </c>
      <c r="AA1562" s="15" t="n">
        <v>0</v>
      </c>
      <c r="AB1562" s="15" t="n">
        <v>1.628294677231543</v>
      </c>
      <c r="AC1562" s="15" t="n">
        <v>20.0671127837497</v>
      </c>
      <c r="AD1562" s="15" t="n">
        <v>68.93705879408795</v>
      </c>
      <c r="AE1562" s="15" t="n">
        <v>100.9384172684818</v>
      </c>
      <c r="AF1562" s="15" t="n">
        <v>132.3654780176393</v>
      </c>
      <c r="AH1562" s="42">
        <f>HIPERLINK($A$1 &amp; "\Dados\Magnet_fields_1562.txt.txt", "Magnet_fields_1562.txt")</f>
        <v/>
      </c>
      <c r="AI1562" t="n">
        <v>8064</v>
      </c>
      <c r="AJ1562" t="n">
        <v>29</v>
      </c>
      <c r="AK1562" s="42">
        <f>HIPERLINK($A$1 &amp; "\Dados\Magnet_3D_results_1562.txt.txt", "Magnet_3D_results_1562.txt")</f>
        <v/>
      </c>
      <c r="AL1562" s="42">
        <f>HIPERLINK($A$1 &amp; "\Dados\Magnet_fields_2D_1562.txt.txt", "Magnet_fields_2D_1562.txt")</f>
        <v/>
      </c>
    </row>
    <row r="1563">
      <c r="E1563" s="15" t="n">
        <v>147</v>
      </c>
      <c r="F1563" s="15" t="n">
        <v>179</v>
      </c>
      <c r="G1563" s="15" t="n">
        <v>351</v>
      </c>
      <c r="H1563" s="15" t="n">
        <v>42</v>
      </c>
      <c r="I1563" s="15" t="n">
        <v>141</v>
      </c>
      <c r="J1563" s="13" t="n">
        <v>25</v>
      </c>
      <c r="K1563" t="n">
        <v>55</v>
      </c>
      <c r="L1563" s="13" t="n">
        <v>2.6</v>
      </c>
      <c r="M1563" s="12" t="n"/>
      <c r="N1563" s="8" t="n">
        <v>1.466741565566416</v>
      </c>
      <c r="O1563" s="15" t="n">
        <v>1.147795330570196</v>
      </c>
      <c r="P1563" s="15" t="n">
        <v>1.368658917117552</v>
      </c>
      <c r="Q1563" s="15" t="n">
        <v>0.007511576537377357</v>
      </c>
      <c r="R1563" s="15" t="n">
        <v>0.03215506075317623</v>
      </c>
      <c r="S1563" s="15" t="n">
        <v>0.007926151517287571</v>
      </c>
      <c r="T1563" s="42">
        <f>HIPERLINK($A$1 &amp; "\Dados\Imagem_perfil_1563.png", "Imagem_perfil_1563")</f>
        <v/>
      </c>
      <c r="U1563" s="42">
        <f>HIPERLINK($A$1 &amp; "\Dados\Results_airgap1563.txt", "Results_airgap1563")</f>
        <v/>
      </c>
      <c r="V1563" s="19" t="n"/>
      <c r="W1563" s="15" t="n">
        <v>1.864932391304347</v>
      </c>
      <c r="X1563" s="15" t="n">
        <v>0.9608805967955213</v>
      </c>
      <c r="Y1563" s="15" t="n">
        <v>0.2901409374037379</v>
      </c>
      <c r="Z1563" s="15" t="n">
        <v>0</v>
      </c>
      <c r="AA1563" s="15" t="n">
        <v>0</v>
      </c>
      <c r="AB1563" s="15" t="n">
        <v>0</v>
      </c>
      <c r="AC1563" s="15" t="n">
        <v>11.13554372415093</v>
      </c>
      <c r="AD1563" s="15" t="n">
        <v>59.6277078629739</v>
      </c>
      <c r="AE1563" s="15" t="n">
        <v>95.17151642203484</v>
      </c>
      <c r="AF1563" s="15" t="n">
        <v>126.0831028921644</v>
      </c>
      <c r="AH1563" s="42">
        <f>HIPERLINK($A$1 &amp; "\Dados\Magnet_fields_1563.txt.txt", "Magnet_fields_1563.txt")</f>
        <v/>
      </c>
      <c r="AI1563" t="n">
        <v>10313</v>
      </c>
      <c r="AJ1563" t="n">
        <v>30</v>
      </c>
      <c r="AK1563" s="42">
        <f>HIPERLINK($A$1 &amp; "\Dados\Magnet_3D_results_1563.txt.txt", "Magnet_3D_results_1563.txt")</f>
        <v/>
      </c>
      <c r="AL1563" s="42">
        <f>HIPERLINK($A$1 &amp; "\Dados\Magnet_fields_2D_1563.txt.txt", "Magnet_fields_2D_1563.txt")</f>
        <v/>
      </c>
    </row>
    <row r="1564">
      <c r="E1564" s="15" t="n">
        <v>146</v>
      </c>
      <c r="F1564" s="15" t="n">
        <v>184</v>
      </c>
      <c r="G1564" s="15" t="n">
        <v>363</v>
      </c>
      <c r="H1564" s="15" t="n">
        <v>30</v>
      </c>
      <c r="I1564" s="15" t="n">
        <v>161</v>
      </c>
      <c r="J1564" s="13" t="n">
        <v>25</v>
      </c>
      <c r="K1564" t="n">
        <v>45</v>
      </c>
      <c r="L1564" s="13" t="n">
        <v>2.6</v>
      </c>
      <c r="M1564" s="12" t="n"/>
      <c r="N1564" s="8" t="n">
        <v>1.388875564703451</v>
      </c>
      <c r="O1564" s="15" t="n">
        <v>1.170589231233389</v>
      </c>
      <c r="P1564" s="15" t="n">
        <v>1.329374694742647</v>
      </c>
      <c r="Q1564" s="15" t="n">
        <v>0.002181452263608477</v>
      </c>
      <c r="R1564" s="15" t="n">
        <v>0.02556866473404616</v>
      </c>
      <c r="S1564" s="15" t="n">
        <v>0.002321737907927765</v>
      </c>
      <c r="T1564" s="42">
        <f>HIPERLINK($A$1 &amp; "\Dados\Imagem_perfil_1564.png", "Imagem_perfil_1564")</f>
        <v/>
      </c>
      <c r="U1564" s="42">
        <f>HIPERLINK($A$1 &amp; "\Dados\Results_airgap1564.txt", "Results_airgap1564")</f>
        <v/>
      </c>
      <c r="V1564" s="19" t="n"/>
      <c r="W1564" s="15" t="n">
        <v>1.729520652173913</v>
      </c>
      <c r="X1564" s="15" t="n">
        <v>0.878652746195565</v>
      </c>
      <c r="Y1564" s="15" t="n">
        <v>0.5052479781830204</v>
      </c>
      <c r="Z1564" s="15" t="n">
        <v>0</v>
      </c>
      <c r="AA1564" s="15" t="n">
        <v>3.752645483516172</v>
      </c>
      <c r="AB1564" s="15" t="n">
        <v>0</v>
      </c>
      <c r="AC1564" s="15" t="n">
        <v>6.618620513583839</v>
      </c>
      <c r="AD1564" s="15" t="n">
        <v>39.0229352759014</v>
      </c>
      <c r="AE1564" s="15" t="n">
        <v>81.99578221257705</v>
      </c>
      <c r="AF1564" s="15" t="n">
        <v>116.4864972313586</v>
      </c>
      <c r="AH1564" s="42">
        <f>HIPERLINK($A$1 &amp; "\Dados\Magnet_fields_1564.txt.txt", "Magnet_fields_1564.txt")</f>
        <v/>
      </c>
      <c r="AI1564" t="n">
        <v>7223</v>
      </c>
      <c r="AJ1564" t="n">
        <v>29</v>
      </c>
      <c r="AK1564" s="42">
        <f>HIPERLINK($A$1 &amp; "\Dados\Magnet_3D_results_1564.txt.txt", "Magnet_3D_results_1564.txt")</f>
        <v/>
      </c>
      <c r="AL1564" s="42">
        <f>HIPERLINK($A$1 &amp; "\Dados\Magnet_fields_2D_1564.txt.txt", "Magnet_fields_2D_1564.txt")</f>
        <v/>
      </c>
    </row>
    <row r="1565">
      <c r="E1565" s="15" t="n">
        <v>136</v>
      </c>
      <c r="F1565" s="15" t="n">
        <v>176</v>
      </c>
      <c r="G1565" s="15" t="n">
        <v>410</v>
      </c>
      <c r="H1565" s="15" t="n">
        <v>34</v>
      </c>
      <c r="I1565" s="15" t="n">
        <v>142</v>
      </c>
      <c r="J1565" s="13" t="n">
        <v>25</v>
      </c>
      <c r="K1565" t="n">
        <v>50</v>
      </c>
      <c r="L1565" s="13" t="n">
        <v>2.6</v>
      </c>
      <c r="M1565" s="12" t="n"/>
      <c r="N1565" s="8" t="n">
        <v>1.445368626077623</v>
      </c>
      <c r="O1565" s="15" t="n">
        <v>1.118928428753537</v>
      </c>
      <c r="P1565" s="15" t="n">
        <v>1.353643683018131</v>
      </c>
      <c r="Q1565" s="15" t="n">
        <v>0.005464025408102789</v>
      </c>
      <c r="R1565" s="15" t="n">
        <v>0.04778780620318471</v>
      </c>
      <c r="S1565" s="15" t="n">
        <v>0.006629136060427498</v>
      </c>
      <c r="T1565" s="42">
        <f>HIPERLINK($A$1 &amp; "\Dados\Imagem_perfil_1565.png", "Imagem_perfil_1565")</f>
        <v/>
      </c>
      <c r="U1565" s="42">
        <f>HIPERLINK($A$1 &amp; "\Dados\Results_airgap1565.txt", "Results_airgap1565")</f>
        <v/>
      </c>
      <c r="V1565" s="19" t="n"/>
      <c r="W1565" s="15" t="n">
        <v>1.998058043478261</v>
      </c>
      <c r="X1565" s="15" t="n">
        <v>0.9490946603087101</v>
      </c>
      <c r="Y1565" s="15" t="n">
        <v>0.2744027997741607</v>
      </c>
      <c r="Z1565" s="15" t="n">
        <v>0</v>
      </c>
      <c r="AA1565" s="15" t="n">
        <v>1.3515347607763</v>
      </c>
      <c r="AB1565" s="15" t="n">
        <v>1.894959117004138</v>
      </c>
      <c r="AC1565" s="15" t="n">
        <v>13.12475137580762</v>
      </c>
      <c r="AD1565" s="15" t="n">
        <v>49.29892414514288</v>
      </c>
      <c r="AE1565" s="15" t="n">
        <v>88.67741500726503</v>
      </c>
      <c r="AF1565" s="15" t="n">
        <v>121.9797640011804</v>
      </c>
      <c r="AH1565" s="42">
        <f>HIPERLINK($A$1 &amp; "\Dados\Magnet_fields_1565.txt.txt", "Magnet_fields_1565.txt")</f>
        <v/>
      </c>
      <c r="AI1565" t="n">
        <v>7539</v>
      </c>
      <c r="AJ1565" t="n">
        <v>29</v>
      </c>
      <c r="AK1565" s="42">
        <f>HIPERLINK($A$1 &amp; "\Dados\Magnet_3D_results_1565.txt.txt", "Magnet_3D_results_1565.txt")</f>
        <v/>
      </c>
      <c r="AL1565" s="42">
        <f>HIPERLINK($A$1 &amp; "\Dados\Magnet_fields_2D_1565.txt.txt", "Magnet_fields_2D_1565.txt")</f>
        <v/>
      </c>
    </row>
    <row r="1566">
      <c r="E1566" s="15" t="n">
        <v>148</v>
      </c>
      <c r="F1566" s="15" t="n">
        <v>189</v>
      </c>
      <c r="G1566" s="15" t="n">
        <v>356</v>
      </c>
      <c r="H1566" s="15" t="n">
        <v>25</v>
      </c>
      <c r="I1566" s="15" t="n">
        <v>167</v>
      </c>
      <c r="J1566" s="13" t="n">
        <v>25</v>
      </c>
      <c r="K1566" t="n">
        <v>40</v>
      </c>
      <c r="L1566" s="13" t="n">
        <v>2.6</v>
      </c>
      <c r="M1566" s="12" t="n"/>
      <c r="N1566" s="8" t="n">
        <v>1.300313437623211</v>
      </c>
      <c r="O1566" s="15" t="n">
        <v>1.119991152376104</v>
      </c>
      <c r="P1566" s="15" t="n">
        <v>1.247935872525418</v>
      </c>
      <c r="Q1566" s="15" t="n">
        <v>0.001045531164117581</v>
      </c>
      <c r="R1566" s="15" t="n">
        <v>0.02018138855313022</v>
      </c>
      <c r="S1566" s="15" t="n">
        <v>0.001139735311892605</v>
      </c>
      <c r="T1566" s="42">
        <f>HIPERLINK($A$1 &amp; "\Dados\Imagem_perfil_1566.png", "Imagem_perfil_1566")</f>
        <v/>
      </c>
      <c r="U1566" s="42">
        <f>HIPERLINK($A$1 &amp; "\Dados\Results_airgap1566.txt", "Results_airgap1566")</f>
        <v/>
      </c>
      <c r="V1566" s="19" t="n"/>
      <c r="W1566" s="15" t="n">
        <v>1.591490434782608</v>
      </c>
      <c r="X1566" s="15" t="n">
        <v>0.8074836693558147</v>
      </c>
      <c r="Y1566" s="15" t="n">
        <v>0.694480956829029</v>
      </c>
      <c r="Z1566" s="15" t="n">
        <v>0.0004193659620156216</v>
      </c>
      <c r="AA1566" s="15" t="n">
        <v>3.450204987086652</v>
      </c>
      <c r="AB1566" s="15" t="n">
        <v>0.2582933400014063</v>
      </c>
      <c r="AC1566" s="15" t="n">
        <v>6.911504569425542</v>
      </c>
      <c r="AD1566" s="15" t="n">
        <v>36.17813076041068</v>
      </c>
      <c r="AE1566" s="15" t="n">
        <v>77.4585127613646</v>
      </c>
      <c r="AF1566" s="15" t="n">
        <v>111.8081453525492</v>
      </c>
      <c r="AH1566" s="42">
        <f>HIPERLINK($A$1 &amp; "\Dados\Magnet_fields_1566.txt.txt", "Magnet_fields_1566.txt")</f>
        <v/>
      </c>
      <c r="AI1566" t="n">
        <v>9542</v>
      </c>
      <c r="AJ1566" t="n">
        <v>31</v>
      </c>
      <c r="AK1566" s="42">
        <f>HIPERLINK($A$1 &amp; "\Dados\Magnet_3D_results_1566.txt.txt", "Magnet_3D_results_1566.txt")</f>
        <v/>
      </c>
      <c r="AL1566" s="42">
        <f>HIPERLINK($A$1 &amp; "\Dados\Magnet_fields_2D_1566.txt.txt", "Magnet_fields_2D_1566.txt")</f>
        <v/>
      </c>
    </row>
    <row r="1567">
      <c r="E1567" s="15" t="n">
        <v>144</v>
      </c>
      <c r="F1567" s="15" t="n">
        <v>191</v>
      </c>
      <c r="G1567" s="15" t="n">
        <v>401</v>
      </c>
      <c r="H1567" s="15" t="n">
        <v>33</v>
      </c>
      <c r="I1567" s="15" t="n">
        <v>173</v>
      </c>
      <c r="J1567" s="13" t="n">
        <v>25</v>
      </c>
      <c r="K1567" t="n">
        <v>40</v>
      </c>
      <c r="L1567" s="13" t="n">
        <v>2.6</v>
      </c>
      <c r="M1567" s="12" t="n"/>
      <c r="N1567" s="8" t="n">
        <v>1.321558336097649</v>
      </c>
      <c r="O1567" s="15" t="n">
        <v>1.150902111598638</v>
      </c>
      <c r="P1567" s="15" t="n">
        <v>1.268523145474141</v>
      </c>
      <c r="Q1567" s="15" t="n">
        <v>0.001177120567678121</v>
      </c>
      <c r="R1567" s="15" t="n">
        <v>0.0320946369065415</v>
      </c>
      <c r="S1567" s="15" t="n">
        <v>0.001403077926442313</v>
      </c>
      <c r="T1567" s="42">
        <f>HIPERLINK($A$1 &amp; "\Dados\Imagem_perfil_1567.png", "Imagem_perfil_1567")</f>
        <v/>
      </c>
      <c r="U1567" s="42">
        <f>HIPERLINK($A$1 &amp; "\Dados\Results_airgap1567.txt", "Results_airgap1567")</f>
        <v/>
      </c>
      <c r="V1567" s="19" t="n"/>
      <c r="W1567" s="15" t="n">
        <v>1.650488043478261</v>
      </c>
      <c r="X1567" s="15" t="n">
        <v>0.7958281380149583</v>
      </c>
      <c r="Y1567" s="15" t="n">
        <v>0.6874772803237933</v>
      </c>
      <c r="Z1567" s="15" t="n">
        <v>0.01634035898839625</v>
      </c>
      <c r="AA1567" s="15" t="n">
        <v>0.7754840603142126</v>
      </c>
      <c r="AB1567" s="15" t="n">
        <v>1.49440173410665</v>
      </c>
      <c r="AC1567" s="15" t="n">
        <v>8.692177987337859</v>
      </c>
      <c r="AD1567" s="15" t="n">
        <v>35.28955200224878</v>
      </c>
      <c r="AE1567" s="15" t="n">
        <v>79.25683690414731</v>
      </c>
      <c r="AF1567" s="15" t="n">
        <v>113.6969737744439</v>
      </c>
      <c r="AH1567" s="42">
        <f>HIPERLINK($A$1 &amp; "\Dados\Magnet_fields_1567.txt.txt", "Magnet_fields_1567.txt")</f>
        <v/>
      </c>
      <c r="AI1567" t="n">
        <v>8193</v>
      </c>
      <c r="AJ1567" t="n">
        <v>29</v>
      </c>
      <c r="AK1567" s="42">
        <f>HIPERLINK($A$1 &amp; "\Dados\Magnet_3D_results_1567.txt.txt", "Magnet_3D_results_1567.txt")</f>
        <v/>
      </c>
      <c r="AL1567" s="42">
        <f>HIPERLINK($A$1 &amp; "\Dados\Magnet_fields_2D_1567.txt.txt", "Magnet_fields_2D_1567.txt")</f>
        <v/>
      </c>
    </row>
    <row r="1568">
      <c r="E1568" s="15" t="n">
        <v>145</v>
      </c>
      <c r="F1568" s="15" t="n">
        <v>189</v>
      </c>
      <c r="G1568" s="15" t="n">
        <v>375</v>
      </c>
      <c r="H1568" s="15" t="n">
        <v>33</v>
      </c>
      <c r="I1568" s="15" t="n">
        <v>161</v>
      </c>
      <c r="J1568" s="13" t="n">
        <v>25</v>
      </c>
      <c r="K1568" t="n">
        <v>45</v>
      </c>
      <c r="L1568" s="13" t="n">
        <v>2.6</v>
      </c>
      <c r="M1568" s="12" t="n"/>
      <c r="N1568" s="8" t="n">
        <v>1.300844823695021</v>
      </c>
      <c r="O1568" s="15" t="n">
        <v>1.120314034536794</v>
      </c>
      <c r="P1568" s="15" t="n">
        <v>1.256693182694609</v>
      </c>
      <c r="Q1568" s="15" t="n">
        <v>0.001868997713762863</v>
      </c>
      <c r="R1568" s="15" t="n">
        <v>0.03083243072053151</v>
      </c>
      <c r="S1568" s="15" t="n">
        <v>0.002458369548183013</v>
      </c>
      <c r="T1568" s="42">
        <f>HIPERLINK($A$1 &amp; "\Dados\Imagem_perfil_1568.png", "Imagem_perfil_1568")</f>
        <v/>
      </c>
      <c r="U1568" s="42">
        <f>HIPERLINK($A$1 &amp; "\Dados\Results_airgap1568.txt", "Results_airgap1568")</f>
        <v/>
      </c>
      <c r="V1568" s="19" t="n"/>
      <c r="W1568" s="15" t="n">
        <v>1.665420869565217</v>
      </c>
      <c r="X1568" s="15" t="n">
        <v>0.8238393786967917</v>
      </c>
      <c r="Y1568" s="15" t="n">
        <v>0.5876310952330852</v>
      </c>
      <c r="Z1568" s="15" t="n">
        <v>0</v>
      </c>
      <c r="AA1568" s="15" t="n">
        <v>1.309950915761831</v>
      </c>
      <c r="AB1568" s="15" t="n">
        <v>0.07295972276175727</v>
      </c>
      <c r="AC1568" s="15" t="n">
        <v>5.875970763648017</v>
      </c>
      <c r="AD1568" s="15" t="n">
        <v>39.37256392848189</v>
      </c>
      <c r="AE1568" s="15" t="n">
        <v>85.2223254385333</v>
      </c>
      <c r="AF1568" s="15" t="n">
        <v>117.7001582687038</v>
      </c>
      <c r="AH1568" s="42">
        <f>HIPERLINK($A$1 &amp; "\Dados\Magnet_fields_1568.txt.txt", "Magnet_fields_1568.txt")</f>
        <v/>
      </c>
      <c r="AI1568" t="n">
        <v>7466</v>
      </c>
      <c r="AJ1568" t="n">
        <v>29</v>
      </c>
      <c r="AK1568" s="42">
        <f>HIPERLINK($A$1 &amp; "\Dados\Magnet_3D_results_1568.txt.txt", "Magnet_3D_results_1568.txt")</f>
        <v/>
      </c>
      <c r="AL1568" s="42">
        <f>HIPERLINK($A$1 &amp; "\Dados\Magnet_fields_2D_1568.txt.txt", "Magnet_fields_2D_1568.txt")</f>
        <v/>
      </c>
    </row>
    <row r="1569">
      <c r="E1569" s="15" t="n">
        <v>150</v>
      </c>
      <c r="F1569" s="15" t="n">
        <v>181</v>
      </c>
      <c r="G1569" s="15" t="n">
        <v>395</v>
      </c>
      <c r="H1569" s="15" t="n">
        <v>34</v>
      </c>
      <c r="I1569" s="15" t="n">
        <v>173</v>
      </c>
      <c r="J1569" s="13" t="n">
        <v>25</v>
      </c>
      <c r="K1569" t="n">
        <v>45</v>
      </c>
      <c r="L1569" s="13" t="n">
        <v>2.6</v>
      </c>
      <c r="M1569" s="12" t="n"/>
      <c r="N1569" s="8" t="n">
        <v>1.602984996631888</v>
      </c>
      <c r="O1569" s="15" t="n">
        <v>1.424666940349118</v>
      </c>
      <c r="P1569" s="15" t="n">
        <v>1.553711501635407</v>
      </c>
      <c r="Q1569" s="15" t="n">
        <v>0.003925735340814433</v>
      </c>
      <c r="R1569" s="15" t="n">
        <v>0.03254436642115191</v>
      </c>
      <c r="S1569" s="15" t="n">
        <v>0.003961926024369988</v>
      </c>
      <c r="T1569" s="42">
        <f>HIPERLINK($A$1 &amp; "\Dados\Imagem_perfil_1569.png", "Imagem_perfil_1569")</f>
        <v/>
      </c>
      <c r="U1569" s="42">
        <f>HIPERLINK($A$1 &amp; "\Dados\Results_airgap1569.txt", "Results_airgap1569")</f>
        <v/>
      </c>
      <c r="V1569" s="19" t="n"/>
      <c r="W1569" s="15" t="n">
        <v>1.967950652173914</v>
      </c>
      <c r="X1569" s="15" t="n">
        <v>0.9721560058959633</v>
      </c>
      <c r="Y1569" s="15" t="n">
        <v>0.272268794328839</v>
      </c>
      <c r="Z1569" s="15" t="n">
        <v>0</v>
      </c>
      <c r="AA1569" s="15" t="n">
        <v>2.057421027763943</v>
      </c>
      <c r="AB1569" s="15" t="n">
        <v>0</v>
      </c>
      <c r="AC1569" s="15" t="n">
        <v>4.01213781680784</v>
      </c>
      <c r="AD1569" s="15" t="n">
        <v>38.32291746842381</v>
      </c>
      <c r="AE1569" s="15" t="n">
        <v>85.85426931936674</v>
      </c>
      <c r="AF1569" s="15" t="n">
        <v>118.368988378389</v>
      </c>
      <c r="AH1569" s="42">
        <f>HIPERLINK($A$1 &amp; "\Dados\Magnet_fields_1569.txt.txt", "Magnet_fields_1569.txt")</f>
        <v/>
      </c>
      <c r="AI1569" t="n">
        <v>8086</v>
      </c>
      <c r="AJ1569" t="n">
        <v>29</v>
      </c>
      <c r="AK1569" s="42">
        <f>HIPERLINK($A$1 &amp; "\Dados\Magnet_3D_results_1569.txt.txt", "Magnet_3D_results_1569.txt")</f>
        <v/>
      </c>
      <c r="AL1569" s="42">
        <f>HIPERLINK($A$1 &amp; "\Dados\Magnet_fields_2D_1569.txt.txt", "Magnet_fields_2D_1569.txt")</f>
        <v/>
      </c>
    </row>
    <row r="1570">
      <c r="E1570" s="15" t="n">
        <v>126</v>
      </c>
      <c r="F1570" s="15" t="n">
        <v>170</v>
      </c>
      <c r="G1570" s="15" t="n">
        <v>373</v>
      </c>
      <c r="H1570" s="15" t="n">
        <v>26</v>
      </c>
      <c r="I1570" s="15" t="n">
        <v>171</v>
      </c>
      <c r="J1570" s="13" t="n">
        <v>25</v>
      </c>
      <c r="K1570" t="n">
        <v>40</v>
      </c>
      <c r="L1570" s="13" t="n">
        <v>2.6</v>
      </c>
      <c r="M1570" s="12" t="n"/>
      <c r="N1570" s="8" t="n">
        <v>1.365355149090058</v>
      </c>
      <c r="O1570" s="15" t="n">
        <v>1.189179911686528</v>
      </c>
      <c r="P1570" s="15" t="n">
        <v>1.312934282789667</v>
      </c>
      <c r="Q1570" s="15" t="n">
        <v>0.001573766064391971</v>
      </c>
      <c r="R1570" s="15" t="n">
        <v>0.03324927907248881</v>
      </c>
      <c r="S1570" s="15" t="n">
        <v>0.001746559412322704</v>
      </c>
      <c r="T1570" s="42">
        <f>HIPERLINK($A$1 &amp; "\Dados\Imagem_perfil_1570.png", "Imagem_perfil_1570")</f>
        <v/>
      </c>
      <c r="U1570" s="42">
        <f>HIPERLINK($A$1 &amp; "\Dados\Results_airgap1570.txt", "Results_airgap1570")</f>
        <v/>
      </c>
      <c r="V1570" s="19" t="n"/>
      <c r="W1570" s="15" t="n">
        <v>1.685254130434783</v>
      </c>
      <c r="X1570" s="15" t="n">
        <v>0.8552850607724463</v>
      </c>
      <c r="Y1570" s="15" t="n">
        <v>0.6694542161604746</v>
      </c>
      <c r="Z1570" s="15" t="n">
        <v>0.0232878978049988</v>
      </c>
      <c r="AA1570" s="15" t="n">
        <v>1.515967522909278</v>
      </c>
      <c r="AB1570" s="15" t="n">
        <v>2.79100247537955</v>
      </c>
      <c r="AC1570" s="15" t="n">
        <v>12.60371011129478</v>
      </c>
      <c r="AD1570" s="15" t="n">
        <v>39.71544015187988</v>
      </c>
      <c r="AE1570" s="15" t="n">
        <v>79.44899721864013</v>
      </c>
      <c r="AF1570" s="15" t="n">
        <v>113.2869624627749</v>
      </c>
      <c r="AH1570" s="42">
        <f>HIPERLINK($A$1 &amp; "\Dados\Magnet_fields_1570.txt.txt", "Magnet_fields_1570.txt")</f>
        <v/>
      </c>
      <c r="AI1570" t="n">
        <v>9939</v>
      </c>
      <c r="AJ1570" t="n">
        <v>32</v>
      </c>
      <c r="AK1570" s="42">
        <f>HIPERLINK($A$1 &amp; "\Dados\Magnet_3D_results_1570.txt.txt", "Magnet_3D_results_1570.txt")</f>
        <v/>
      </c>
      <c r="AL1570" s="42">
        <f>HIPERLINK($A$1 &amp; "\Dados\Magnet_fields_2D_1570.txt.txt", "Magnet_fields_2D_1570.txt")</f>
        <v/>
      </c>
    </row>
    <row r="1571">
      <c r="E1571" s="15" t="n">
        <v>141</v>
      </c>
      <c r="F1571" s="15" t="n">
        <v>191</v>
      </c>
      <c r="G1571" s="15" t="n">
        <v>385</v>
      </c>
      <c r="H1571" s="15" t="n">
        <v>30</v>
      </c>
      <c r="I1571" s="15" t="n">
        <v>151</v>
      </c>
      <c r="J1571" s="13" t="n">
        <v>25</v>
      </c>
      <c r="K1571" t="n">
        <v>55</v>
      </c>
      <c r="L1571" s="13" t="n">
        <v>2.6</v>
      </c>
      <c r="M1571" s="12" t="n"/>
      <c r="N1571" s="8" t="n">
        <v>1.253353036414874</v>
      </c>
      <c r="O1571" s="15" t="n">
        <v>1.008896722858889</v>
      </c>
      <c r="P1571" s="15" t="n">
        <v>1.179964651688292</v>
      </c>
      <c r="Q1571" s="15" t="n">
        <v>0.01013612910620914</v>
      </c>
      <c r="R1571" s="15" t="n">
        <v>0.0427200535062421</v>
      </c>
      <c r="S1571" s="15" t="n">
        <v>0.01087895909119052</v>
      </c>
      <c r="T1571" s="42">
        <f>HIPERLINK($A$1 &amp; "\Dados\Imagem_perfil_1571.png", "Imagem_perfil_1571")</f>
        <v/>
      </c>
      <c r="U1571" s="42">
        <f>HIPERLINK($A$1 &amp; "\Dados\Results_airgap1571.txt", "Results_airgap1571")</f>
        <v/>
      </c>
      <c r="V1571" s="19" t="n"/>
      <c r="W1571" s="15" t="n">
        <v>1.715451086956522</v>
      </c>
      <c r="X1571" s="15" t="n">
        <v>0.8115246087079239</v>
      </c>
      <c r="Y1571" s="15" t="n">
        <v>0.4978019025076447</v>
      </c>
      <c r="Z1571" s="15" t="n">
        <v>0.001577428461921433</v>
      </c>
      <c r="AA1571" s="15" t="n">
        <v>2.892964543182654</v>
      </c>
      <c r="AB1571" s="15" t="n">
        <v>0.5388973160770643</v>
      </c>
      <c r="AC1571" s="15" t="n">
        <v>13.32703030312706</v>
      </c>
      <c r="AD1571" s="15" t="n">
        <v>58.2545385211418</v>
      </c>
      <c r="AE1571" s="15" t="n">
        <v>94.02677983904739</v>
      </c>
      <c r="AF1571" s="15" t="n">
        <v>125.496355426193</v>
      </c>
      <c r="AH1571" s="42">
        <f>HIPERLINK($A$1 &amp; "\Dados\Magnet_fields_1571.txt.txt", "Magnet_fields_1571.txt")</f>
        <v/>
      </c>
      <c r="AI1571" t="n">
        <v>11554</v>
      </c>
      <c r="AJ1571" t="n">
        <v>30</v>
      </c>
      <c r="AK1571" s="42">
        <f>HIPERLINK($A$1 &amp; "\Dados\Magnet_3D_results_1571.txt.txt", "Magnet_3D_results_1571.txt")</f>
        <v/>
      </c>
      <c r="AL1571" s="42">
        <f>HIPERLINK($A$1 &amp; "\Dados\Magnet_fields_2D_1571.txt.txt", "Magnet_fields_2D_1571.txt")</f>
        <v/>
      </c>
    </row>
    <row r="1572">
      <c r="E1572" s="15" t="n">
        <v>132</v>
      </c>
      <c r="F1572" s="15" t="n">
        <v>179</v>
      </c>
      <c r="G1572" s="15" t="n">
        <v>351</v>
      </c>
      <c r="H1572" s="15" t="n">
        <v>38</v>
      </c>
      <c r="I1572" s="15" t="n">
        <v>170</v>
      </c>
      <c r="J1572" s="13" t="n">
        <v>25</v>
      </c>
      <c r="K1572" t="n">
        <v>50</v>
      </c>
      <c r="L1572" s="13" t="n">
        <v>2.6</v>
      </c>
      <c r="M1572" s="12" t="n"/>
      <c r="N1572" s="8" t="n">
        <v>1.290804950433876</v>
      </c>
      <c r="O1572" s="15" t="n">
        <v>1.111337487161054</v>
      </c>
      <c r="P1572" s="15" t="n">
        <v>1.237261537121729</v>
      </c>
      <c r="Q1572" s="15" t="n">
        <v>0.005564297046439015</v>
      </c>
      <c r="R1572" s="15" t="n">
        <v>0.03694974560642357</v>
      </c>
      <c r="S1572" s="15" t="n">
        <v>0.005510106658390405</v>
      </c>
      <c r="T1572" s="42">
        <f>HIPERLINK($A$1 &amp; "\Dados\Imagem_perfil_1572.png", "Imagem_perfil_1572")</f>
        <v/>
      </c>
      <c r="U1572" s="42">
        <f>HIPERLINK($A$1 &amp; "\Dados\Results_airgap1572.txt", "Results_airgap1572")</f>
        <v/>
      </c>
      <c r="V1572" s="19" t="n"/>
      <c r="W1572" s="15" t="n">
        <v>1.626673043478261</v>
      </c>
      <c r="X1572" s="15" t="n">
        <v>0.8018071074285069</v>
      </c>
      <c r="Y1572" s="15" t="n">
        <v>0.6249822979551448</v>
      </c>
      <c r="Z1572" s="15" t="n">
        <v>0.001434501529019652</v>
      </c>
      <c r="AA1572" s="15" t="n">
        <v>0.01512431813032001</v>
      </c>
      <c r="AB1572" s="15" t="n">
        <v>0.4888099318271668</v>
      </c>
      <c r="AC1572" s="15" t="n">
        <v>9.664137435311623</v>
      </c>
      <c r="AD1572" s="15" t="n">
        <v>47.70521493075663</v>
      </c>
      <c r="AE1572" s="15" t="n">
        <v>88.76954592438187</v>
      </c>
      <c r="AF1572" s="15" t="n">
        <v>121.1694413962928</v>
      </c>
      <c r="AH1572" s="42">
        <f>HIPERLINK($A$1 &amp; "\Dados\Magnet_fields_1572.txt.txt", "Magnet_fields_1572.txt")</f>
        <v/>
      </c>
      <c r="AI1572" t="n">
        <v>6959</v>
      </c>
      <c r="AJ1572" t="n">
        <v>29</v>
      </c>
      <c r="AK1572" s="42">
        <f>HIPERLINK($A$1 &amp; "\Dados\Magnet_3D_results_1572.txt.txt", "Magnet_3D_results_1572.txt")</f>
        <v/>
      </c>
      <c r="AL1572" s="42">
        <f>HIPERLINK($A$1 &amp; "\Dados\Magnet_fields_2D_1572.txt.txt", "Magnet_fields_2D_1572.txt")</f>
        <v/>
      </c>
    </row>
    <row r="1573">
      <c r="E1573" s="15" t="n">
        <v>140</v>
      </c>
      <c r="F1573" s="15" t="n">
        <v>170</v>
      </c>
      <c r="G1573" s="15" t="n">
        <v>363</v>
      </c>
      <c r="H1573" s="15" t="n">
        <v>41</v>
      </c>
      <c r="I1573" s="15" t="n">
        <v>154</v>
      </c>
      <c r="J1573" s="13" t="n">
        <v>25</v>
      </c>
      <c r="K1573" t="n">
        <v>60</v>
      </c>
      <c r="L1573" s="13" t="n">
        <v>2.6</v>
      </c>
      <c r="M1573" s="12" t="n"/>
      <c r="N1573" s="8" t="n">
        <v>1.612377014282141</v>
      </c>
      <c r="O1573" s="15" t="n">
        <v>1.342453678094914</v>
      </c>
      <c r="P1573" s="15" t="n">
        <v>1.531625458440258</v>
      </c>
      <c r="Q1573" s="15" t="n">
        <v>0.02015741284340801</v>
      </c>
      <c r="R1573" s="15" t="n">
        <v>0.04490353368059141</v>
      </c>
      <c r="S1573" s="15" t="n">
        <v>0.02104732796064038</v>
      </c>
      <c r="T1573" s="42">
        <f>HIPERLINK($A$1 &amp; "\Dados\Imagem_perfil_1573.png", "Imagem_perfil_1573")</f>
        <v/>
      </c>
      <c r="U1573" s="42">
        <f>HIPERLINK($A$1 &amp; "\Dados\Results_airgap1573.txt", "Results_airgap1573")</f>
        <v/>
      </c>
      <c r="V1573" s="19" t="n"/>
      <c r="W1573" s="15" t="n">
        <v>2.060723043478261</v>
      </c>
      <c r="X1573" s="15" t="n">
        <v>1.000438816819491</v>
      </c>
      <c r="Y1573" s="15" t="n">
        <v>0.1527611324543269</v>
      </c>
      <c r="Z1573" s="15" t="n">
        <v>0.00458120548394408</v>
      </c>
      <c r="AA1573" s="15" t="n">
        <v>0</v>
      </c>
      <c r="AB1573" s="15" t="n">
        <v>0.603255083712948</v>
      </c>
      <c r="AC1573" s="15" t="n">
        <v>18.56281043014309</v>
      </c>
      <c r="AD1573" s="15" t="n">
        <v>67.85456540853878</v>
      </c>
      <c r="AE1573" s="15" t="n">
        <v>100.3268253394804</v>
      </c>
      <c r="AF1573" s="15" t="n">
        <v>131.5407257904567</v>
      </c>
      <c r="AH1573" s="42">
        <f>HIPERLINK($A$1 &amp; "\Dados\Magnet_fields_1573.txt.txt", "Magnet_fields_1573.txt")</f>
        <v/>
      </c>
      <c r="AI1573" t="n">
        <v>8338</v>
      </c>
      <c r="AJ1573" t="n">
        <v>29</v>
      </c>
      <c r="AK1573" s="42">
        <f>HIPERLINK($A$1 &amp; "\Dados\Magnet_3D_results_1573.txt.txt", "Magnet_3D_results_1573.txt")</f>
        <v/>
      </c>
      <c r="AL1573" s="42">
        <f>HIPERLINK($A$1 &amp; "\Dados\Magnet_fields_2D_1573.txt.txt", "Magnet_fields_2D_1573.txt")</f>
        <v/>
      </c>
    </row>
    <row r="1574">
      <c r="E1574" s="15" t="n">
        <v>147</v>
      </c>
      <c r="F1574" s="15" t="n">
        <v>195</v>
      </c>
      <c r="G1574" s="15" t="n">
        <v>367</v>
      </c>
      <c r="H1574" s="15" t="n">
        <v>40</v>
      </c>
      <c r="I1574" s="15" t="n">
        <v>145</v>
      </c>
      <c r="J1574" s="13" t="n">
        <v>25</v>
      </c>
      <c r="K1574" t="n">
        <v>40</v>
      </c>
      <c r="L1574" s="13" t="n">
        <v>2.6</v>
      </c>
      <c r="M1574" s="12" t="n"/>
      <c r="N1574" s="8" t="n">
        <v>1.157366994728188</v>
      </c>
      <c r="O1574" s="15" t="n">
        <v>0.9141183454506934</v>
      </c>
      <c r="P1574" s="15" t="n">
        <v>1.088067155994441</v>
      </c>
      <c r="Q1574" s="15" t="n">
        <v>0.000927673530665396</v>
      </c>
      <c r="R1574" s="15" t="n">
        <v>0.0246967163111975</v>
      </c>
      <c r="S1574" s="15" t="n">
        <v>0.00166616521377958</v>
      </c>
      <c r="T1574" s="42">
        <f>HIPERLINK($A$1 &amp; "\Dados\Imagem_perfil_1574.png", "Imagem_perfil_1574")</f>
        <v/>
      </c>
      <c r="U1574" s="42">
        <f>HIPERLINK($A$1 &amp; "\Dados\Results_airgap1574.txt", "Results_airgap1574")</f>
        <v/>
      </c>
      <c r="V1574" s="19" t="n"/>
      <c r="W1574" s="15" t="n">
        <v>1.494727173913043</v>
      </c>
      <c r="X1574" s="15" t="n">
        <v>0.7514863929416703</v>
      </c>
      <c r="Y1574" s="15" t="n">
        <v>0.8478632627907576</v>
      </c>
      <c r="Z1574" s="15" t="n">
        <v>0.002069449816071899</v>
      </c>
      <c r="AA1574" s="15" t="n">
        <v>0.004872141674723374</v>
      </c>
      <c r="AB1574" s="15" t="n">
        <v>0.3644746081949632</v>
      </c>
      <c r="AC1574" s="15" t="n">
        <v>5.852265630788481</v>
      </c>
      <c r="AD1574" s="15" t="n">
        <v>31.22967142796843</v>
      </c>
      <c r="AE1574" s="15" t="n">
        <v>76.53530963236337</v>
      </c>
      <c r="AF1574" s="15" t="n">
        <v>112.6511346427876</v>
      </c>
      <c r="AH1574" s="42">
        <f>HIPERLINK($A$1 &amp; "\Dados\Magnet_fields_1574.txt.txt", "Magnet_fields_1574.txt")</f>
        <v/>
      </c>
      <c r="AI1574" t="n">
        <v>6689</v>
      </c>
      <c r="AJ1574" t="n">
        <v>28</v>
      </c>
      <c r="AK1574" s="42">
        <f>HIPERLINK($A$1 &amp; "\Dados\Magnet_3D_results_1574.txt.txt", "Magnet_3D_results_1574.txt")</f>
        <v/>
      </c>
      <c r="AL1574" s="42">
        <f>HIPERLINK($A$1 &amp; "\Dados\Magnet_fields_2D_1574.txt.txt", "Magnet_fields_2D_1574.txt")</f>
        <v/>
      </c>
    </row>
    <row r="1575">
      <c r="E1575" s="15" t="n">
        <v>138</v>
      </c>
      <c r="F1575" s="15" t="n">
        <v>179</v>
      </c>
      <c r="G1575" s="15" t="n">
        <v>411</v>
      </c>
      <c r="H1575" s="15" t="n">
        <v>38</v>
      </c>
      <c r="I1575" s="15" t="n">
        <v>151</v>
      </c>
      <c r="J1575" s="13" t="n">
        <v>25</v>
      </c>
      <c r="K1575" t="n">
        <v>60</v>
      </c>
      <c r="L1575" s="13" t="n">
        <v>2.6</v>
      </c>
      <c r="M1575" s="12" t="n"/>
      <c r="N1575" s="8" t="n">
        <v>1.494968712506441</v>
      </c>
      <c r="O1575" s="15" t="n">
        <v>1.236672985355992</v>
      </c>
      <c r="P1575" s="15" t="n">
        <v>1.420820930955399</v>
      </c>
      <c r="Q1575" s="15" t="n">
        <v>0.02404140246178944</v>
      </c>
      <c r="R1575" s="15" t="n">
        <v>0.06225942744654207</v>
      </c>
      <c r="S1575" s="15" t="n">
        <v>0.02409479179430792</v>
      </c>
      <c r="T1575" s="42">
        <f>HIPERLINK($A$1 &amp; "\Dados\Imagem_perfil_1575.png", "Imagem_perfil_1575")</f>
        <v/>
      </c>
      <c r="U1575" s="42">
        <f>HIPERLINK($A$1 &amp; "\Dados\Results_airgap1575.txt", "Results_airgap1575")</f>
        <v/>
      </c>
      <c r="V1575" s="19" t="n"/>
      <c r="W1575" s="15" t="n">
        <v>2.07513847826087</v>
      </c>
      <c r="X1575" s="15" t="n">
        <v>0.9753788018885308</v>
      </c>
      <c r="Y1575" s="15" t="n">
        <v>0.175553056597949</v>
      </c>
      <c r="Z1575" s="15" t="n">
        <v>0</v>
      </c>
      <c r="AA1575" s="15" t="n">
        <v>0.1893230092602662</v>
      </c>
      <c r="AB1575" s="15" t="n">
        <v>2.587108535476607</v>
      </c>
      <c r="AC1575" s="15" t="n">
        <v>22.26920457296055</v>
      </c>
      <c r="AD1575" s="15" t="n">
        <v>65.48497914029134</v>
      </c>
      <c r="AE1575" s="15" t="n">
        <v>98.66276695576887</v>
      </c>
      <c r="AF1575" s="15" t="n">
        <v>131.4275168859829</v>
      </c>
      <c r="AH1575" s="42">
        <f>HIPERLINK($A$1 &amp; "\Dados\Magnet_fields_1575.txt.txt", "Magnet_fields_1575.txt")</f>
        <v/>
      </c>
      <c r="AI1575" t="n">
        <v>7980</v>
      </c>
      <c r="AJ1575" t="n">
        <v>29</v>
      </c>
      <c r="AK1575" s="42">
        <f>HIPERLINK($A$1 &amp; "\Dados\Magnet_3D_results_1575.txt.txt", "Magnet_3D_results_1575.txt")</f>
        <v/>
      </c>
      <c r="AL1575" s="42">
        <f>HIPERLINK($A$1 &amp; "\Dados\Magnet_fields_2D_1575.txt.txt", "Magnet_fields_2D_1575.txt")</f>
        <v/>
      </c>
    </row>
    <row r="1576">
      <c r="E1576" s="15" t="n">
        <v>145</v>
      </c>
      <c r="F1576" s="15" t="n">
        <v>186</v>
      </c>
      <c r="G1576" s="15" t="n">
        <v>391</v>
      </c>
      <c r="H1576" s="15" t="n">
        <v>33</v>
      </c>
      <c r="I1576" s="15" t="n">
        <v>176</v>
      </c>
      <c r="J1576" s="13" t="n">
        <v>25</v>
      </c>
      <c r="K1576" t="n">
        <v>55</v>
      </c>
      <c r="L1576" s="13" t="n">
        <v>2.6</v>
      </c>
      <c r="M1576" s="12" t="n"/>
      <c r="N1576" s="8" t="n">
        <v>1.49631519571846</v>
      </c>
      <c r="O1576" s="15" t="n">
        <v>1.318703915907238</v>
      </c>
      <c r="P1576" s="15" t="n">
        <v>1.442030572327973</v>
      </c>
      <c r="Q1576" s="15" t="n">
        <v>0.008947905405428835</v>
      </c>
      <c r="R1576" s="15" t="n">
        <v>0.04573794610332893</v>
      </c>
      <c r="S1576" s="15" t="n">
        <v>0.009139446604553347</v>
      </c>
      <c r="T1576" s="42">
        <f>HIPERLINK($A$1 &amp; "\Dados\Imagem_perfil_1576.png", "Imagem_perfil_1576")</f>
        <v/>
      </c>
      <c r="U1576" s="42">
        <f>HIPERLINK($A$1 &amp; "\Dados\Results_airgap1576.txt", "Results_airgap1576")</f>
        <v/>
      </c>
      <c r="V1576" s="19" t="n"/>
      <c r="W1576" s="15" t="n">
        <v>1.900744130434783</v>
      </c>
      <c r="X1576" s="15" t="n">
        <v>0.953704630080593</v>
      </c>
      <c r="Y1576" s="15" t="n">
        <v>0.3014484918876512</v>
      </c>
      <c r="Z1576" s="15" t="n">
        <v>0.0349679752544029</v>
      </c>
      <c r="AA1576" s="15" t="n">
        <v>0.3662977307136563</v>
      </c>
      <c r="AB1576" s="15" t="n">
        <v>0.07101893310976602</v>
      </c>
      <c r="AC1576" s="15" t="n">
        <v>14.50240582242686</v>
      </c>
      <c r="AD1576" s="15" t="n">
        <v>64.56650539277079</v>
      </c>
      <c r="AE1576" s="15" t="n">
        <v>96.75528823121145</v>
      </c>
      <c r="AF1576" s="15" t="n">
        <v>126.7798326702442</v>
      </c>
      <c r="AH1576" s="42">
        <f>HIPERLINK($A$1 &amp; "\Dados\Magnet_fields_1576.txt.txt", "Magnet_fields_1576.txt")</f>
        <v/>
      </c>
      <c r="AI1576" t="n">
        <v>12061</v>
      </c>
      <c r="AJ1576" t="n">
        <v>32</v>
      </c>
      <c r="AK1576" s="42">
        <f>HIPERLINK($A$1 &amp; "\Dados\Magnet_3D_results_1576.txt.txt", "Magnet_3D_results_1576.txt")</f>
        <v/>
      </c>
      <c r="AL1576" s="42">
        <f>HIPERLINK($A$1 &amp; "\Dados\Magnet_fields_2D_1576.txt.txt", "Magnet_fields_2D_1576.txt")</f>
        <v/>
      </c>
    </row>
    <row r="1577">
      <c r="E1577" s="15" t="n">
        <v>138</v>
      </c>
      <c r="F1577" s="15" t="n">
        <v>176</v>
      </c>
      <c r="G1577" s="15" t="n">
        <v>362</v>
      </c>
      <c r="H1577" s="15" t="n">
        <v>39</v>
      </c>
      <c r="I1577" s="15" t="n">
        <v>173</v>
      </c>
      <c r="J1577" s="13" t="n">
        <v>25</v>
      </c>
      <c r="K1577" t="n">
        <v>45</v>
      </c>
      <c r="L1577" s="13" t="n">
        <v>2.6</v>
      </c>
      <c r="M1577" s="12" t="n"/>
      <c r="N1577" s="8" t="n">
        <v>1.448139836175194</v>
      </c>
      <c r="O1577" s="15" t="n">
        <v>1.261308038227206</v>
      </c>
      <c r="P1577" s="15" t="n">
        <v>1.386687001854122</v>
      </c>
      <c r="Q1577" s="15" t="n">
        <v>0.002588224010002505</v>
      </c>
      <c r="R1577" s="15" t="n">
        <v>0.03210832601734661</v>
      </c>
      <c r="S1577" s="15" t="n">
        <v>0.002678557439157611</v>
      </c>
      <c r="T1577" s="42">
        <f>HIPERLINK($A$1 &amp; "\Dados\Imagem_perfil_1577.png", "Imagem_perfil_1577")</f>
        <v/>
      </c>
      <c r="U1577" s="42">
        <f>HIPERLINK($A$1 &amp; "\Dados\Results_airgap1577.txt", "Results_airgap1577")</f>
        <v/>
      </c>
      <c r="V1577" s="19" t="n"/>
      <c r="W1577" s="15" t="n">
        <v>1.756468913043479</v>
      </c>
      <c r="X1577" s="15" t="n">
        <v>0.882716173834023</v>
      </c>
      <c r="Y1577" s="15" t="n">
        <v>0.4899204108457219</v>
      </c>
      <c r="Z1577" s="15" t="n">
        <v>0</v>
      </c>
      <c r="AA1577" s="15" t="n">
        <v>0.1385670738104933</v>
      </c>
      <c r="AB1577" s="15" t="n">
        <v>0.5207117854999732</v>
      </c>
      <c r="AC1577" s="15" t="n">
        <v>5.965760886657068</v>
      </c>
      <c r="AD1577" s="15" t="n">
        <v>36.49407726984502</v>
      </c>
      <c r="AE1577" s="15" t="n">
        <v>84.80468047437773</v>
      </c>
      <c r="AF1577" s="15" t="n">
        <v>117.9446177854596</v>
      </c>
      <c r="AH1577" s="42">
        <f>HIPERLINK($A$1 &amp; "\Dados\Magnet_fields_1577.txt.txt", "Magnet_fields_1577.txt")</f>
        <v/>
      </c>
      <c r="AI1577" t="n">
        <v>6640</v>
      </c>
      <c r="AJ1577" t="n">
        <v>29</v>
      </c>
      <c r="AK1577" s="42">
        <f>HIPERLINK($A$1 &amp; "\Dados\Magnet_3D_results_1577.txt.txt", "Magnet_3D_results_1577.txt")</f>
        <v/>
      </c>
      <c r="AL1577" s="42">
        <f>HIPERLINK($A$1 &amp; "\Dados\Magnet_fields_2D_1577.txt.txt", "Magnet_fields_2D_1577.txt")</f>
        <v/>
      </c>
    </row>
    <row r="1578">
      <c r="E1578" s="15" t="n">
        <v>137</v>
      </c>
      <c r="F1578" s="15" t="n">
        <v>173</v>
      </c>
      <c r="G1578" s="15" t="n">
        <v>426</v>
      </c>
      <c r="H1578" s="15" t="n">
        <v>32</v>
      </c>
      <c r="I1578" s="15" t="n">
        <v>178</v>
      </c>
      <c r="J1578" s="13" t="n">
        <v>25</v>
      </c>
      <c r="K1578" t="n">
        <v>50</v>
      </c>
      <c r="L1578" s="13" t="n">
        <v>2.6</v>
      </c>
      <c r="M1578" s="12" t="n"/>
      <c r="N1578" s="8" t="n">
        <v>1.638685804575211</v>
      </c>
      <c r="O1578" s="15" t="n">
        <v>1.446161392834591</v>
      </c>
      <c r="P1578" s="15" t="n">
        <v>1.57873106666979</v>
      </c>
      <c r="Q1578" s="15" t="n">
        <v>0.0082602434127249</v>
      </c>
      <c r="R1578" s="15" t="n">
        <v>0.05433133097232314</v>
      </c>
      <c r="S1578" s="15" t="n">
        <v>0.008290257781810577</v>
      </c>
      <c r="T1578" s="42">
        <f>HIPERLINK($A$1 &amp; "\Dados\Imagem_perfil_1578.png", "Imagem_perfil_1578")</f>
        <v/>
      </c>
      <c r="U1578" s="42">
        <f>HIPERLINK($A$1 &amp; "\Dados\Results_airgap1578.txt", "Results_airgap1578")</f>
        <v/>
      </c>
      <c r="V1578" s="19" t="n"/>
      <c r="W1578" s="15" t="n">
        <v>2.108634565217391</v>
      </c>
      <c r="X1578" s="15" t="n">
        <v>1.006367363855843</v>
      </c>
      <c r="Y1578" s="15" t="n">
        <v>0.1939137296798077</v>
      </c>
      <c r="Z1578" s="15" t="n">
        <v>0.00433509157652625</v>
      </c>
      <c r="AA1578" s="15" t="n">
        <v>2.776622123315526</v>
      </c>
      <c r="AB1578" s="15" t="n">
        <v>0.9823734520894479</v>
      </c>
      <c r="AC1578" s="15" t="n">
        <v>7.788968386676233</v>
      </c>
      <c r="AD1578" s="15" t="n">
        <v>48.86423994950223</v>
      </c>
      <c r="AE1578" s="15" t="n">
        <v>93.58173704441553</v>
      </c>
      <c r="AF1578" s="15" t="n">
        <v>123.7573366408439</v>
      </c>
      <c r="AH1578" s="42">
        <f>HIPERLINK($A$1 &amp; "\Dados\Magnet_fields_1578.txt.txt", "Magnet_fields_1578.txt")</f>
        <v/>
      </c>
      <c r="AI1578" t="n">
        <v>8794</v>
      </c>
      <c r="AJ1578" t="n">
        <v>29</v>
      </c>
      <c r="AK1578" s="42">
        <f>HIPERLINK($A$1 &amp; "\Dados\Magnet_3D_results_1578.txt.txt", "Magnet_3D_results_1578.txt")</f>
        <v/>
      </c>
      <c r="AL1578" s="42">
        <f>HIPERLINK($A$1 &amp; "\Dados\Magnet_fields_2D_1578.txt.txt", "Magnet_fields_2D_1578.txt")</f>
        <v/>
      </c>
    </row>
    <row r="1579">
      <c r="E1579" s="15" t="n">
        <v>126</v>
      </c>
      <c r="F1579" s="15" t="n">
        <v>174</v>
      </c>
      <c r="G1579" s="15" t="n">
        <v>384</v>
      </c>
      <c r="H1579" s="15" t="n">
        <v>41</v>
      </c>
      <c r="I1579" s="15" t="n">
        <v>172</v>
      </c>
      <c r="J1579" s="13" t="n">
        <v>25</v>
      </c>
      <c r="K1579" t="n">
        <v>50</v>
      </c>
      <c r="L1579" s="13" t="n">
        <v>2.6</v>
      </c>
      <c r="M1579" s="12" t="n"/>
      <c r="N1579" s="8" t="n">
        <v>1.396597646907546</v>
      </c>
      <c r="O1579" s="15" t="n">
        <v>1.19936556457497</v>
      </c>
      <c r="P1579" s="15" t="n">
        <v>1.341335201288308</v>
      </c>
      <c r="Q1579" s="15" t="n">
        <v>0.007997147190010441</v>
      </c>
      <c r="R1579" s="15" t="n">
        <v>0.0511982930337644</v>
      </c>
      <c r="S1579" s="15" t="n">
        <v>0.008112168352528794</v>
      </c>
      <c r="T1579" s="42">
        <f>HIPERLINK($A$1 &amp; "\Dados\Imagem_perfil_1579.png", "Imagem_perfil_1579")</f>
        <v/>
      </c>
      <c r="U1579" s="42">
        <f>HIPERLINK($A$1 &amp; "\Dados\Results_airgap1579.txt", "Results_airgap1579")</f>
        <v/>
      </c>
      <c r="V1579" s="19" t="n"/>
      <c r="W1579" s="15" t="n">
        <v>1.796158913043478</v>
      </c>
      <c r="X1579" s="15" t="n">
        <v>0.8821203004640817</v>
      </c>
      <c r="Y1579" s="15" t="n">
        <v>0.4729462350480734</v>
      </c>
      <c r="Z1579" s="15" t="n">
        <v>0.002146286022603661</v>
      </c>
      <c r="AA1579" s="15" t="n">
        <v>0.008262313832550468</v>
      </c>
      <c r="AB1579" s="15" t="n">
        <v>2.294883462869748</v>
      </c>
      <c r="AC1579" s="15" t="n">
        <v>14.13113724837638</v>
      </c>
      <c r="AD1579" s="15" t="n">
        <v>50.81933098873174</v>
      </c>
      <c r="AE1579" s="15" t="n">
        <v>90.07782980455012</v>
      </c>
      <c r="AF1579" s="15" t="n">
        <v>122.1197605368609</v>
      </c>
      <c r="AH1579" s="42">
        <f>HIPERLINK($A$1 &amp; "\Dados\Magnet_fields_1579.txt.txt", "Magnet_fields_1579.txt")</f>
        <v/>
      </c>
      <c r="AI1579" t="n">
        <v>6861</v>
      </c>
      <c r="AJ1579" t="n">
        <v>28</v>
      </c>
      <c r="AK1579" s="42">
        <f>HIPERLINK($A$1 &amp; "\Dados\Magnet_3D_results_1579.txt.txt", "Magnet_3D_results_1579.txt")</f>
        <v/>
      </c>
      <c r="AL1579" s="42">
        <f>HIPERLINK($A$1 &amp; "\Dados\Magnet_fields_2D_1579.txt.txt", "Magnet_fields_2D_1579.txt")</f>
        <v/>
      </c>
    </row>
    <row r="1580">
      <c r="E1580" s="15" t="n">
        <v>146</v>
      </c>
      <c r="F1580" s="15" t="n">
        <v>191</v>
      </c>
      <c r="G1580" s="15" t="n">
        <v>357</v>
      </c>
      <c r="H1580" s="15" t="n">
        <v>42</v>
      </c>
      <c r="I1580" s="15" t="n">
        <v>175</v>
      </c>
      <c r="J1580" s="13" t="n">
        <v>25</v>
      </c>
      <c r="K1580" t="n">
        <v>40</v>
      </c>
      <c r="L1580" s="13" t="n">
        <v>2.6</v>
      </c>
      <c r="M1580" s="12" t="n"/>
      <c r="N1580" s="8" t="n">
        <v>1.260336591125156</v>
      </c>
      <c r="O1580" s="15" t="n">
        <v>1.10973785990812</v>
      </c>
      <c r="P1580" s="15" t="n">
        <v>1.215287951523005</v>
      </c>
      <c r="Q1580" s="15" t="n">
        <v>0.0009446095374400916</v>
      </c>
      <c r="R1580" s="15" t="n">
        <v>0.02439183986090421</v>
      </c>
      <c r="S1580" s="15" t="n">
        <v>0.001065828159108823</v>
      </c>
      <c r="T1580" s="42">
        <f>HIPERLINK($A$1 &amp; "\Dados\Imagem_perfil_1580.png", "Imagem_perfil_1580")</f>
        <v/>
      </c>
      <c r="U1580" s="42">
        <f>HIPERLINK($A$1 &amp; "\Dados\Results_airgap1580.txt", "Results_airgap1580")</f>
        <v/>
      </c>
      <c r="V1580" s="19" t="n"/>
      <c r="W1580" s="15" t="n">
        <v>1.511169130434783</v>
      </c>
      <c r="X1580" s="15" t="n">
        <v>0.7718445135239166</v>
      </c>
      <c r="Y1580" s="15" t="n">
        <v>0.8060391648940739</v>
      </c>
      <c r="Z1580" s="15" t="n">
        <v>0.01168363628232902</v>
      </c>
      <c r="AA1580" s="15" t="n">
        <v>0.008028094972628772</v>
      </c>
      <c r="AB1580" s="15" t="n">
        <v>0</v>
      </c>
      <c r="AC1580" s="15" t="n">
        <v>4.930467765952611</v>
      </c>
      <c r="AD1580" s="15" t="n">
        <v>31.03768878178068</v>
      </c>
      <c r="AE1580" s="15" t="n">
        <v>77.20312432642228</v>
      </c>
      <c r="AF1580" s="15" t="n">
        <v>112.7536485675943</v>
      </c>
      <c r="AH1580" s="42">
        <f>HIPERLINK($A$1 &amp; "\Dados\Magnet_fields_1580.txt.txt", "Magnet_fields_1580.txt")</f>
        <v/>
      </c>
      <c r="AI1580" t="n">
        <v>6898</v>
      </c>
      <c r="AJ1580" t="n">
        <v>28</v>
      </c>
      <c r="AK1580" s="42">
        <f>HIPERLINK($A$1 &amp; "\Dados\Magnet_3D_results_1580.txt.txt", "Magnet_3D_results_1580.txt")</f>
        <v/>
      </c>
      <c r="AL1580" s="42">
        <f>HIPERLINK($A$1 &amp; "\Dados\Magnet_fields_2D_1580.txt.txt", "Magnet_fields_2D_1580.txt")</f>
        <v/>
      </c>
    </row>
    <row r="1581">
      <c r="E1581" s="15" t="n">
        <v>137</v>
      </c>
      <c r="F1581" s="15" t="n">
        <v>174</v>
      </c>
      <c r="G1581" s="15" t="n">
        <v>356</v>
      </c>
      <c r="H1581" s="15" t="n">
        <v>40</v>
      </c>
      <c r="I1581" s="15" t="n">
        <v>149</v>
      </c>
      <c r="J1581" s="13" t="n">
        <v>25</v>
      </c>
      <c r="K1581" t="n">
        <v>55</v>
      </c>
      <c r="L1581" s="13" t="n">
        <v>2.6</v>
      </c>
      <c r="M1581" s="12" t="n"/>
      <c r="N1581" s="8" t="n">
        <v>1.45411041299104</v>
      </c>
      <c r="O1581" s="15" t="n">
        <v>1.170546242921284</v>
      </c>
      <c r="P1581" s="15" t="n">
        <v>1.380140654180988</v>
      </c>
      <c r="Q1581" s="15" t="n">
        <v>0.008731644460576624</v>
      </c>
      <c r="R1581" s="15" t="n">
        <v>0.0401035862258033</v>
      </c>
      <c r="S1581" s="15" t="n">
        <v>0.009162833164816277</v>
      </c>
      <c r="T1581" s="42">
        <f>HIPERLINK($A$1 &amp; "\Dados\Imagem_perfil_1581.png", "Imagem_perfil_1581")</f>
        <v/>
      </c>
      <c r="U1581" s="42">
        <f>HIPERLINK($A$1 &amp; "\Dados\Results_airgap1581.txt", "Results_airgap1581")</f>
        <v/>
      </c>
      <c r="V1581" s="19" t="n"/>
      <c r="W1581" s="15" t="n">
        <v>1.879451086956521</v>
      </c>
      <c r="X1581" s="15" t="n">
        <v>0.9089260401303767</v>
      </c>
      <c r="Y1581" s="15" t="n">
        <v>0.3123679506315208</v>
      </c>
      <c r="Z1581" s="15" t="n">
        <v>0</v>
      </c>
      <c r="AA1581" s="15" t="n">
        <v>0</v>
      </c>
      <c r="AB1581" s="15" t="n">
        <v>0.3140574539476635</v>
      </c>
      <c r="AC1581" s="15" t="n">
        <v>16.33784825850863</v>
      </c>
      <c r="AD1581" s="15" t="n">
        <v>62.19799717053837</v>
      </c>
      <c r="AE1581" s="15" t="n">
        <v>94.85454036876514</v>
      </c>
      <c r="AF1581" s="15" t="n">
        <v>126.0821278031736</v>
      </c>
      <c r="AH1581" s="42">
        <f>HIPERLINK($A$1 &amp; "\Dados\Magnet_fields_1581.txt.txt", "Magnet_fields_1581.txt")</f>
        <v/>
      </c>
      <c r="AI1581" t="n">
        <v>9942</v>
      </c>
      <c r="AJ1581" t="n">
        <v>30</v>
      </c>
      <c r="AK1581" s="42">
        <f>HIPERLINK($A$1 &amp; "\Dados\Magnet_3D_results_1581.txt.txt", "Magnet_3D_results_1581.txt")</f>
        <v/>
      </c>
      <c r="AL1581" s="42">
        <f>HIPERLINK($A$1 &amp; "\Dados\Magnet_fields_2D_1581.txt.txt", "Magnet_fields_2D_1581.txt")</f>
        <v/>
      </c>
    </row>
    <row r="1582">
      <c r="E1582" s="15" t="n">
        <v>149</v>
      </c>
      <c r="F1582" s="15" t="n">
        <v>182</v>
      </c>
      <c r="G1582" s="15" t="n">
        <v>363</v>
      </c>
      <c r="H1582" s="15" t="n">
        <v>30</v>
      </c>
      <c r="I1582" s="15" t="n">
        <v>161</v>
      </c>
      <c r="J1582" s="13" t="n">
        <v>25</v>
      </c>
      <c r="K1582" t="n">
        <v>45</v>
      </c>
      <c r="L1582" s="13" t="n">
        <v>2.6</v>
      </c>
      <c r="M1582" s="12" t="n"/>
      <c r="N1582" s="8" t="n">
        <v>1.465472187201494</v>
      </c>
      <c r="O1582" s="15" t="n">
        <v>1.238979273173892</v>
      </c>
      <c r="P1582" s="15" t="n">
        <v>1.401757920607219</v>
      </c>
      <c r="Q1582" s="15" t="n">
        <v>0.002789204497179574</v>
      </c>
      <c r="R1582" s="15" t="n">
        <v>0.02397356716655628</v>
      </c>
      <c r="S1582" s="15" t="n">
        <v>0.002751989197662398</v>
      </c>
      <c r="T1582" s="42">
        <f>HIPERLINK($A$1 &amp; "\Dados\Imagem_perfil_1582.png", "Imagem_perfil_1582")</f>
        <v/>
      </c>
      <c r="U1582" s="42">
        <f>HIPERLINK($A$1 &amp; "\Dados\Results_airgap1582.txt", "Results_airgap1582")</f>
        <v/>
      </c>
      <c r="V1582" s="19" t="n"/>
      <c r="W1582" s="15" t="n">
        <v>1.810483260869565</v>
      </c>
      <c r="X1582" s="15" t="n">
        <v>0.9059896587241506</v>
      </c>
      <c r="Y1582" s="15" t="n">
        <v>0.4015397516616732</v>
      </c>
      <c r="Z1582" s="15" t="n">
        <v>0</v>
      </c>
      <c r="AA1582" s="15" t="n">
        <v>4.191631383608882</v>
      </c>
      <c r="AB1582" s="15" t="n">
        <v>0</v>
      </c>
      <c r="AC1582" s="15" t="n">
        <v>4.779806958002117</v>
      </c>
      <c r="AD1582" s="15" t="n">
        <v>38.24967348951377</v>
      </c>
      <c r="AE1582" s="15" t="n">
        <v>82.65441027450512</v>
      </c>
      <c r="AF1582" s="15" t="n">
        <v>116.9278310282395</v>
      </c>
      <c r="AH1582" s="42">
        <f>HIPERLINK($A$1 &amp; "\Dados\Magnet_fields_1582.txt.txt", "Magnet_fields_1582.txt")</f>
        <v/>
      </c>
      <c r="AI1582" t="n">
        <v>8075</v>
      </c>
      <c r="AJ1582" t="n">
        <v>29</v>
      </c>
      <c r="AK1582" s="42">
        <f>HIPERLINK($A$1 &amp; "\Dados\Magnet_3D_results_1582.txt.txt", "Magnet_3D_results_1582.txt")</f>
        <v/>
      </c>
      <c r="AL1582" s="42">
        <f>HIPERLINK($A$1 &amp; "\Dados\Magnet_fields_2D_1582.txt.txt", "Magnet_fields_2D_1582.txt")</f>
        <v/>
      </c>
    </row>
    <row r="1583">
      <c r="E1583" s="15" t="n">
        <v>125</v>
      </c>
      <c r="F1583" s="15" t="n">
        <v>173</v>
      </c>
      <c r="G1583" s="15" t="n">
        <v>377</v>
      </c>
      <c r="H1583" s="15" t="n">
        <v>45</v>
      </c>
      <c r="I1583" s="15" t="n">
        <v>168</v>
      </c>
      <c r="J1583" s="13" t="n">
        <v>25</v>
      </c>
      <c r="K1583" t="n">
        <v>40</v>
      </c>
      <c r="L1583" s="13" t="n">
        <v>2.6</v>
      </c>
      <c r="M1583" s="12" t="n"/>
      <c r="N1583" s="8" t="n">
        <v>1.299961246786171</v>
      </c>
      <c r="O1583" s="15" t="n">
        <v>1.118902250497403</v>
      </c>
      <c r="P1583" s="15" t="n">
        <v>1.244977039656018</v>
      </c>
      <c r="Q1583" s="15" t="n">
        <v>0.001784742736189673</v>
      </c>
      <c r="R1583" s="15" t="n">
        <v>0.0369909256968727</v>
      </c>
      <c r="S1583" s="15" t="n">
        <v>0.002195220100407176</v>
      </c>
      <c r="T1583" s="42">
        <f>HIPERLINK($A$1 &amp; "\Dados\Imagem_perfil_1583.png", "Imagem_perfil_1583")</f>
        <v/>
      </c>
      <c r="U1583" s="42">
        <f>HIPERLINK($A$1 &amp; "\Dados\Results_airgap1583.txt", "Results_airgap1583")</f>
        <v/>
      </c>
      <c r="V1583" s="19" t="n"/>
      <c r="W1583" s="15" t="n">
        <v>1.620020434782609</v>
      </c>
      <c r="X1583" s="15" t="n">
        <v>0.8259310853067104</v>
      </c>
      <c r="Y1583" s="15" t="n">
        <v>0.7122533060818287</v>
      </c>
      <c r="Z1583" s="15" t="n">
        <v>0.02932102506334018</v>
      </c>
      <c r="AA1583" s="15" t="n">
        <v>0.007467911354542832</v>
      </c>
      <c r="AB1583" s="15" t="n">
        <v>2.375693656778771</v>
      </c>
      <c r="AC1583" s="15" t="n">
        <v>10.92120747835943</v>
      </c>
      <c r="AD1583" s="15" t="n">
        <v>38.66556835171347</v>
      </c>
      <c r="AE1583" s="15" t="n">
        <v>82.50373314208032</v>
      </c>
      <c r="AF1583" s="15" t="n">
        <v>115.1415386333935</v>
      </c>
      <c r="AH1583" s="42">
        <f>HIPERLINK($A$1 &amp; "\Dados\Magnet_fields_1583.txt.txt", "Magnet_fields_1583.txt")</f>
        <v/>
      </c>
      <c r="AI1583" t="n">
        <v>7190</v>
      </c>
      <c r="AJ1583" t="n">
        <v>29</v>
      </c>
      <c r="AK1583" s="42">
        <f>HIPERLINK($A$1 &amp; "\Dados\Magnet_3D_results_1583.txt.txt", "Magnet_3D_results_1583.txt")</f>
        <v/>
      </c>
      <c r="AL1583" s="42">
        <f>HIPERLINK($A$1 &amp; "\Dados\Magnet_fields_2D_1583.txt.txt", "Magnet_fields_2D_1583.txt")</f>
        <v/>
      </c>
    </row>
    <row r="1584">
      <c r="E1584" s="15" t="n">
        <v>142</v>
      </c>
      <c r="F1584" s="15" t="n">
        <v>189</v>
      </c>
      <c r="G1584" s="15" t="n">
        <v>371</v>
      </c>
      <c r="H1584" s="15" t="n">
        <v>41</v>
      </c>
      <c r="I1584" s="15" t="n">
        <v>155</v>
      </c>
      <c r="J1584" s="13" t="n">
        <v>25</v>
      </c>
      <c r="K1584" t="n">
        <v>50</v>
      </c>
      <c r="L1584" s="13" t="n">
        <v>2.6</v>
      </c>
      <c r="M1584" s="12" t="n"/>
      <c r="N1584" s="8" t="n">
        <v>1.293224843880373</v>
      </c>
      <c r="O1584" s="15" t="n">
        <v>1.070626193863955</v>
      </c>
      <c r="P1584" s="15" t="n">
        <v>1.229822364759071</v>
      </c>
      <c r="Q1584" s="15" t="n">
        <v>0.004208807184276188</v>
      </c>
      <c r="R1584" s="15" t="n">
        <v>0.03774257034651977</v>
      </c>
      <c r="S1584" s="15" t="n">
        <v>0.00481773670730043</v>
      </c>
      <c r="T1584" s="42">
        <f>HIPERLINK($A$1 &amp; "\Dados\Imagem_perfil_1584.png", "Imagem_perfil_1584")</f>
        <v/>
      </c>
      <c r="U1584" s="42">
        <f>HIPERLINK($A$1 &amp; "\Dados\Results_airgap1584.txt", "Results_airgap1584")</f>
        <v/>
      </c>
      <c r="V1584" s="19" t="n"/>
      <c r="W1584" s="15" t="n">
        <v>1.683811521739131</v>
      </c>
      <c r="X1584" s="15" t="n">
        <v>0.8457617156918542</v>
      </c>
      <c r="Y1584" s="15" t="n">
        <v>0.5364973754120922</v>
      </c>
      <c r="Z1584" s="15" t="n">
        <v>0.0005367761867804138</v>
      </c>
      <c r="AA1584" s="15" t="n">
        <v>0</v>
      </c>
      <c r="AB1584" s="15" t="n">
        <v>0.4185071164524998</v>
      </c>
      <c r="AC1584" s="15" t="n">
        <v>12.47378991471912</v>
      </c>
      <c r="AD1584" s="15" t="n">
        <v>54.51300306340239</v>
      </c>
      <c r="AE1584" s="15" t="n">
        <v>90.33364796834374</v>
      </c>
      <c r="AF1584" s="15" t="n">
        <v>121.2724511387723</v>
      </c>
      <c r="AH1584" s="42">
        <f>HIPERLINK($A$1 &amp; "\Dados\Magnet_fields_1584.txt.txt", "Magnet_fields_1584.txt")</f>
        <v/>
      </c>
      <c r="AI1584" t="n">
        <v>6332</v>
      </c>
      <c r="AJ1584" t="n">
        <v>28</v>
      </c>
      <c r="AK1584" s="42">
        <f>HIPERLINK($A$1 &amp; "\Dados\Magnet_3D_results_1584.txt.txt", "Magnet_3D_results_1584.txt")</f>
        <v/>
      </c>
      <c r="AL1584" s="42">
        <f>HIPERLINK($A$1 &amp; "\Dados\Magnet_fields_2D_1584.txt.txt", "Magnet_fields_2D_1584.txt")</f>
        <v/>
      </c>
    </row>
    <row r="1585">
      <c r="E1585" s="15" t="n">
        <v>147</v>
      </c>
      <c r="F1585" s="15" t="n">
        <v>187</v>
      </c>
      <c r="G1585" s="15" t="n">
        <v>405</v>
      </c>
      <c r="H1585" s="15" t="n">
        <v>34</v>
      </c>
      <c r="I1585" s="15" t="n">
        <v>175</v>
      </c>
      <c r="J1585" s="13" t="n">
        <v>25</v>
      </c>
      <c r="K1585" t="n">
        <v>45</v>
      </c>
      <c r="L1585" s="13" t="n">
        <v>2.6</v>
      </c>
      <c r="M1585" s="12" t="n"/>
      <c r="N1585" s="8" t="n">
        <v>1.50403810882092</v>
      </c>
      <c r="O1585" s="15" t="n">
        <v>1.299015022326927</v>
      </c>
      <c r="P1585" s="15" t="n">
        <v>1.450722381317712</v>
      </c>
      <c r="Q1585" s="15" t="n">
        <v>0.002777736680646294</v>
      </c>
      <c r="R1585" s="15" t="n">
        <v>0.03832159860090898</v>
      </c>
      <c r="S1585" s="15" t="n">
        <v>0.002898706598085939</v>
      </c>
      <c r="T1585" s="42">
        <f>HIPERLINK($A$1 &amp; "\Dados\Imagem_perfil_1585.png", "Imagem_perfil_1585")</f>
        <v/>
      </c>
      <c r="U1585" s="42">
        <f>HIPERLINK($A$1 &amp; "\Dados\Results_airgap1585.txt", "Results_airgap1585")</f>
        <v/>
      </c>
      <c r="V1585" s="19" t="n"/>
      <c r="W1585" s="15" t="n">
        <v>1.880468260869565</v>
      </c>
      <c r="X1585" s="15" t="n">
        <v>0.9555919552498641</v>
      </c>
      <c r="Y1585" s="15" t="n">
        <v>0.3685519816150061</v>
      </c>
      <c r="Z1585" s="15" t="n">
        <v>0</v>
      </c>
      <c r="AA1585" s="15" t="n">
        <v>0.1713105942376845</v>
      </c>
      <c r="AB1585" s="15" t="n">
        <v>0.7672034840900311</v>
      </c>
      <c r="AC1585" s="15" t="n">
        <v>10.65187201345908</v>
      </c>
      <c r="AD1585" s="15" t="n">
        <v>47.10377046449695</v>
      </c>
      <c r="AE1585" s="15" t="n">
        <v>86.41878818612106</v>
      </c>
      <c r="AF1585" s="15" t="n">
        <v>118.0655069823402</v>
      </c>
      <c r="AH1585" s="42">
        <f>HIPERLINK($A$1 &amp; "\Dados\Magnet_fields_1585.txt.txt", "Magnet_fields_1585.txt")</f>
        <v/>
      </c>
      <c r="AI1585" t="n">
        <v>7241</v>
      </c>
      <c r="AJ1585" t="n">
        <v>28</v>
      </c>
      <c r="AK1585" s="42">
        <f>HIPERLINK($A$1 &amp; "\Dados\Magnet_3D_results_1585.txt.txt", "Magnet_3D_results_1585.txt")</f>
        <v/>
      </c>
      <c r="AL1585" s="42">
        <f>HIPERLINK($A$1 &amp; "\Dados\Magnet_fields_2D_1585.txt.txt", "Magnet_fields_2D_1585.txt")</f>
        <v/>
      </c>
    </row>
    <row r="1586">
      <c r="E1586" s="15" t="n">
        <v>148</v>
      </c>
      <c r="F1586" s="15" t="n">
        <v>186</v>
      </c>
      <c r="G1586" s="15" t="n">
        <v>429</v>
      </c>
      <c r="H1586" s="15" t="n">
        <v>33</v>
      </c>
      <c r="I1586" s="15" t="n">
        <v>155</v>
      </c>
      <c r="J1586" s="13" t="n">
        <v>25</v>
      </c>
      <c r="K1586" t="n">
        <v>60</v>
      </c>
      <c r="L1586" s="13" t="n">
        <v>2.6</v>
      </c>
      <c r="M1586" s="12" t="n"/>
      <c r="N1586" s="8" t="n">
        <v>1.548803083692442</v>
      </c>
      <c r="O1586" s="15" t="n">
        <v>1.296874261977798</v>
      </c>
      <c r="P1586" s="15" t="n">
        <v>1.473535180364328</v>
      </c>
      <c r="Q1586" s="15" t="n">
        <v>0.02185200715345534</v>
      </c>
      <c r="R1586" s="15" t="n">
        <v>0.05915580969482941</v>
      </c>
      <c r="S1586" s="15" t="n">
        <v>0.02084934180479436</v>
      </c>
      <c r="T1586" s="42">
        <f>HIPERLINK($A$1 &amp; "\Dados\Imagem_perfil_1586.png", "Imagem_perfil_1586")</f>
        <v/>
      </c>
      <c r="U1586" s="42">
        <f>HIPERLINK($A$1 &amp; "\Dados\Results_airgap1586.txt", "Results_airgap1586")</f>
        <v/>
      </c>
      <c r="V1586" s="19" t="n"/>
      <c r="W1586" s="15" t="n">
        <v>2.140388260869565</v>
      </c>
      <c r="X1586" s="15" t="n">
        <v>1.002931120386395</v>
      </c>
      <c r="Y1586" s="15" t="n">
        <v>0.1262325381713654</v>
      </c>
      <c r="Z1586" s="15" t="n">
        <v>0.0007667807335457359</v>
      </c>
      <c r="AA1586" s="15" t="n">
        <v>3.142769328529103</v>
      </c>
      <c r="AB1586" s="15" t="n">
        <v>1.834875885256831</v>
      </c>
      <c r="AC1586" s="15" t="n">
        <v>20.82938531770879</v>
      </c>
      <c r="AD1586" s="15" t="n">
        <v>66.74686328092196</v>
      </c>
      <c r="AE1586" s="15" t="n">
        <v>99.74485230476269</v>
      </c>
      <c r="AF1586" s="15" t="n">
        <v>131.7287467710161</v>
      </c>
      <c r="AH1586" s="42">
        <f>HIPERLINK($A$1 &amp; "\Dados\Magnet_fields_1586.txt.txt", "Magnet_fields_1586.txt")</f>
        <v/>
      </c>
      <c r="AI1586" t="n">
        <v>9319</v>
      </c>
      <c r="AJ1586" t="n">
        <v>30</v>
      </c>
      <c r="AK1586" s="42">
        <f>HIPERLINK($A$1 &amp; "\Dados\Magnet_3D_results_1586.txt.txt", "Magnet_3D_results_1586.txt")</f>
        <v/>
      </c>
      <c r="AL1586" s="42">
        <f>HIPERLINK($A$1 &amp; "\Dados\Magnet_fields_2D_1586.txt.txt", "Magnet_fields_2D_1586.txt")</f>
        <v/>
      </c>
    </row>
    <row r="1587">
      <c r="E1587" s="15" t="n">
        <v>140</v>
      </c>
      <c r="F1587" s="15" t="n">
        <v>172</v>
      </c>
      <c r="G1587" s="15" t="n">
        <v>387</v>
      </c>
      <c r="H1587" s="15" t="n">
        <v>30</v>
      </c>
      <c r="I1587" s="15" t="n">
        <v>171</v>
      </c>
      <c r="J1587" s="13" t="n">
        <v>25</v>
      </c>
      <c r="K1587" t="n">
        <v>50</v>
      </c>
      <c r="L1587" s="13" t="n">
        <v>2.6</v>
      </c>
      <c r="M1587" s="12" t="n"/>
      <c r="N1587" s="8" t="n">
        <v>1.612061571240452</v>
      </c>
      <c r="O1587" s="15" t="n">
        <v>1.407107418483315</v>
      </c>
      <c r="P1587" s="15" t="n">
        <v>1.553124706265692</v>
      </c>
      <c r="Q1587" s="15" t="n">
        <v>0.007225233959285808</v>
      </c>
      <c r="R1587" s="15" t="n">
        <v>0.03935328162638373</v>
      </c>
      <c r="S1587" s="15" t="n">
        <v>0.007173061721890876</v>
      </c>
      <c r="T1587" s="42">
        <f>HIPERLINK($A$1 &amp; "\Dados\Imagem_perfil_1587.png", "Imagem_perfil_1587")</f>
        <v/>
      </c>
      <c r="U1587" s="42">
        <f>HIPERLINK($A$1 &amp; "\Dados\Results_airgap1587.txt", "Results_airgap1587")</f>
        <v/>
      </c>
      <c r="V1587" s="19" t="n"/>
      <c r="W1587" s="15" t="n">
        <v>2.025525869565218</v>
      </c>
      <c r="X1587" s="15" t="n">
        <v>0.9983492476941587</v>
      </c>
      <c r="Y1587" s="15" t="n">
        <v>0.2203685657634757</v>
      </c>
      <c r="Z1587" s="15" t="n">
        <v>0.002500740813102075</v>
      </c>
      <c r="AA1587" s="15" t="n">
        <v>4.056359717755825</v>
      </c>
      <c r="AB1587" s="15" t="n">
        <v>0.3135182771775019</v>
      </c>
      <c r="AC1587" s="15" t="n">
        <v>6.247569609978116</v>
      </c>
      <c r="AD1587" s="15" t="n">
        <v>47.48149959550987</v>
      </c>
      <c r="AE1587" s="15" t="n">
        <v>91.36029693923655</v>
      </c>
      <c r="AF1587" s="15" t="n">
        <v>122.8872227238162</v>
      </c>
      <c r="AH1587" s="42">
        <f>HIPERLINK($A$1 &amp; "\Dados\Magnet_fields_1587.txt.txt", "Magnet_fields_1587.txt")</f>
        <v/>
      </c>
      <c r="AI1587" t="n">
        <v>9409</v>
      </c>
      <c r="AJ1587" t="n">
        <v>29</v>
      </c>
      <c r="AK1587" s="42">
        <f>HIPERLINK($A$1 &amp; "\Dados\Magnet_3D_results_1587.txt.txt", "Magnet_3D_results_1587.txt")</f>
        <v/>
      </c>
      <c r="AL1587" s="42">
        <f>HIPERLINK($A$1 &amp; "\Dados\Magnet_fields_2D_1587.txt.txt", "Magnet_fields_2D_1587.txt")</f>
        <v/>
      </c>
    </row>
    <row r="1588">
      <c r="E1588" s="15" t="n">
        <v>133</v>
      </c>
      <c r="F1588" s="15" t="n">
        <v>180</v>
      </c>
      <c r="G1588" s="15" t="n">
        <v>362</v>
      </c>
      <c r="H1588" s="15" t="n">
        <v>33</v>
      </c>
      <c r="I1588" s="15" t="n">
        <v>155</v>
      </c>
      <c r="J1588" s="13" t="n">
        <v>25</v>
      </c>
      <c r="K1588" t="n">
        <v>50</v>
      </c>
      <c r="L1588" s="13" t="n">
        <v>2.6</v>
      </c>
      <c r="M1588" s="12" t="n"/>
      <c r="N1588" s="8" t="n">
        <v>1.289293226505715</v>
      </c>
      <c r="O1588" s="15" t="n">
        <v>1.076245826715803</v>
      </c>
      <c r="P1588" s="15" t="n">
        <v>1.224814244609288</v>
      </c>
      <c r="Q1588" s="15" t="n">
        <v>0.005095652960796287</v>
      </c>
      <c r="R1588" s="15" t="n">
        <v>0.03730508062490646</v>
      </c>
      <c r="S1588" s="15" t="n">
        <v>0.005762061730741288</v>
      </c>
      <c r="T1588" s="42">
        <f>HIPERLINK($A$1 &amp; "\Dados\Imagem_perfil_1588.png", "Imagem_perfil_1588")</f>
        <v/>
      </c>
      <c r="U1588" s="42">
        <f>HIPERLINK($A$1 &amp; "\Dados\Results_airgap1588.txt", "Results_airgap1588")</f>
        <v/>
      </c>
      <c r="V1588" s="19" t="n"/>
      <c r="W1588" s="15" t="n">
        <v>1.690913260869565</v>
      </c>
      <c r="X1588" s="15" t="n">
        <v>0.8236010785161274</v>
      </c>
      <c r="Y1588" s="15" t="n">
        <v>0.5568082222051747</v>
      </c>
      <c r="Z1588" s="15" t="n">
        <v>0.0005471080449577417</v>
      </c>
      <c r="AA1588" s="15" t="n">
        <v>0.749956643695683</v>
      </c>
      <c r="AB1588" s="15" t="n">
        <v>1.853387200142156</v>
      </c>
      <c r="AC1588" s="15" t="n">
        <v>14.64685218547462</v>
      </c>
      <c r="AD1588" s="15" t="n">
        <v>49.34905121054796</v>
      </c>
      <c r="AE1588" s="15" t="n">
        <v>86.07461087648369</v>
      </c>
      <c r="AF1588" s="15" t="n">
        <v>120.2031732483671</v>
      </c>
      <c r="AH1588" s="42">
        <f>HIPERLINK($A$1 &amp; "\Dados\Magnet_fields_1588.txt.txt", "Magnet_fields_1588.txt")</f>
        <v/>
      </c>
      <c r="AI1588" t="n">
        <v>7340</v>
      </c>
      <c r="AJ1588" t="n">
        <v>29</v>
      </c>
      <c r="AK1588" s="42">
        <f>HIPERLINK($A$1 &amp; "\Dados\Magnet_3D_results_1588.txt.txt", "Magnet_3D_results_1588.txt")</f>
        <v/>
      </c>
      <c r="AL1588" s="42">
        <f>HIPERLINK($A$1 &amp; "\Dados\Magnet_fields_2D_1588.txt.txt", "Magnet_fields_2D_1588.txt")</f>
        <v/>
      </c>
    </row>
    <row r="1589">
      <c r="E1589" s="15" t="n">
        <v>130</v>
      </c>
      <c r="F1589" s="15" t="n">
        <v>172</v>
      </c>
      <c r="G1589" s="15" t="n">
        <v>366</v>
      </c>
      <c r="H1589" s="15" t="n">
        <v>37</v>
      </c>
      <c r="I1589" s="15" t="n">
        <v>142</v>
      </c>
      <c r="J1589" s="13" t="n">
        <v>25</v>
      </c>
      <c r="K1589" t="n">
        <v>40</v>
      </c>
      <c r="L1589" s="13" t="n">
        <v>2.6</v>
      </c>
      <c r="M1589" s="12" t="n"/>
      <c r="N1589" s="8" t="n">
        <v>1.300241403623705</v>
      </c>
      <c r="O1589" s="15" t="n">
        <v>1.006436065180093</v>
      </c>
      <c r="P1589" s="15" t="n">
        <v>1.212543057650028</v>
      </c>
      <c r="Q1589" s="15" t="n">
        <v>0.001353533879434904</v>
      </c>
      <c r="R1589" s="15" t="n">
        <v>0.03088721210905822</v>
      </c>
      <c r="S1589" s="15" t="n">
        <v>0.00207761418671001</v>
      </c>
      <c r="T1589" s="42">
        <f>HIPERLINK($A$1 &amp; "\Dados\Imagem_perfil_1589.png", "Imagem_perfil_1589")</f>
        <v/>
      </c>
      <c r="U1589" s="42">
        <f>HIPERLINK($A$1 &amp; "\Dados\Results_airgap1589.txt", "Results_airgap1589")</f>
        <v/>
      </c>
      <c r="V1589" s="19" t="n"/>
      <c r="W1589" s="15" t="n">
        <v>1.680446521739131</v>
      </c>
      <c r="X1589" s="15" t="n">
        <v>0.822316301595528</v>
      </c>
      <c r="Y1589" s="15" t="n">
        <v>0.6861072088447016</v>
      </c>
      <c r="Z1589" s="15" t="n">
        <v>0.006813643233291171</v>
      </c>
      <c r="AA1589" s="15" t="n">
        <v>0</v>
      </c>
      <c r="AB1589" s="15" t="n">
        <v>2.283102278208503</v>
      </c>
      <c r="AC1589" s="15" t="n">
        <v>11.22977529731267</v>
      </c>
      <c r="AD1589" s="15" t="n">
        <v>36.71643418745008</v>
      </c>
      <c r="AE1589" s="15" t="n">
        <v>76.36105177902857</v>
      </c>
      <c r="AF1589" s="15" t="n">
        <v>112.0712263316541</v>
      </c>
      <c r="AH1589" s="42">
        <f>HIPERLINK($A$1 &amp; "\Dados\Magnet_fields_1589.txt.txt", "Magnet_fields_1589.txt")</f>
        <v/>
      </c>
      <c r="AI1589" t="n">
        <v>7691</v>
      </c>
      <c r="AJ1589" t="n">
        <v>28</v>
      </c>
      <c r="AK1589" s="42">
        <f>HIPERLINK($A$1 &amp; "\Dados\Magnet_3D_results_1589.txt.txt", "Magnet_3D_results_1589.txt")</f>
        <v/>
      </c>
      <c r="AL1589" s="42">
        <f>HIPERLINK($A$1 &amp; "\Dados\Magnet_fields_2D_1589.txt.txt", "Magnet_fields_2D_1589.txt")</f>
        <v/>
      </c>
    </row>
    <row r="1590">
      <c r="E1590" s="15" t="n">
        <v>146</v>
      </c>
      <c r="F1590" s="15" t="n">
        <v>187</v>
      </c>
      <c r="G1590" s="15" t="n">
        <v>430</v>
      </c>
      <c r="H1590" s="15" t="n">
        <v>26</v>
      </c>
      <c r="I1590" s="15" t="n">
        <v>140</v>
      </c>
      <c r="J1590" s="13" t="n">
        <v>25</v>
      </c>
      <c r="K1590" t="n">
        <v>60</v>
      </c>
      <c r="L1590" s="13" t="n">
        <v>2.6</v>
      </c>
      <c r="M1590" s="12" t="n"/>
      <c r="N1590" s="8" t="n">
        <v>1.440939190038644</v>
      </c>
      <c r="O1590" s="15" t="n">
        <v>1.122644275884757</v>
      </c>
      <c r="P1590" s="15" t="n">
        <v>1.348886756087889</v>
      </c>
      <c r="Q1590" s="15" t="n">
        <v>0.0179859522411391</v>
      </c>
      <c r="R1590" s="15" t="n">
        <v>0.0573556241227593</v>
      </c>
      <c r="S1590" s="15" t="n">
        <v>0.01932422191718525</v>
      </c>
      <c r="T1590" s="42">
        <f>HIPERLINK($A$1 &amp; "\Dados\Imagem_perfil_1590.png", "Imagem_perfil_1590")</f>
        <v/>
      </c>
      <c r="U1590" s="42">
        <f>HIPERLINK($A$1 &amp; "\Dados\Results_airgap1590.txt", "Results_airgap1590")</f>
        <v/>
      </c>
      <c r="V1590" s="19" t="n"/>
      <c r="W1590" s="15" t="n">
        <v>2.094687826086956</v>
      </c>
      <c r="X1590" s="15" t="n">
        <v>0.9631897624325703</v>
      </c>
      <c r="Y1590" s="15" t="n">
        <v>0.1678022681183212</v>
      </c>
      <c r="Z1590" s="15" t="n">
        <v>0.01914150084379557</v>
      </c>
      <c r="AA1590" s="15" t="n">
        <v>4.198015330112224</v>
      </c>
      <c r="AB1590" s="15" t="n">
        <v>0.8222381562026929</v>
      </c>
      <c r="AC1590" s="15" t="n">
        <v>19.92838877066393</v>
      </c>
      <c r="AD1590" s="15" t="n">
        <v>71.35361285498347</v>
      </c>
      <c r="AE1590" s="15" t="n">
        <v>101.2391208311046</v>
      </c>
      <c r="AF1590" s="15" t="n">
        <v>132.0165834415761</v>
      </c>
      <c r="AH1590" s="42">
        <f>HIPERLINK($A$1 &amp; "\Dados\Magnet_fields_1590.txt.txt", "Magnet_fields_1590.txt")</f>
        <v/>
      </c>
      <c r="AI1590" t="n">
        <v>10183</v>
      </c>
      <c r="AJ1590" t="n">
        <v>31</v>
      </c>
      <c r="AK1590" s="42">
        <f>HIPERLINK($A$1 &amp; "\Dados\Magnet_3D_results_1590.txt.txt", "Magnet_3D_results_1590.txt")</f>
        <v/>
      </c>
      <c r="AL1590" s="42">
        <f>HIPERLINK($A$1 &amp; "\Dados\Magnet_fields_2D_1590.txt.txt", "Magnet_fields_2D_1590.txt")</f>
        <v/>
      </c>
    </row>
    <row r="1591">
      <c r="E1591" s="15" t="n">
        <v>133</v>
      </c>
      <c r="F1591" s="15" t="n">
        <v>178</v>
      </c>
      <c r="G1591" s="15" t="n">
        <v>389</v>
      </c>
      <c r="H1591" s="15" t="n">
        <v>37</v>
      </c>
      <c r="I1591" s="15" t="n">
        <v>144</v>
      </c>
      <c r="J1591" s="13" t="n">
        <v>25</v>
      </c>
      <c r="K1591" t="n">
        <v>60</v>
      </c>
      <c r="L1591" s="13" t="n">
        <v>2.6</v>
      </c>
      <c r="M1591" s="12" t="n"/>
      <c r="N1591" s="8" t="n">
        <v>1.371702857820054</v>
      </c>
      <c r="O1591" s="15" t="n">
        <v>1.092929782428133</v>
      </c>
      <c r="P1591" s="15" t="n">
        <v>1.290923425733133</v>
      </c>
      <c r="Q1591" s="15" t="n">
        <v>0.02441027159943469</v>
      </c>
      <c r="R1591" s="15" t="n">
        <v>0.05679326652966332</v>
      </c>
      <c r="S1591" s="15" t="n">
        <v>0.0240039232789813</v>
      </c>
      <c r="T1591" s="42">
        <f>HIPERLINK($A$1 &amp; "\Dados\Imagem_perfil_1591.png", "Imagem_perfil_1591")</f>
        <v/>
      </c>
      <c r="U1591" s="42">
        <f>HIPERLINK($A$1 &amp; "\Dados\Results_airgap1591.txt", "Results_airgap1591")</f>
        <v/>
      </c>
      <c r="V1591" s="19" t="n"/>
      <c r="W1591" s="15" t="n">
        <v>1.911180434782609</v>
      </c>
      <c r="X1591" s="15" t="n">
        <v>0.9058533631324558</v>
      </c>
      <c r="Y1591" s="15" t="n">
        <v>0.3149004953017737</v>
      </c>
      <c r="Z1591" s="15" t="n">
        <v>0</v>
      </c>
      <c r="AA1591" s="15" t="n">
        <v>0.1588948679186016</v>
      </c>
      <c r="AB1591" s="15" t="n">
        <v>1.049930523198654</v>
      </c>
      <c r="AC1591" s="15" t="n">
        <v>18.48062317285542</v>
      </c>
      <c r="AD1591" s="15" t="n">
        <v>65.97025771908126</v>
      </c>
      <c r="AE1591" s="15" t="n">
        <v>99.16453418615099</v>
      </c>
      <c r="AF1591" s="15" t="n">
        <v>130.9036877766709</v>
      </c>
      <c r="AH1591" s="42">
        <f>HIPERLINK($A$1 &amp; "\Dados\Magnet_fields_1591.txt.txt", "Magnet_fields_1591.txt")</f>
        <v/>
      </c>
      <c r="AI1591" t="n">
        <v>8452</v>
      </c>
      <c r="AJ1591" t="n">
        <v>29</v>
      </c>
      <c r="AK1591" s="42">
        <f>HIPERLINK($A$1 &amp; "\Dados\Magnet_3D_results_1591.txt.txt", "Magnet_3D_results_1591.txt")</f>
        <v/>
      </c>
      <c r="AL1591" s="42">
        <f>HIPERLINK($A$1 &amp; "\Dados\Magnet_fields_2D_1591.txt.txt", "Magnet_fields_2D_1591.txt")</f>
        <v/>
      </c>
    </row>
    <row r="1592">
      <c r="E1592" s="15" t="n">
        <v>135</v>
      </c>
      <c r="F1592" s="15" t="n">
        <v>171</v>
      </c>
      <c r="G1592" s="15" t="n">
        <v>383</v>
      </c>
      <c r="H1592" s="15" t="n">
        <v>37</v>
      </c>
      <c r="I1592" s="15" t="n">
        <v>161</v>
      </c>
      <c r="J1592" s="13" t="n">
        <v>25</v>
      </c>
      <c r="K1592" t="n">
        <v>55</v>
      </c>
      <c r="L1592" s="13" t="n">
        <v>2.6</v>
      </c>
      <c r="M1592" s="12" t="n"/>
      <c r="N1592" s="8" t="n">
        <v>1.568201939584315</v>
      </c>
      <c r="O1592" s="15" t="n">
        <v>1.319681610355969</v>
      </c>
      <c r="P1592" s="15" t="n">
        <v>1.494923578671999</v>
      </c>
      <c r="Q1592" s="15" t="n">
        <v>0.01202099701204614</v>
      </c>
      <c r="R1592" s="15" t="n">
        <v>0.05049361598226895</v>
      </c>
      <c r="S1592" s="15" t="n">
        <v>0.01223961448431175</v>
      </c>
      <c r="T1592" s="42">
        <f>HIPERLINK($A$1 &amp; "\Dados\Imagem_perfil_1592.png", "Imagem_perfil_1592")</f>
        <v/>
      </c>
      <c r="U1592" s="42">
        <f>HIPERLINK($A$1 &amp; "\Dados\Results_airgap1592.txt", "Results_airgap1592")</f>
        <v/>
      </c>
      <c r="V1592" s="19" t="n"/>
      <c r="W1592" s="15" t="n">
        <v>2.027754565217391</v>
      </c>
      <c r="X1592" s="15" t="n">
        <v>0.9741188594717233</v>
      </c>
      <c r="Y1592" s="15" t="n">
        <v>0.2077683454305089</v>
      </c>
      <c r="Z1592" s="15" t="n">
        <v>0.02153821353974906</v>
      </c>
      <c r="AA1592" s="15" t="n">
        <v>0.004563393282595917</v>
      </c>
      <c r="AB1592" s="15" t="n">
        <v>0.3393155071978594</v>
      </c>
      <c r="AC1592" s="15" t="n">
        <v>13.40771077687983</v>
      </c>
      <c r="AD1592" s="15" t="n">
        <v>62.7585664164589</v>
      </c>
      <c r="AE1592" s="15" t="n">
        <v>97.2360629129732</v>
      </c>
      <c r="AF1592" s="15" t="n">
        <v>127.3027675683914</v>
      </c>
      <c r="AH1592" s="42">
        <f>HIPERLINK($A$1 &amp; "\Dados\Magnet_fields_1592.txt.txt", "Magnet_fields_1592.txt")</f>
        <v/>
      </c>
      <c r="AI1592" t="n">
        <v>11051</v>
      </c>
      <c r="AJ1592" t="n">
        <v>31</v>
      </c>
      <c r="AK1592" s="42">
        <f>HIPERLINK($A$1 &amp; "\Dados\Magnet_3D_results_1592.txt.txt", "Magnet_3D_results_1592.txt")</f>
        <v/>
      </c>
      <c r="AL1592" s="42">
        <f>HIPERLINK($A$1 &amp; "\Dados\Magnet_fields_2D_1592.txt.txt", "Magnet_fields_2D_1592.txt")</f>
        <v/>
      </c>
    </row>
    <row r="1593">
      <c r="E1593" s="15" t="n">
        <v>131</v>
      </c>
      <c r="F1593" s="15" t="n">
        <v>175</v>
      </c>
      <c r="G1593" s="15" t="n">
        <v>419</v>
      </c>
      <c r="H1593" s="15" t="n">
        <v>32</v>
      </c>
      <c r="I1593" s="15" t="n">
        <v>156</v>
      </c>
      <c r="J1593" s="13" t="n">
        <v>25</v>
      </c>
      <c r="K1593" t="n">
        <v>60</v>
      </c>
      <c r="L1593" s="13" t="n">
        <v>2.6</v>
      </c>
      <c r="M1593" s="12" t="n"/>
      <c r="N1593" s="8" t="n">
        <v>1.488354648188343</v>
      </c>
      <c r="O1593" s="15" t="n">
        <v>1.261635675855554</v>
      </c>
      <c r="P1593" s="15" t="n">
        <v>1.411364666401362</v>
      </c>
      <c r="Q1593" s="15" t="n">
        <v>0.02989882001030018</v>
      </c>
      <c r="R1593" s="15" t="n">
        <v>0.06991795741531572</v>
      </c>
      <c r="S1593" s="15" t="n">
        <v>0.02908667034629474</v>
      </c>
      <c r="T1593" s="42">
        <f>HIPERLINK($A$1 &amp; "\Dados\Imagem_perfil_1593.png", "Imagem_perfil_1593")</f>
        <v/>
      </c>
      <c r="U1593" s="42">
        <f>HIPERLINK($A$1 &amp; "\Dados\Results_airgap1593.txt", "Results_airgap1593")</f>
        <v/>
      </c>
      <c r="V1593" s="19" t="n"/>
      <c r="W1593" s="15" t="n">
        <v>2.078220652173913</v>
      </c>
      <c r="X1593" s="15" t="n">
        <v>0.9664029831500573</v>
      </c>
      <c r="Y1593" s="15" t="n">
        <v>0.2015037705128049</v>
      </c>
      <c r="Z1593" s="15" t="n">
        <v>0.003448472181113675</v>
      </c>
      <c r="AA1593" s="15" t="n">
        <v>1.428157722222874</v>
      </c>
      <c r="AB1593" s="15" t="n">
        <v>1.719856630978943</v>
      </c>
      <c r="AC1593" s="15" t="n">
        <v>19.4782706302915</v>
      </c>
      <c r="AD1593" s="15" t="n">
        <v>66.93718443562568</v>
      </c>
      <c r="AE1593" s="15" t="n">
        <v>100.5025949936682</v>
      </c>
      <c r="AF1593" s="15" t="n">
        <v>132.1037347159119</v>
      </c>
      <c r="AH1593" s="42">
        <f>HIPERLINK($A$1 &amp; "\Dados\Magnet_fields_1593.txt.txt", "Magnet_fields_1593.txt")</f>
        <v/>
      </c>
      <c r="AI1593" t="n">
        <v>9819</v>
      </c>
      <c r="AJ1593" t="n">
        <v>29</v>
      </c>
      <c r="AK1593" s="42">
        <f>HIPERLINK($A$1 &amp; "\Dados\Magnet_3D_results_1593.txt.txt", "Magnet_3D_results_1593.txt")</f>
        <v/>
      </c>
      <c r="AL1593" s="42">
        <f>HIPERLINK($A$1 &amp; "\Dados\Magnet_fields_2D_1593.txt.txt", "Magnet_fields_2D_1593.txt")</f>
        <v/>
      </c>
    </row>
    <row r="1594">
      <c r="E1594" s="15" t="n">
        <v>141</v>
      </c>
      <c r="F1594" s="15" t="n">
        <v>191</v>
      </c>
      <c r="G1594" s="15" t="n">
        <v>416</v>
      </c>
      <c r="H1594" s="15" t="n">
        <v>34</v>
      </c>
      <c r="I1594" s="15" t="n">
        <v>169</v>
      </c>
      <c r="J1594" s="13" t="n">
        <v>25</v>
      </c>
      <c r="K1594" t="n">
        <v>50</v>
      </c>
      <c r="L1594" s="13" t="n">
        <v>2.6</v>
      </c>
      <c r="M1594" s="12" t="n"/>
      <c r="N1594" s="8" t="n">
        <v>1.364305102153095</v>
      </c>
      <c r="O1594" s="15" t="n">
        <v>1.19511734398264</v>
      </c>
      <c r="P1594" s="15" t="n">
        <v>1.31260841368057</v>
      </c>
      <c r="Q1594" s="15" t="n">
        <v>0.00586777098538808</v>
      </c>
      <c r="R1594" s="15" t="n">
        <v>0.05016120585635869</v>
      </c>
      <c r="S1594" s="15" t="n">
        <v>0.006063496801936454</v>
      </c>
      <c r="T1594" s="42">
        <f>HIPERLINK($A$1 &amp; "\Dados\Imagem_perfil_1594.png", "Imagem_perfil_1594")</f>
        <v/>
      </c>
      <c r="U1594" s="42">
        <f>HIPERLINK($A$1 &amp; "\Dados\Results_airgap1594.txt", "Results_airgap1594")</f>
        <v/>
      </c>
      <c r="V1594" s="19" t="n"/>
      <c r="W1594" s="15" t="n">
        <v>1.816977826086957</v>
      </c>
      <c r="X1594" s="15" t="n">
        <v>0.8699617329441857</v>
      </c>
      <c r="Y1594" s="15" t="n">
        <v>0.4316056523289823</v>
      </c>
      <c r="Z1594" s="15" t="n">
        <v>0</v>
      </c>
      <c r="AA1594" s="15" t="n">
        <v>0.1020705608013735</v>
      </c>
      <c r="AB1594" s="15" t="n">
        <v>1.51466398831262</v>
      </c>
      <c r="AC1594" s="15" t="n">
        <v>13.4459996090706</v>
      </c>
      <c r="AD1594" s="15" t="n">
        <v>54.57672146818965</v>
      </c>
      <c r="AE1594" s="15" t="n">
        <v>92.20773290307113</v>
      </c>
      <c r="AF1594" s="15" t="n">
        <v>122.6038280223281</v>
      </c>
      <c r="AH1594" s="42">
        <f>HIPERLINK($A$1 &amp; "\Dados\Magnet_fields_1594.txt.txt", "Magnet_fields_1594.txt")</f>
        <v/>
      </c>
      <c r="AI1594" t="n">
        <v>7537</v>
      </c>
      <c r="AJ1594" t="n">
        <v>29</v>
      </c>
      <c r="AK1594" s="42">
        <f>HIPERLINK($A$1 &amp; "\Dados\Magnet_3D_results_1594.txt.txt", "Magnet_3D_results_1594.txt")</f>
        <v/>
      </c>
      <c r="AL1594" s="42">
        <f>HIPERLINK($A$1 &amp; "\Dados\Magnet_fields_2D_1594.txt.txt", "Magnet_fields_2D_1594.txt")</f>
        <v/>
      </c>
    </row>
    <row r="1595">
      <c r="E1595" s="15" t="n">
        <v>142</v>
      </c>
      <c r="F1595" s="15" t="n">
        <v>179</v>
      </c>
      <c r="G1595" s="15" t="n">
        <v>407</v>
      </c>
      <c r="H1595" s="15" t="n">
        <v>33</v>
      </c>
      <c r="I1595" s="15" t="n">
        <v>176</v>
      </c>
      <c r="J1595" s="13" t="n">
        <v>25</v>
      </c>
      <c r="K1595" t="n">
        <v>55</v>
      </c>
      <c r="L1595" s="13" t="n">
        <v>2.6</v>
      </c>
      <c r="M1595" s="12" t="n"/>
      <c r="N1595" s="8" t="n">
        <v>1.600282823685239</v>
      </c>
      <c r="O1595" s="15" t="n">
        <v>1.404976780627827</v>
      </c>
      <c r="P1595" s="15" t="n">
        <v>1.538790927478156</v>
      </c>
      <c r="Q1595" s="15" t="n">
        <v>0.01232502785019462</v>
      </c>
      <c r="R1595" s="15" t="n">
        <v>0.05151231647283327</v>
      </c>
      <c r="S1595" s="15" t="n">
        <v>0.01249565788993881</v>
      </c>
      <c r="T1595" s="42">
        <f>HIPERLINK($A$1 &amp; "\Dados\Imagem_perfil_1595.png", "Imagem_perfil_1595")</f>
        <v/>
      </c>
      <c r="U1595" s="42">
        <f>HIPERLINK($A$1 &amp; "\Dados\Results_airgap1595.txt", "Results_airgap1595")</f>
        <v/>
      </c>
      <c r="V1595" s="19" t="n"/>
      <c r="W1595" s="15" t="n">
        <v>2.066605652173913</v>
      </c>
      <c r="X1595" s="15" t="n">
        <v>1.000888504561134</v>
      </c>
      <c r="Y1595" s="15" t="n">
        <v>0.1829563663362082</v>
      </c>
      <c r="Z1595" s="15" t="n">
        <v>0</v>
      </c>
      <c r="AA1595" s="15" t="n">
        <v>2.799874704698257</v>
      </c>
      <c r="AB1595" s="15" t="n">
        <v>1.49724736641893</v>
      </c>
      <c r="AC1595" s="15" t="n">
        <v>15.56119646248399</v>
      </c>
      <c r="AD1595" s="15" t="n">
        <v>57.7864427438471</v>
      </c>
      <c r="AE1595" s="15" t="n">
        <v>94.54916515383874</v>
      </c>
      <c r="AF1595" s="15" t="n">
        <v>126.7320705320518</v>
      </c>
      <c r="AH1595" s="42">
        <f>HIPERLINK($A$1 &amp; "\Dados\Magnet_fields_1595.txt.txt", "Magnet_fields_1595.txt")</f>
        <v/>
      </c>
      <c r="AI1595" t="n">
        <v>11582</v>
      </c>
      <c r="AJ1595" t="n">
        <v>31</v>
      </c>
      <c r="AK1595" s="42">
        <f>HIPERLINK($A$1 &amp; "\Dados\Magnet_3D_results_1595.txt.txt", "Magnet_3D_results_1595.txt")</f>
        <v/>
      </c>
      <c r="AL1595" s="42">
        <f>HIPERLINK($A$1 &amp; "\Dados\Magnet_fields_2D_1595.txt.txt", "Magnet_fields_2D_1595.txt")</f>
        <v/>
      </c>
    </row>
    <row r="1596">
      <c r="E1596" s="15" t="n">
        <v>146</v>
      </c>
      <c r="F1596" s="15" t="n">
        <v>176</v>
      </c>
      <c r="G1596" s="15" t="n">
        <v>390</v>
      </c>
      <c r="H1596" s="15" t="n">
        <v>35</v>
      </c>
      <c r="I1596" s="15" t="n">
        <v>178</v>
      </c>
      <c r="J1596" s="13" t="n">
        <v>25</v>
      </c>
      <c r="K1596" t="n">
        <v>40</v>
      </c>
      <c r="L1596" s="13" t="n">
        <v>2.6</v>
      </c>
      <c r="M1596" s="12" t="n"/>
      <c r="N1596" s="8" t="n">
        <v>1.59129152575703</v>
      </c>
      <c r="O1596" s="15" t="n">
        <v>1.419492427640461</v>
      </c>
      <c r="P1596" s="15" t="n">
        <v>1.542567371493914</v>
      </c>
      <c r="Q1596" s="15" t="n">
        <v>0.002422835036448594</v>
      </c>
      <c r="R1596" s="15" t="n">
        <v>0.02747489997916583</v>
      </c>
      <c r="S1596" s="15" t="n">
        <v>0.002444673755777648</v>
      </c>
      <c r="T1596" s="42">
        <f>HIPERLINK($A$1 &amp; "\Dados\Imagem_perfil_1596.png", "Imagem_perfil_1596")</f>
        <v/>
      </c>
      <c r="U1596" s="42">
        <f>HIPERLINK($A$1 &amp; "\Dados\Results_airgap1596.txt", "Results_airgap1596")</f>
        <v/>
      </c>
      <c r="V1596" s="19" t="n"/>
      <c r="W1596" s="15" t="n">
        <v>1.897561304347826</v>
      </c>
      <c r="X1596" s="15" t="n">
        <v>0.972101689754452</v>
      </c>
      <c r="Y1596" s="15" t="n">
        <v>0.3990955880712071</v>
      </c>
      <c r="Z1596" s="15" t="n">
        <v>0.0002192433182276902</v>
      </c>
      <c r="AA1596" s="15" t="n">
        <v>2.557475792937465</v>
      </c>
      <c r="AB1596" s="15" t="n">
        <v>0</v>
      </c>
      <c r="AC1596" s="15" t="n">
        <v>3.325576207047905</v>
      </c>
      <c r="AD1596" s="15" t="n">
        <v>26.59119828922299</v>
      </c>
      <c r="AE1596" s="15" t="n">
        <v>75.31929018997288</v>
      </c>
      <c r="AF1596" s="15" t="n">
        <v>112.9037558414331</v>
      </c>
      <c r="AH1596" s="42">
        <f>HIPERLINK($A$1 &amp; "\Dados\Magnet_fields_1596.txt.txt", "Magnet_fields_1596.txt")</f>
        <v/>
      </c>
      <c r="AI1596" t="n">
        <v>8305</v>
      </c>
      <c r="AJ1596" t="n">
        <v>30</v>
      </c>
      <c r="AK1596" s="42">
        <f>HIPERLINK($A$1 &amp; "\Dados\Magnet_3D_results_1596.txt.txt", "Magnet_3D_results_1596.txt")</f>
        <v/>
      </c>
      <c r="AL1596" s="42">
        <f>HIPERLINK($A$1 &amp; "\Dados\Magnet_fields_2D_1596.txt.txt", "Magnet_fields_2D_1596.txt")</f>
        <v/>
      </c>
    </row>
    <row r="1597">
      <c r="E1597" s="15" t="n">
        <v>138</v>
      </c>
      <c r="F1597" s="15" t="n">
        <v>178</v>
      </c>
      <c r="G1597" s="15" t="n">
        <v>380</v>
      </c>
      <c r="H1597" s="15" t="n">
        <v>25</v>
      </c>
      <c r="I1597" s="15" t="n">
        <v>147</v>
      </c>
      <c r="J1597" s="13" t="n">
        <v>25</v>
      </c>
      <c r="K1597" t="n">
        <v>55</v>
      </c>
      <c r="L1597" s="13" t="n">
        <v>2.6</v>
      </c>
      <c r="M1597" s="12" t="n"/>
      <c r="N1597" s="8" t="n">
        <v>1.433137022648322</v>
      </c>
      <c r="O1597" s="15" t="n">
        <v>1.139052130278914</v>
      </c>
      <c r="P1597" s="15" t="n">
        <v>1.3517976715785</v>
      </c>
      <c r="Q1597" s="15" t="n">
        <v>0.008651438779026584</v>
      </c>
      <c r="R1597" s="15" t="n">
        <v>0.04247423199843852</v>
      </c>
      <c r="S1597" s="15" t="n">
        <v>0.009161066171751019</v>
      </c>
      <c r="T1597" s="42">
        <f>HIPERLINK($A$1 &amp; "\Dados\Imagem_perfil_1597.png", "Imagem_perfil_1597")</f>
        <v/>
      </c>
      <c r="U1597" s="42">
        <f>HIPERLINK($A$1 &amp; "\Dados\Results_airgap1597.txt", "Results_airgap1597")</f>
        <v/>
      </c>
      <c r="V1597" s="19" t="n"/>
      <c r="W1597" s="15" t="n">
        <v>1.924245869565217</v>
      </c>
      <c r="X1597" s="15" t="n">
        <v>0.9211365519473287</v>
      </c>
      <c r="Y1597" s="15" t="n">
        <v>0.2891651302625773</v>
      </c>
      <c r="Z1597" s="15" t="n">
        <v>0.01816685351166002</v>
      </c>
      <c r="AA1597" s="15" t="n">
        <v>3.664425368638315</v>
      </c>
      <c r="AB1597" s="15" t="n">
        <v>0</v>
      </c>
      <c r="AC1597" s="15" t="n">
        <v>16.13787272830318</v>
      </c>
      <c r="AD1597" s="15" t="n">
        <v>65.74510074582572</v>
      </c>
      <c r="AE1597" s="15" t="n">
        <v>97.13846572206198</v>
      </c>
      <c r="AF1597" s="15" t="n">
        <v>126.9343326493571</v>
      </c>
      <c r="AH1597" s="42">
        <f>HIPERLINK($A$1 &amp; "\Dados\Magnet_fields_1597.txt.txt", "Magnet_fields_1597.txt")</f>
        <v/>
      </c>
      <c r="AI1597" t="n">
        <v>12710</v>
      </c>
      <c r="AJ1597" t="n">
        <v>32</v>
      </c>
      <c r="AK1597" s="42">
        <f>HIPERLINK($A$1 &amp; "\Dados\Magnet_3D_results_1597.txt.txt", "Magnet_3D_results_1597.txt")</f>
        <v/>
      </c>
      <c r="AL1597" s="42">
        <f>HIPERLINK($A$1 &amp; "\Dados\Magnet_fields_2D_1597.txt.txt", "Magnet_fields_2D_1597.txt")</f>
        <v/>
      </c>
    </row>
    <row r="1598">
      <c r="E1598" s="15" t="n">
        <v>149</v>
      </c>
      <c r="F1598" s="15" t="n">
        <v>188</v>
      </c>
      <c r="G1598" s="15" t="n">
        <v>356</v>
      </c>
      <c r="H1598" s="15" t="n">
        <v>44</v>
      </c>
      <c r="I1598" s="15" t="n">
        <v>169</v>
      </c>
      <c r="J1598" s="13" t="n">
        <v>25</v>
      </c>
      <c r="K1598" t="n">
        <v>60</v>
      </c>
      <c r="L1598" s="13" t="n">
        <v>2.6</v>
      </c>
      <c r="M1598" s="12" t="n"/>
      <c r="N1598" s="8" t="n">
        <v>1.394052164000437</v>
      </c>
      <c r="O1598" s="15" t="n">
        <v>1.222768614723324</v>
      </c>
      <c r="P1598" s="15" t="n">
        <v>1.338675312264037</v>
      </c>
      <c r="Q1598" s="15" t="n">
        <v>0.01443319603535114</v>
      </c>
      <c r="R1598" s="15" t="n">
        <v>0.03676006328037744</v>
      </c>
      <c r="S1598" s="15" t="n">
        <v>0.01418530885197987</v>
      </c>
      <c r="T1598" s="42">
        <f>HIPERLINK($A$1 &amp; "\Dados\Imagem_perfil_1598.png", "Imagem_perfil_1598")</f>
        <v/>
      </c>
      <c r="U1598" s="42">
        <f>HIPERLINK($A$1 &amp; "\Dados\Results_airgap1598.txt", "Results_airgap1598")</f>
        <v/>
      </c>
      <c r="V1598" s="19" t="n"/>
      <c r="W1598" s="15" t="n">
        <v>1.728917391304348</v>
      </c>
      <c r="X1598" s="15" t="n">
        <v>0.863527880167928</v>
      </c>
      <c r="Y1598" s="15" t="n">
        <v>0.4167779757578635</v>
      </c>
      <c r="Z1598" s="15" t="n">
        <v>0.005060521143410687</v>
      </c>
      <c r="AA1598" s="15" t="n">
        <v>0.1228875388536268</v>
      </c>
      <c r="AB1598" s="15" t="n">
        <v>0</v>
      </c>
      <c r="AC1598" s="15" t="n">
        <v>13.41272032604709</v>
      </c>
      <c r="AD1598" s="15" t="n">
        <v>63.16017663886267</v>
      </c>
      <c r="AE1598" s="15" t="n">
        <v>96.92585442935223</v>
      </c>
      <c r="AF1598" s="15" t="n">
        <v>129.0469876654486</v>
      </c>
      <c r="AH1598" s="42">
        <f>HIPERLINK($A$1 &amp; "\Dados\Magnet_fields_1598.txt.txt", "Magnet_fields_1598.txt")</f>
        <v/>
      </c>
      <c r="AI1598" t="n">
        <v>7734</v>
      </c>
      <c r="AJ1598" t="n">
        <v>30</v>
      </c>
      <c r="AK1598" s="42">
        <f>HIPERLINK($A$1 &amp; "\Dados\Magnet_3D_results_1598.txt.txt", "Magnet_3D_results_1598.txt")</f>
        <v/>
      </c>
      <c r="AL1598" s="42">
        <f>HIPERLINK($A$1 &amp; "\Dados\Magnet_fields_2D_1598.txt.txt", "Magnet_fields_2D_1598.txt")</f>
        <v/>
      </c>
    </row>
    <row r="1599">
      <c r="E1599" s="15" t="n">
        <v>146</v>
      </c>
      <c r="F1599" s="15" t="n">
        <v>187</v>
      </c>
      <c r="G1599" s="15" t="n">
        <v>365</v>
      </c>
      <c r="H1599" s="15" t="n">
        <v>41</v>
      </c>
      <c r="I1599" s="15" t="n">
        <v>172</v>
      </c>
      <c r="J1599" s="13" t="n">
        <v>25</v>
      </c>
      <c r="K1599" t="n">
        <v>55</v>
      </c>
      <c r="L1599" s="13" t="n">
        <v>2.6</v>
      </c>
      <c r="M1599" s="12" t="n"/>
      <c r="N1599" s="8" t="n">
        <v>1.416852443260562</v>
      </c>
      <c r="O1599" s="15" t="n">
        <v>1.230692894258257</v>
      </c>
      <c r="P1599" s="15" t="n">
        <v>1.362640084230283</v>
      </c>
      <c r="Q1599" s="15" t="n">
        <v>0.007698750262059516</v>
      </c>
      <c r="R1599" s="15" t="n">
        <v>0.03874949175689473</v>
      </c>
      <c r="S1599" s="15" t="n">
        <v>0.007715033700865462</v>
      </c>
      <c r="T1599" s="42">
        <f>HIPERLINK($A$1 &amp; "\Dados\Imagem_perfil_1599.png", "Imagem_perfil_1599")</f>
        <v/>
      </c>
      <c r="U1599" s="42">
        <f>HIPERLINK($A$1 &amp; "\Dados\Results_airgap1599.txt", "Results_airgap1599")</f>
        <v/>
      </c>
      <c r="V1599" s="19" t="n"/>
      <c r="W1599" s="15" t="n">
        <v>1.766159130434783</v>
      </c>
      <c r="X1599" s="15" t="n">
        <v>0.9112354484262362</v>
      </c>
      <c r="Y1599" s="15" t="n">
        <v>0.4113548423401062</v>
      </c>
      <c r="Z1599" s="15" t="n">
        <v>0.02723933080749514</v>
      </c>
      <c r="AA1599" s="15" t="n">
        <v>0.004617216944656083</v>
      </c>
      <c r="AB1599" s="15" t="n">
        <v>0</v>
      </c>
      <c r="AC1599" s="15" t="n">
        <v>12.89092033833639</v>
      </c>
      <c r="AD1599" s="15" t="n">
        <v>62.89344447981786</v>
      </c>
      <c r="AE1599" s="15" t="n">
        <v>95.44020796083969</v>
      </c>
      <c r="AF1599" s="15" t="n">
        <v>125.790779871968</v>
      </c>
      <c r="AH1599" s="42">
        <f>HIPERLINK($A$1 &amp; "\Dados\Magnet_fields_1599.txt.txt", "Magnet_fields_1599.txt")</f>
        <v/>
      </c>
      <c r="AI1599" t="n">
        <v>9919</v>
      </c>
      <c r="AJ1599" t="n">
        <v>29</v>
      </c>
      <c r="AK1599" s="42">
        <f>HIPERLINK($A$1 &amp; "\Dados\Magnet_3D_results_1599.txt.txt", "Magnet_3D_results_1599.txt")</f>
        <v/>
      </c>
      <c r="AL1599" s="42">
        <f>HIPERLINK($A$1 &amp; "\Dados\Magnet_fields_2D_1599.txt.txt", "Magnet_fields_2D_1599.txt")</f>
        <v/>
      </c>
    </row>
    <row r="1600">
      <c r="E1600" s="15" t="n">
        <v>135</v>
      </c>
      <c r="F1600" s="15" t="n">
        <v>173</v>
      </c>
      <c r="G1600" s="15" t="n">
        <v>364</v>
      </c>
      <c r="H1600" s="15" t="n">
        <v>32</v>
      </c>
      <c r="I1600" s="15" t="n">
        <v>179</v>
      </c>
      <c r="J1600" s="13" t="n">
        <v>25</v>
      </c>
      <c r="K1600" t="n">
        <v>45</v>
      </c>
      <c r="L1600" s="13" t="n">
        <v>2.6</v>
      </c>
      <c r="M1600" s="12" t="n"/>
      <c r="N1600" s="8" t="n">
        <v>1.488423789134445</v>
      </c>
      <c r="O1600" s="15" t="n">
        <v>1.325552577234451</v>
      </c>
      <c r="P1600" s="15" t="n">
        <v>1.449583855502905</v>
      </c>
      <c r="Q1600" s="15" t="n">
        <v>0.002855934390675284</v>
      </c>
      <c r="R1600" s="15" t="n">
        <v>0.03382639942668636</v>
      </c>
      <c r="S1600" s="15" t="n">
        <v>0.002936171126904395</v>
      </c>
      <c r="T1600" s="42">
        <f>HIPERLINK($A$1 &amp; "\Dados\Imagem_perfil_1600.png", "Imagem_perfil_1600")</f>
        <v/>
      </c>
      <c r="U1600" s="42">
        <f>HIPERLINK($A$1 &amp; "\Dados\Results_airgap1600.txt", "Results_airgap1600")</f>
        <v/>
      </c>
      <c r="V1600" s="19" t="n"/>
      <c r="W1600" s="15" t="n">
        <v>1.82193152173913</v>
      </c>
      <c r="X1600" s="15" t="n">
        <v>0.9411622302238949</v>
      </c>
      <c r="Y1600" s="15" t="n">
        <v>0.4238303612599844</v>
      </c>
      <c r="Z1600" s="15" t="n">
        <v>0</v>
      </c>
      <c r="AA1600" s="15" t="n">
        <v>0.08025830746514925</v>
      </c>
      <c r="AB1600" s="15" t="n">
        <v>0.9769802222147838</v>
      </c>
      <c r="AC1600" s="15" t="n">
        <v>11.12290429463082</v>
      </c>
      <c r="AD1600" s="15" t="n">
        <v>46.11422147962931</v>
      </c>
      <c r="AE1600" s="15" t="n">
        <v>84.93412525316138</v>
      </c>
      <c r="AF1600" s="15" t="n">
        <v>117.3800327587579</v>
      </c>
      <c r="AH1600" s="42">
        <f>HIPERLINK($A$1 &amp; "\Dados\Magnet_fields_1600.txt.txt", "Magnet_fields_1600.txt")</f>
        <v/>
      </c>
      <c r="AI1600" t="n">
        <v>7448</v>
      </c>
      <c r="AJ1600" t="n">
        <v>29</v>
      </c>
      <c r="AK1600" s="42">
        <f>HIPERLINK($A$1 &amp; "\Dados\Magnet_3D_results_1600.txt.txt", "Magnet_3D_results_1600.txt")</f>
        <v/>
      </c>
      <c r="AL1600" s="42">
        <f>HIPERLINK($A$1 &amp; "\Dados\Magnet_fields_2D_1600.txt.txt", "Magnet_fields_2D_1600.txt")</f>
        <v/>
      </c>
    </row>
    <row r="1601">
      <c r="E1601" s="15" t="n">
        <v>139</v>
      </c>
      <c r="F1601" s="15" t="n">
        <v>176</v>
      </c>
      <c r="G1601" s="15" t="n">
        <v>392</v>
      </c>
      <c r="H1601" s="15" t="n">
        <v>44</v>
      </c>
      <c r="I1601" s="15" t="n">
        <v>178</v>
      </c>
      <c r="J1601" s="13" t="n">
        <v>25</v>
      </c>
      <c r="K1601" t="n">
        <v>55</v>
      </c>
      <c r="L1601" s="13" t="n">
        <v>2.6</v>
      </c>
      <c r="M1601" s="12" t="n"/>
      <c r="N1601" s="8" t="n">
        <v>1.62339164664357</v>
      </c>
      <c r="O1601" s="15" t="n">
        <v>1.43520636226409</v>
      </c>
      <c r="P1601" s="15" t="n">
        <v>1.5673552316654</v>
      </c>
      <c r="Q1601" s="15" t="n">
        <v>0.01234976023912937</v>
      </c>
      <c r="R1601" s="15" t="n">
        <v>0.05366126796806577</v>
      </c>
      <c r="S1601" s="15" t="n">
        <v>0.01244733818926627</v>
      </c>
      <c r="T1601" s="42">
        <f>HIPERLINK($A$1 &amp; "\Dados\Imagem_perfil_1601.png", "Imagem_perfil_1601")</f>
        <v/>
      </c>
      <c r="U1601" s="42">
        <f>HIPERLINK($A$1 &amp; "\Dados\Results_airgap1601.txt", "Results_airgap1601")</f>
        <v/>
      </c>
      <c r="V1601" s="19" t="n"/>
      <c r="W1601" s="15" t="n">
        <v>2.041726086956522</v>
      </c>
      <c r="X1601" s="15" t="n">
        <v>0.9968732252529761</v>
      </c>
      <c r="Y1601" s="15" t="n">
        <v>0.1960605914490843</v>
      </c>
      <c r="Z1601" s="15" t="n">
        <v>0</v>
      </c>
      <c r="AA1601" s="15" t="n">
        <v>0.0006822014202030911</v>
      </c>
      <c r="AB1601" s="15" t="n">
        <v>1.023353765869156</v>
      </c>
      <c r="AC1601" s="15" t="n">
        <v>17.98098879530627</v>
      </c>
      <c r="AD1601" s="15" t="n">
        <v>63.0121834903598</v>
      </c>
      <c r="AE1601" s="15" t="n">
        <v>96.07983784557582</v>
      </c>
      <c r="AF1601" s="15" t="n">
        <v>126.9721515457097</v>
      </c>
      <c r="AH1601" s="42">
        <f>HIPERLINK($A$1 &amp; "\Dados\Magnet_fields_1601.txt.txt", "Magnet_fields_1601.txt")</f>
        <v/>
      </c>
      <c r="AI1601" t="n">
        <v>10497</v>
      </c>
      <c r="AJ1601" t="n">
        <v>30</v>
      </c>
      <c r="AK1601" s="42">
        <f>HIPERLINK($A$1 &amp; "\Dados\Magnet_3D_results_1601.txt.txt", "Magnet_3D_results_1601.txt")</f>
        <v/>
      </c>
      <c r="AL1601" s="42">
        <f>HIPERLINK($A$1 &amp; "\Dados\Magnet_fields_2D_1601.txt.txt", "Magnet_fields_2D_1601.txt")</f>
        <v/>
      </c>
    </row>
    <row r="1602">
      <c r="E1602" s="15" t="n">
        <v>142</v>
      </c>
      <c r="F1602" s="15" t="n">
        <v>172</v>
      </c>
      <c r="G1602" s="15" t="n">
        <v>422</v>
      </c>
      <c r="H1602" s="15" t="n">
        <v>39</v>
      </c>
      <c r="I1602" s="15" t="n">
        <v>146</v>
      </c>
      <c r="J1602" s="13" t="n">
        <v>25</v>
      </c>
      <c r="K1602" t="n">
        <v>45</v>
      </c>
      <c r="L1602" s="13" t="n">
        <v>2.6</v>
      </c>
      <c r="M1602" s="12" t="n"/>
      <c r="N1602" s="8" t="n">
        <v>1.626889499696981</v>
      </c>
      <c r="O1602" s="15" t="n">
        <v>1.322618547001079</v>
      </c>
      <c r="P1602" s="15" t="n">
        <v>1.546286667044727</v>
      </c>
      <c r="Q1602" s="15" t="n">
        <v>0.005215268941957392</v>
      </c>
      <c r="R1602" s="15" t="n">
        <v>0.04312417415118291</v>
      </c>
      <c r="S1602" s="15" t="n">
        <v>0.005427025180875083</v>
      </c>
      <c r="T1602" s="42">
        <f>HIPERLINK($A$1 &amp; "\Dados\Imagem_perfil_1602.png", "Imagem_perfil_1602")</f>
        <v/>
      </c>
      <c r="U1602" s="42">
        <f>HIPERLINK($A$1 &amp; "\Dados\Results_airgap1602.txt", "Results_airgap1602")</f>
        <v/>
      </c>
      <c r="V1602" s="19" t="n"/>
      <c r="W1602" s="15" t="n">
        <v>2.129912826086957</v>
      </c>
      <c r="X1602" s="15" t="n">
        <v>1.02493094667554</v>
      </c>
      <c r="Y1602" s="15" t="n">
        <v>0.1830408210612751</v>
      </c>
      <c r="Z1602" s="15" t="n">
        <v>0</v>
      </c>
      <c r="AA1602" s="15" t="n">
        <v>0.7998189829404861</v>
      </c>
      <c r="AB1602" s="15" t="n">
        <v>0.1967428855414355</v>
      </c>
      <c r="AC1602" s="15" t="n">
        <v>5.698431338074969</v>
      </c>
      <c r="AD1602" s="15" t="n">
        <v>40.17848288919496</v>
      </c>
      <c r="AE1602" s="15" t="n">
        <v>87.16099817220717</v>
      </c>
      <c r="AF1602" s="15" t="n">
        <v>119.1199200743025</v>
      </c>
      <c r="AH1602" s="42">
        <f>HIPERLINK($A$1 &amp; "\Dados\Magnet_fields_1602.txt.txt", "Magnet_fields_1602.txt")</f>
        <v/>
      </c>
      <c r="AI1602" t="n">
        <v>6888</v>
      </c>
      <c r="AJ1602" t="n">
        <v>28</v>
      </c>
      <c r="AK1602" s="42">
        <f>HIPERLINK($A$1 &amp; "\Dados\Magnet_3D_results_1602.txt.txt", "Magnet_3D_results_1602.txt")</f>
        <v/>
      </c>
      <c r="AL1602" s="42">
        <f>HIPERLINK($A$1 &amp; "\Dados\Magnet_fields_2D_1602.txt.txt", "Magnet_fields_2D_1602.txt")</f>
        <v/>
      </c>
    </row>
    <row r="1603">
      <c r="E1603" s="15" t="n">
        <v>150</v>
      </c>
      <c r="F1603" s="15" t="n">
        <v>200</v>
      </c>
      <c r="G1603" s="15" t="n">
        <v>384</v>
      </c>
      <c r="H1603" s="15" t="n">
        <v>36</v>
      </c>
      <c r="I1603" s="15" t="n">
        <v>156</v>
      </c>
      <c r="J1603" s="13" t="n">
        <v>25</v>
      </c>
      <c r="K1603" t="n">
        <v>60</v>
      </c>
      <c r="L1603" s="13" t="n">
        <v>2.6</v>
      </c>
      <c r="M1603" s="12" t="n"/>
      <c r="N1603" s="8" t="n">
        <v>1.240647024567188</v>
      </c>
      <c r="O1603" s="15" t="n">
        <v>1.021677754630393</v>
      </c>
      <c r="P1603" s="15" t="n">
        <v>1.170807847015306</v>
      </c>
      <c r="Q1603" s="15" t="n">
        <v>0.0177020306820827</v>
      </c>
      <c r="R1603" s="15" t="n">
        <v>0.04269830063129002</v>
      </c>
      <c r="S1603" s="15" t="n">
        <v>0.01769943140410181</v>
      </c>
      <c r="T1603" s="42">
        <f>HIPERLINK($A$1 &amp; "\Dados\Imagem_perfil_1603.png", "Imagem_perfil_1603")</f>
        <v/>
      </c>
      <c r="U1603" s="42">
        <f>HIPERLINK($A$1 &amp; "\Dados\Results_airgap1603.txt", "Results_airgap1603")</f>
        <v/>
      </c>
      <c r="V1603" s="19" t="n"/>
      <c r="W1603" s="15" t="n">
        <v>1.665858260869565</v>
      </c>
      <c r="X1603" s="15" t="n">
        <v>0.8022964347822464</v>
      </c>
      <c r="Y1603" s="15" t="n">
        <v>0.5188580027628384</v>
      </c>
      <c r="Z1603" s="15" t="n">
        <v>0.02601923999608643</v>
      </c>
      <c r="AA1603" s="15" t="n">
        <v>1.923020756513035</v>
      </c>
      <c r="AB1603" s="15" t="n">
        <v>0</v>
      </c>
      <c r="AC1603" s="15" t="n">
        <v>14.51262427401882</v>
      </c>
      <c r="AD1603" s="15" t="n">
        <v>64.00687182218415</v>
      </c>
      <c r="AE1603" s="15" t="n">
        <v>97.2986150544761</v>
      </c>
      <c r="AF1603" s="15" t="n">
        <v>129.336841489411</v>
      </c>
      <c r="AH1603" s="42">
        <f>HIPERLINK($A$1 &amp; "\Dados\Magnet_fields_1603.txt.txt", "Magnet_fields_1603.txt")</f>
        <v/>
      </c>
      <c r="AI1603" t="n">
        <v>8154</v>
      </c>
      <c r="AJ1603" t="n">
        <v>29</v>
      </c>
      <c r="AK1603" s="42">
        <f>HIPERLINK($A$1 &amp; "\Dados\Magnet_3D_results_1603.txt.txt", "Magnet_3D_results_1603.txt")</f>
        <v/>
      </c>
      <c r="AL1603" s="42">
        <f>HIPERLINK($A$1 &amp; "\Dados\Magnet_fields_2D_1603.txt.txt", "Magnet_fields_2D_1603.txt")</f>
        <v/>
      </c>
    </row>
    <row r="1604">
      <c r="E1604" s="15" t="n">
        <v>144</v>
      </c>
      <c r="F1604" s="15" t="n">
        <v>185</v>
      </c>
      <c r="G1604" s="15" t="n">
        <v>372</v>
      </c>
      <c r="H1604" s="15" t="n">
        <v>41</v>
      </c>
      <c r="I1604" s="15" t="n">
        <v>154</v>
      </c>
      <c r="J1604" s="13" t="n">
        <v>25</v>
      </c>
      <c r="K1604" t="n">
        <v>55</v>
      </c>
      <c r="L1604" s="13" t="n">
        <v>2.6</v>
      </c>
      <c r="M1604" s="12" t="n"/>
      <c r="N1604" s="8" t="n">
        <v>1.406306072256347</v>
      </c>
      <c r="O1604" s="15" t="n">
        <v>1.139063642544339</v>
      </c>
      <c r="P1604" s="15" t="n">
        <v>1.331294222357335</v>
      </c>
      <c r="Q1604" s="15" t="n">
        <v>0.007686154494582907</v>
      </c>
      <c r="R1604" s="15" t="n">
        <v>0.04164914726699048</v>
      </c>
      <c r="S1604" s="15" t="n">
        <v>0.007990649517635862</v>
      </c>
      <c r="T1604" s="42">
        <f>HIPERLINK($A$1 &amp; "\Dados\Imagem_perfil_1604.png", "Imagem_perfil_1604")</f>
        <v/>
      </c>
      <c r="U1604" s="42">
        <f>HIPERLINK($A$1 &amp; "\Dados\Results_airgap1604.txt", "Results_airgap1604")</f>
        <v/>
      </c>
      <c r="V1604" s="19" t="n"/>
      <c r="W1604" s="15" t="n">
        <v>1.816279347826087</v>
      </c>
      <c r="X1604" s="15" t="n">
        <v>0.9042899881407319</v>
      </c>
      <c r="Y1604" s="15" t="n">
        <v>0.3684242904355561</v>
      </c>
      <c r="Z1604" s="15" t="n">
        <v>0.00998846520607769</v>
      </c>
      <c r="AA1604" s="15" t="n">
        <v>0</v>
      </c>
      <c r="AB1604" s="15" t="n">
        <v>0</v>
      </c>
      <c r="AC1604" s="15" t="n">
        <v>13.68096332881701</v>
      </c>
      <c r="AD1604" s="15" t="n">
        <v>63.71048319182002</v>
      </c>
      <c r="AE1604" s="15" t="n">
        <v>96.05156387768309</v>
      </c>
      <c r="AF1604" s="15" t="n">
        <v>126.1569471456863</v>
      </c>
      <c r="AH1604" s="42">
        <f>HIPERLINK($A$1 &amp; "\Dados\Magnet_fields_1604.txt.txt", "Magnet_fields_1604.txt")</f>
        <v/>
      </c>
      <c r="AI1604" t="n">
        <v>10302</v>
      </c>
      <c r="AJ1604" t="n">
        <v>30</v>
      </c>
      <c r="AK1604" s="42">
        <f>HIPERLINK($A$1 &amp; "\Dados\Magnet_3D_results_1604.txt.txt", "Magnet_3D_results_1604.txt")</f>
        <v/>
      </c>
      <c r="AL1604" s="42">
        <f>HIPERLINK($A$1 &amp; "\Dados\Magnet_fields_2D_1604.txt.txt", "Magnet_fields_2D_1604.txt")</f>
        <v/>
      </c>
    </row>
    <row r="1605">
      <c r="E1605" s="15" t="n">
        <v>145</v>
      </c>
      <c r="F1605" s="15" t="n">
        <v>183</v>
      </c>
      <c r="G1605" s="15" t="n">
        <v>377</v>
      </c>
      <c r="H1605" s="15" t="n">
        <v>34</v>
      </c>
      <c r="I1605" s="15" t="n">
        <v>179</v>
      </c>
      <c r="J1605" s="13" t="n">
        <v>25</v>
      </c>
      <c r="K1605" t="n">
        <v>55</v>
      </c>
      <c r="L1605" s="13" t="n">
        <v>2.6</v>
      </c>
      <c r="M1605" s="12" t="n"/>
      <c r="N1605" s="8" t="n">
        <v>1.513829751855679</v>
      </c>
      <c r="O1605" s="15" t="n">
        <v>1.345699628698721</v>
      </c>
      <c r="P1605" s="15" t="n">
        <v>1.465165368123174</v>
      </c>
      <c r="Q1605" s="15" t="n">
        <v>0.008371976728445703</v>
      </c>
      <c r="R1605" s="15" t="n">
        <v>0.04132933441804762</v>
      </c>
      <c r="S1605" s="15" t="n">
        <v>0.008598236211427936</v>
      </c>
      <c r="T1605" s="42">
        <f>HIPERLINK($A$1 &amp; "\Dados\Imagem_perfil_1605.png", "Imagem_perfil_1605")</f>
        <v/>
      </c>
      <c r="U1605" s="42">
        <f>HIPERLINK($A$1 &amp; "\Dados\Results_airgap1605.txt", "Results_airgap1605")</f>
        <v/>
      </c>
      <c r="V1605" s="19" t="n"/>
      <c r="W1605" s="15" t="n">
        <v>1.890408478260869</v>
      </c>
      <c r="X1605" s="15" t="n">
        <v>0.9537199818861366</v>
      </c>
      <c r="Y1605" s="15" t="n">
        <v>0.299056292305377</v>
      </c>
      <c r="Z1605" s="15" t="n">
        <v>0.03239880182288258</v>
      </c>
      <c r="AA1605" s="15" t="n">
        <v>0.3958247772587361</v>
      </c>
      <c r="AB1605" s="15" t="n">
        <v>0</v>
      </c>
      <c r="AC1605" s="15" t="n">
        <v>12.74915242355481</v>
      </c>
      <c r="AD1605" s="15" t="n">
        <v>63.29145481565866</v>
      </c>
      <c r="AE1605" s="15" t="n">
        <v>96.3816027761991</v>
      </c>
      <c r="AF1605" s="15" t="n">
        <v>126.5999413562447</v>
      </c>
      <c r="AH1605" s="42">
        <f>HIPERLINK($A$1 &amp; "\Dados\Magnet_fields_1605.txt.txt", "Magnet_fields_1605.txt")</f>
        <v/>
      </c>
      <c r="AI1605" t="n">
        <v>11033</v>
      </c>
      <c r="AJ1605" t="n">
        <v>31</v>
      </c>
      <c r="AK1605" s="42">
        <f>HIPERLINK($A$1 &amp; "\Dados\Magnet_3D_results_1605.txt.txt", "Magnet_3D_results_1605.txt")</f>
        <v/>
      </c>
      <c r="AL1605" s="42">
        <f>HIPERLINK($A$1 &amp; "\Dados\Magnet_fields_2D_1605.txt.txt", "Magnet_fields_2D_1605.txt")</f>
        <v/>
      </c>
    </row>
    <row r="1606">
      <c r="E1606" s="15" t="n">
        <v>133</v>
      </c>
      <c r="F1606" s="15" t="n">
        <v>175</v>
      </c>
      <c r="G1606" s="15" t="n">
        <v>420</v>
      </c>
      <c r="H1606" s="15" t="n">
        <v>25</v>
      </c>
      <c r="I1606" s="15" t="n">
        <v>172</v>
      </c>
      <c r="J1606" s="13" t="n">
        <v>25</v>
      </c>
      <c r="K1606" t="n">
        <v>40</v>
      </c>
      <c r="L1606" s="13" t="n">
        <v>2.6</v>
      </c>
      <c r="M1606" s="12" t="n"/>
      <c r="N1606" s="8" t="n">
        <v>1.447538763014281</v>
      </c>
      <c r="O1606" s="15" t="n">
        <v>1.263634877080774</v>
      </c>
      <c r="P1606" s="15" t="n">
        <v>1.393746481754385</v>
      </c>
      <c r="Q1606" s="15" t="n">
        <v>0.001729256446028504</v>
      </c>
      <c r="R1606" s="15" t="n">
        <v>0.03877045263480811</v>
      </c>
      <c r="S1606" s="15" t="n">
        <v>0.001839603564416978</v>
      </c>
      <c r="T1606" s="42">
        <f>HIPERLINK($A$1 &amp; "\Dados\Imagem_perfil_1606.png", "Imagem_perfil_1606")</f>
        <v/>
      </c>
      <c r="U1606" s="42">
        <f>HIPERLINK($A$1 &amp; "\Dados\Results_airgap1606.txt", "Results_airgap1606")</f>
        <v/>
      </c>
      <c r="V1606" s="19" t="n"/>
      <c r="W1606" s="15" t="n">
        <v>1.829298478260869</v>
      </c>
      <c r="X1606" s="15" t="n">
        <v>0.9167384903332426</v>
      </c>
      <c r="Y1606" s="15" t="n">
        <v>0.5526561495041511</v>
      </c>
      <c r="Z1606" s="15" t="n">
        <v>0.01964641480636999</v>
      </c>
      <c r="AA1606" s="15" t="n">
        <v>2.726159397417475</v>
      </c>
      <c r="AB1606" s="15" t="n">
        <v>2.743786980910478</v>
      </c>
      <c r="AC1606" s="15" t="n">
        <v>12.09112377378075</v>
      </c>
      <c r="AD1606" s="15" t="n">
        <v>37.39302365997425</v>
      </c>
      <c r="AE1606" s="15" t="n">
        <v>78.34531894112133</v>
      </c>
      <c r="AF1606" s="15" t="n">
        <v>113.3375222424504</v>
      </c>
      <c r="AH1606" s="42">
        <f>HIPERLINK($A$1 &amp; "\Dados\Magnet_fields_1606.txt.txt", "Magnet_fields_1606.txt")</f>
        <v/>
      </c>
      <c r="AI1606" t="n">
        <v>10949</v>
      </c>
      <c r="AJ1606" t="n">
        <v>30</v>
      </c>
      <c r="AK1606" s="42">
        <f>HIPERLINK($A$1 &amp; "\Dados\Magnet_3D_results_1606.txt.txt", "Magnet_3D_results_1606.txt")</f>
        <v/>
      </c>
      <c r="AL1606" s="42">
        <f>HIPERLINK($A$1 &amp; "\Dados\Magnet_fields_2D_1606.txt.txt", "Magnet_fields_2D_1606.txt")</f>
        <v/>
      </c>
    </row>
    <row r="1607">
      <c r="E1607" s="15" t="n">
        <v>134</v>
      </c>
      <c r="F1607" s="15" t="n">
        <v>174</v>
      </c>
      <c r="G1607" s="15" t="n">
        <v>401</v>
      </c>
      <c r="H1607" s="15" t="n">
        <v>27</v>
      </c>
      <c r="I1607" s="15" t="n">
        <v>145</v>
      </c>
      <c r="J1607" s="13" t="n">
        <v>25</v>
      </c>
      <c r="K1607" t="n">
        <v>60</v>
      </c>
      <c r="L1607" s="13" t="n">
        <v>2.6</v>
      </c>
      <c r="M1607" s="12" t="n"/>
      <c r="N1607" s="8" t="n">
        <v>1.464378774183076</v>
      </c>
      <c r="O1607" s="15" t="n">
        <v>1.169385099086653</v>
      </c>
      <c r="P1607" s="15" t="n">
        <v>1.373884176525022</v>
      </c>
      <c r="Q1607" s="15" t="n">
        <v>0.0235988907158521</v>
      </c>
      <c r="R1607" s="15" t="n">
        <v>0.05618797304277653</v>
      </c>
      <c r="S1607" s="15" t="n">
        <v>0.02339088222941951</v>
      </c>
      <c r="T1607" s="42">
        <f>HIPERLINK($A$1 &amp; "\Dados\Imagem_perfil_1607.png", "Imagem_perfil_1607")</f>
        <v/>
      </c>
      <c r="U1607" s="42">
        <f>HIPERLINK($A$1 &amp; "\Dados\Results_airgap1607.txt", "Results_airgap1607")</f>
        <v/>
      </c>
      <c r="V1607" s="19" t="n"/>
      <c r="W1607" s="15" t="n">
        <v>2.070385217391304</v>
      </c>
      <c r="X1607" s="15" t="n">
        <v>0.9544113084472364</v>
      </c>
      <c r="Y1607" s="15" t="n">
        <v>0.1816123454295426</v>
      </c>
      <c r="Z1607" s="15" t="n">
        <v>0.01185959570711395</v>
      </c>
      <c r="AA1607" s="15" t="n">
        <v>5.379711558303854</v>
      </c>
      <c r="AB1607" s="15" t="n">
        <v>2.079071353938983</v>
      </c>
      <c r="AC1607" s="15" t="n">
        <v>20.54636161252321</v>
      </c>
      <c r="AD1607" s="15" t="n">
        <v>65.42258064584182</v>
      </c>
      <c r="AE1607" s="15" t="n">
        <v>98.73896531278554</v>
      </c>
      <c r="AF1607" s="15" t="n">
        <v>131.3995954199054</v>
      </c>
      <c r="AH1607" s="42">
        <f>HIPERLINK($A$1 &amp; "\Dados\Magnet_fields_1607.txt.txt", "Magnet_fields_1607.txt")</f>
        <v/>
      </c>
      <c r="AI1607" t="n">
        <v>9241</v>
      </c>
      <c r="AJ1607" t="n">
        <v>29</v>
      </c>
      <c r="AK1607" s="42">
        <f>HIPERLINK($A$1 &amp; "\Dados\Magnet_3D_results_1607.txt.txt", "Magnet_3D_results_1607.txt")</f>
        <v/>
      </c>
      <c r="AL1607" s="42">
        <f>HIPERLINK($A$1 &amp; "\Dados\Magnet_fields_2D_1607.txt.txt", "Magnet_fields_2D_1607.txt")</f>
        <v/>
      </c>
    </row>
    <row r="1608">
      <c r="E1608" s="15" t="n">
        <v>149</v>
      </c>
      <c r="F1608" s="15" t="n">
        <v>198</v>
      </c>
      <c r="G1608" s="15" t="n">
        <v>423</v>
      </c>
      <c r="H1608" s="15" t="n">
        <v>27</v>
      </c>
      <c r="I1608" s="15" t="n">
        <v>165</v>
      </c>
      <c r="J1608" s="13" t="n">
        <v>25</v>
      </c>
      <c r="K1608" t="n">
        <v>40</v>
      </c>
      <c r="L1608" s="13" t="n">
        <v>2.6</v>
      </c>
      <c r="M1608" s="12" t="n"/>
      <c r="N1608" s="8" t="n">
        <v>1.270835516057284</v>
      </c>
      <c r="O1608" s="15" t="n">
        <v>1.075767637591101</v>
      </c>
      <c r="P1608" s="15" t="n">
        <v>1.215183519867638</v>
      </c>
      <c r="Q1608" s="15" t="n">
        <v>0.001123978012179099</v>
      </c>
      <c r="R1608" s="15" t="n">
        <v>0.0315267112136534</v>
      </c>
      <c r="S1608" s="15" t="n">
        <v>0.001529065712914681</v>
      </c>
      <c r="T1608" s="42">
        <f>HIPERLINK($A$1 &amp; "\Dados\Imagem_perfil_1608.png", "Imagem_perfil_1608")</f>
        <v/>
      </c>
      <c r="U1608" s="42">
        <f>HIPERLINK($A$1 &amp; "\Dados\Results_airgap1608.txt", "Results_airgap1608")</f>
        <v/>
      </c>
      <c r="V1608" s="19" t="n"/>
      <c r="W1608" s="15" t="n">
        <v>1.662386304347826</v>
      </c>
      <c r="X1608" s="15" t="n">
        <v>0.8071439537286943</v>
      </c>
      <c r="Y1608" s="15" t="n">
        <v>0.6880830400142945</v>
      </c>
      <c r="Z1608" s="15" t="n">
        <v>0.005641445563265565</v>
      </c>
      <c r="AA1608" s="15" t="n">
        <v>2.894326800804595</v>
      </c>
      <c r="AB1608" s="15" t="n">
        <v>1.64564681748913</v>
      </c>
      <c r="AC1608" s="15" t="n">
        <v>8.623656766140522</v>
      </c>
      <c r="AD1608" s="15" t="n">
        <v>33.90202840708864</v>
      </c>
      <c r="AE1608" s="15" t="n">
        <v>78.56395307901155</v>
      </c>
      <c r="AF1608" s="15" t="n">
        <v>113.8028934934619</v>
      </c>
      <c r="AH1608" s="42">
        <f>HIPERLINK($A$1 &amp; "\Dados\Magnet_fields_1608.txt.txt", "Magnet_fields_1608.txt")</f>
        <v/>
      </c>
      <c r="AI1608" t="n">
        <v>9460</v>
      </c>
      <c r="AJ1608" t="n">
        <v>30</v>
      </c>
      <c r="AK1608" s="42">
        <f>HIPERLINK($A$1 &amp; "\Dados\Magnet_3D_results_1608.txt.txt", "Magnet_3D_results_1608.txt")</f>
        <v/>
      </c>
      <c r="AL1608" s="42">
        <f>HIPERLINK($A$1 &amp; "\Dados\Magnet_fields_2D_1608.txt.txt", "Magnet_fields_2D_1608.txt")</f>
        <v/>
      </c>
    </row>
    <row r="1609">
      <c r="E1609" s="15" t="n">
        <v>144</v>
      </c>
      <c r="F1609" s="15" t="n">
        <v>184</v>
      </c>
      <c r="G1609" s="15" t="n">
        <v>388</v>
      </c>
      <c r="H1609" s="15" t="n">
        <v>43</v>
      </c>
      <c r="I1609" s="15" t="n">
        <v>176</v>
      </c>
      <c r="J1609" s="13" t="n">
        <v>25</v>
      </c>
      <c r="K1609" t="n">
        <v>45</v>
      </c>
      <c r="L1609" s="13" t="n">
        <v>2.6</v>
      </c>
      <c r="M1609" s="12" t="n"/>
      <c r="N1609" s="8" t="n">
        <v>1.455576048152832</v>
      </c>
      <c r="O1609" s="15" t="n">
        <v>1.261180756841902</v>
      </c>
      <c r="P1609" s="15" t="n">
        <v>1.398225131833196</v>
      </c>
      <c r="Q1609" s="15" t="n">
        <v>0.002594586654075623</v>
      </c>
      <c r="R1609" s="15" t="n">
        <v>0.03638415520081793</v>
      </c>
      <c r="S1609" s="15" t="n">
        <v>0.002647898995644206</v>
      </c>
      <c r="T1609" s="42">
        <f>HIPERLINK($A$1 &amp; "\Dados\Imagem_perfil_1609.png", "Imagem_perfil_1609")</f>
        <v/>
      </c>
      <c r="U1609" s="42">
        <f>HIPERLINK($A$1 &amp; "\Dados\Results_airgap1609.txt", "Results_airgap1609")</f>
        <v/>
      </c>
      <c r="V1609" s="19" t="n"/>
      <c r="W1609" s="15" t="n">
        <v>1.796669130434782</v>
      </c>
      <c r="X1609" s="15" t="n">
        <v>0.9285205762156677</v>
      </c>
      <c r="Y1609" s="15" t="n">
        <v>0.4467591911392562</v>
      </c>
      <c r="Z1609" s="15" t="n">
        <v>0</v>
      </c>
      <c r="AA1609" s="15" t="n">
        <v>0</v>
      </c>
      <c r="AB1609" s="15" t="n">
        <v>0.5777321580854258</v>
      </c>
      <c r="AC1609" s="15" t="n">
        <v>5.944525833517013</v>
      </c>
      <c r="AD1609" s="15" t="n">
        <v>39.57815414974943</v>
      </c>
      <c r="AE1609" s="15" t="n">
        <v>87.31567483085141</v>
      </c>
      <c r="AF1609" s="15" t="n">
        <v>118.6170370746001</v>
      </c>
      <c r="AH1609" s="42">
        <f>HIPERLINK($A$1 &amp; "\Dados\Magnet_fields_1609.txt.txt", "Magnet_fields_1609.txt")</f>
        <v/>
      </c>
      <c r="AI1609" t="n">
        <v>5867</v>
      </c>
      <c r="AJ1609" t="n">
        <v>28</v>
      </c>
      <c r="AK1609" s="42">
        <f>HIPERLINK($A$1 &amp; "\Dados\Magnet_3D_results_1609.txt.txt", "Magnet_3D_results_1609.txt")</f>
        <v/>
      </c>
      <c r="AL1609" s="42">
        <f>HIPERLINK($A$1 &amp; "\Dados\Magnet_fields_2D_1609.txt.txt", "Magnet_fields_2D_1609.txt")</f>
        <v/>
      </c>
    </row>
    <row r="1610">
      <c r="E1610" s="15" t="n">
        <v>129</v>
      </c>
      <c r="F1610" s="15" t="n">
        <v>177</v>
      </c>
      <c r="G1610" s="15" t="n">
        <v>396</v>
      </c>
      <c r="H1610" s="15" t="n">
        <v>39</v>
      </c>
      <c r="I1610" s="15" t="n">
        <v>176</v>
      </c>
      <c r="J1610" s="13" t="n">
        <v>25</v>
      </c>
      <c r="K1610" t="n">
        <v>45</v>
      </c>
      <c r="L1610" s="13" t="n">
        <v>2.6</v>
      </c>
      <c r="M1610" s="12" t="n"/>
      <c r="N1610" s="8" t="n">
        <v>1.377480385638633</v>
      </c>
      <c r="O1610" s="15" t="n">
        <v>1.209958690642783</v>
      </c>
      <c r="P1610" s="15" t="n">
        <v>1.329651785705132</v>
      </c>
      <c r="Q1610" s="15" t="n">
        <v>0.003475123440856593</v>
      </c>
      <c r="R1610" s="15" t="n">
        <v>0.04571495943941471</v>
      </c>
      <c r="S1610" s="15" t="n">
        <v>0.003875453764613345</v>
      </c>
      <c r="T1610" s="42">
        <f>HIPERLINK($A$1 &amp; "\Dados\Imagem_perfil_1610.png", "Imagem_perfil_1610")</f>
        <v/>
      </c>
      <c r="U1610" s="42">
        <f>HIPERLINK($A$1 &amp; "\Dados\Results_airgap1610.txt", "Results_airgap1610")</f>
        <v/>
      </c>
      <c r="V1610" s="19" t="n"/>
      <c r="W1610" s="15" t="n">
        <v>1.749600652173913</v>
      </c>
      <c r="X1610" s="15" t="n">
        <v>0.8850848001970875</v>
      </c>
      <c r="Y1610" s="15" t="n">
        <v>0.5744245016748636</v>
      </c>
      <c r="Z1610" s="15" t="n">
        <v>0.009471882043649349</v>
      </c>
      <c r="AA1610" s="15" t="n">
        <v>0.01089681593441793</v>
      </c>
      <c r="AB1610" s="15" t="n">
        <v>2.242208208905805</v>
      </c>
      <c r="AC1610" s="15" t="n">
        <v>11.47487994677901</v>
      </c>
      <c r="AD1610" s="15" t="n">
        <v>41.48974325962884</v>
      </c>
      <c r="AE1610" s="15" t="n">
        <v>84.41833799495366</v>
      </c>
      <c r="AF1610" s="15" t="n">
        <v>118.154408031419</v>
      </c>
      <c r="AH1610" s="42">
        <f>HIPERLINK($A$1 &amp; "\Dados\Magnet_fields_1610.txt.txt", "Magnet_fields_1610.txt")</f>
        <v/>
      </c>
      <c r="AI1610" t="n">
        <v>7318</v>
      </c>
      <c r="AJ1610" t="n">
        <v>28</v>
      </c>
      <c r="AK1610" s="42">
        <f>HIPERLINK($A$1 &amp; "\Dados\Magnet_3D_results_1610.txt.txt", "Magnet_3D_results_1610.txt")</f>
        <v/>
      </c>
      <c r="AL1610" s="42">
        <f>HIPERLINK($A$1 &amp; "\Dados\Magnet_fields_2D_1610.txt.txt", "Magnet_fields_2D_1610.txt")</f>
        <v/>
      </c>
    </row>
    <row r="1611">
      <c r="E1611" s="15" t="n">
        <v>126</v>
      </c>
      <c r="F1611" s="15" t="n">
        <v>173</v>
      </c>
      <c r="G1611" s="15" t="n">
        <v>400</v>
      </c>
      <c r="H1611" s="15" t="n">
        <v>39</v>
      </c>
      <c r="I1611" s="15" t="n">
        <v>167</v>
      </c>
      <c r="J1611" s="13" t="n">
        <v>25</v>
      </c>
      <c r="K1611" t="n">
        <v>50</v>
      </c>
      <c r="L1611" s="13" t="n">
        <v>2.6</v>
      </c>
      <c r="M1611" s="12" t="n"/>
      <c r="N1611" s="8" t="n">
        <v>1.443146375330222</v>
      </c>
      <c r="O1611" s="15" t="n">
        <v>1.233231807282454</v>
      </c>
      <c r="P1611" s="15" t="n">
        <v>1.381269790147261</v>
      </c>
      <c r="Q1611" s="15" t="n">
        <v>0.008312421687559047</v>
      </c>
      <c r="R1611" s="15" t="n">
        <v>0.05573055110099792</v>
      </c>
      <c r="S1611" s="15" t="n">
        <v>0.008242957783439562</v>
      </c>
      <c r="T1611" s="42">
        <f>HIPERLINK($A$1 &amp; "\Dados\Imagem_perfil_1611.png", "Imagem_perfil_1611")</f>
        <v/>
      </c>
      <c r="U1611" s="42">
        <f>HIPERLINK($A$1 &amp; "\Dados\Results_airgap1611.txt", "Results_airgap1611")</f>
        <v/>
      </c>
      <c r="V1611" s="19" t="n"/>
      <c r="W1611" s="15" t="n">
        <v>1.893225869565217</v>
      </c>
      <c r="X1611" s="15" t="n">
        <v>0.904253115385668</v>
      </c>
      <c r="Y1611" s="15" t="n">
        <v>0.3785427066392062</v>
      </c>
      <c r="Z1611" s="15" t="n">
        <v>0.002561208126357295</v>
      </c>
      <c r="AA1611" s="15" t="n">
        <v>0.008967010685607027</v>
      </c>
      <c r="AB1611" s="15" t="n">
        <v>3.17108315909126</v>
      </c>
      <c r="AC1611" s="15" t="n">
        <v>18.08374420822363</v>
      </c>
      <c r="AD1611" s="15" t="n">
        <v>53.44671468423108</v>
      </c>
      <c r="AE1611" s="15" t="n">
        <v>89.37807804862618</v>
      </c>
      <c r="AF1611" s="15" t="n">
        <v>121.8977147446611</v>
      </c>
      <c r="AH1611" s="42">
        <f>HIPERLINK($A$1 &amp; "\Dados\Magnet_fields_1611.txt.txt", "Magnet_fields_1611.txt")</f>
        <v/>
      </c>
      <c r="AI1611" t="n">
        <v>7158</v>
      </c>
      <c r="AJ1611" t="n">
        <v>29</v>
      </c>
      <c r="AK1611" s="42">
        <f>HIPERLINK($A$1 &amp; "\Dados\Magnet_3D_results_1611.txt.txt", "Magnet_3D_results_1611.txt")</f>
        <v/>
      </c>
      <c r="AL1611" s="42">
        <f>HIPERLINK($A$1 &amp; "\Dados\Magnet_fields_2D_1611.txt.txt", "Magnet_fields_2D_1611.txt")</f>
        <v/>
      </c>
    </row>
    <row r="1612">
      <c r="E1612" s="15" t="n">
        <v>132</v>
      </c>
      <c r="F1612" s="15" t="n">
        <v>172</v>
      </c>
      <c r="G1612" s="15" t="n">
        <v>383</v>
      </c>
      <c r="H1612" s="15" t="n">
        <v>38</v>
      </c>
      <c r="I1612" s="15" t="n">
        <v>174</v>
      </c>
      <c r="J1612" s="13" t="n">
        <v>25</v>
      </c>
      <c r="K1612" t="n">
        <v>60</v>
      </c>
      <c r="L1612" s="13" t="n">
        <v>2.6</v>
      </c>
      <c r="M1612" s="12" t="n"/>
      <c r="N1612" s="8" t="n">
        <v>1.552068567961776</v>
      </c>
      <c r="O1612" s="15" t="n">
        <v>1.355327916161768</v>
      </c>
      <c r="P1612" s="15" t="n">
        <v>1.494302478885644</v>
      </c>
      <c r="Q1612" s="15" t="n">
        <v>0.02649876500171687</v>
      </c>
      <c r="R1612" s="15" t="n">
        <v>0.05861431546366681</v>
      </c>
      <c r="S1612" s="15" t="n">
        <v>0.02563676275647127</v>
      </c>
      <c r="T1612" s="42">
        <f>HIPERLINK($A$1 &amp; "\Dados\Imagem_perfil_1612.png", "Imagem_perfil_1612")</f>
        <v/>
      </c>
      <c r="U1612" s="42">
        <f>HIPERLINK($A$1 &amp; "\Dados\Results_airgap1612.txt", "Results_airgap1612")</f>
        <v/>
      </c>
      <c r="V1612" s="19" t="n"/>
      <c r="W1612" s="15" t="n">
        <v>2.003236739130435</v>
      </c>
      <c r="X1612" s="15" t="n">
        <v>0.9675892081761149</v>
      </c>
      <c r="Y1612" s="15" t="n">
        <v>0.2237579053656532</v>
      </c>
      <c r="Z1612" s="15" t="n">
        <v>0</v>
      </c>
      <c r="AA1612" s="15" t="n">
        <v>0.127317430931411</v>
      </c>
      <c r="AB1612" s="15" t="n">
        <v>2.035334779423028</v>
      </c>
      <c r="AC1612" s="15" t="n">
        <v>20.53160387088164</v>
      </c>
      <c r="AD1612" s="15" t="n">
        <v>65.15761061121465</v>
      </c>
      <c r="AE1612" s="15" t="n">
        <v>98.10031543194407</v>
      </c>
      <c r="AF1612" s="15" t="n">
        <v>130.910462183334</v>
      </c>
      <c r="AH1612" s="42">
        <f>HIPERLINK($A$1 &amp; "\Dados\Magnet_fields_1612.txt.txt", "Magnet_fields_1612.txt")</f>
        <v/>
      </c>
      <c r="AI1612" t="n">
        <v>8560</v>
      </c>
      <c r="AJ1612" t="n">
        <v>30</v>
      </c>
      <c r="AK1612" s="42">
        <f>HIPERLINK($A$1 &amp; "\Dados\Magnet_3D_results_1612.txt.txt", "Magnet_3D_results_1612.txt")</f>
        <v/>
      </c>
      <c r="AL1612" s="42">
        <f>HIPERLINK($A$1 &amp; "\Dados\Magnet_fields_2D_1612.txt.txt", "Magnet_fields_2D_1612.txt")</f>
        <v/>
      </c>
    </row>
    <row r="1613">
      <c r="E1613" s="15" t="n">
        <v>121</v>
      </c>
      <c r="F1613" s="15" t="n">
        <v>171</v>
      </c>
      <c r="G1613" s="15" t="n">
        <v>382</v>
      </c>
      <c r="H1613" s="15" t="n">
        <v>32</v>
      </c>
      <c r="I1613" s="15" t="n">
        <v>176</v>
      </c>
      <c r="J1613" s="13" t="n">
        <v>25</v>
      </c>
      <c r="K1613" t="n">
        <v>60</v>
      </c>
      <c r="L1613" s="13" t="n">
        <v>2.6</v>
      </c>
      <c r="M1613" s="12" t="n"/>
      <c r="N1613" s="8" t="n">
        <v>1.430451496302554</v>
      </c>
      <c r="O1613" s="15" t="n">
        <v>1.246905023416362</v>
      </c>
      <c r="P1613" s="15" t="n">
        <v>1.373589418896922</v>
      </c>
      <c r="Q1613" s="15" t="n">
        <v>0.03632430557660647</v>
      </c>
      <c r="R1613" s="15" t="n">
        <v>0.0657843421950917</v>
      </c>
      <c r="S1613" s="15" t="n">
        <v>0.03572018507276439</v>
      </c>
      <c r="T1613" s="42">
        <f>HIPERLINK($A$1 &amp; "\Dados\Imagem_perfil_1613.png", "Imagem_perfil_1613")</f>
        <v/>
      </c>
      <c r="U1613" s="42">
        <f>HIPERLINK($A$1 &amp; "\Dados\Results_airgap1613.txt", "Results_airgap1613")</f>
        <v/>
      </c>
      <c r="V1613" s="19" t="n"/>
      <c r="W1613" s="15" t="n">
        <v>1.880888260869565</v>
      </c>
      <c r="X1613" s="15" t="n">
        <v>0.9076755692279527</v>
      </c>
      <c r="Y1613" s="15" t="n">
        <v>0.3573320187208113</v>
      </c>
      <c r="Z1613" s="15" t="n">
        <v>0.002666763696255383</v>
      </c>
      <c r="AA1613" s="15" t="n">
        <v>0.249338209053249</v>
      </c>
      <c r="AB1613" s="15" t="n">
        <v>3.21775590183221</v>
      </c>
      <c r="AC1613" s="15" t="n">
        <v>23.94056722138017</v>
      </c>
      <c r="AD1613" s="15" t="n">
        <v>66.41205674267506</v>
      </c>
      <c r="AE1613" s="15" t="n">
        <v>98.26279806220944</v>
      </c>
      <c r="AF1613" s="15" t="n">
        <v>131.0693765515544</v>
      </c>
      <c r="AH1613" s="42">
        <f>HIPERLINK($A$1 &amp; "\Dados\Magnet_fields_1613.txt.txt", "Magnet_fields_1613.txt")</f>
        <v/>
      </c>
      <c r="AI1613" t="n">
        <v>9575</v>
      </c>
      <c r="AJ1613" t="n">
        <v>30</v>
      </c>
      <c r="AK1613" s="42">
        <f>HIPERLINK($A$1 &amp; "\Dados\Magnet_3D_results_1613.txt.txt", "Magnet_3D_results_1613.txt")</f>
        <v/>
      </c>
      <c r="AL1613" s="42">
        <f>HIPERLINK($A$1 &amp; "\Dados\Magnet_fields_2D_1613.txt.txt", "Magnet_fields_2D_1613.txt")</f>
        <v/>
      </c>
    </row>
    <row r="1614">
      <c r="E1614" s="15" t="n">
        <v>149</v>
      </c>
      <c r="F1614" s="15" t="n">
        <v>182</v>
      </c>
      <c r="G1614" s="15" t="n">
        <v>375</v>
      </c>
      <c r="H1614" s="15" t="n">
        <v>26</v>
      </c>
      <c r="I1614" s="15" t="n">
        <v>175</v>
      </c>
      <c r="J1614" s="13" t="n">
        <v>25</v>
      </c>
      <c r="K1614" t="n">
        <v>45</v>
      </c>
      <c r="L1614" s="13" t="n">
        <v>2.6</v>
      </c>
      <c r="M1614" s="12" t="n"/>
      <c r="N1614" s="8" t="n">
        <v>1.51844569738423</v>
      </c>
      <c r="O1614" s="15" t="n">
        <v>1.343639604901828</v>
      </c>
      <c r="P1614" s="15" t="n">
        <v>1.469290363175467</v>
      </c>
      <c r="Q1614" s="15" t="n">
        <v>0.003004018130025771</v>
      </c>
      <c r="R1614" s="15" t="n">
        <v>0.02549036516006157</v>
      </c>
      <c r="S1614" s="15" t="n">
        <v>0.003037149393129659</v>
      </c>
      <c r="T1614" s="42">
        <f>HIPERLINK($A$1 &amp; "\Dados\Imagem_perfil_1614.png", "Imagem_perfil_1614")</f>
        <v/>
      </c>
      <c r="U1614" s="42">
        <f>HIPERLINK($A$1 &amp; "\Dados\Results_airgap1614.txt", "Results_airgap1614")</f>
        <v/>
      </c>
      <c r="V1614" s="19" t="n"/>
      <c r="W1614" s="15" t="n">
        <v>1.862316086956521</v>
      </c>
      <c r="X1614" s="15" t="n">
        <v>0.9440021817657517</v>
      </c>
      <c r="Y1614" s="15" t="n">
        <v>0.3627902530044907</v>
      </c>
      <c r="Z1614" s="15" t="n">
        <v>0</v>
      </c>
      <c r="AA1614" s="15" t="n">
        <v>5.700249904147517</v>
      </c>
      <c r="AB1614" s="15" t="n">
        <v>0</v>
      </c>
      <c r="AC1614" s="15" t="n">
        <v>5.251511372890638</v>
      </c>
      <c r="AD1614" s="15" t="n">
        <v>38.77978375951488</v>
      </c>
      <c r="AE1614" s="15" t="n">
        <v>83.35904842552726</v>
      </c>
      <c r="AF1614" s="15" t="n">
        <v>117.3292262672151</v>
      </c>
      <c r="AH1614" s="42">
        <f>HIPERLINK($A$1 &amp; "\Dados\Magnet_fields_1614.txt.txt", "Magnet_fields_1614.txt")</f>
        <v/>
      </c>
      <c r="AI1614" t="n">
        <v>9190</v>
      </c>
      <c r="AJ1614" t="n">
        <v>29</v>
      </c>
      <c r="AK1614" s="42">
        <f>HIPERLINK($A$1 &amp; "\Dados\Magnet_3D_results_1614.txt.txt", "Magnet_3D_results_1614.txt")</f>
        <v/>
      </c>
      <c r="AL1614" s="42">
        <f>HIPERLINK($A$1 &amp; "\Dados\Magnet_fields_2D_1614.txt.txt", "Magnet_fields_2D_1614.txt")</f>
        <v/>
      </c>
    </row>
    <row r="1615">
      <c r="E1615" s="15" t="n">
        <v>143</v>
      </c>
      <c r="F1615" s="15" t="n">
        <v>190</v>
      </c>
      <c r="G1615" s="15" t="n">
        <v>369</v>
      </c>
      <c r="H1615" s="15" t="n">
        <v>33</v>
      </c>
      <c r="I1615" s="15" t="n">
        <v>143</v>
      </c>
      <c r="J1615" s="13" t="n">
        <v>25</v>
      </c>
      <c r="K1615" t="n">
        <v>50</v>
      </c>
      <c r="L1615" s="13" t="n">
        <v>2.6</v>
      </c>
      <c r="M1615" s="12" t="n"/>
      <c r="N1615" s="8" t="n">
        <v>1.222310747576282</v>
      </c>
      <c r="O1615" s="15" t="n">
        <v>0.9774734597153217</v>
      </c>
      <c r="P1615" s="15" t="n">
        <v>1.151838622603438</v>
      </c>
      <c r="Q1615" s="15" t="n">
        <v>0.003975581683378977</v>
      </c>
      <c r="R1615" s="15" t="n">
        <v>0.03353754284976809</v>
      </c>
      <c r="S1615" s="15" t="n">
        <v>0.004848197806818944</v>
      </c>
      <c r="T1615" s="42">
        <f>HIPERLINK($A$1 &amp; "\Dados\Imagem_perfil_1615.png", "Imagem_perfil_1615")</f>
        <v/>
      </c>
      <c r="U1615" s="42">
        <f>HIPERLINK($A$1 &amp; "\Dados\Results_airgap1615.txt", "Results_airgap1615")</f>
        <v/>
      </c>
      <c r="V1615" s="19" t="n"/>
      <c r="W1615" s="15" t="n">
        <v>1.656705217391305</v>
      </c>
      <c r="X1615" s="15" t="n">
        <v>0.7920213310564028</v>
      </c>
      <c r="Y1615" s="15" t="n">
        <v>0.5719620903275991</v>
      </c>
      <c r="Z1615" s="15" t="n">
        <v>0</v>
      </c>
      <c r="AA1615" s="15" t="n">
        <v>0.8983975096250509</v>
      </c>
      <c r="AB1615" s="15" t="n">
        <v>0.6785639275492457</v>
      </c>
      <c r="AC1615" s="15" t="n">
        <v>10.88842789266257</v>
      </c>
      <c r="AD1615" s="15" t="n">
        <v>49.56850069529158</v>
      </c>
      <c r="AE1615" s="15" t="n">
        <v>88.07320809085392</v>
      </c>
      <c r="AF1615" s="15" t="n">
        <v>120.6373662608284</v>
      </c>
      <c r="AH1615" s="42">
        <f>HIPERLINK($A$1 &amp; "\Dados\Magnet_fields_1615.txt.txt", "Magnet_fields_1615.txt")</f>
        <v/>
      </c>
      <c r="AI1615" t="n">
        <v>6976</v>
      </c>
      <c r="AJ1615" t="n">
        <v>29</v>
      </c>
      <c r="AK1615" s="42">
        <f>HIPERLINK($A$1 &amp; "\Dados\Magnet_3D_results_1615.txt.txt", "Magnet_3D_results_1615.txt")</f>
        <v/>
      </c>
      <c r="AL1615" s="42">
        <f>HIPERLINK($A$1 &amp; "\Dados\Magnet_fields_2D_1615.txt.txt", "Magnet_fields_2D_1615.txt")</f>
        <v/>
      </c>
    </row>
    <row r="1616">
      <c r="E1616" s="15" t="n">
        <v>143</v>
      </c>
      <c r="F1616" s="15" t="n">
        <v>175</v>
      </c>
      <c r="G1616" s="15" t="n">
        <v>421</v>
      </c>
      <c r="H1616" s="15" t="n">
        <v>40</v>
      </c>
      <c r="I1616" s="15" t="n">
        <v>167</v>
      </c>
      <c r="J1616" s="13" t="n">
        <v>25</v>
      </c>
      <c r="K1616" t="n">
        <v>40</v>
      </c>
      <c r="L1616" s="13" t="n">
        <v>2.6</v>
      </c>
      <c r="M1616" s="12" t="n"/>
      <c r="N1616" s="8" t="n">
        <v>1.601630684744048</v>
      </c>
      <c r="O1616" s="15" t="n">
        <v>1.379550650576612</v>
      </c>
      <c r="P1616" s="15" t="n">
        <v>1.530844602742838</v>
      </c>
      <c r="Q1616" s="15" t="n">
        <v>0.002477253128157099</v>
      </c>
      <c r="R1616" s="15" t="n">
        <v>0.03634796857741538</v>
      </c>
      <c r="S1616" s="15" t="n">
        <v>0.002505956771688236</v>
      </c>
      <c r="T1616" s="42">
        <f>HIPERLINK($A$1 &amp; "\Dados\Imagem_perfil_1616.png", "Imagem_perfil_1616")</f>
        <v/>
      </c>
      <c r="U1616" s="42">
        <f>HIPERLINK($A$1 &amp; "\Dados\Results_airgap1616.txt", "Results_airgap1616")</f>
        <v/>
      </c>
      <c r="V1616" s="19" t="n"/>
      <c r="W1616" s="15" t="n">
        <v>1.968791521739131</v>
      </c>
      <c r="X1616" s="15" t="n">
        <v>0.9958158356934625</v>
      </c>
      <c r="Y1616" s="15" t="n">
        <v>0.3388373429467804</v>
      </c>
      <c r="Z1616" s="15" t="n">
        <v>0</v>
      </c>
      <c r="AA1616" s="15" t="n">
        <v>1.012109003845153</v>
      </c>
      <c r="AB1616" s="15" t="n">
        <v>0.4995890304919264</v>
      </c>
      <c r="AC1616" s="15" t="n">
        <v>4.707002063417884</v>
      </c>
      <c r="AD1616" s="15" t="n">
        <v>28.78846054691859</v>
      </c>
      <c r="AE1616" s="15" t="n">
        <v>81.11253393984678</v>
      </c>
      <c r="AF1616" s="15" t="n">
        <v>115.2223085242309</v>
      </c>
      <c r="AH1616" s="42">
        <f>HIPERLINK($A$1 &amp; "\Dados\Magnet_fields_1616.txt.txt", "Magnet_fields_1616.txt")</f>
        <v/>
      </c>
      <c r="AI1616" t="n">
        <v>8764</v>
      </c>
      <c r="AJ1616" t="n">
        <v>29</v>
      </c>
      <c r="AK1616" s="42">
        <f>HIPERLINK($A$1 &amp; "\Dados\Magnet_3D_results_1616.txt.txt", "Magnet_3D_results_1616.txt")</f>
        <v/>
      </c>
      <c r="AL1616" s="42">
        <f>HIPERLINK($A$1 &amp; "\Dados\Magnet_fields_2D_1616.txt.txt", "Magnet_fields_2D_1616.txt")</f>
        <v/>
      </c>
    </row>
    <row r="1617">
      <c r="E1617" s="15" t="n">
        <v>139</v>
      </c>
      <c r="F1617" s="15" t="n">
        <v>180</v>
      </c>
      <c r="G1617" s="15" t="n">
        <v>376</v>
      </c>
      <c r="H1617" s="15" t="n">
        <v>35</v>
      </c>
      <c r="I1617" s="15" t="n">
        <v>178</v>
      </c>
      <c r="J1617" s="13" t="n">
        <v>25</v>
      </c>
      <c r="K1617" t="n">
        <v>60</v>
      </c>
      <c r="L1617" s="13" t="n">
        <v>2.6</v>
      </c>
      <c r="M1617" s="12" t="n"/>
      <c r="N1617" s="8" t="n">
        <v>1.510483261356772</v>
      </c>
      <c r="O1617" s="15" t="n">
        <v>1.320469562512158</v>
      </c>
      <c r="P1617" s="15" t="n">
        <v>1.454988328942168</v>
      </c>
      <c r="Q1617" s="15" t="n">
        <v>0.01990510135441238</v>
      </c>
      <c r="R1617" s="15" t="n">
        <v>0.04958378316358459</v>
      </c>
      <c r="S1617" s="15" t="n">
        <v>0.01981155066269955</v>
      </c>
      <c r="T1617" s="42">
        <f>HIPERLINK($A$1 &amp; "\Dados\Imagem_perfil_1617.png", "Imagem_perfil_1617")</f>
        <v/>
      </c>
      <c r="U1617" s="42">
        <f>HIPERLINK($A$1 &amp; "\Dados\Results_airgap1617.txt", "Results_airgap1617")</f>
        <v/>
      </c>
      <c r="V1617" s="19" t="n"/>
      <c r="W1617" s="15" t="n">
        <v>1.91536347826087</v>
      </c>
      <c r="X1617" s="15" t="n">
        <v>0.9429092661072563</v>
      </c>
      <c r="Y1617" s="15" t="n">
        <v>0.2834935781756021</v>
      </c>
      <c r="Z1617" s="15" t="n">
        <v>0</v>
      </c>
      <c r="AA1617" s="15" t="n">
        <v>1.080202176800154</v>
      </c>
      <c r="AB1617" s="15" t="n">
        <v>1.68457255583179</v>
      </c>
      <c r="AC1617" s="15" t="n">
        <v>23.66562234308393</v>
      </c>
      <c r="AD1617" s="15" t="n">
        <v>68.02082609906347</v>
      </c>
      <c r="AE1617" s="15" t="n">
        <v>98.26754495251974</v>
      </c>
      <c r="AF1617" s="15" t="n">
        <v>130.2935388224399</v>
      </c>
      <c r="AH1617" s="42">
        <f>HIPERLINK($A$1 &amp; "\Dados\Magnet_fields_1617.txt.txt", "Magnet_fields_1617.txt")</f>
        <v/>
      </c>
      <c r="AI1617" t="n">
        <v>8629</v>
      </c>
      <c r="AJ1617" t="n">
        <v>30</v>
      </c>
      <c r="AK1617" s="42">
        <f>HIPERLINK($A$1 &amp; "\Dados\Magnet_3D_results_1617.txt.txt", "Magnet_3D_results_1617.txt")</f>
        <v/>
      </c>
      <c r="AL1617" s="42">
        <f>HIPERLINK($A$1 &amp; "\Dados\Magnet_fields_2D_1617.txt.txt", "Magnet_fields_2D_1617.txt")</f>
        <v/>
      </c>
    </row>
    <row r="1618">
      <c r="E1618" s="15" t="n">
        <v>143</v>
      </c>
      <c r="F1618" s="15" t="n">
        <v>192</v>
      </c>
      <c r="G1618" s="15" t="n">
        <v>390</v>
      </c>
      <c r="H1618" s="15" t="n">
        <v>32</v>
      </c>
      <c r="I1618" s="15" t="n">
        <v>159</v>
      </c>
      <c r="J1618" s="13" t="n">
        <v>25</v>
      </c>
      <c r="K1618" t="n">
        <v>45</v>
      </c>
      <c r="L1618" s="13" t="n">
        <v>2.6</v>
      </c>
      <c r="M1618" s="12" t="n"/>
      <c r="N1618" s="8" t="n">
        <v>1.254206427378282</v>
      </c>
      <c r="O1618" s="15" t="n">
        <v>1.068428738739997</v>
      </c>
      <c r="P1618" s="15" t="n">
        <v>1.19986001068734</v>
      </c>
      <c r="Q1618" s="15" t="n">
        <v>0.002342011188789981</v>
      </c>
      <c r="R1618" s="15" t="n">
        <v>0.03388826115897249</v>
      </c>
      <c r="S1618" s="15" t="n">
        <v>0.002819636427435391</v>
      </c>
      <c r="T1618" s="42">
        <f>HIPERLINK($A$1 &amp; "\Dados\Imagem_perfil_1618.png", "Imagem_perfil_1618")</f>
        <v/>
      </c>
      <c r="U1618" s="42">
        <f>HIPERLINK($A$1 &amp; "\Dados\Results_airgap1618.txt", "Results_airgap1618")</f>
        <v/>
      </c>
      <c r="V1618" s="19" t="n"/>
      <c r="W1618" s="15" t="n">
        <v>1.647644347826087</v>
      </c>
      <c r="X1618" s="15" t="n">
        <v>0.8060500481012195</v>
      </c>
      <c r="Y1618" s="15" t="n">
        <v>0.6487980513457124</v>
      </c>
      <c r="Z1618" s="15" t="n">
        <v>0</v>
      </c>
      <c r="AA1618" s="15" t="n">
        <v>2.275198521235544</v>
      </c>
      <c r="AB1618" s="15" t="n">
        <v>1.08607673981157</v>
      </c>
      <c r="AC1618" s="15" t="n">
        <v>8.673509101640054</v>
      </c>
      <c r="AD1618" s="15" t="n">
        <v>39.28185052368833</v>
      </c>
      <c r="AE1618" s="15" t="n">
        <v>82.8739136746504</v>
      </c>
      <c r="AF1618" s="15" t="n">
        <v>117.1352615913666</v>
      </c>
      <c r="AH1618" s="42">
        <f>HIPERLINK($A$1 &amp; "\Dados\Magnet_fields_1618.txt.txt", "Magnet_fields_1618.txt")</f>
        <v/>
      </c>
      <c r="AI1618" t="n">
        <v>7222</v>
      </c>
      <c r="AJ1618" t="n">
        <v>29</v>
      </c>
      <c r="AK1618" s="42">
        <f>HIPERLINK($A$1 &amp; "\Dados\Magnet_3D_results_1618.txt.txt", "Magnet_3D_results_1618.txt")</f>
        <v/>
      </c>
      <c r="AL1618" s="42">
        <f>HIPERLINK($A$1 &amp; "\Dados\Magnet_fields_2D_1618.txt.txt", "Magnet_fields_2D_1618.txt")</f>
        <v/>
      </c>
    </row>
    <row r="1619">
      <c r="E1619" s="15" t="n">
        <v>135</v>
      </c>
      <c r="F1619" s="15" t="n">
        <v>184</v>
      </c>
      <c r="G1619" s="15" t="n">
        <v>402</v>
      </c>
      <c r="H1619" s="15" t="n">
        <v>25</v>
      </c>
      <c r="I1619" s="15" t="n">
        <v>149</v>
      </c>
      <c r="J1619" s="13" t="n">
        <v>25</v>
      </c>
      <c r="K1619" t="n">
        <v>45</v>
      </c>
      <c r="L1619" s="13" t="n">
        <v>2.6</v>
      </c>
      <c r="M1619" s="12" t="n"/>
      <c r="N1619" s="8" t="n">
        <v>1.27630982862879</v>
      </c>
      <c r="O1619" s="15" t="n">
        <v>1.041304894800853</v>
      </c>
      <c r="P1619" s="15" t="n">
        <v>1.203973448363352</v>
      </c>
      <c r="Q1619" s="15" t="n">
        <v>0.00291952258581543</v>
      </c>
      <c r="R1619" s="15" t="n">
        <v>0.03995567224449794</v>
      </c>
      <c r="S1619" s="15" t="n">
        <v>0.00370256119573771</v>
      </c>
      <c r="T1619" s="42">
        <f>HIPERLINK($A$1 &amp; "\Dados\Imagem_perfil_1619.png", "Imagem_perfil_1619")</f>
        <v/>
      </c>
      <c r="U1619" s="42">
        <f>HIPERLINK($A$1 &amp; "\Dados\Results_airgap1619.txt", "Results_airgap1619")</f>
        <v/>
      </c>
      <c r="V1619" s="19" t="n"/>
      <c r="W1619" s="15" t="n">
        <v>1.742771086956522</v>
      </c>
      <c r="X1619" s="15" t="n">
        <v>0.8228820577341205</v>
      </c>
      <c r="Y1619" s="15" t="n">
        <v>0.5424320087544687</v>
      </c>
      <c r="Z1619" s="15" t="n">
        <v>0</v>
      </c>
      <c r="AA1619" s="15" t="n">
        <v>2.452547178456618</v>
      </c>
      <c r="AB1619" s="15" t="n">
        <v>1.751159355931275</v>
      </c>
      <c r="AC1619" s="15" t="n">
        <v>11.41513404085146</v>
      </c>
      <c r="AD1619" s="15" t="n">
        <v>45.96077206943476</v>
      </c>
      <c r="AE1619" s="15" t="n">
        <v>87.65611375267515</v>
      </c>
      <c r="AF1619" s="15" t="n">
        <v>118.726700138053</v>
      </c>
      <c r="AH1619" s="42">
        <f>HIPERLINK($A$1 &amp; "\Dados\Magnet_fields_1619.txt.txt", "Magnet_fields_1619.txt")</f>
        <v/>
      </c>
      <c r="AI1619" t="n">
        <v>9115</v>
      </c>
      <c r="AJ1619" t="n">
        <v>29</v>
      </c>
      <c r="AK1619" s="42">
        <f>HIPERLINK($A$1 &amp; "\Dados\Magnet_3D_results_1619.txt.txt", "Magnet_3D_results_1619.txt")</f>
        <v/>
      </c>
      <c r="AL1619" s="42">
        <f>HIPERLINK($A$1 &amp; "\Dados\Magnet_fields_2D_1619.txt.txt", "Magnet_fields_2D_1619.txt")</f>
        <v/>
      </c>
    </row>
    <row r="1620">
      <c r="E1620" s="15" t="n">
        <v>143</v>
      </c>
      <c r="F1620" s="15" t="n">
        <v>175</v>
      </c>
      <c r="G1620" s="15" t="n">
        <v>383</v>
      </c>
      <c r="H1620" s="15" t="n">
        <v>43</v>
      </c>
      <c r="I1620" s="15" t="n">
        <v>150</v>
      </c>
      <c r="J1620" s="13" t="n">
        <v>25</v>
      </c>
      <c r="K1620" t="n">
        <v>50</v>
      </c>
      <c r="L1620" s="13" t="n">
        <v>2.6</v>
      </c>
      <c r="M1620" s="12" t="n"/>
      <c r="N1620" s="8" t="n">
        <v>1.55302869274506</v>
      </c>
      <c r="O1620" s="15" t="n">
        <v>1.270767677200187</v>
      </c>
      <c r="P1620" s="15" t="n">
        <v>1.466805908570573</v>
      </c>
      <c r="Q1620" s="15" t="n">
        <v>0.006664187568957963</v>
      </c>
      <c r="R1620" s="15" t="n">
        <v>0.03961935423172666</v>
      </c>
      <c r="S1620" s="15" t="n">
        <v>0.006829049129698298</v>
      </c>
      <c r="T1620" s="42">
        <f>HIPERLINK($A$1 &amp; "\Dados\Imagem_perfil_1620.png", "Imagem_perfil_1620")</f>
        <v/>
      </c>
      <c r="U1620" s="42">
        <f>HIPERLINK($A$1 &amp; "\Dados\Results_airgap1620.txt", "Results_airgap1620")</f>
        <v/>
      </c>
      <c r="V1620" s="19" t="n"/>
      <c r="W1620" s="15" t="n">
        <v>1.986783695652174</v>
      </c>
      <c r="X1620" s="15" t="n">
        <v>0.9557473046443574</v>
      </c>
      <c r="Y1620" s="15" t="n">
        <v>0.2392135964477351</v>
      </c>
      <c r="Z1620" s="15" t="n">
        <v>0</v>
      </c>
      <c r="AA1620" s="15" t="n">
        <v>0.009690111273385531</v>
      </c>
      <c r="AB1620" s="15" t="n">
        <v>0</v>
      </c>
      <c r="AC1620" s="15" t="n">
        <v>5.57039951947839</v>
      </c>
      <c r="AD1620" s="15" t="n">
        <v>47.02417613244259</v>
      </c>
      <c r="AE1620" s="15" t="n">
        <v>91.16212659735116</v>
      </c>
      <c r="AF1620" s="15" t="n">
        <v>122.7151041431079</v>
      </c>
      <c r="AH1620" s="42">
        <f>HIPERLINK($A$1 &amp; "\Dados\Magnet_fields_1620.txt.txt", "Magnet_fields_1620.txt")</f>
        <v/>
      </c>
      <c r="AI1620" t="n">
        <v>6766</v>
      </c>
      <c r="AJ1620" t="n">
        <v>28</v>
      </c>
      <c r="AK1620" s="42">
        <f>HIPERLINK($A$1 &amp; "\Dados\Magnet_3D_results_1620.txt.txt", "Magnet_3D_results_1620.txt")</f>
        <v/>
      </c>
      <c r="AL1620" s="42">
        <f>HIPERLINK($A$1 &amp; "\Dados\Magnet_fields_2D_1620.txt.txt", "Magnet_fields_2D_1620.txt")</f>
        <v/>
      </c>
    </row>
    <row r="1621">
      <c r="E1621" s="15" t="n">
        <v>131</v>
      </c>
      <c r="F1621" s="15" t="n">
        <v>174</v>
      </c>
      <c r="G1621" s="15" t="n">
        <v>386</v>
      </c>
      <c r="H1621" s="15" t="n">
        <v>42</v>
      </c>
      <c r="I1621" s="15" t="n">
        <v>150</v>
      </c>
      <c r="J1621" s="13" t="n">
        <v>25</v>
      </c>
      <c r="K1621" t="n">
        <v>55</v>
      </c>
      <c r="L1621" s="13" t="n">
        <v>2.6</v>
      </c>
      <c r="M1621" s="12" t="n"/>
      <c r="N1621" s="8" t="n">
        <v>1.427696401888015</v>
      </c>
      <c r="O1621" s="15" t="n">
        <v>1.141548740528413</v>
      </c>
      <c r="P1621" s="15" t="n">
        <v>1.342211394110193</v>
      </c>
      <c r="Q1621" s="15" t="n">
        <v>0.01260755554333348</v>
      </c>
      <c r="R1621" s="15" t="n">
        <v>0.05312724801382102</v>
      </c>
      <c r="S1621" s="15" t="n">
        <v>0.01348597496280742</v>
      </c>
      <c r="T1621" s="42">
        <f>HIPERLINK($A$1 &amp; "\Dados\Imagem_perfil_1621.png", "Imagem_perfil_1621")</f>
        <v/>
      </c>
      <c r="U1621" s="42">
        <f>HIPERLINK($A$1 &amp; "\Dados\Results_airgap1621.txt", "Results_airgap1621")</f>
        <v/>
      </c>
      <c r="V1621" s="19" t="n"/>
      <c r="W1621" s="15" t="n">
        <v>1.924414347826087</v>
      </c>
      <c r="X1621" s="15" t="n">
        <v>0.9294295261154568</v>
      </c>
      <c r="Y1621" s="15" t="n">
        <v>0.3102205846250048</v>
      </c>
      <c r="Z1621" s="15" t="n">
        <v>0</v>
      </c>
      <c r="AA1621" s="15" t="n">
        <v>0.005455908207222893</v>
      </c>
      <c r="AB1621" s="15" t="n">
        <v>2.056687404945266</v>
      </c>
      <c r="AC1621" s="15" t="n">
        <v>16.93414783423986</v>
      </c>
      <c r="AD1621" s="15" t="n">
        <v>56.88691660416828</v>
      </c>
      <c r="AE1621" s="15" t="n">
        <v>92.92651278386843</v>
      </c>
      <c r="AF1621" s="15" t="n">
        <v>125.8944236745286</v>
      </c>
      <c r="AH1621" s="42">
        <f>HIPERLINK($A$1 &amp; "\Dados\Magnet_fields_1621.txt.txt", "Magnet_fields_1621.txt")</f>
        <v/>
      </c>
      <c r="AI1621" t="n">
        <v>10712</v>
      </c>
      <c r="AJ1621" t="n">
        <v>30</v>
      </c>
      <c r="AK1621" s="42">
        <f>HIPERLINK($A$1 &amp; "\Dados\Magnet_3D_results_1621.txt.txt", "Magnet_3D_results_1621.txt")</f>
        <v/>
      </c>
      <c r="AL1621" s="42">
        <f>HIPERLINK($A$1 &amp; "\Dados\Magnet_fields_2D_1621.txt.txt", "Magnet_fields_2D_1621.txt")</f>
        <v/>
      </c>
    </row>
    <row r="1622">
      <c r="E1622" s="15" t="n">
        <v>145</v>
      </c>
      <c r="F1622" s="15" t="n">
        <v>187</v>
      </c>
      <c r="G1622" s="15" t="n">
        <v>385</v>
      </c>
      <c r="H1622" s="15" t="n">
        <v>25</v>
      </c>
      <c r="I1622" s="15" t="n">
        <v>146</v>
      </c>
      <c r="J1622" s="13" t="n">
        <v>25</v>
      </c>
      <c r="K1622" t="n">
        <v>50</v>
      </c>
      <c r="L1622" s="13" t="n">
        <v>2.6</v>
      </c>
      <c r="M1622" s="12" t="n"/>
      <c r="N1622" s="8" t="n">
        <v>1.332070204818285</v>
      </c>
      <c r="O1622" s="15" t="n">
        <v>1.053293497476229</v>
      </c>
      <c r="P1622" s="15" t="n">
        <v>1.249942337988213</v>
      </c>
      <c r="Q1622" s="15" t="n">
        <v>0.003512579191266945</v>
      </c>
      <c r="R1622" s="15" t="n">
        <v>0.03424059183837689</v>
      </c>
      <c r="S1622" s="15" t="n">
        <v>0.004286990262713351</v>
      </c>
      <c r="T1622" s="42">
        <f>HIPERLINK($A$1 &amp; "\Dados\Imagem_perfil_1622.png", "Imagem_perfil_1622")</f>
        <v/>
      </c>
      <c r="U1622" s="42">
        <f>HIPERLINK($A$1 &amp; "\Dados\Results_airgap1622.txt", "Results_airgap1622")</f>
        <v/>
      </c>
      <c r="V1622" s="19" t="n"/>
      <c r="W1622" s="15" t="n">
        <v>1.797521521739131</v>
      </c>
      <c r="X1622" s="15" t="n">
        <v>0.8509617321228751</v>
      </c>
      <c r="Y1622" s="15" t="n">
        <v>0.4137256304129858</v>
      </c>
      <c r="Z1622" s="15" t="n">
        <v>0.005405465715868347</v>
      </c>
      <c r="AA1622" s="15" t="n">
        <v>5.138117867018012</v>
      </c>
      <c r="AB1622" s="15" t="n">
        <v>0.1718437758143574</v>
      </c>
      <c r="AC1622" s="15" t="n">
        <v>8.135396462623477</v>
      </c>
      <c r="AD1622" s="15" t="n">
        <v>50.0622637399906</v>
      </c>
      <c r="AE1622" s="15" t="n">
        <v>91.59902379032914</v>
      </c>
      <c r="AF1622" s="15" t="n">
        <v>122.2125048983818</v>
      </c>
      <c r="AH1622" s="42">
        <f>HIPERLINK($A$1 &amp; "\Dados\Magnet_fields_1622.txt.txt", "Magnet_fields_1622.txt")</f>
        <v/>
      </c>
      <c r="AI1622" t="n">
        <v>9341</v>
      </c>
      <c r="AJ1622" t="n">
        <v>30</v>
      </c>
      <c r="AK1622" s="42">
        <f>HIPERLINK($A$1 &amp; "\Dados\Magnet_3D_results_1622.txt.txt", "Magnet_3D_results_1622.txt")</f>
        <v/>
      </c>
      <c r="AL1622" s="42">
        <f>HIPERLINK($A$1 &amp; "\Dados\Magnet_fields_2D_1622.txt.txt", "Magnet_fields_2D_1622.txt")</f>
        <v/>
      </c>
    </row>
    <row r="1623">
      <c r="E1623" s="15" t="n">
        <v>136</v>
      </c>
      <c r="F1623" s="15" t="n">
        <v>182</v>
      </c>
      <c r="G1623" s="15" t="n">
        <v>380</v>
      </c>
      <c r="H1623" s="15" t="n">
        <v>31</v>
      </c>
      <c r="I1623" s="15" t="n">
        <v>180</v>
      </c>
      <c r="J1623" s="13" t="n">
        <v>25</v>
      </c>
      <c r="K1623" t="n">
        <v>50</v>
      </c>
      <c r="L1623" s="13" t="n">
        <v>2.6</v>
      </c>
      <c r="M1623" s="12" t="n"/>
      <c r="N1623" s="8" t="n">
        <v>1.401177627148631</v>
      </c>
      <c r="O1623" s="15" t="n">
        <v>1.219829428834623</v>
      </c>
      <c r="P1623" s="15" t="n">
        <v>1.348991802637737</v>
      </c>
      <c r="Q1623" s="15" t="n">
        <v>0.005676515632273204</v>
      </c>
      <c r="R1623" s="15" t="n">
        <v>0.04073269412068301</v>
      </c>
      <c r="S1623" s="15" t="n">
        <v>0.005897320116262305</v>
      </c>
      <c r="T1623" s="42">
        <f>HIPERLINK($A$1 &amp; "\Dados\Imagem_perfil_1623.png", "Imagem_perfil_1623")</f>
        <v/>
      </c>
      <c r="U1623" s="42">
        <f>HIPERLINK($A$1 &amp; "\Dados\Results_airgap1623.txt", "Results_airgap1623")</f>
        <v/>
      </c>
      <c r="V1623" s="19" t="n"/>
      <c r="W1623" s="15" t="n">
        <v>1.770118260869565</v>
      </c>
      <c r="X1623" s="15" t="n">
        <v>0.9015890417363888</v>
      </c>
      <c r="Y1623" s="15" t="n">
        <v>0.4733159203837017</v>
      </c>
      <c r="Z1623" s="15" t="n">
        <v>0.001576159407556291</v>
      </c>
      <c r="AA1623" s="15" t="n">
        <v>2.890619182594591</v>
      </c>
      <c r="AB1623" s="15" t="n">
        <v>2.110901169516306</v>
      </c>
      <c r="AC1623" s="15" t="n">
        <v>14.45774563884246</v>
      </c>
      <c r="AD1623" s="15" t="n">
        <v>49.31212658254239</v>
      </c>
      <c r="AE1623" s="15" t="n">
        <v>86.7816410899123</v>
      </c>
      <c r="AF1623" s="15" t="n">
        <v>120.6846253018177</v>
      </c>
      <c r="AH1623" s="42">
        <f>HIPERLINK($A$1 &amp; "\Dados\Magnet_fields_1623.txt.txt", "Magnet_fields_1623.txt")</f>
        <v/>
      </c>
      <c r="AI1623" t="n">
        <v>8378</v>
      </c>
      <c r="AJ1623" t="n">
        <v>30</v>
      </c>
      <c r="AK1623" s="42">
        <f>HIPERLINK($A$1 &amp; "\Dados\Magnet_3D_results_1623.txt.txt", "Magnet_3D_results_1623.txt")</f>
        <v/>
      </c>
      <c r="AL1623" s="42">
        <f>HIPERLINK($A$1 &amp; "\Dados\Magnet_fields_2D_1623.txt.txt", "Magnet_fields_2D_1623.txt")</f>
        <v/>
      </c>
    </row>
    <row r="1624">
      <c r="E1624" s="15" t="n">
        <v>130</v>
      </c>
      <c r="F1624" s="15" t="n">
        <v>174</v>
      </c>
      <c r="G1624" s="15" t="n">
        <v>352</v>
      </c>
      <c r="H1624" s="15" t="n">
        <v>43</v>
      </c>
      <c r="I1624" s="15" t="n">
        <v>149</v>
      </c>
      <c r="J1624" s="13" t="n">
        <v>25</v>
      </c>
      <c r="K1624" t="n">
        <v>45</v>
      </c>
      <c r="L1624" s="13" t="n">
        <v>2.6</v>
      </c>
      <c r="M1624" s="12" t="n"/>
      <c r="N1624" s="8" t="n">
        <v>1.299655583680509</v>
      </c>
      <c r="O1624" s="15" t="n">
        <v>1.048657445532372</v>
      </c>
      <c r="P1624" s="15" t="n">
        <v>1.221092242174891</v>
      </c>
      <c r="Q1624" s="15" t="n">
        <v>0.002546928464772945</v>
      </c>
      <c r="R1624" s="15" t="n">
        <v>0.03366692436372407</v>
      </c>
      <c r="S1624" s="15" t="n">
        <v>0.003202347727746098</v>
      </c>
      <c r="T1624" s="42">
        <f>HIPERLINK($A$1 &amp; "\Dados\Imagem_perfil_1624.png", "Imagem_perfil_1624")</f>
        <v/>
      </c>
      <c r="U1624" s="42">
        <f>HIPERLINK($A$1 &amp; "\Dados\Results_airgap1624.txt", "Results_airgap1624")</f>
        <v/>
      </c>
      <c r="V1624" s="19" t="n"/>
      <c r="W1624" s="15" t="n">
        <v>1.66595152173913</v>
      </c>
      <c r="X1624" s="15" t="n">
        <v>0.8222182445310642</v>
      </c>
      <c r="Y1624" s="15" t="n">
        <v>0.6288465375981726</v>
      </c>
      <c r="Z1624" s="15" t="n">
        <v>0</v>
      </c>
      <c r="AA1624" s="15" t="n">
        <v>0</v>
      </c>
      <c r="AB1624" s="15" t="n">
        <v>1.74652499074477</v>
      </c>
      <c r="AC1624" s="15" t="n">
        <v>11.92756669765655</v>
      </c>
      <c r="AD1624" s="15" t="n">
        <v>42.18139682116188</v>
      </c>
      <c r="AE1624" s="15" t="n">
        <v>81.26945554768889</v>
      </c>
      <c r="AF1624" s="15" t="n">
        <v>116.0617505294405</v>
      </c>
      <c r="AH1624" s="42">
        <f>HIPERLINK($A$1 &amp; "\Dados\Magnet_fields_1624.txt.txt", "Magnet_fields_1624.txt")</f>
        <v/>
      </c>
      <c r="AI1624" t="n">
        <v>5879</v>
      </c>
      <c r="AJ1624" t="n">
        <v>28</v>
      </c>
      <c r="AK1624" s="42">
        <f>HIPERLINK($A$1 &amp; "\Dados\Magnet_3D_results_1624.txt.txt", "Magnet_3D_results_1624.txt")</f>
        <v/>
      </c>
      <c r="AL1624" s="42">
        <f>HIPERLINK($A$1 &amp; "\Dados\Magnet_fields_2D_1624.txt.txt", "Magnet_fields_2D_1624.txt")</f>
        <v/>
      </c>
    </row>
    <row r="1625">
      <c r="E1625" s="15" t="n">
        <v>148</v>
      </c>
      <c r="F1625" s="15" t="n">
        <v>197</v>
      </c>
      <c r="G1625" s="15" t="n">
        <v>379</v>
      </c>
      <c r="H1625" s="15" t="n">
        <v>29</v>
      </c>
      <c r="I1625" s="15" t="n">
        <v>149</v>
      </c>
      <c r="J1625" s="13" t="n">
        <v>25</v>
      </c>
      <c r="K1625" t="n">
        <v>45</v>
      </c>
      <c r="L1625" s="13" t="n">
        <v>2.6</v>
      </c>
      <c r="M1625" s="12" t="n"/>
      <c r="N1625" s="8" t="n">
        <v>1.19358888897769</v>
      </c>
      <c r="O1625" s="15" t="n">
        <v>0.9583251750301772</v>
      </c>
      <c r="P1625" s="15" t="n">
        <v>1.12481767760384</v>
      </c>
      <c r="Q1625" s="15" t="n">
        <v>0.001761964868918306</v>
      </c>
      <c r="R1625" s="15" t="n">
        <v>0.02820168391319116</v>
      </c>
      <c r="S1625" s="15" t="n">
        <v>0.002519099479352538</v>
      </c>
      <c r="T1625" s="42">
        <f>HIPERLINK($A$1 &amp; "\Dados\Imagem_perfil_1625.png", "Imagem_perfil_1625")</f>
        <v/>
      </c>
      <c r="U1625" s="42">
        <f>HIPERLINK($A$1 &amp; "\Dados\Results_airgap1625.txt", "Results_airgap1625")</f>
        <v/>
      </c>
      <c r="V1625" s="19" t="n"/>
      <c r="W1625" s="15" t="n">
        <v>1.584606739130435</v>
      </c>
      <c r="X1625" s="15" t="n">
        <v>0.7607371766945445</v>
      </c>
      <c r="Y1625" s="15" t="n">
        <v>0.6903510992938172</v>
      </c>
      <c r="Z1625" s="15" t="n">
        <v>0</v>
      </c>
      <c r="AA1625" s="15" t="n">
        <v>3.039375317032824</v>
      </c>
      <c r="AB1625" s="15" t="n">
        <v>0.2261206154855858</v>
      </c>
      <c r="AC1625" s="15" t="n">
        <v>7.147028153474674</v>
      </c>
      <c r="AD1625" s="15" t="n">
        <v>40.25048244115406</v>
      </c>
      <c r="AE1625" s="15" t="n">
        <v>83.66775133539841</v>
      </c>
      <c r="AF1625" s="15" t="n">
        <v>116.9121548355831</v>
      </c>
      <c r="AH1625" s="42">
        <f>HIPERLINK($A$1 &amp; "\Dados\Magnet_fields_1625.txt.txt", "Magnet_fields_1625.txt")</f>
        <v/>
      </c>
      <c r="AI1625" t="n">
        <v>7715</v>
      </c>
      <c r="AJ1625" t="n">
        <v>29</v>
      </c>
      <c r="AK1625" s="42">
        <f>HIPERLINK($A$1 &amp; "\Dados\Magnet_3D_results_1625.txt.txt", "Magnet_3D_results_1625.txt")</f>
        <v/>
      </c>
      <c r="AL1625" s="42">
        <f>HIPERLINK($A$1 &amp; "\Dados\Magnet_fields_2D_1625.txt.txt", "Magnet_fields_2D_1625.txt")</f>
        <v/>
      </c>
    </row>
    <row r="1626">
      <c r="E1626" s="15" t="n">
        <v>149</v>
      </c>
      <c r="F1626" s="15" t="n">
        <v>197</v>
      </c>
      <c r="G1626" s="15" t="n">
        <v>352</v>
      </c>
      <c r="H1626" s="15" t="n">
        <v>43</v>
      </c>
      <c r="I1626" s="15" t="n">
        <v>151</v>
      </c>
      <c r="J1626" s="13" t="n">
        <v>25</v>
      </c>
      <c r="K1626" t="n">
        <v>60</v>
      </c>
      <c r="L1626" s="13" t="n">
        <v>2.6</v>
      </c>
      <c r="M1626" s="12" t="n"/>
      <c r="N1626" s="8" t="n">
        <v>1.186049376601359</v>
      </c>
      <c r="O1626" s="15" t="n">
        <v>0.9554254376878616</v>
      </c>
      <c r="P1626" s="15" t="n">
        <v>1.117912432987314</v>
      </c>
      <c r="Q1626" s="15" t="n">
        <v>0.01551295142183846</v>
      </c>
      <c r="R1626" s="15" t="n">
        <v>0.03488679114411842</v>
      </c>
      <c r="S1626" s="15" t="n">
        <v>0.0154559914469626</v>
      </c>
      <c r="T1626" s="42">
        <f>HIPERLINK($A$1 &amp; "\Dados\Imagem_perfil_1626.png", "Imagem_perfil_1626")</f>
        <v/>
      </c>
      <c r="U1626" s="42">
        <f>HIPERLINK($A$1 &amp; "\Dados\Results_airgap1626.txt", "Results_airgap1626")</f>
        <v/>
      </c>
      <c r="V1626" s="19" t="n"/>
      <c r="W1626" s="15" t="n">
        <v>1.545006304347826</v>
      </c>
      <c r="X1626" s="15" t="n">
        <v>0.7696927308338454</v>
      </c>
      <c r="Y1626" s="15" t="n">
        <v>0.63875654992717</v>
      </c>
      <c r="Z1626" s="15" t="n">
        <v>0.03360260003787213</v>
      </c>
      <c r="AA1626" s="15" t="n">
        <v>0.2663059786410142</v>
      </c>
      <c r="AB1626" s="15" t="n">
        <v>0</v>
      </c>
      <c r="AC1626" s="15" t="n">
        <v>13.73437203843967</v>
      </c>
      <c r="AD1626" s="15" t="n">
        <v>64.55679063327455</v>
      </c>
      <c r="AE1626" s="15" t="n">
        <v>96.33117464174545</v>
      </c>
      <c r="AF1626" s="15" t="n">
        <v>127.9839833506898</v>
      </c>
      <c r="AH1626" s="42">
        <f>HIPERLINK($A$1 &amp; "\Dados\Magnet_fields_1626.txt.txt", "Magnet_fields_1626.txt")</f>
        <v/>
      </c>
      <c r="AI1626" t="n">
        <v>7594</v>
      </c>
      <c r="AJ1626" t="n">
        <v>30</v>
      </c>
      <c r="AK1626" s="42">
        <f>HIPERLINK($A$1 &amp; "\Dados\Magnet_3D_results_1626.txt.txt", "Magnet_3D_results_1626.txt")</f>
        <v/>
      </c>
      <c r="AL1626" s="42">
        <f>HIPERLINK($A$1 &amp; "\Dados\Magnet_fields_2D_1626.txt.txt", "Magnet_fields_2D_1626.txt")</f>
        <v/>
      </c>
    </row>
    <row r="1627">
      <c r="E1627" s="15" t="n">
        <v>145</v>
      </c>
      <c r="F1627" s="15" t="n">
        <v>187</v>
      </c>
      <c r="G1627" s="15" t="n">
        <v>402</v>
      </c>
      <c r="H1627" s="15" t="n">
        <v>42</v>
      </c>
      <c r="I1627" s="15" t="n">
        <v>164</v>
      </c>
      <c r="J1627" s="13" t="n">
        <v>25</v>
      </c>
      <c r="K1627" t="n">
        <v>50</v>
      </c>
      <c r="L1627" s="13" t="n">
        <v>2.6</v>
      </c>
      <c r="M1627" s="12" t="n"/>
      <c r="N1627" s="8" t="n">
        <v>1.4423956479607</v>
      </c>
      <c r="O1627" s="15" t="n">
        <v>1.227596199213782</v>
      </c>
      <c r="P1627" s="15" t="n">
        <v>1.378098127858282</v>
      </c>
      <c r="Q1627" s="15" t="n">
        <v>0.004534736950764056</v>
      </c>
      <c r="R1627" s="15" t="n">
        <v>0.04506055256228627</v>
      </c>
      <c r="S1627" s="15" t="n">
        <v>0.005237272714007901</v>
      </c>
      <c r="T1627" s="42">
        <f>HIPERLINK($A$1 &amp; "\Dados\Imagem_perfil_1627.png", "Imagem_perfil_1627")</f>
        <v/>
      </c>
      <c r="U1627" s="42">
        <f>HIPERLINK($A$1 &amp; "\Dados\Results_airgap1627.txt", "Results_airgap1627")</f>
        <v/>
      </c>
      <c r="V1627" s="19" t="n"/>
      <c r="W1627" s="15" t="n">
        <v>1.870436956521739</v>
      </c>
      <c r="X1627" s="15" t="n">
        <v>0.9315277378744028</v>
      </c>
      <c r="Y1627" s="15" t="n">
        <v>0.3563001640902698</v>
      </c>
      <c r="Z1627" s="15" t="n">
        <v>0</v>
      </c>
      <c r="AA1627" s="15" t="n">
        <v>0</v>
      </c>
      <c r="AB1627" s="15" t="n">
        <v>0.4763002042777083</v>
      </c>
      <c r="AC1627" s="15" t="n">
        <v>8.916694078035647</v>
      </c>
      <c r="AD1627" s="15" t="n">
        <v>50.75883959031343</v>
      </c>
      <c r="AE1627" s="15" t="n">
        <v>92.26013796253379</v>
      </c>
      <c r="AF1627" s="15" t="n">
        <v>122.6285575809976</v>
      </c>
      <c r="AH1627" s="42">
        <f>HIPERLINK($A$1 &amp; "\Dados\Magnet_fields_1627.txt.txt", "Magnet_fields_1627.txt")</f>
        <v/>
      </c>
      <c r="AI1627" t="n">
        <v>6625</v>
      </c>
      <c r="AJ1627" t="n">
        <v>29</v>
      </c>
      <c r="AK1627" s="42">
        <f>HIPERLINK($A$1 &amp; "\Dados\Magnet_3D_results_1627.txt.txt", "Magnet_3D_results_1627.txt")</f>
        <v/>
      </c>
      <c r="AL1627" s="42">
        <f>HIPERLINK($A$1 &amp; "\Dados\Magnet_fields_2D_1627.txt.txt", "Magnet_fields_2D_1627.txt")</f>
        <v/>
      </c>
    </row>
    <row r="1628">
      <c r="E1628" s="15" t="n">
        <v>144</v>
      </c>
      <c r="F1628" s="15" t="n">
        <v>185</v>
      </c>
      <c r="G1628" s="15" t="n">
        <v>387</v>
      </c>
      <c r="H1628" s="15" t="n">
        <v>41</v>
      </c>
      <c r="I1628" s="15" t="n">
        <v>175</v>
      </c>
      <c r="J1628" s="13" t="n">
        <v>25</v>
      </c>
      <c r="K1628" t="n">
        <v>60</v>
      </c>
      <c r="L1628" s="13" t="n">
        <v>2.6</v>
      </c>
      <c r="M1628" s="12" t="n"/>
      <c r="N1628" s="8" t="n">
        <v>1.469819280603624</v>
      </c>
      <c r="O1628" s="15" t="n">
        <v>1.315269735140806</v>
      </c>
      <c r="P1628" s="15" t="n">
        <v>1.418715191543175</v>
      </c>
      <c r="Q1628" s="15" t="n">
        <v>0.01853665828770709</v>
      </c>
      <c r="R1628" s="15" t="n">
        <v>0.05144905846562937</v>
      </c>
      <c r="S1628" s="15" t="n">
        <v>0.01886994938397761</v>
      </c>
      <c r="T1628" s="42">
        <f>HIPERLINK($A$1 &amp; "\Dados\Imagem_perfil_1628.png", "Imagem_perfil_1628")</f>
        <v/>
      </c>
      <c r="U1628" s="42">
        <f>HIPERLINK($A$1 &amp; "\Dados\Results_airgap1628.txt", "Results_airgap1628")</f>
        <v/>
      </c>
      <c r="V1628" s="19" t="n"/>
      <c r="W1628" s="15" t="n">
        <v>1.88955347826087</v>
      </c>
      <c r="X1628" s="15" t="n">
        <v>0.9396938431768342</v>
      </c>
      <c r="Y1628" s="15" t="n">
        <v>0.2978326580284843</v>
      </c>
      <c r="Z1628" s="15" t="n">
        <v>0.03401254123908462</v>
      </c>
      <c r="AA1628" s="15" t="n">
        <v>0.05439326375210144</v>
      </c>
      <c r="AB1628" s="15" t="n">
        <v>0.2726202507560347</v>
      </c>
      <c r="AC1628" s="15" t="n">
        <v>14.74981024023821</v>
      </c>
      <c r="AD1628" s="15" t="n">
        <v>66.6827860524146</v>
      </c>
      <c r="AE1628" s="15" t="n">
        <v>99.56801037366643</v>
      </c>
      <c r="AF1628" s="15" t="n">
        <v>130.8817023150017</v>
      </c>
      <c r="AH1628" s="42">
        <f>HIPERLINK($A$1 &amp; "\Dados\Magnet_fields_1628.txt.txt", "Magnet_fields_1628.txt")</f>
        <v/>
      </c>
      <c r="AI1628" t="n">
        <v>7592</v>
      </c>
      <c r="AJ1628" t="n">
        <v>29</v>
      </c>
      <c r="AK1628" s="42">
        <f>HIPERLINK($A$1 &amp; "\Dados\Magnet_3D_results_1628.txt.txt", "Magnet_3D_results_1628.txt")</f>
        <v/>
      </c>
      <c r="AL1628" s="42">
        <f>HIPERLINK($A$1 &amp; "\Dados\Magnet_fields_2D_1628.txt.txt", "Magnet_fields_2D_1628.txt")</f>
        <v/>
      </c>
    </row>
    <row r="1629">
      <c r="E1629" s="15" t="n">
        <v>139</v>
      </c>
      <c r="F1629" s="15" t="n">
        <v>181</v>
      </c>
      <c r="G1629" s="15" t="n">
        <v>362</v>
      </c>
      <c r="H1629" s="15" t="n">
        <v>26</v>
      </c>
      <c r="I1629" s="15" t="n">
        <v>169</v>
      </c>
      <c r="J1629" s="13" t="n">
        <v>25</v>
      </c>
      <c r="K1629" t="n">
        <v>40</v>
      </c>
      <c r="L1629" s="13" t="n">
        <v>2.6</v>
      </c>
      <c r="M1629" s="12" t="n"/>
      <c r="N1629" s="8" t="n">
        <v>1.304309879245326</v>
      </c>
      <c r="O1629" s="15" t="n">
        <v>1.128133152574817</v>
      </c>
      <c r="P1629" s="15" t="n">
        <v>1.253391406600358</v>
      </c>
      <c r="Q1629" s="15" t="n">
        <v>0.001077431678931935</v>
      </c>
      <c r="R1629" s="15" t="n">
        <v>0.02356222955046978</v>
      </c>
      <c r="S1629" s="15" t="n">
        <v>0.00121179920283437</v>
      </c>
      <c r="T1629" s="42">
        <f>HIPERLINK($A$1 &amp; "\Dados\Imagem_perfil_1629.png", "Imagem_perfil_1629")</f>
        <v/>
      </c>
      <c r="U1629" s="42">
        <f>HIPERLINK($A$1 &amp; "\Dados\Results_airgap1629.txt", "Results_airgap1629")</f>
        <v/>
      </c>
      <c r="V1629" s="19" t="n"/>
      <c r="W1629" s="15" t="n">
        <v>1.609306739130435</v>
      </c>
      <c r="X1629" s="15" t="n">
        <v>0.7992836532968137</v>
      </c>
      <c r="Y1629" s="15" t="n">
        <v>0.7469830999973348</v>
      </c>
      <c r="Z1629" s="15" t="n">
        <v>0.01126265291358191</v>
      </c>
      <c r="AA1629" s="15" t="n">
        <v>3.886694637964696</v>
      </c>
      <c r="AB1629" s="15" t="n">
        <v>1.065376868915003</v>
      </c>
      <c r="AC1629" s="15" t="n">
        <v>7.129769659996668</v>
      </c>
      <c r="AD1629" s="15" t="n">
        <v>30.23553349992156</v>
      </c>
      <c r="AE1629" s="15" t="n">
        <v>74.10428917279971</v>
      </c>
      <c r="AF1629" s="15" t="n">
        <v>112.1519483361813</v>
      </c>
      <c r="AH1629" s="42">
        <f>HIPERLINK($A$1 &amp; "\Dados\Magnet_fields_1629.txt.txt", "Magnet_fields_1629.txt")</f>
        <v/>
      </c>
      <c r="AI1629" t="n">
        <v>9665</v>
      </c>
      <c r="AJ1629" t="n">
        <v>30</v>
      </c>
      <c r="AK1629" s="42">
        <f>HIPERLINK($A$1 &amp; "\Dados\Magnet_3D_results_1629.txt.txt", "Magnet_3D_results_1629.txt")</f>
        <v/>
      </c>
      <c r="AL1629" s="42">
        <f>HIPERLINK($A$1 &amp; "\Dados\Magnet_fields_2D_1629.txt.txt", "Magnet_fields_2D_1629.txt")</f>
        <v/>
      </c>
    </row>
    <row r="1630">
      <c r="E1630" s="15" t="n">
        <v>131</v>
      </c>
      <c r="F1630" s="15" t="n">
        <v>170</v>
      </c>
      <c r="G1630" s="15" t="n">
        <v>389</v>
      </c>
      <c r="H1630" s="15" t="n">
        <v>38</v>
      </c>
      <c r="I1630" s="15" t="n">
        <v>145</v>
      </c>
      <c r="J1630" s="13" t="n">
        <v>25</v>
      </c>
      <c r="K1630" t="n">
        <v>40</v>
      </c>
      <c r="L1630" s="13" t="n">
        <v>2.6</v>
      </c>
      <c r="M1630" s="12" t="n"/>
      <c r="N1630" s="8" t="n">
        <v>1.385775401731496</v>
      </c>
      <c r="O1630" s="15" t="n">
        <v>1.140595400335126</v>
      </c>
      <c r="P1630" s="15" t="n">
        <v>1.308687685404725</v>
      </c>
      <c r="Q1630" s="15" t="n">
        <v>0.001654780418071817</v>
      </c>
      <c r="R1630" s="15" t="n">
        <v>0.03470465402661731</v>
      </c>
      <c r="S1630" s="15" t="n">
        <v>0.002124388044993534</v>
      </c>
      <c r="T1630" s="42">
        <f>HIPERLINK($A$1 &amp; "\Dados\Imagem_perfil_1630.png", "Imagem_perfil_1630")</f>
        <v/>
      </c>
      <c r="U1630" s="42">
        <f>HIPERLINK($A$1 &amp; "\Dados\Results_airgap1630.txt", "Results_airgap1630")</f>
        <v/>
      </c>
      <c r="V1630" s="19" t="n"/>
      <c r="W1630" s="15" t="n">
        <v>1.795049782608696</v>
      </c>
      <c r="X1630" s="15" t="n">
        <v>0.9305080324337638</v>
      </c>
      <c r="Y1630" s="15" t="n">
        <v>0.5670012226124257</v>
      </c>
      <c r="Z1630" s="15" t="n">
        <v>0.006076222703648779</v>
      </c>
      <c r="AA1630" s="15" t="n">
        <v>0.0009732527746073163</v>
      </c>
      <c r="AB1630" s="15" t="n">
        <v>1.962834737616213</v>
      </c>
      <c r="AC1630" s="15" t="n">
        <v>9.662644912502138</v>
      </c>
      <c r="AD1630" s="15" t="n">
        <v>34.59071532266783</v>
      </c>
      <c r="AE1630" s="15" t="n">
        <v>77.52437265938515</v>
      </c>
      <c r="AF1630" s="15" t="n">
        <v>113.1680072814149</v>
      </c>
      <c r="AH1630" s="42">
        <f>HIPERLINK($A$1 &amp; "\Dados\Magnet_fields_1630.txt.txt", "Magnet_fields_1630.txt")</f>
        <v/>
      </c>
      <c r="AI1630" t="n">
        <v>7944</v>
      </c>
      <c r="AJ1630" t="n">
        <v>29</v>
      </c>
      <c r="AK1630" s="42">
        <f>HIPERLINK($A$1 &amp; "\Dados\Magnet_3D_results_1630.txt.txt", "Magnet_3D_results_1630.txt")</f>
        <v/>
      </c>
      <c r="AL1630" s="42">
        <f>HIPERLINK($A$1 &amp; "\Dados\Magnet_fields_2D_1630.txt.txt", "Magnet_fields_2D_1630.txt")</f>
        <v/>
      </c>
    </row>
    <row r="1631">
      <c r="E1631" s="15" t="n">
        <v>122</v>
      </c>
      <c r="F1631" s="15" t="n">
        <v>171</v>
      </c>
      <c r="G1631" s="15" t="n">
        <v>374</v>
      </c>
      <c r="H1631" s="15" t="n">
        <v>26</v>
      </c>
      <c r="I1631" s="15" t="n">
        <v>180</v>
      </c>
      <c r="J1631" s="13" t="n">
        <v>25</v>
      </c>
      <c r="K1631" t="n">
        <v>45</v>
      </c>
      <c r="L1631" s="13" t="n">
        <v>2.6</v>
      </c>
      <c r="M1631" s="12" t="n"/>
      <c r="N1631" s="8" t="n">
        <v>1.357083520648221</v>
      </c>
      <c r="O1631" s="15" t="n">
        <v>1.190822562202938</v>
      </c>
      <c r="P1631" s="15" t="n">
        <v>1.301923473078373</v>
      </c>
      <c r="Q1631" s="15" t="n">
        <v>0.004068007123587348</v>
      </c>
      <c r="R1631" s="15" t="n">
        <v>0.04200423711003357</v>
      </c>
      <c r="S1631" s="15" t="n">
        <v>0.004157500532771562</v>
      </c>
      <c r="T1631" s="42">
        <f>HIPERLINK($A$1 &amp; "\Dados\Imagem_perfil_1631.png", "Imagem_perfil_1631")</f>
        <v/>
      </c>
      <c r="U1631" s="42">
        <f>HIPERLINK($A$1 &amp; "\Dados\Results_airgap1631.txt", "Results_airgap1631")</f>
        <v/>
      </c>
      <c r="V1631" s="19" t="n"/>
      <c r="W1631" s="15" t="n">
        <v>1.696011956521739</v>
      </c>
      <c r="X1631" s="15" t="n">
        <v>0.8488189315256349</v>
      </c>
      <c r="Y1631" s="15" t="n">
        <v>0.6061193442940895</v>
      </c>
      <c r="Z1631" s="15" t="n">
        <v>0.0006297690016892195</v>
      </c>
      <c r="AA1631" s="15" t="n">
        <v>1.278941474113009</v>
      </c>
      <c r="AB1631" s="15" t="n">
        <v>2.421314496386655</v>
      </c>
      <c r="AC1631" s="15" t="n">
        <v>13.14958163312252</v>
      </c>
      <c r="AD1631" s="15" t="n">
        <v>46.25177068189031</v>
      </c>
      <c r="AE1631" s="15" t="n">
        <v>86.84275128348412</v>
      </c>
      <c r="AF1631" s="15" t="n">
        <v>118.5561396490108</v>
      </c>
      <c r="AH1631" s="42">
        <f>HIPERLINK($A$1 &amp; "\Dados\Magnet_fields_1631.txt.txt", "Magnet_fields_1631.txt")</f>
        <v/>
      </c>
      <c r="AI1631" t="n">
        <v>9068</v>
      </c>
      <c r="AJ1631" t="n">
        <v>29</v>
      </c>
      <c r="AK1631" s="42">
        <f>HIPERLINK($A$1 &amp; "\Dados\Magnet_3D_results_1631.txt.txt", "Magnet_3D_results_1631.txt")</f>
        <v/>
      </c>
      <c r="AL1631" s="42">
        <f>HIPERLINK($A$1 &amp; "\Dados\Magnet_fields_2D_1631.txt.txt", "Magnet_fields_2D_1631.txt")</f>
        <v/>
      </c>
    </row>
    <row r="1632">
      <c r="E1632" s="15" t="n">
        <v>129</v>
      </c>
      <c r="F1632" s="15" t="n">
        <v>170</v>
      </c>
      <c r="G1632" s="15" t="n">
        <v>365</v>
      </c>
      <c r="H1632" s="15" t="n">
        <v>32</v>
      </c>
      <c r="I1632" s="15" t="n">
        <v>150</v>
      </c>
      <c r="J1632" s="13" t="n">
        <v>25</v>
      </c>
      <c r="K1632" t="n">
        <v>60</v>
      </c>
      <c r="L1632" s="13" t="n">
        <v>2.6</v>
      </c>
      <c r="M1632" s="12" t="n"/>
      <c r="N1632" s="8" t="n">
        <v>1.415238580902933</v>
      </c>
      <c r="O1632" s="15" t="n">
        <v>1.145809019960291</v>
      </c>
      <c r="P1632" s="15" t="n">
        <v>1.332713467890221</v>
      </c>
      <c r="Q1632" s="15" t="n">
        <v>0.02264773250480384</v>
      </c>
      <c r="R1632" s="15" t="n">
        <v>0.04943401245516852</v>
      </c>
      <c r="S1632" s="15" t="n">
        <v>0.02292251693379957</v>
      </c>
      <c r="T1632" s="42">
        <f>HIPERLINK($A$1 &amp; "\Dados\Imagem_perfil_1632.png", "Imagem_perfil_1632")</f>
        <v/>
      </c>
      <c r="U1632" s="42">
        <f>HIPERLINK($A$1 &amp; "\Dados\Results_airgap1632.txt", "Results_airgap1632")</f>
        <v/>
      </c>
      <c r="V1632" s="19" t="n"/>
      <c r="W1632" s="15" t="n">
        <v>1.899099130434783</v>
      </c>
      <c r="X1632" s="15" t="n">
        <v>0.9046839939183684</v>
      </c>
      <c r="Y1632" s="15" t="n">
        <v>0.3099823620649604</v>
      </c>
      <c r="Z1632" s="15" t="n">
        <v>0.00608701892412993</v>
      </c>
      <c r="AA1632" s="15" t="n">
        <v>1.185139626861788</v>
      </c>
      <c r="AB1632" s="15" t="n">
        <v>0.7828052595873782</v>
      </c>
      <c r="AC1632" s="15" t="n">
        <v>16.62522983215143</v>
      </c>
      <c r="AD1632" s="15" t="n">
        <v>66.24445317982433</v>
      </c>
      <c r="AE1632" s="15" t="n">
        <v>99.24294647115056</v>
      </c>
      <c r="AF1632" s="15" t="n">
        <v>130.8793163788733</v>
      </c>
      <c r="AH1632" s="42">
        <f>HIPERLINK($A$1 &amp; "\Dados\Magnet_fields_1632.txt.txt", "Magnet_fields_1632.txt")</f>
        <v/>
      </c>
      <c r="AI1632" t="n">
        <v>8535</v>
      </c>
      <c r="AJ1632" t="n">
        <v>29</v>
      </c>
      <c r="AK1632" s="42">
        <f>HIPERLINK($A$1 &amp; "\Dados\Magnet_3D_results_1632.txt.txt", "Magnet_3D_results_1632.txt")</f>
        <v/>
      </c>
      <c r="AL1632" s="42">
        <f>HIPERLINK($A$1 &amp; "\Dados\Magnet_fields_2D_1632.txt.txt", "Magnet_fields_2D_1632.txt")</f>
        <v/>
      </c>
    </row>
    <row r="1633">
      <c r="E1633" s="15" t="n">
        <v>140</v>
      </c>
      <c r="F1633" s="15" t="n">
        <v>174</v>
      </c>
      <c r="G1633" s="15" t="n">
        <v>419</v>
      </c>
      <c r="H1633" s="15" t="n">
        <v>25</v>
      </c>
      <c r="I1633" s="15" t="n">
        <v>172</v>
      </c>
      <c r="J1633" s="13" t="n">
        <v>25</v>
      </c>
      <c r="K1633" t="n">
        <v>60</v>
      </c>
      <c r="L1633" s="13" t="n">
        <v>2.6</v>
      </c>
      <c r="M1633" s="12" t="n"/>
      <c r="N1633" s="8" t="n">
        <v>1.677092895378598</v>
      </c>
      <c r="O1633" s="15" t="n">
        <v>1.453364673848377</v>
      </c>
      <c r="P1633" s="15" t="n">
        <v>1.615433478666293</v>
      </c>
      <c r="Q1633" s="15" t="n">
        <v>0.02726302064053448</v>
      </c>
      <c r="R1633" s="15" t="n">
        <v>0.06119567647856888</v>
      </c>
      <c r="S1633" s="15" t="n">
        <v>0.02697110233435965</v>
      </c>
      <c r="T1633" s="42">
        <f>HIPERLINK($A$1 &amp; "\Dados\Imagem_perfil_1633.png", "Imagem_perfil_1633")</f>
        <v/>
      </c>
      <c r="U1633" s="42">
        <f>HIPERLINK($A$1 &amp; "\Dados\Results_airgap1633.txt", "Results_airgap1633")</f>
        <v/>
      </c>
      <c r="V1633" s="19" t="n"/>
      <c r="W1633" s="15" t="n">
        <v>2.23845304347826</v>
      </c>
      <c r="X1633" s="15" t="n">
        <v>1.069251951388782</v>
      </c>
      <c r="Y1633" s="15" t="n">
        <v>0.07984179031802052</v>
      </c>
      <c r="Z1633" s="15" t="n">
        <v>0.0107591428400503</v>
      </c>
      <c r="AA1633" s="15" t="n">
        <v>5.774761482231572</v>
      </c>
      <c r="AB1633" s="15" t="n">
        <v>1.804983981781544</v>
      </c>
      <c r="AC1633" s="15" t="n">
        <v>20.34238660531035</v>
      </c>
      <c r="AD1633" s="15" t="n">
        <v>67.49301387383875</v>
      </c>
      <c r="AE1633" s="15" t="n">
        <v>100.8550801959003</v>
      </c>
      <c r="AF1633" s="15" t="n">
        <v>132.3695568509725</v>
      </c>
      <c r="AH1633" s="42">
        <f>HIPERLINK($A$1 &amp; "\Dados\Magnet_fields_1633.txt.txt", "Magnet_fields_1633.txt")</f>
        <v/>
      </c>
      <c r="AI1633" t="n">
        <v>11103</v>
      </c>
      <c r="AJ1633" t="n">
        <v>30</v>
      </c>
      <c r="AK1633" s="42">
        <f>HIPERLINK($A$1 &amp; "\Dados\Magnet_3D_results_1633.txt.txt", "Magnet_3D_results_1633.txt")</f>
        <v/>
      </c>
      <c r="AL1633" s="42">
        <f>HIPERLINK($A$1 &amp; "\Dados\Magnet_fields_2D_1633.txt.txt", "Magnet_fields_2D_1633.txt")</f>
        <v/>
      </c>
    </row>
    <row r="1634">
      <c r="E1634" s="15" t="n">
        <v>139</v>
      </c>
      <c r="F1634" s="15" t="n">
        <v>177</v>
      </c>
      <c r="G1634" s="15" t="n">
        <v>410</v>
      </c>
      <c r="H1634" s="15" t="n">
        <v>44</v>
      </c>
      <c r="I1634" s="15" t="n">
        <v>140</v>
      </c>
      <c r="J1634" s="13" t="n">
        <v>25</v>
      </c>
      <c r="K1634" t="n">
        <v>40</v>
      </c>
      <c r="L1634" s="13" t="n">
        <v>2.6</v>
      </c>
      <c r="M1634" s="12" t="n"/>
      <c r="N1634" s="8" t="n">
        <v>1.399166751553335</v>
      </c>
      <c r="O1634" s="15" t="n">
        <v>1.067182815430728</v>
      </c>
      <c r="P1634" s="15" t="n">
        <v>1.307488156134913</v>
      </c>
      <c r="Q1634" s="15" t="n">
        <v>0.001696017387532532</v>
      </c>
      <c r="R1634" s="15" t="n">
        <v>0.03579133122825343</v>
      </c>
      <c r="S1634" s="15" t="n">
        <v>0.002272966753683028</v>
      </c>
      <c r="T1634" s="42">
        <f>HIPERLINK($A$1 &amp; "\Dados\Imagem_perfil_1634.png", "Imagem_perfil_1634")</f>
        <v/>
      </c>
      <c r="U1634" s="42">
        <f>HIPERLINK($A$1 &amp; "\Dados\Results_airgap1634.txt", "Results_airgap1634")</f>
        <v/>
      </c>
      <c r="V1634" s="19" t="n"/>
      <c r="W1634" s="15" t="n">
        <v>1.845626521739131</v>
      </c>
      <c r="X1634" s="15" t="n">
        <v>0.8870913989876439</v>
      </c>
      <c r="Y1634" s="15" t="n">
        <v>0.4660693806291889</v>
      </c>
      <c r="Z1634" s="15" t="n">
        <v>0.001155763780884093</v>
      </c>
      <c r="AA1634" s="15" t="n">
        <v>0</v>
      </c>
      <c r="AB1634" s="15" t="n">
        <v>1.373897449816802</v>
      </c>
      <c r="AC1634" s="15" t="n">
        <v>7.283483457112467</v>
      </c>
      <c r="AD1634" s="15" t="n">
        <v>32.75266019207982</v>
      </c>
      <c r="AE1634" s="15" t="n">
        <v>81.385019686582</v>
      </c>
      <c r="AF1634" s="15" t="n">
        <v>114.9943018497662</v>
      </c>
      <c r="AH1634" s="42">
        <f>HIPERLINK($A$1 &amp; "\Dados\Magnet_fields_1634.txt.txt", "Magnet_fields_1634.txt")</f>
        <v/>
      </c>
      <c r="AI1634" t="n">
        <v>7461</v>
      </c>
      <c r="AJ1634" t="n">
        <v>29</v>
      </c>
      <c r="AK1634" s="42">
        <f>HIPERLINK($A$1 &amp; "\Dados\Magnet_3D_results_1634.txt.txt", "Magnet_3D_results_1634.txt")</f>
        <v/>
      </c>
      <c r="AL1634" s="42">
        <f>HIPERLINK($A$1 &amp; "\Dados\Magnet_fields_2D_1634.txt.txt", "Magnet_fields_2D_1634.txt")</f>
        <v/>
      </c>
    </row>
    <row r="1635">
      <c r="E1635" s="15" t="n">
        <v>142</v>
      </c>
      <c r="F1635" s="15" t="n">
        <v>174</v>
      </c>
      <c r="G1635" s="15" t="n">
        <v>427</v>
      </c>
      <c r="H1635" s="15" t="n">
        <v>28</v>
      </c>
      <c r="I1635" s="15" t="n">
        <v>161</v>
      </c>
      <c r="J1635" s="13" t="n">
        <v>25</v>
      </c>
      <c r="K1635" t="n">
        <v>45</v>
      </c>
      <c r="L1635" s="13" t="n">
        <v>2.6</v>
      </c>
      <c r="M1635" s="12" t="n"/>
      <c r="N1635" s="8" t="n">
        <v>1.656776854180851</v>
      </c>
      <c r="O1635" s="15" t="n">
        <v>1.417975575045093</v>
      </c>
      <c r="P1635" s="15" t="n">
        <v>1.585505081836807</v>
      </c>
      <c r="Q1635" s="15" t="n">
        <v>0.004831747753635315</v>
      </c>
      <c r="R1635" s="15" t="n">
        <v>0.04359014174541442</v>
      </c>
      <c r="S1635" s="15" t="n">
        <v>0.004871060390623586</v>
      </c>
      <c r="T1635" s="42">
        <f>HIPERLINK($A$1 &amp; "\Dados\Imagem_perfil_1635.png", "Imagem_perfil_1635")</f>
        <v/>
      </c>
      <c r="U1635" s="42">
        <f>HIPERLINK($A$1 &amp; "\Dados\Results_airgap1635.txt", "Results_airgap1635")</f>
        <v/>
      </c>
      <c r="V1635" s="19" t="n"/>
      <c r="W1635" s="15" t="n">
        <v>2.137149565217392</v>
      </c>
      <c r="X1635" s="15" t="n">
        <v>1.032838254154125</v>
      </c>
      <c r="Y1635" s="15" t="n">
        <v>0.1731866634414098</v>
      </c>
      <c r="Z1635" s="15" t="n">
        <v>0.002935980566669215</v>
      </c>
      <c r="AA1635" s="15" t="n">
        <v>2.190552928639546</v>
      </c>
      <c r="AB1635" s="15" t="n">
        <v>0.5217278421874224</v>
      </c>
      <c r="AC1635" s="15" t="n">
        <v>8.218344557076577</v>
      </c>
      <c r="AD1635" s="15" t="n">
        <v>47.73002963934574</v>
      </c>
      <c r="AE1635" s="15" t="n">
        <v>89.8082787728322</v>
      </c>
      <c r="AF1635" s="15" t="n">
        <v>119.6073938485395</v>
      </c>
      <c r="AH1635" s="42">
        <f>HIPERLINK($A$1 &amp; "\Dados\Magnet_fields_1635.txt.txt", "Magnet_fields_1635.txt")</f>
        <v/>
      </c>
      <c r="AI1635" t="n">
        <v>9163</v>
      </c>
      <c r="AJ1635" t="n">
        <v>30</v>
      </c>
      <c r="AK1635" s="42">
        <f>HIPERLINK($A$1 &amp; "\Dados\Magnet_3D_results_1635.txt.txt", "Magnet_3D_results_1635.txt")</f>
        <v/>
      </c>
      <c r="AL1635" s="42">
        <f>HIPERLINK($A$1 &amp; "\Dados\Magnet_fields_2D_1635.txt.txt", "Magnet_fields_2D_1635.txt")</f>
        <v/>
      </c>
    </row>
    <row r="1636">
      <c r="E1636" s="15" t="n">
        <v>143</v>
      </c>
      <c r="F1636" s="15" t="n">
        <v>183</v>
      </c>
      <c r="G1636" s="15" t="n">
        <v>426</v>
      </c>
      <c r="H1636" s="15" t="n">
        <v>42</v>
      </c>
      <c r="I1636" s="15" t="n">
        <v>165</v>
      </c>
      <c r="J1636" s="13" t="n">
        <v>25</v>
      </c>
      <c r="K1636" t="n">
        <v>55</v>
      </c>
      <c r="L1636" s="13" t="n">
        <v>2.6</v>
      </c>
      <c r="M1636" s="12" t="n"/>
      <c r="N1636" s="8" t="n">
        <v>1.579041255726056</v>
      </c>
      <c r="O1636" s="15" t="n">
        <v>1.344467104047894</v>
      </c>
      <c r="P1636" s="15" t="n">
        <v>1.509435900539907</v>
      </c>
      <c r="Q1636" s="15" t="n">
        <v>0.01244606794951798</v>
      </c>
      <c r="R1636" s="15" t="n">
        <v>0.06092889657171963</v>
      </c>
      <c r="S1636" s="15" t="n">
        <v>0.01261258224368812</v>
      </c>
      <c r="T1636" s="42">
        <f>HIPERLINK($A$1 &amp; "\Dados\Imagem_perfil_1636.png", "Imagem_perfil_1636")</f>
        <v/>
      </c>
      <c r="U1636" s="42">
        <f>HIPERLINK($A$1 &amp; "\Dados\Results_airgap1636.txt", "Results_airgap1636")</f>
        <v/>
      </c>
      <c r="V1636" s="19" t="n"/>
      <c r="W1636" s="15" t="n">
        <v>2.100048043478261</v>
      </c>
      <c r="X1636" s="15" t="n">
        <v>0.9975304943429285</v>
      </c>
      <c r="Y1636" s="15" t="n">
        <v>0.1703156543804247</v>
      </c>
      <c r="Z1636" s="15" t="n">
        <v>0</v>
      </c>
      <c r="AA1636" s="15" t="n">
        <v>0.0005964038793516335</v>
      </c>
      <c r="AB1636" s="15" t="n">
        <v>1.713517146611002</v>
      </c>
      <c r="AC1636" s="15" t="n">
        <v>19.28938878209451</v>
      </c>
      <c r="AD1636" s="15" t="n">
        <v>63.36764221147118</v>
      </c>
      <c r="AE1636" s="15" t="n">
        <v>96.53153260444155</v>
      </c>
      <c r="AF1636" s="15" t="n">
        <v>127.3053813462788</v>
      </c>
      <c r="AH1636" s="42">
        <f>HIPERLINK($A$1 &amp; "\Dados\Magnet_fields_1636.txt.txt", "Magnet_fields_1636.txt")</f>
        <v/>
      </c>
      <c r="AI1636" t="n">
        <v>11085</v>
      </c>
      <c r="AJ1636" t="n">
        <v>30</v>
      </c>
      <c r="AK1636" s="42">
        <f>HIPERLINK($A$1 &amp; "\Dados\Magnet_3D_results_1636.txt.txt", "Magnet_3D_results_1636.txt")</f>
        <v/>
      </c>
      <c r="AL1636" s="42">
        <f>HIPERLINK($A$1 &amp; "\Dados\Magnet_fields_2D_1636.txt.txt", "Magnet_fields_2D_1636.txt")</f>
        <v/>
      </c>
    </row>
    <row r="1637">
      <c r="E1637" s="15" t="n">
        <v>138</v>
      </c>
      <c r="F1637" s="15" t="n">
        <v>171</v>
      </c>
      <c r="G1637" s="15" t="n">
        <v>398</v>
      </c>
      <c r="H1637" s="15" t="n">
        <v>36</v>
      </c>
      <c r="I1637" s="15" t="n">
        <v>142</v>
      </c>
      <c r="J1637" s="13" t="n">
        <v>25</v>
      </c>
      <c r="K1637" t="n">
        <v>60</v>
      </c>
      <c r="L1637" s="13" t="n">
        <v>2.6</v>
      </c>
      <c r="M1637" s="12" t="n"/>
      <c r="N1637" s="8" t="n">
        <v>1.586737926908909</v>
      </c>
      <c r="O1637" s="15" t="n">
        <v>1.23964025037802</v>
      </c>
      <c r="P1637" s="15" t="n">
        <v>1.48320003705612</v>
      </c>
      <c r="Q1637" s="15" t="n">
        <v>0.02359858945081666</v>
      </c>
      <c r="R1637" s="15" t="n">
        <v>0.0569022632113972</v>
      </c>
      <c r="S1637" s="15" t="n">
        <v>0.02333619119906256</v>
      </c>
      <c r="T1637" s="42">
        <f>HIPERLINK($A$1 &amp; "\Dados\Imagem_perfil_1637.png", "Imagem_perfil_1637")</f>
        <v/>
      </c>
      <c r="U1637" s="42">
        <f>HIPERLINK($A$1 &amp; "\Dados\Results_airgap1637.txt", "Results_airgap1637")</f>
        <v/>
      </c>
      <c r="V1637" s="19" t="n"/>
      <c r="W1637" s="15" t="n">
        <v>2.17155347826087</v>
      </c>
      <c r="X1637" s="15" t="n">
        <v>1.010575899230823</v>
      </c>
      <c r="Y1637" s="15" t="n">
        <v>0.1127877538557783</v>
      </c>
      <c r="Z1637" s="15" t="n">
        <v>0.01339629365737821</v>
      </c>
      <c r="AA1637" s="15" t="n">
        <v>0.150249372691828</v>
      </c>
      <c r="AB1637" s="15" t="n">
        <v>0.6064182817992534</v>
      </c>
      <c r="AC1637" s="15" t="n">
        <v>17.46317394856673</v>
      </c>
      <c r="AD1637" s="15" t="n">
        <v>70.99850503494478</v>
      </c>
      <c r="AE1637" s="15" t="n">
        <v>101.7477154831894</v>
      </c>
      <c r="AF1637" s="15" t="n">
        <v>132.2746032509082</v>
      </c>
      <c r="AH1637" s="42">
        <f>HIPERLINK($A$1 &amp; "\Dados\Magnet_fields_1637.txt.txt", "Magnet_fields_1637.txt")</f>
        <v/>
      </c>
      <c r="AI1637" t="n">
        <v>8550</v>
      </c>
      <c r="AJ1637" t="n">
        <v>29</v>
      </c>
      <c r="AK1637" s="42">
        <f>HIPERLINK($A$1 &amp; "\Dados\Magnet_3D_results_1637.txt.txt", "Magnet_3D_results_1637.txt")</f>
        <v/>
      </c>
      <c r="AL1637" s="42">
        <f>HIPERLINK($A$1 &amp; "\Dados\Magnet_fields_2D_1637.txt.txt", "Magnet_fields_2D_1637.txt")</f>
        <v/>
      </c>
    </row>
    <row r="1638">
      <c r="E1638" s="15" t="n">
        <v>127</v>
      </c>
      <c r="F1638" s="15" t="n">
        <v>177</v>
      </c>
      <c r="G1638" s="15" t="n">
        <v>414</v>
      </c>
      <c r="H1638" s="15" t="n">
        <v>41</v>
      </c>
      <c r="I1638" s="15" t="n">
        <v>149</v>
      </c>
      <c r="J1638" s="13" t="n">
        <v>25</v>
      </c>
      <c r="K1638" t="n">
        <v>55</v>
      </c>
      <c r="L1638" s="13" t="n">
        <v>2.6</v>
      </c>
      <c r="M1638" s="12" t="n"/>
      <c r="N1638" s="8" t="n">
        <v>1.379387357161067</v>
      </c>
      <c r="O1638" s="15" t="n">
        <v>1.122877012238482</v>
      </c>
      <c r="P1638" s="15" t="n">
        <v>1.298922142563948</v>
      </c>
      <c r="Q1638" s="15" t="n">
        <v>0.0173712150902295</v>
      </c>
      <c r="R1638" s="15" t="n">
        <v>0.06557796831381969</v>
      </c>
      <c r="S1638" s="15" t="n">
        <v>0.01822149994795557</v>
      </c>
      <c r="T1638" s="42">
        <f>HIPERLINK($A$1 &amp; "\Dados\Imagem_perfil_1638.png", "Imagem_perfil_1638")</f>
        <v/>
      </c>
      <c r="U1638" s="42">
        <f>HIPERLINK($A$1 &amp; "\Dados\Results_airgap1638.txt", "Results_airgap1638")</f>
        <v/>
      </c>
      <c r="V1638" s="19" t="n"/>
      <c r="W1638" s="15" t="n">
        <v>1.931512826086956</v>
      </c>
      <c r="X1638" s="15" t="n">
        <v>0.8854130074964937</v>
      </c>
      <c r="Y1638" s="15" t="n">
        <v>0.3305671731868941</v>
      </c>
      <c r="Z1638" s="15" t="n">
        <v>0.001410120808918173</v>
      </c>
      <c r="AA1638" s="15" t="n">
        <v>0.009282695419707056</v>
      </c>
      <c r="AB1638" s="15" t="n">
        <v>3.163582790559285</v>
      </c>
      <c r="AC1638" s="15" t="n">
        <v>19.07036549997146</v>
      </c>
      <c r="AD1638" s="15" t="n">
        <v>59.12396220719997</v>
      </c>
      <c r="AE1638" s="15" t="n">
        <v>94.47197970400795</v>
      </c>
      <c r="AF1638" s="15" t="n">
        <v>126.5363949158526</v>
      </c>
      <c r="AH1638" s="42">
        <f>HIPERLINK($A$1 &amp; "\Dados\Magnet_fields_1638.txt.txt", "Magnet_fields_1638.txt")</f>
        <v/>
      </c>
      <c r="AI1638" t="n">
        <v>10137</v>
      </c>
      <c r="AJ1638" t="n">
        <v>32</v>
      </c>
      <c r="AK1638" s="42">
        <f>HIPERLINK($A$1 &amp; "\Dados\Magnet_3D_results_1638.txt.txt", "Magnet_3D_results_1638.txt")</f>
        <v/>
      </c>
      <c r="AL1638" s="42">
        <f>HIPERLINK($A$1 &amp; "\Dados\Magnet_fields_2D_1638.txt.txt", "Magnet_fields_2D_1638.txt")</f>
        <v/>
      </c>
    </row>
    <row r="1639">
      <c r="E1639" s="15" t="n">
        <v>146</v>
      </c>
      <c r="F1639" s="15" t="n">
        <v>189</v>
      </c>
      <c r="G1639" s="15" t="n">
        <v>421</v>
      </c>
      <c r="H1639" s="15" t="n">
        <v>40</v>
      </c>
      <c r="I1639" s="15" t="n">
        <v>153</v>
      </c>
      <c r="J1639" s="13" t="n">
        <v>25</v>
      </c>
      <c r="K1639" t="n">
        <v>55</v>
      </c>
      <c r="L1639" s="13" t="n">
        <v>2.6</v>
      </c>
      <c r="M1639" s="12" t="n"/>
      <c r="N1639" s="8" t="n">
        <v>1.463685127281047</v>
      </c>
      <c r="O1639" s="15" t="n">
        <v>1.196926684141329</v>
      </c>
      <c r="P1639" s="15" t="n">
        <v>1.382831091416076</v>
      </c>
      <c r="Q1639" s="15" t="n">
        <v>0.009379512890570919</v>
      </c>
      <c r="R1639" s="15" t="n">
        <v>0.05519828423180931</v>
      </c>
      <c r="S1639" s="15" t="n">
        <v>0.01042989091651112</v>
      </c>
      <c r="T1639" s="42">
        <f>HIPERLINK($A$1 &amp; "\Dados\Imagem_perfil_1639.png", "Imagem_perfil_1639")</f>
        <v/>
      </c>
      <c r="U1639" s="42">
        <f>HIPERLINK($A$1 &amp; "\Dados\Results_airgap1639.txt", "Results_airgap1639")</f>
        <v/>
      </c>
      <c r="V1639" s="19" t="n"/>
      <c r="W1639" s="15" t="n">
        <v>1.990599565217391</v>
      </c>
      <c r="X1639" s="15" t="n">
        <v>0.9318181971391125</v>
      </c>
      <c r="Y1639" s="15" t="n">
        <v>0.2459481634233372</v>
      </c>
      <c r="Z1639" s="15" t="n">
        <v>0.003276406768065281</v>
      </c>
      <c r="AA1639" s="15" t="n">
        <v>0.000458405515885306</v>
      </c>
      <c r="AB1639" s="15" t="n">
        <v>0.6158352751225764</v>
      </c>
      <c r="AC1639" s="15" t="n">
        <v>16.54823187021824</v>
      </c>
      <c r="AD1639" s="15" t="n">
        <v>64.75538790892462</v>
      </c>
      <c r="AE1639" s="15" t="n">
        <v>96.99735301236029</v>
      </c>
      <c r="AF1639" s="15" t="n">
        <v>127.2097406955911</v>
      </c>
      <c r="AH1639" s="42">
        <f>HIPERLINK($A$1 &amp; "\Dados\Magnet_fields_1639.txt.txt", "Magnet_fields_1639.txt")</f>
        <v/>
      </c>
      <c r="AI1639" t="n">
        <v>10939</v>
      </c>
      <c r="AJ1639" t="n">
        <v>33</v>
      </c>
      <c r="AK1639" s="42">
        <f>HIPERLINK($A$1 &amp; "\Dados\Magnet_3D_results_1639.txt.txt", "Magnet_3D_results_1639.txt")</f>
        <v/>
      </c>
      <c r="AL1639" s="42">
        <f>HIPERLINK($A$1 &amp; "\Dados\Magnet_fields_2D_1639.txt.txt", "Magnet_fields_2D_1639.txt")</f>
        <v/>
      </c>
    </row>
    <row r="1640">
      <c r="E1640" s="15" t="n">
        <v>145</v>
      </c>
      <c r="F1640" s="15" t="n">
        <v>186</v>
      </c>
      <c r="G1640" s="15" t="n">
        <v>409</v>
      </c>
      <c r="H1640" s="15" t="n">
        <v>31</v>
      </c>
      <c r="I1640" s="15" t="n">
        <v>175</v>
      </c>
      <c r="J1640" s="13" t="n">
        <v>25</v>
      </c>
      <c r="K1640" t="n">
        <v>55</v>
      </c>
      <c r="L1640" s="13" t="n">
        <v>2.6</v>
      </c>
      <c r="M1640" s="12" t="n"/>
      <c r="N1640" s="8" t="n">
        <v>1.528773930019196</v>
      </c>
      <c r="O1640" s="15" t="n">
        <v>1.352130047176852</v>
      </c>
      <c r="P1640" s="15" t="n">
        <v>1.477430362309412</v>
      </c>
      <c r="Q1640" s="15" t="n">
        <v>0.009776255778318267</v>
      </c>
      <c r="R1640" s="15" t="n">
        <v>0.0512248426221372</v>
      </c>
      <c r="S1640" s="15" t="n">
        <v>0.009948641152212676</v>
      </c>
      <c r="T1640" s="42">
        <f>HIPERLINK($A$1 &amp; "\Dados\Imagem_perfil_1640.png", "Imagem_perfil_1640")</f>
        <v/>
      </c>
      <c r="U1640" s="42">
        <f>HIPERLINK($A$1 &amp; "\Dados\Results_airgap1640.txt", "Results_airgap1640")</f>
        <v/>
      </c>
      <c r="V1640" s="19" t="n"/>
      <c r="W1640" s="15" t="n">
        <v>1.982678913043478</v>
      </c>
      <c r="X1640" s="15" t="n">
        <v>0.9826317232734234</v>
      </c>
      <c r="Y1640" s="15" t="n">
        <v>0.24373377024776</v>
      </c>
      <c r="Z1640" s="15" t="n">
        <v>0.02410329841469388</v>
      </c>
      <c r="AA1640" s="15" t="n">
        <v>1.312378859046467</v>
      </c>
      <c r="AB1640" s="15" t="n">
        <v>0.4294653850107941</v>
      </c>
      <c r="AC1640" s="15" t="n">
        <v>15.391382344799</v>
      </c>
      <c r="AD1640" s="15" t="n">
        <v>65.24749444717249</v>
      </c>
      <c r="AE1640" s="15" t="n">
        <v>97.40518628435406</v>
      </c>
      <c r="AF1640" s="15" t="n">
        <v>127.2516415456573</v>
      </c>
      <c r="AH1640" s="42">
        <f>HIPERLINK($A$1 &amp; "\Dados\Magnet_fields_1640.txt.txt", "Magnet_fields_1640.txt")</f>
        <v/>
      </c>
      <c r="AI1640" t="n">
        <v>12703</v>
      </c>
      <c r="AJ1640" t="n">
        <v>31</v>
      </c>
      <c r="AK1640" s="42">
        <f>HIPERLINK($A$1 &amp; "\Dados\Magnet_3D_results_1640.txt.txt", "Magnet_3D_results_1640.txt")</f>
        <v/>
      </c>
      <c r="AL1640" s="42">
        <f>HIPERLINK($A$1 &amp; "\Dados\Magnet_fields_2D_1640.txt.txt", "Magnet_fields_2D_1640.txt")</f>
        <v/>
      </c>
    </row>
    <row r="1641">
      <c r="E1641" s="15" t="n">
        <v>146</v>
      </c>
      <c r="F1641" s="15" t="n">
        <v>182</v>
      </c>
      <c r="G1641" s="15" t="n">
        <v>380</v>
      </c>
      <c r="H1641" s="15" t="n">
        <v>27</v>
      </c>
      <c r="I1641" s="15" t="n">
        <v>153</v>
      </c>
      <c r="J1641" s="13" t="n">
        <v>25</v>
      </c>
      <c r="K1641" t="n">
        <v>50</v>
      </c>
      <c r="L1641" s="13" t="n">
        <v>2.6</v>
      </c>
      <c r="M1641" s="12" t="n"/>
      <c r="N1641" s="8" t="n">
        <v>1.442868242938576</v>
      </c>
      <c r="O1641" s="15" t="n">
        <v>1.175043726610105</v>
      </c>
      <c r="P1641" s="15" t="n">
        <v>1.368825786128942</v>
      </c>
      <c r="Q1641" s="15" t="n">
        <v>0.004593211609220265</v>
      </c>
      <c r="R1641" s="15" t="n">
        <v>0.03191525366059485</v>
      </c>
      <c r="S1641" s="15" t="n">
        <v>0.00461438089864838</v>
      </c>
      <c r="T1641" s="42">
        <f>HIPERLINK($A$1 &amp; "\Dados\Imagem_perfil_1641.png", "Imagem_perfil_1641")</f>
        <v/>
      </c>
      <c r="U1641" s="42">
        <f>HIPERLINK($A$1 &amp; "\Dados\Results_airgap1641.txt", "Results_airgap1641")</f>
        <v/>
      </c>
      <c r="V1641" s="19" t="n"/>
      <c r="W1641" s="15" t="n">
        <v>1.878001739130435</v>
      </c>
      <c r="X1641" s="15" t="n">
        <v>0.9037297201290994</v>
      </c>
      <c r="Y1641" s="15" t="n">
        <v>0.3297423425178848</v>
      </c>
      <c r="Z1641" s="15" t="n">
        <v>0.001632192626998889</v>
      </c>
      <c r="AA1641" s="15" t="n">
        <v>5.996477063840095</v>
      </c>
      <c r="AB1641" s="15" t="n">
        <v>0.1727596502201827</v>
      </c>
      <c r="AC1641" s="15" t="n">
        <v>7.136104544670615</v>
      </c>
      <c r="AD1641" s="15" t="n">
        <v>46.83827523433271</v>
      </c>
      <c r="AE1641" s="15" t="n">
        <v>89.72255562006102</v>
      </c>
      <c r="AF1641" s="15" t="n">
        <v>121.9475774825618</v>
      </c>
      <c r="AH1641" s="42">
        <f>HIPERLINK($A$1 &amp; "\Dados\Magnet_fields_1641.txt.txt", "Magnet_fields_1641.txt")</f>
        <v/>
      </c>
      <c r="AI1641" t="n">
        <v>8710</v>
      </c>
      <c r="AJ1641" t="n">
        <v>30</v>
      </c>
      <c r="AK1641" s="42">
        <f>HIPERLINK($A$1 &amp; "\Dados\Magnet_3D_results_1641.txt.txt", "Magnet_3D_results_1641.txt")</f>
        <v/>
      </c>
      <c r="AL1641" s="42">
        <f>HIPERLINK($A$1 &amp; "\Dados\Magnet_fields_2D_1641.txt.txt", "Magnet_fields_2D_1641.txt")</f>
        <v/>
      </c>
    </row>
    <row r="1642">
      <c r="E1642" s="15" t="n">
        <v>146</v>
      </c>
      <c r="F1642" s="15" t="n">
        <v>188</v>
      </c>
      <c r="G1642" s="15" t="n">
        <v>359</v>
      </c>
      <c r="H1642" s="15" t="n">
        <v>33</v>
      </c>
      <c r="I1642" s="15" t="n">
        <v>157</v>
      </c>
      <c r="J1642" s="13" t="n">
        <v>25</v>
      </c>
      <c r="K1642" t="n">
        <v>50</v>
      </c>
      <c r="L1642" s="13" t="n">
        <v>2.6</v>
      </c>
      <c r="M1642" s="12" t="n"/>
      <c r="N1642" s="8" t="n">
        <v>1.310821883598763</v>
      </c>
      <c r="O1642" s="15" t="n">
        <v>1.085123348582037</v>
      </c>
      <c r="P1642" s="15" t="n">
        <v>1.243131523999728</v>
      </c>
      <c r="Q1642" s="15" t="n">
        <v>0.003063153421963452</v>
      </c>
      <c r="R1642" s="15" t="n">
        <v>0.02997970301074535</v>
      </c>
      <c r="S1642" s="15" t="n">
        <v>0.003545651438191533</v>
      </c>
      <c r="T1642" s="42">
        <f>HIPERLINK($A$1 &amp; "\Dados\Imagem_perfil_1642.png", "Imagem_perfil_1642")</f>
        <v/>
      </c>
      <c r="U1642" s="42">
        <f>HIPERLINK($A$1 &amp; "\Dados\Results_airgap1642.txt", "Results_airgap1642")</f>
        <v/>
      </c>
      <c r="V1642" s="19" t="n"/>
      <c r="W1642" s="15" t="n">
        <v>1.668588260869565</v>
      </c>
      <c r="X1642" s="15" t="n">
        <v>0.8264262755795256</v>
      </c>
      <c r="Y1642" s="15" t="n">
        <v>0.5260164544010696</v>
      </c>
      <c r="Z1642" s="15" t="n">
        <v>0</v>
      </c>
      <c r="AA1642" s="15" t="n">
        <v>1.213325139391076</v>
      </c>
      <c r="AB1642" s="15" t="n">
        <v>0</v>
      </c>
      <c r="AC1642" s="15" t="n">
        <v>6.423273770521461</v>
      </c>
      <c r="AD1642" s="15" t="n">
        <v>48.52290357556343</v>
      </c>
      <c r="AE1642" s="15" t="n">
        <v>90.2990393895643</v>
      </c>
      <c r="AF1642" s="15" t="n">
        <v>121.2746040765804</v>
      </c>
      <c r="AH1642" s="42">
        <f>HIPERLINK($A$1 &amp; "\Dados\Magnet_fields_1642.txt.txt", "Magnet_fields_1642.txt")</f>
        <v/>
      </c>
      <c r="AI1642" t="n">
        <v>7208</v>
      </c>
      <c r="AJ1642" t="n">
        <v>29</v>
      </c>
      <c r="AK1642" s="42">
        <f>HIPERLINK($A$1 &amp; "\Dados\Magnet_3D_results_1642.txt.txt", "Magnet_3D_results_1642.txt")</f>
        <v/>
      </c>
      <c r="AL1642" s="42">
        <f>HIPERLINK($A$1 &amp; "\Dados\Magnet_fields_2D_1642.txt.txt", "Magnet_fields_2D_1642.txt")</f>
        <v/>
      </c>
    </row>
    <row r="1643">
      <c r="E1643" s="15" t="n">
        <v>136</v>
      </c>
      <c r="F1643" s="15" t="n">
        <v>177</v>
      </c>
      <c r="G1643" s="15" t="n">
        <v>365</v>
      </c>
      <c r="H1643" s="15" t="n">
        <v>38</v>
      </c>
      <c r="I1643" s="15" t="n">
        <v>144</v>
      </c>
      <c r="J1643" s="13" t="n">
        <v>25</v>
      </c>
      <c r="K1643" t="n">
        <v>55</v>
      </c>
      <c r="L1643" s="13" t="n">
        <v>2.6</v>
      </c>
      <c r="M1643" s="12" t="n"/>
      <c r="N1643" s="8" t="n">
        <v>1.378879252360162</v>
      </c>
      <c r="O1643" s="15" t="n">
        <v>1.100309897540666</v>
      </c>
      <c r="P1643" s="15" t="n">
        <v>1.294493999344431</v>
      </c>
      <c r="Q1643" s="15" t="n">
        <v>0.00896742949659924</v>
      </c>
      <c r="R1643" s="15" t="n">
        <v>0.04150096001431323</v>
      </c>
      <c r="S1643" s="15" t="n">
        <v>0.009799575657472446</v>
      </c>
      <c r="T1643" s="42">
        <f>HIPERLINK($A$1 &amp; "\Dados\Imagem_perfil_1643.png", "Imagem_perfil_1643")</f>
        <v/>
      </c>
      <c r="U1643" s="42">
        <f>HIPERLINK($A$1 &amp; "\Dados\Results_airgap1643.txt", "Results_airgap1643")</f>
        <v/>
      </c>
      <c r="V1643" s="19" t="n"/>
      <c r="W1643" s="15" t="n">
        <v>1.832956304347826</v>
      </c>
      <c r="X1643" s="15" t="n">
        <v>0.9039103281635367</v>
      </c>
      <c r="Y1643" s="15" t="n">
        <v>0.3671046190012965</v>
      </c>
      <c r="Z1643" s="15" t="n">
        <v>0</v>
      </c>
      <c r="AA1643" s="15" t="n">
        <v>0.1459958547932495</v>
      </c>
      <c r="AB1643" s="15" t="n">
        <v>1.281223179022239</v>
      </c>
      <c r="AC1643" s="15" t="n">
        <v>15.21247778008452</v>
      </c>
      <c r="AD1643" s="15" t="n">
        <v>56.28184133686994</v>
      </c>
      <c r="AE1643" s="15" t="n">
        <v>92.18154598619464</v>
      </c>
      <c r="AF1643" s="15" t="n">
        <v>125.2494830207019</v>
      </c>
      <c r="AH1643" s="42">
        <f>HIPERLINK($A$1 &amp; "\Dados\Magnet_fields_1643.txt.txt", "Magnet_fields_1643.txt")</f>
        <v/>
      </c>
      <c r="AI1643" t="n">
        <v>11110</v>
      </c>
      <c r="AJ1643" t="n">
        <v>31</v>
      </c>
      <c r="AK1643" s="42">
        <f>HIPERLINK($A$1 &amp; "\Dados\Magnet_3D_results_1643.txt.txt", "Magnet_3D_results_1643.txt")</f>
        <v/>
      </c>
      <c r="AL1643" s="42">
        <f>HIPERLINK($A$1 &amp; "\Dados\Magnet_fields_2D_1643.txt.txt", "Magnet_fields_2D_1643.txt")</f>
        <v/>
      </c>
    </row>
    <row r="1644">
      <c r="E1644" s="15" t="n">
        <v>125</v>
      </c>
      <c r="F1644" s="15" t="n">
        <v>174</v>
      </c>
      <c r="G1644" s="15" t="n">
        <v>401</v>
      </c>
      <c r="H1644" s="15" t="n">
        <v>25</v>
      </c>
      <c r="I1644" s="15" t="n">
        <v>140</v>
      </c>
      <c r="J1644" s="13" t="n">
        <v>25</v>
      </c>
      <c r="K1644" t="n">
        <v>45</v>
      </c>
      <c r="L1644" s="13" t="n">
        <v>2.6</v>
      </c>
      <c r="M1644" s="12" t="n"/>
      <c r="N1644" s="8" t="n">
        <v>1.268594602563429</v>
      </c>
      <c r="O1644" s="15" t="n">
        <v>0.9948588288763537</v>
      </c>
      <c r="P1644" s="15" t="n">
        <v>1.194266675549204</v>
      </c>
      <c r="Q1644" s="15" t="n">
        <v>0.003648381704441383</v>
      </c>
      <c r="R1644" s="15" t="n">
        <v>0.04435202856209293</v>
      </c>
      <c r="S1644" s="15" t="n">
        <v>0.005258149113154915</v>
      </c>
      <c r="T1644" s="42">
        <f>HIPERLINK($A$1 &amp; "\Dados\Imagem_perfil_1644.png", "Imagem_perfil_1644")</f>
        <v/>
      </c>
      <c r="U1644" s="42">
        <f>HIPERLINK($A$1 &amp; "\Dados\Results_airgap1644.txt", "Results_airgap1644")</f>
        <v/>
      </c>
      <c r="V1644" s="19" t="n"/>
      <c r="W1644" s="15" t="n">
        <v>1.776068695652174</v>
      </c>
      <c r="X1644" s="15" t="n">
        <v>0.8319336147351075</v>
      </c>
      <c r="Y1644" s="15" t="n">
        <v>0.5314400422759454</v>
      </c>
      <c r="Z1644" s="15" t="n">
        <v>0</v>
      </c>
      <c r="AA1644" s="15" t="n">
        <v>1.887843192866361</v>
      </c>
      <c r="AB1644" s="15" t="n">
        <v>2.62338834181293</v>
      </c>
      <c r="AC1644" s="15" t="n">
        <v>13.26315463243306</v>
      </c>
      <c r="AD1644" s="15" t="n">
        <v>46.33373116651891</v>
      </c>
      <c r="AE1644" s="15" t="n">
        <v>87.60821325793086</v>
      </c>
      <c r="AF1644" s="15" t="n">
        <v>119.0356175971491</v>
      </c>
      <c r="AH1644" s="42">
        <f>HIPERLINK($A$1 &amp; "\Dados\Magnet_fields_1644.txt.txt", "Magnet_fields_1644.txt")</f>
        <v/>
      </c>
      <c r="AI1644" t="n">
        <v>10221</v>
      </c>
      <c r="AJ1644" t="n">
        <v>31</v>
      </c>
      <c r="AK1644" s="42">
        <f>HIPERLINK($A$1 &amp; "\Dados\Magnet_3D_results_1644.txt.txt", "Magnet_3D_results_1644.txt")</f>
        <v/>
      </c>
      <c r="AL1644" s="42">
        <f>HIPERLINK($A$1 &amp; "\Dados\Magnet_fields_2D_1644.txt.txt", "Magnet_fields_2D_1644.txt")</f>
        <v/>
      </c>
    </row>
    <row r="1645">
      <c r="E1645" s="15" t="n">
        <v>129</v>
      </c>
      <c r="F1645" s="15" t="n">
        <v>176</v>
      </c>
      <c r="G1645" s="15" t="n">
        <v>411</v>
      </c>
      <c r="H1645" s="15" t="n">
        <v>37</v>
      </c>
      <c r="I1645" s="15" t="n">
        <v>166</v>
      </c>
      <c r="J1645" s="13" t="n">
        <v>25</v>
      </c>
      <c r="K1645" t="n">
        <v>45</v>
      </c>
      <c r="L1645" s="13" t="n">
        <v>2.6</v>
      </c>
      <c r="M1645" s="12" t="n"/>
      <c r="N1645" s="8" t="n">
        <v>1.396041130609787</v>
      </c>
      <c r="O1645" s="15" t="n">
        <v>1.189926494360763</v>
      </c>
      <c r="P1645" s="15" t="n">
        <v>1.328335918654987</v>
      </c>
      <c r="Q1645" s="15" t="n">
        <v>0.003615655120651668</v>
      </c>
      <c r="R1645" s="15" t="n">
        <v>0.04846287570705694</v>
      </c>
      <c r="S1645" s="15" t="n">
        <v>0.004091804495002161</v>
      </c>
      <c r="T1645" s="42">
        <f>HIPERLINK($A$1 &amp; "\Dados\Imagem_perfil_1645.png", "Imagem_perfil_1645")</f>
        <v/>
      </c>
      <c r="U1645" s="42">
        <f>HIPERLINK($A$1 &amp; "\Dados\Results_airgap1645.txt", "Results_airgap1645")</f>
        <v/>
      </c>
      <c r="V1645" s="19" t="n"/>
      <c r="W1645" s="15" t="n">
        <v>1.819995869565218</v>
      </c>
      <c r="X1645" s="15" t="n">
        <v>0.8650931934523999</v>
      </c>
      <c r="Y1645" s="15" t="n">
        <v>0.5010104810816177</v>
      </c>
      <c r="Z1645" s="15" t="n">
        <v>0</v>
      </c>
      <c r="AA1645" s="15" t="n">
        <v>0.05499731531722431</v>
      </c>
      <c r="AB1645" s="15" t="n">
        <v>2.197496062874208</v>
      </c>
      <c r="AC1645" s="15" t="n">
        <v>11.76571534249917</v>
      </c>
      <c r="AD1645" s="15" t="n">
        <v>43.12623892031626</v>
      </c>
      <c r="AE1645" s="15" t="n">
        <v>86.21552162287209</v>
      </c>
      <c r="AF1645" s="15" t="n">
        <v>118.9256015293375</v>
      </c>
      <c r="AH1645" s="42">
        <f>HIPERLINK($A$1 &amp; "\Dados\Magnet_fields_1645.txt.txt", "Magnet_fields_1645.txt")</f>
        <v/>
      </c>
      <c r="AI1645" t="n">
        <v>7346</v>
      </c>
      <c r="AJ1645" t="n">
        <v>29</v>
      </c>
      <c r="AK1645" s="42">
        <f>HIPERLINK($A$1 &amp; "\Dados\Magnet_3D_results_1645.txt.txt", "Magnet_3D_results_1645.txt")</f>
        <v/>
      </c>
      <c r="AL1645" s="42">
        <f>HIPERLINK($A$1 &amp; "\Dados\Magnet_fields_2D_1645.txt.txt", "Magnet_fields_2D_1645.txt")</f>
        <v/>
      </c>
    </row>
    <row r="1646">
      <c r="E1646" s="15" t="n">
        <v>136</v>
      </c>
      <c r="F1646" s="15" t="n">
        <v>183</v>
      </c>
      <c r="G1646" s="15" t="n">
        <v>406</v>
      </c>
      <c r="H1646" s="15" t="n">
        <v>40</v>
      </c>
      <c r="I1646" s="15" t="n">
        <v>146</v>
      </c>
      <c r="J1646" s="13" t="n">
        <v>25</v>
      </c>
      <c r="K1646" t="n">
        <v>40</v>
      </c>
      <c r="L1646" s="13" t="n">
        <v>2.6</v>
      </c>
      <c r="M1646" s="12" t="n"/>
      <c r="N1646" s="8" t="n">
        <v>1.281170727321133</v>
      </c>
      <c r="O1646" s="15" t="n">
        <v>1.031066590839071</v>
      </c>
      <c r="P1646" s="15" t="n">
        <v>1.2050758714806</v>
      </c>
      <c r="Q1646" s="15" t="n">
        <v>0.001445134995848026</v>
      </c>
      <c r="R1646" s="15" t="n">
        <v>0.03660490453406333</v>
      </c>
      <c r="S1646" s="15" t="n">
        <v>0.002372345068424936</v>
      </c>
      <c r="T1646" s="42">
        <f>HIPERLINK($A$1 &amp; "\Dados\Imagem_perfil_1646.png", "Imagem_perfil_1646")</f>
        <v/>
      </c>
      <c r="U1646" s="42">
        <f>HIPERLINK($A$1 &amp; "\Dados\Results_airgap1646.txt", "Results_airgap1646")</f>
        <v/>
      </c>
      <c r="V1646" s="19" t="n"/>
      <c r="W1646" s="15" t="n">
        <v>1.700925434782609</v>
      </c>
      <c r="X1646" s="15" t="n">
        <v>0.8210042176242244</v>
      </c>
      <c r="Y1646" s="15" t="n">
        <v>0.6914922626891441</v>
      </c>
      <c r="Z1646" s="15" t="n">
        <v>0.01090168717334153</v>
      </c>
      <c r="AA1646" s="15" t="n">
        <v>0.01183273578696481</v>
      </c>
      <c r="AB1646" s="15" t="n">
        <v>2.87047635881924</v>
      </c>
      <c r="AC1646" s="15" t="n">
        <v>13.29308696070591</v>
      </c>
      <c r="AD1646" s="15" t="n">
        <v>38.66398076759149</v>
      </c>
      <c r="AE1646" s="15" t="n">
        <v>76.7333088716132</v>
      </c>
      <c r="AF1646" s="15" t="n">
        <v>112.1703531503694</v>
      </c>
      <c r="AH1646" s="42">
        <f>HIPERLINK($A$1 &amp; "\Dados\Magnet_fields_1646.txt.txt", "Magnet_fields_1646.txt")</f>
        <v/>
      </c>
      <c r="AI1646" t="n">
        <v>7282</v>
      </c>
      <c r="AJ1646" t="n">
        <v>28</v>
      </c>
      <c r="AK1646" s="42">
        <f>HIPERLINK($A$1 &amp; "\Dados\Magnet_3D_results_1646.txt.txt", "Magnet_3D_results_1646.txt")</f>
        <v/>
      </c>
      <c r="AL1646" s="42">
        <f>HIPERLINK($A$1 &amp; "\Dados\Magnet_fields_2D_1646.txt.txt", "Magnet_fields_2D_1646.txt")</f>
        <v/>
      </c>
    </row>
    <row r="1647">
      <c r="E1647" s="15" t="n">
        <v>142</v>
      </c>
      <c r="F1647" s="15" t="n">
        <v>192</v>
      </c>
      <c r="G1647" s="15" t="n">
        <v>375</v>
      </c>
      <c r="H1647" s="15" t="n">
        <v>42</v>
      </c>
      <c r="I1647" s="15" t="n">
        <v>151</v>
      </c>
      <c r="J1647" s="13" t="n">
        <v>25</v>
      </c>
      <c r="K1647" t="n">
        <v>45</v>
      </c>
      <c r="L1647" s="13" t="n">
        <v>2.6</v>
      </c>
      <c r="M1647" s="12" t="n"/>
      <c r="N1647" s="8" t="n">
        <v>1.204428513286144</v>
      </c>
      <c r="O1647" s="15" t="n">
        <v>0.9837104142121682</v>
      </c>
      <c r="P1647" s="15" t="n">
        <v>1.136399632345991</v>
      </c>
      <c r="Q1647" s="15" t="n">
        <v>0.00225390825219691</v>
      </c>
      <c r="R1647" s="15" t="n">
        <v>0.03308943270454441</v>
      </c>
      <c r="S1647" s="15" t="n">
        <v>0.003056620328179879</v>
      </c>
      <c r="T1647" s="42">
        <f>HIPERLINK($A$1 &amp; "\Dados\Imagem_perfil_1647.png", "Imagem_perfil_1647")</f>
        <v/>
      </c>
      <c r="U1647" s="42">
        <f>HIPERLINK($A$1 &amp; "\Dados\Results_airgap1647.txt", "Results_airgap1647")</f>
        <v/>
      </c>
      <c r="V1647" s="19" t="n"/>
      <c r="W1647" s="15" t="n">
        <v>1.580236521739131</v>
      </c>
      <c r="X1647" s="15" t="n">
        <v>0.781633283113716</v>
      </c>
      <c r="Y1647" s="15" t="n">
        <v>0.7127298511859864</v>
      </c>
      <c r="Z1647" s="15" t="n">
        <v>0</v>
      </c>
      <c r="AA1647" s="15" t="n">
        <v>0</v>
      </c>
      <c r="AB1647" s="15" t="n">
        <v>0.9191820946161395</v>
      </c>
      <c r="AC1647" s="15" t="n">
        <v>8.469878870392524</v>
      </c>
      <c r="AD1647" s="15" t="n">
        <v>39.98837762194538</v>
      </c>
      <c r="AE1647" s="15" t="n">
        <v>82.8404982494739</v>
      </c>
      <c r="AF1647" s="15" t="n">
        <v>116.8182260980298</v>
      </c>
      <c r="AH1647" s="42">
        <f>HIPERLINK($A$1 &amp; "\Dados\Magnet_fields_1647.txt.txt", "Magnet_fields_1647.txt")</f>
        <v/>
      </c>
      <c r="AI1647" t="n">
        <v>5881</v>
      </c>
      <c r="AJ1647" t="n">
        <v>28</v>
      </c>
      <c r="AK1647" s="42">
        <f>HIPERLINK($A$1 &amp; "\Dados\Magnet_3D_results_1647.txt.txt", "Magnet_3D_results_1647.txt")</f>
        <v/>
      </c>
      <c r="AL1647" s="42">
        <f>HIPERLINK($A$1 &amp; "\Dados\Magnet_fields_2D_1647.txt.txt", "Magnet_fields_2D_1647.txt")</f>
        <v/>
      </c>
    </row>
    <row r="1648">
      <c r="E1648" s="15" t="n">
        <v>140</v>
      </c>
      <c r="F1648" s="15" t="n">
        <v>179</v>
      </c>
      <c r="G1648" s="15" t="n">
        <v>351</v>
      </c>
      <c r="H1648" s="15" t="n">
        <v>38</v>
      </c>
      <c r="I1648" s="15" t="n">
        <v>150</v>
      </c>
      <c r="J1648" s="13" t="n">
        <v>25</v>
      </c>
      <c r="K1648" t="n">
        <v>60</v>
      </c>
      <c r="L1648" s="13" t="n">
        <v>2.6</v>
      </c>
      <c r="M1648" s="12" t="n"/>
      <c r="N1648" s="8" t="n">
        <v>1.400237199398417</v>
      </c>
      <c r="O1648" s="15" t="n">
        <v>1.128690686234249</v>
      </c>
      <c r="P1648" s="15" t="n">
        <v>1.322034461038834</v>
      </c>
      <c r="Q1648" s="15" t="n">
        <v>0.01552897605233419</v>
      </c>
      <c r="R1648" s="15" t="n">
        <v>0.03915170160948227</v>
      </c>
      <c r="S1648" s="15" t="n">
        <v>0.01521261684523033</v>
      </c>
      <c r="T1648" s="42">
        <f>HIPERLINK($A$1 &amp; "\Dados\Imagem_perfil_1648.png", "Imagem_perfil_1648")</f>
        <v/>
      </c>
      <c r="U1648" s="42">
        <f>HIPERLINK($A$1 &amp; "\Dados\Results_airgap1648.txt", "Results_airgap1648")</f>
        <v/>
      </c>
      <c r="V1648" s="19" t="n"/>
      <c r="W1648" s="15" t="n">
        <v>1.816363695652174</v>
      </c>
      <c r="X1648" s="15" t="n">
        <v>0.897891333515493</v>
      </c>
      <c r="Y1648" s="15" t="n">
        <v>0.3582502659687413</v>
      </c>
      <c r="Z1648" s="15" t="n">
        <v>0</v>
      </c>
      <c r="AA1648" s="15" t="n">
        <v>0.2506948441510334</v>
      </c>
      <c r="AB1648" s="15" t="n">
        <v>0.6181568534575898</v>
      </c>
      <c r="AC1648" s="15" t="n">
        <v>22.57176636697065</v>
      </c>
      <c r="AD1648" s="15" t="n">
        <v>69.07579368570593</v>
      </c>
      <c r="AE1648" s="15" t="n">
        <v>98.19406890751428</v>
      </c>
      <c r="AF1648" s="15" t="n">
        <v>129.9246057274727</v>
      </c>
      <c r="AH1648" s="42">
        <f>HIPERLINK($A$1 &amp; "\Dados\Magnet_fields_1648.txt.txt", "Magnet_fields_1648.txt")</f>
        <v/>
      </c>
      <c r="AI1648" t="n">
        <v>7715</v>
      </c>
      <c r="AJ1648" t="n">
        <v>29</v>
      </c>
      <c r="AK1648" s="42">
        <f>HIPERLINK($A$1 &amp; "\Dados\Magnet_3D_results_1648.txt.txt", "Magnet_3D_results_1648.txt")</f>
        <v/>
      </c>
      <c r="AL1648" s="42">
        <f>HIPERLINK($A$1 &amp; "\Dados\Magnet_fields_2D_1648.txt.txt", "Magnet_fields_2D_1648.txt")</f>
        <v/>
      </c>
    </row>
    <row r="1649">
      <c r="E1649" s="15" t="n">
        <v>132</v>
      </c>
      <c r="F1649" s="15" t="n">
        <v>178</v>
      </c>
      <c r="G1649" s="15" t="n">
        <v>426</v>
      </c>
      <c r="H1649" s="15" t="n">
        <v>42</v>
      </c>
      <c r="I1649" s="15" t="n">
        <v>150</v>
      </c>
      <c r="J1649" s="13" t="n">
        <v>25</v>
      </c>
      <c r="K1649" t="n">
        <v>50</v>
      </c>
      <c r="L1649" s="13" t="n">
        <v>2.6</v>
      </c>
      <c r="M1649" s="12" t="n"/>
      <c r="N1649" s="8" t="n">
        <v>1.423800984656022</v>
      </c>
      <c r="O1649" s="15" t="n">
        <v>1.164946515357593</v>
      </c>
      <c r="P1649" s="15" t="n">
        <v>1.350420478946384</v>
      </c>
      <c r="Q1649" s="15" t="n">
        <v>0.00719623771904722</v>
      </c>
      <c r="R1649" s="15" t="n">
        <v>0.05822231589109567</v>
      </c>
      <c r="S1649" s="15" t="n">
        <v>0.008359144729676686</v>
      </c>
      <c r="T1649" s="42">
        <f>HIPERLINK($A$1 &amp; "\Dados\Imagem_perfil_1649.png", "Imagem_perfil_1649")</f>
        <v/>
      </c>
      <c r="U1649" s="42">
        <f>HIPERLINK($A$1 &amp; "\Dados\Results_airgap1649.txt", "Results_airgap1649")</f>
        <v/>
      </c>
      <c r="V1649" s="19" t="n"/>
      <c r="W1649" s="15" t="n">
        <v>1.973146304347826</v>
      </c>
      <c r="X1649" s="15" t="n">
        <v>0.9202594582130571</v>
      </c>
      <c r="Y1649" s="15" t="n">
        <v>0.3158097236194673</v>
      </c>
      <c r="Z1649" s="15" t="n">
        <v>0.001213807189379983</v>
      </c>
      <c r="AA1649" s="15" t="n">
        <v>0.001516313917497482</v>
      </c>
      <c r="AB1649" s="15" t="n">
        <v>3.04752801843484</v>
      </c>
      <c r="AC1649" s="15" t="n">
        <v>17.19952590244764</v>
      </c>
      <c r="AD1649" s="15" t="n">
        <v>52.1594629388921</v>
      </c>
      <c r="AE1649" s="15" t="n">
        <v>89.07885142577176</v>
      </c>
      <c r="AF1649" s="15" t="n">
        <v>122.004607921609</v>
      </c>
      <c r="AH1649" s="42">
        <f>HIPERLINK($A$1 &amp; "\Dados\Magnet_fields_1649.txt.txt", "Magnet_fields_1649.txt")</f>
        <v/>
      </c>
      <c r="AI1649" t="n">
        <v>7354</v>
      </c>
      <c r="AJ1649" t="n">
        <v>28</v>
      </c>
      <c r="AK1649" s="42">
        <f>HIPERLINK($A$1 &amp; "\Dados\Magnet_3D_results_1649.txt.txt", "Magnet_3D_results_1649.txt")</f>
        <v/>
      </c>
      <c r="AL1649" s="42">
        <f>HIPERLINK($A$1 &amp; "\Dados\Magnet_fields_2D_1649.txt.txt", "Magnet_fields_2D_1649.txt")</f>
        <v/>
      </c>
    </row>
    <row r="1650">
      <c r="E1650" s="15" t="n">
        <v>146</v>
      </c>
      <c r="F1650" s="15" t="n">
        <v>194</v>
      </c>
      <c r="G1650" s="15" t="n">
        <v>420</v>
      </c>
      <c r="H1650" s="15" t="n">
        <v>43</v>
      </c>
      <c r="I1650" s="15" t="n">
        <v>178</v>
      </c>
      <c r="J1650" s="13" t="n">
        <v>25</v>
      </c>
      <c r="K1650" t="n">
        <v>40</v>
      </c>
      <c r="L1650" s="13" t="n">
        <v>2.6</v>
      </c>
      <c r="M1650" s="12" t="n"/>
      <c r="N1650" s="8" t="n">
        <v>1.335274084404683</v>
      </c>
      <c r="O1650" s="15" t="n">
        <v>1.181156742272889</v>
      </c>
      <c r="P1650" s="15" t="n">
        <v>1.2891532804812</v>
      </c>
      <c r="Q1650" s="15" t="n">
        <v>0.001262905027900839</v>
      </c>
      <c r="R1650" s="15" t="n">
        <v>0.03596442682803705</v>
      </c>
      <c r="S1650" s="15" t="n">
        <v>0.001507850496138426</v>
      </c>
      <c r="T1650" s="42">
        <f>HIPERLINK($A$1 &amp; "\Dados\Imagem_perfil_1650.png", "Imagem_perfil_1650")</f>
        <v/>
      </c>
      <c r="U1650" s="42">
        <f>HIPERLINK($A$1 &amp; "\Dados\Results_airgap1650.txt", "Results_airgap1650")</f>
        <v/>
      </c>
      <c r="V1650" s="19" t="n"/>
      <c r="W1650" s="15" t="n">
        <v>1.678055652173913</v>
      </c>
      <c r="X1650" s="15" t="n">
        <v>0.8262562262655904</v>
      </c>
      <c r="Y1650" s="15" t="n">
        <v>0.6745154736119601</v>
      </c>
      <c r="Z1650" s="15" t="n">
        <v>0.01652473440164673</v>
      </c>
      <c r="AA1650" s="15" t="n">
        <v>0.005980546779571143</v>
      </c>
      <c r="AB1650" s="15" t="n">
        <v>1.6401296400479</v>
      </c>
      <c r="AC1650" s="15" t="n">
        <v>8.803590103317044</v>
      </c>
      <c r="AD1650" s="15" t="n">
        <v>33.82765904615625</v>
      </c>
      <c r="AE1650" s="15" t="n">
        <v>78.70204535573284</v>
      </c>
      <c r="AF1650" s="15" t="n">
        <v>113.9891494265141</v>
      </c>
      <c r="AH1650" s="42">
        <f>HIPERLINK($A$1 &amp; "\Dados\Magnet_fields_1650.txt.txt", "Magnet_fields_1650.txt")</f>
        <v/>
      </c>
      <c r="AI1650" t="n">
        <v>7540</v>
      </c>
      <c r="AJ1650" t="n">
        <v>29</v>
      </c>
      <c r="AK1650" s="42">
        <f>HIPERLINK($A$1 &amp; "\Dados\Magnet_3D_results_1650.txt.txt", "Magnet_3D_results_1650.txt")</f>
        <v/>
      </c>
      <c r="AL1650" s="42">
        <f>HIPERLINK($A$1 &amp; "\Dados\Magnet_fields_2D_1650.txt.txt", "Magnet_fields_2D_1650.txt")</f>
        <v/>
      </c>
    </row>
    <row r="1651">
      <c r="E1651" s="15" t="n">
        <v>149</v>
      </c>
      <c r="F1651" s="15" t="n">
        <v>199</v>
      </c>
      <c r="G1651" s="15" t="n">
        <v>403</v>
      </c>
      <c r="H1651" s="15" t="n">
        <v>37</v>
      </c>
      <c r="I1651" s="15" t="n">
        <v>159</v>
      </c>
      <c r="J1651" s="13" t="n">
        <v>25</v>
      </c>
      <c r="K1651" t="n">
        <v>45</v>
      </c>
      <c r="L1651" s="13" t="n">
        <v>2.6</v>
      </c>
      <c r="M1651" s="12" t="n"/>
      <c r="N1651" s="8" t="n">
        <v>1.259561219693422</v>
      </c>
      <c r="O1651" s="15" t="n">
        <v>1.064734586795705</v>
      </c>
      <c r="P1651" s="15" t="n">
        <v>1.201638078044969</v>
      </c>
      <c r="Q1651" s="15" t="n">
        <v>0.002175345047790206</v>
      </c>
      <c r="R1651" s="15" t="n">
        <v>0.03567734153636243</v>
      </c>
      <c r="S1651" s="15" t="n">
        <v>0.002727404180583375</v>
      </c>
      <c r="T1651" s="42">
        <f>HIPERLINK($A$1 &amp; "\Dados\Imagem_perfil_1651.png", "Imagem_perfil_1651")</f>
        <v/>
      </c>
      <c r="U1651" s="42">
        <f>HIPERLINK($A$1 &amp; "\Dados\Results_airgap1651.txt", "Results_airgap1651")</f>
        <v/>
      </c>
      <c r="V1651" s="19" t="n"/>
      <c r="W1651" s="15" t="n">
        <v>1.659787608695652</v>
      </c>
      <c r="X1651" s="15" t="n">
        <v>0.8152282400324868</v>
      </c>
      <c r="Y1651" s="15" t="n">
        <v>0.6187528611870589</v>
      </c>
      <c r="Z1651" s="15" t="n">
        <v>0</v>
      </c>
      <c r="AA1651" s="15" t="n">
        <v>0.2826103035599268</v>
      </c>
      <c r="AB1651" s="15" t="n">
        <v>0.8125096059166634</v>
      </c>
      <c r="AC1651" s="15" t="n">
        <v>8.455219202806823</v>
      </c>
      <c r="AD1651" s="15" t="n">
        <v>41.55376456405327</v>
      </c>
      <c r="AE1651" s="15" t="n">
        <v>84.72066046747182</v>
      </c>
      <c r="AF1651" s="15" t="n">
        <v>117.5573341789226</v>
      </c>
      <c r="AH1651" s="42">
        <f>HIPERLINK($A$1 &amp; "\Dados\Magnet_fields_1651.txt.txt", "Magnet_fields_1651.txt")</f>
        <v/>
      </c>
      <c r="AI1651" t="n">
        <v>6617</v>
      </c>
      <c r="AJ1651" t="n">
        <v>28</v>
      </c>
      <c r="AK1651" s="42">
        <f>HIPERLINK($A$1 &amp; "\Dados\Magnet_3D_results_1651.txt.txt", "Magnet_3D_results_1651.txt")</f>
        <v/>
      </c>
      <c r="AL1651" s="42">
        <f>HIPERLINK($A$1 &amp; "\Dados\Magnet_fields_2D_1651.txt.txt", "Magnet_fields_2D_1651.txt")</f>
        <v/>
      </c>
    </row>
    <row r="1652">
      <c r="E1652" s="15" t="n">
        <v>146</v>
      </c>
      <c r="F1652" s="15" t="n">
        <v>185</v>
      </c>
      <c r="G1652" s="15" t="n">
        <v>403</v>
      </c>
      <c r="H1652" s="15" t="n">
        <v>29</v>
      </c>
      <c r="I1652" s="15" t="n">
        <v>169</v>
      </c>
      <c r="J1652" s="13" t="n">
        <v>25</v>
      </c>
      <c r="K1652" t="n">
        <v>55</v>
      </c>
      <c r="L1652" s="13" t="n">
        <v>2.6</v>
      </c>
      <c r="M1652" s="12" t="n"/>
      <c r="N1652" s="8" t="n">
        <v>1.532457742416709</v>
      </c>
      <c r="O1652" s="15" t="n">
        <v>1.333489183194188</v>
      </c>
      <c r="P1652" s="15" t="n">
        <v>1.477218673005666</v>
      </c>
      <c r="Q1652" s="15" t="n">
        <v>0.009358462599259668</v>
      </c>
      <c r="R1652" s="15" t="n">
        <v>0.04659375500999332</v>
      </c>
      <c r="S1652" s="15" t="n">
        <v>0.009545833475712456</v>
      </c>
      <c r="T1652" s="42">
        <f>HIPERLINK($A$1 &amp; "\Dados\Imagem_perfil_1652.png", "Imagem_perfil_1652")</f>
        <v/>
      </c>
      <c r="U1652" s="42">
        <f>HIPERLINK($A$1 &amp; "\Dados\Results_airgap1652.txt", "Results_airgap1652")</f>
        <v/>
      </c>
      <c r="V1652" s="19" t="n"/>
      <c r="W1652" s="15" t="n">
        <v>1.998203695652174</v>
      </c>
      <c r="X1652" s="15" t="n">
        <v>0.9593717109876299</v>
      </c>
      <c r="Y1652" s="15" t="n">
        <v>0.2249889817277263</v>
      </c>
      <c r="Z1652" s="15" t="n">
        <v>0.02055534289841636</v>
      </c>
      <c r="AA1652" s="15" t="n">
        <v>3.203328932671605</v>
      </c>
      <c r="AB1652" s="15" t="n">
        <v>0.6679980455409555</v>
      </c>
      <c r="AC1652" s="15" t="n">
        <v>17.38462271469687</v>
      </c>
      <c r="AD1652" s="15" t="n">
        <v>63.00020001988211</v>
      </c>
      <c r="AE1652" s="15" t="n">
        <v>95.79893981527005</v>
      </c>
      <c r="AF1652" s="15" t="n">
        <v>126.8258876797655</v>
      </c>
      <c r="AH1652" s="42">
        <f>HIPERLINK($A$1 &amp; "\Dados\Magnet_fields_1652.txt.txt", "Magnet_fields_1652.txt")</f>
        <v/>
      </c>
      <c r="AI1652" t="n">
        <v>12288</v>
      </c>
      <c r="AJ1652" t="n">
        <v>31</v>
      </c>
      <c r="AK1652" s="42">
        <f>HIPERLINK($A$1 &amp; "\Dados\Magnet_3D_results_1652.txt.txt", "Magnet_3D_results_1652.txt")</f>
        <v/>
      </c>
      <c r="AL1652" s="42">
        <f>HIPERLINK($A$1 &amp; "\Dados\Magnet_fields_2D_1652.txt.txt", "Magnet_fields_2D_1652.txt")</f>
        <v/>
      </c>
    </row>
    <row r="1653">
      <c r="E1653" s="15" t="n">
        <v>146</v>
      </c>
      <c r="F1653" s="15" t="n">
        <v>180</v>
      </c>
      <c r="G1653" s="15" t="n">
        <v>355</v>
      </c>
      <c r="H1653" s="15" t="n">
        <v>37</v>
      </c>
      <c r="I1653" s="15" t="n">
        <v>172</v>
      </c>
      <c r="J1653" s="13" t="n">
        <v>25</v>
      </c>
      <c r="K1653" t="n">
        <v>45</v>
      </c>
      <c r="L1653" s="13" t="n">
        <v>2.6</v>
      </c>
      <c r="M1653" s="12" t="n"/>
      <c r="N1653" s="8" t="n">
        <v>1.495095504374604</v>
      </c>
      <c r="O1653" s="15" t="n">
        <v>1.320514813423934</v>
      </c>
      <c r="P1653" s="15" t="n">
        <v>1.444753543678572</v>
      </c>
      <c r="Q1653" s="15" t="n">
        <v>0.002722803242639349</v>
      </c>
      <c r="R1653" s="15" t="n">
        <v>0.02739101504179284</v>
      </c>
      <c r="S1653" s="15" t="n">
        <v>0.002804850389282303</v>
      </c>
      <c r="T1653" s="42">
        <f>HIPERLINK($A$1 &amp; "\Dados\Imagem_perfil_1653.png", "Imagem_perfil_1653")</f>
        <v/>
      </c>
      <c r="U1653" s="42">
        <f>HIPERLINK($A$1 &amp; "\Dados\Results_airgap1653.txt", "Results_airgap1653")</f>
        <v/>
      </c>
      <c r="V1653" s="19" t="n"/>
      <c r="W1653" s="15" t="n">
        <v>1.790577173913044</v>
      </c>
      <c r="X1653" s="15" t="n">
        <v>0.9335690273544757</v>
      </c>
      <c r="Y1653" s="15" t="n">
        <v>0.4115264587317778</v>
      </c>
      <c r="Z1653" s="15" t="n">
        <v>0</v>
      </c>
      <c r="AA1653" s="15" t="n">
        <v>0</v>
      </c>
      <c r="AB1653" s="15" t="n">
        <v>0</v>
      </c>
      <c r="AC1653" s="15" t="n">
        <v>5.585498164390293</v>
      </c>
      <c r="AD1653" s="15" t="n">
        <v>44.04124118513602</v>
      </c>
      <c r="AE1653" s="15" t="n">
        <v>86.08044438971983</v>
      </c>
      <c r="AF1653" s="15" t="n">
        <v>117.5851984668588</v>
      </c>
      <c r="AH1653" s="42">
        <f>HIPERLINK($A$1 &amp; "\Dados\Magnet_fields_1653.txt.txt", "Magnet_fields_1653.txt")</f>
        <v/>
      </c>
      <c r="AI1653" t="n">
        <v>7161</v>
      </c>
      <c r="AJ1653" t="n">
        <v>29</v>
      </c>
      <c r="AK1653" s="42">
        <f>HIPERLINK($A$1 &amp; "\Dados\Magnet_3D_results_1653.txt.txt", "Magnet_3D_results_1653.txt")</f>
        <v/>
      </c>
      <c r="AL1653" s="42">
        <f>HIPERLINK($A$1 &amp; "\Dados\Magnet_fields_2D_1653.txt.txt", "Magnet_fields_2D_1653.txt")</f>
        <v/>
      </c>
    </row>
    <row r="1654">
      <c r="E1654" s="15" t="n">
        <v>143</v>
      </c>
      <c r="F1654" s="15" t="n">
        <v>174</v>
      </c>
      <c r="G1654" s="15" t="n">
        <v>428</v>
      </c>
      <c r="H1654" s="15" t="n">
        <v>39</v>
      </c>
      <c r="I1654" s="15" t="n">
        <v>162</v>
      </c>
      <c r="J1654" s="13" t="n">
        <v>25</v>
      </c>
      <c r="K1654" t="n">
        <v>55</v>
      </c>
      <c r="L1654" s="13" t="n">
        <v>2.6</v>
      </c>
      <c r="M1654" s="12" t="n"/>
      <c r="N1654" s="8" t="n">
        <v>1.73153043736678</v>
      </c>
      <c r="O1654" s="15" t="n">
        <v>1.498698402766232</v>
      </c>
      <c r="P1654" s="15" t="n">
        <v>1.654133201677426</v>
      </c>
      <c r="Q1654" s="15" t="n">
        <v>0.0174655971405626</v>
      </c>
      <c r="R1654" s="15" t="n">
        <v>0.06080099057453706</v>
      </c>
      <c r="S1654" s="15" t="n">
        <v>0.01790775516543272</v>
      </c>
      <c r="T1654" s="42">
        <f>HIPERLINK($A$1 &amp; "\Dados\Imagem_perfil_1654.png", "Imagem_perfil_1654")</f>
        <v/>
      </c>
      <c r="U1654" s="42">
        <f>HIPERLINK($A$1 &amp; "\Dados\Results_airgap1654.txt", "Results_airgap1654")</f>
        <v/>
      </c>
      <c r="V1654" s="19" t="n"/>
      <c r="W1654" s="15" t="n">
        <v>2.278239347826087</v>
      </c>
      <c r="X1654" s="15" t="n">
        <v>1.083090655096286</v>
      </c>
      <c r="Y1654" s="15" t="n">
        <v>0.06756706178947007</v>
      </c>
      <c r="Z1654" s="15" t="n">
        <v>0.006602590974451589</v>
      </c>
      <c r="AA1654" s="15" t="n">
        <v>0.0005829930718560822</v>
      </c>
      <c r="AB1654" s="15" t="n">
        <v>0.9485021318296962</v>
      </c>
      <c r="AC1654" s="15" t="n">
        <v>14.06346588962121</v>
      </c>
      <c r="AD1654" s="15" t="n">
        <v>62.0461630164468</v>
      </c>
      <c r="AE1654" s="15" t="n">
        <v>98.10018770274654</v>
      </c>
      <c r="AF1654" s="15" t="n">
        <v>128.2476122503387</v>
      </c>
      <c r="AH1654" s="42">
        <f>HIPERLINK($A$1 &amp; "\Dados\Magnet_fields_1654.txt.txt", "Magnet_fields_1654.txt")</f>
        <v/>
      </c>
      <c r="AI1654" t="n">
        <v>11282</v>
      </c>
      <c r="AJ1654" t="n">
        <v>31</v>
      </c>
      <c r="AK1654" s="42">
        <f>HIPERLINK($A$1 &amp; "\Dados\Magnet_3D_results_1654.txt.txt", "Magnet_3D_results_1654.txt")</f>
        <v/>
      </c>
      <c r="AL1654" s="42">
        <f>HIPERLINK($A$1 &amp; "\Dados\Magnet_fields_2D_1654.txt.txt", "Magnet_fields_2D_1654.txt")</f>
        <v/>
      </c>
    </row>
    <row r="1655">
      <c r="E1655" s="15" t="n">
        <v>148</v>
      </c>
      <c r="F1655" s="15" t="n">
        <v>179</v>
      </c>
      <c r="G1655" s="15" t="n">
        <v>367</v>
      </c>
      <c r="H1655" s="15" t="n">
        <v>27</v>
      </c>
      <c r="I1655" s="15" t="n">
        <v>180</v>
      </c>
      <c r="J1655" s="13" t="n">
        <v>25</v>
      </c>
      <c r="K1655" t="n">
        <v>45</v>
      </c>
      <c r="L1655" s="13" t="n">
        <v>2.6</v>
      </c>
      <c r="M1655" s="12" t="n"/>
      <c r="N1655" s="8" t="n">
        <v>1.548442163736298</v>
      </c>
      <c r="O1655" s="15" t="n">
        <v>1.377526909864906</v>
      </c>
      <c r="P1655" s="15" t="n">
        <v>1.502201506186464</v>
      </c>
      <c r="Q1655" s="15" t="n">
        <v>0.003261352132665657</v>
      </c>
      <c r="R1655" s="15" t="n">
        <v>0.02469272720644638</v>
      </c>
      <c r="S1655" s="15" t="n">
        <v>0.003294177338255301</v>
      </c>
      <c r="T1655" s="42">
        <f>HIPERLINK($A$1 &amp; "\Dados\Imagem_perfil_1655.png", "Imagem_perfil_1655")</f>
        <v/>
      </c>
      <c r="U1655" s="42">
        <f>HIPERLINK($A$1 &amp; "\Dados\Results_airgap1655.txt", "Results_airgap1655")</f>
        <v/>
      </c>
      <c r="V1655" s="19" t="n"/>
      <c r="W1655" s="15" t="n">
        <v>1.865627391304348</v>
      </c>
      <c r="X1655" s="15" t="n">
        <v>0.9704226254783599</v>
      </c>
      <c r="Y1655" s="15" t="n">
        <v>0.3437417075250792</v>
      </c>
      <c r="Z1655" s="15" t="n">
        <v>0</v>
      </c>
      <c r="AA1655" s="15" t="n">
        <v>5.573396131987404</v>
      </c>
      <c r="AB1655" s="15" t="n">
        <v>0</v>
      </c>
      <c r="AC1655" s="15" t="n">
        <v>3.249704265198833</v>
      </c>
      <c r="AD1655" s="15" t="n">
        <v>37.45509231843662</v>
      </c>
      <c r="AE1655" s="15" t="n">
        <v>84.75634268729159</v>
      </c>
      <c r="AF1655" s="15" t="n">
        <v>117.8251890235698</v>
      </c>
      <c r="AH1655" s="42">
        <f>HIPERLINK($A$1 &amp; "\Dados\Magnet_fields_1655.txt.txt", "Magnet_fields_1655.txt")</f>
        <v/>
      </c>
      <c r="AI1655" t="n">
        <v>8690</v>
      </c>
      <c r="AJ1655" t="n">
        <v>30</v>
      </c>
      <c r="AK1655" s="42">
        <f>HIPERLINK($A$1 &amp; "\Dados\Magnet_3D_results_1655.txt.txt", "Magnet_3D_results_1655.txt")</f>
        <v/>
      </c>
      <c r="AL1655" s="42">
        <f>HIPERLINK($A$1 &amp; "\Dados\Magnet_fields_2D_1655.txt.txt", "Magnet_fields_2D_1655.txt")</f>
        <v/>
      </c>
    </row>
    <row r="1656">
      <c r="E1656" s="15" t="n">
        <v>140</v>
      </c>
      <c r="F1656" s="15" t="n">
        <v>176</v>
      </c>
      <c r="G1656" s="15" t="n">
        <v>368</v>
      </c>
      <c r="H1656" s="15" t="n">
        <v>42</v>
      </c>
      <c r="I1656" s="15" t="n">
        <v>147</v>
      </c>
      <c r="J1656" s="13" t="n">
        <v>25</v>
      </c>
      <c r="K1656" t="n">
        <v>40</v>
      </c>
      <c r="L1656" s="13" t="n">
        <v>2.6</v>
      </c>
      <c r="M1656" s="12" t="n"/>
      <c r="N1656" s="8" t="n">
        <v>1.40514160772733</v>
      </c>
      <c r="O1656" s="15" t="n">
        <v>1.139264434362045</v>
      </c>
      <c r="P1656" s="15" t="n">
        <v>1.327119437318554</v>
      </c>
      <c r="Q1656" s="15" t="n">
        <v>0.001592820799547423</v>
      </c>
      <c r="R1656" s="15" t="n">
        <v>0.027502958240036</v>
      </c>
      <c r="S1656" s="15" t="n">
        <v>0.001815773899266936</v>
      </c>
      <c r="T1656" s="42">
        <f>HIPERLINK($A$1 &amp; "\Dados\Imagem_perfil_1656.png", "Imagem_perfil_1656")</f>
        <v/>
      </c>
      <c r="U1656" s="42">
        <f>HIPERLINK($A$1 &amp; "\Dados\Results_airgap1656.txt", "Results_airgap1656")</f>
        <v/>
      </c>
      <c r="V1656" s="19" t="n"/>
      <c r="W1656" s="15" t="n">
        <v>1.756553913043479</v>
      </c>
      <c r="X1656" s="15" t="n">
        <v>0.8723236127982752</v>
      </c>
      <c r="Y1656" s="15" t="n">
        <v>0.5601126778568483</v>
      </c>
      <c r="Z1656" s="15" t="n">
        <v>0.00111017663470011</v>
      </c>
      <c r="AA1656" s="15" t="n">
        <v>0.001823924489144176</v>
      </c>
      <c r="AB1656" s="15" t="n">
        <v>0.6203626146346385</v>
      </c>
      <c r="AC1656" s="15" t="n">
        <v>7.187135682642133</v>
      </c>
      <c r="AD1656" s="15" t="n">
        <v>33.21000451819714</v>
      </c>
      <c r="AE1656" s="15" t="n">
        <v>75.44527226863818</v>
      </c>
      <c r="AF1656" s="15" t="n">
        <v>111.8573233718997</v>
      </c>
      <c r="AH1656" s="42">
        <f>HIPERLINK($A$1 &amp; "\Dados\Magnet_fields_1656.txt.txt", "Magnet_fields_1656.txt")</f>
        <v/>
      </c>
      <c r="AI1656" t="n">
        <v>7618</v>
      </c>
      <c r="AJ1656" t="n">
        <v>28</v>
      </c>
      <c r="AK1656" s="42">
        <f>HIPERLINK($A$1 &amp; "\Dados\Magnet_3D_results_1656.txt.txt", "Magnet_3D_results_1656.txt")</f>
        <v/>
      </c>
      <c r="AL1656" s="42">
        <f>HIPERLINK($A$1 &amp; "\Dados\Magnet_fields_2D_1656.txt.txt", "Magnet_fields_2D_1656.txt")</f>
        <v/>
      </c>
    </row>
    <row r="1657">
      <c r="E1657" s="15" t="n">
        <v>135</v>
      </c>
      <c r="F1657" s="15" t="n">
        <v>182</v>
      </c>
      <c r="G1657" s="15" t="n">
        <v>413</v>
      </c>
      <c r="H1657" s="15" t="n">
        <v>37</v>
      </c>
      <c r="I1657" s="15" t="n">
        <v>153</v>
      </c>
      <c r="J1657" s="13" t="n">
        <v>25</v>
      </c>
      <c r="K1657" t="n">
        <v>60</v>
      </c>
      <c r="L1657" s="13" t="n">
        <v>2.6</v>
      </c>
      <c r="M1657" s="12" t="n"/>
      <c r="N1657" s="8" t="n">
        <v>1.417019210367971</v>
      </c>
      <c r="O1657" s="15" t="n">
        <v>1.168945698571311</v>
      </c>
      <c r="P1657" s="15" t="n">
        <v>1.341122751979775</v>
      </c>
      <c r="Q1657" s="15" t="n">
        <v>0.02848682144953233</v>
      </c>
      <c r="R1657" s="15" t="n">
        <v>0.06446667382843621</v>
      </c>
      <c r="S1657" s="15" t="n">
        <v>0.02756050589302953</v>
      </c>
      <c r="T1657" s="42">
        <f>HIPERLINK($A$1 &amp; "\Dados\Imagem_perfil_1657.png", "Imagem_perfil_1657")</f>
        <v/>
      </c>
      <c r="U1657" s="42">
        <f>HIPERLINK($A$1 &amp; "\Dados\Results_airgap1657.txt", "Results_airgap1657")</f>
        <v/>
      </c>
      <c r="V1657" s="19" t="n"/>
      <c r="W1657" s="15" t="n">
        <v>1.985716304347826</v>
      </c>
      <c r="X1657" s="15" t="n">
        <v>0.9162664086176256</v>
      </c>
      <c r="Y1657" s="15" t="n">
        <v>0.2500451455315335</v>
      </c>
      <c r="Z1657" s="15" t="n">
        <v>0</v>
      </c>
      <c r="AA1657" s="15" t="n">
        <v>0.9888540742146715</v>
      </c>
      <c r="AB1657" s="15" t="n">
        <v>3.213046992095442</v>
      </c>
      <c r="AC1657" s="15" t="n">
        <v>23.61069572206046</v>
      </c>
      <c r="AD1657" s="15" t="n">
        <v>63.77155387938656</v>
      </c>
      <c r="AE1657" s="15" t="n">
        <v>96.91718575578911</v>
      </c>
      <c r="AF1657" s="15" t="n">
        <v>130.685272111408</v>
      </c>
      <c r="AH1657" s="42">
        <f>HIPERLINK($A$1 &amp; "\Dados\Magnet_fields_1657.txt.txt", "Magnet_fields_1657.txt")</f>
        <v/>
      </c>
      <c r="AI1657" t="n">
        <v>7738</v>
      </c>
      <c r="AJ1657" t="n">
        <v>29</v>
      </c>
      <c r="AK1657" s="42">
        <f>HIPERLINK($A$1 &amp; "\Dados\Magnet_3D_results_1657.txt.txt", "Magnet_3D_results_1657.txt")</f>
        <v/>
      </c>
      <c r="AL1657" s="42">
        <f>HIPERLINK($A$1 &amp; "\Dados\Magnet_fields_2D_1657.txt.txt", "Magnet_fields_2D_1657.txt")</f>
        <v/>
      </c>
    </row>
    <row r="1658">
      <c r="E1658" s="15" t="n">
        <v>138</v>
      </c>
      <c r="F1658" s="15" t="n">
        <v>187</v>
      </c>
      <c r="G1658" s="15" t="n">
        <v>424</v>
      </c>
      <c r="H1658" s="15" t="n">
        <v>29</v>
      </c>
      <c r="I1658" s="15" t="n">
        <v>153</v>
      </c>
      <c r="J1658" s="13" t="n">
        <v>25</v>
      </c>
      <c r="K1658" t="n">
        <v>40</v>
      </c>
      <c r="L1658" s="13" t="n">
        <v>2.6</v>
      </c>
      <c r="M1658" s="12" t="n"/>
      <c r="N1658" s="8" t="n">
        <v>1.287228214281716</v>
      </c>
      <c r="O1658" s="15" t="n">
        <v>1.051305719926752</v>
      </c>
      <c r="P1658" s="15" t="n">
        <v>1.215647922181351</v>
      </c>
      <c r="Q1658" s="15" t="n">
        <v>0.001485555362136597</v>
      </c>
      <c r="R1658" s="15" t="n">
        <v>0.03722882937043558</v>
      </c>
      <c r="S1658" s="15" t="n">
        <v>0.002250466958139213</v>
      </c>
      <c r="T1658" s="42">
        <f>HIPERLINK($A$1 &amp; "\Dados\Imagem_perfil_1658.png", "Imagem_perfil_1658")</f>
        <v/>
      </c>
      <c r="U1658" s="42">
        <f>HIPERLINK($A$1 &amp; "\Dados\Results_airgap1658.txt", "Results_airgap1658")</f>
        <v/>
      </c>
      <c r="V1658" s="19" t="n"/>
      <c r="W1658" s="15" t="n">
        <v>1.717028913043479</v>
      </c>
      <c r="X1658" s="15" t="n">
        <v>0.8086953463442916</v>
      </c>
      <c r="Y1658" s="15" t="n">
        <v>0.6718321459439649</v>
      </c>
      <c r="Z1658" s="15" t="n">
        <v>0.01120418334336839</v>
      </c>
      <c r="AA1658" s="15" t="n">
        <v>1.619526702001271</v>
      </c>
      <c r="AB1658" s="15" t="n">
        <v>3.277807874607509</v>
      </c>
      <c r="AC1658" s="15" t="n">
        <v>14.39060780506404</v>
      </c>
      <c r="AD1658" s="15" t="n">
        <v>40.40426522569365</v>
      </c>
      <c r="AE1658" s="15" t="n">
        <v>77.70993548093587</v>
      </c>
      <c r="AF1658" s="15" t="n">
        <v>112.4382643940828</v>
      </c>
      <c r="AH1658" s="42">
        <f>HIPERLINK($A$1 &amp; "\Dados\Magnet_fields_1658.txt.txt", "Magnet_fields_1658.txt")</f>
        <v/>
      </c>
      <c r="AI1658" t="n">
        <v>8859</v>
      </c>
      <c r="AJ1658" t="n">
        <v>29</v>
      </c>
      <c r="AK1658" s="42">
        <f>HIPERLINK($A$1 &amp; "\Dados\Magnet_3D_results_1658.txt.txt", "Magnet_3D_results_1658.txt")</f>
        <v/>
      </c>
      <c r="AL1658" s="42">
        <f>HIPERLINK($A$1 &amp; "\Dados\Magnet_fields_2D_1658.txt.txt", "Magnet_fields_2D_1658.txt")</f>
        <v/>
      </c>
    </row>
    <row r="1659">
      <c r="E1659" s="15" t="n">
        <v>148</v>
      </c>
      <c r="F1659" s="15" t="n">
        <v>188</v>
      </c>
      <c r="G1659" s="15" t="n">
        <v>394</v>
      </c>
      <c r="H1659" s="15" t="n">
        <v>40</v>
      </c>
      <c r="I1659" s="15" t="n">
        <v>143</v>
      </c>
      <c r="J1659" s="13" t="n">
        <v>25</v>
      </c>
      <c r="K1659" t="n">
        <v>45</v>
      </c>
      <c r="L1659" s="13" t="n">
        <v>2.6</v>
      </c>
      <c r="M1659" s="12" t="n"/>
      <c r="N1659" s="8" t="n">
        <v>1.355114222143539</v>
      </c>
      <c r="O1659" s="15" t="n">
        <v>1.073588087669501</v>
      </c>
      <c r="P1659" s="15" t="n">
        <v>1.27237487047447</v>
      </c>
      <c r="Q1659" s="15" t="n">
        <v>0.002337848065048281</v>
      </c>
      <c r="R1659" s="15" t="n">
        <v>0.03371554759826168</v>
      </c>
      <c r="S1659" s="15" t="n">
        <v>0.002869756536275891</v>
      </c>
      <c r="T1659" s="42">
        <f>HIPERLINK($A$1 &amp; "\Dados\Imagem_perfil_1659.png", "Imagem_perfil_1659")</f>
        <v/>
      </c>
      <c r="U1659" s="42">
        <f>HIPERLINK($A$1 &amp; "\Dados\Results_airgap1659.txt", "Results_airgap1659")</f>
        <v/>
      </c>
      <c r="V1659" s="19" t="n"/>
      <c r="W1659" s="15" t="n">
        <v>1.796706956521739</v>
      </c>
      <c r="X1659" s="15" t="n">
        <v>0.9188748546296087</v>
      </c>
      <c r="Y1659" s="15" t="n">
        <v>0.4429713617416097</v>
      </c>
      <c r="Z1659" s="15" t="n">
        <v>0</v>
      </c>
      <c r="AA1659" s="15" t="n">
        <v>0.3831439251473615</v>
      </c>
      <c r="AB1659" s="15" t="n">
        <v>0.1837351092242763</v>
      </c>
      <c r="AC1659" s="15" t="n">
        <v>5.552450327564546</v>
      </c>
      <c r="AD1659" s="15" t="n">
        <v>38.66743935962358</v>
      </c>
      <c r="AE1659" s="15" t="n">
        <v>86.74303655882086</v>
      </c>
      <c r="AF1659" s="15" t="n">
        <v>118.4587937915909</v>
      </c>
      <c r="AH1659" s="42">
        <f>HIPERLINK($A$1 &amp; "\Dados\Magnet_fields_1659.txt.txt", "Magnet_fields_1659.txt")</f>
        <v/>
      </c>
      <c r="AI1659" t="n">
        <v>5990</v>
      </c>
      <c r="AJ1659" t="n">
        <v>28</v>
      </c>
      <c r="AK1659" s="42">
        <f>HIPERLINK($A$1 &amp; "\Dados\Magnet_3D_results_1659.txt.txt", "Magnet_3D_results_1659.txt")</f>
        <v/>
      </c>
      <c r="AL1659" s="42">
        <f>HIPERLINK($A$1 &amp; "\Dados\Magnet_fields_2D_1659.txt.txt", "Magnet_fields_2D_1659.txt")</f>
        <v/>
      </c>
    </row>
    <row r="1660">
      <c r="E1660" s="15" t="n">
        <v>122</v>
      </c>
      <c r="F1660" s="15" t="n">
        <v>172</v>
      </c>
      <c r="G1660" s="15" t="n">
        <v>420</v>
      </c>
      <c r="H1660" s="15" t="n">
        <v>34</v>
      </c>
      <c r="I1660" s="15" t="n">
        <v>155</v>
      </c>
      <c r="J1660" s="13" t="n">
        <v>25</v>
      </c>
      <c r="K1660" t="n">
        <v>55</v>
      </c>
      <c r="L1660" s="13" t="n">
        <v>2.6</v>
      </c>
      <c r="M1660" s="12" t="n"/>
      <c r="N1660" s="8" t="n">
        <v>1.420018861285758</v>
      </c>
      <c r="O1660" s="15" t="n">
        <v>1.168474540711472</v>
      </c>
      <c r="P1660" s="15" t="n">
        <v>1.341967144736335</v>
      </c>
      <c r="Q1660" s="15" t="n">
        <v>0.01955818500126345</v>
      </c>
      <c r="R1660" s="15" t="n">
        <v>0.07080031278952409</v>
      </c>
      <c r="S1660" s="15" t="n">
        <v>0.02033828594504897</v>
      </c>
      <c r="T1660" s="42">
        <f>HIPERLINK($A$1 &amp; "\Dados\Imagem_perfil_1660.png", "Imagem_perfil_1660")</f>
        <v/>
      </c>
      <c r="U1660" s="42">
        <f>HIPERLINK($A$1 &amp; "\Dados\Results_airgap1660.txt", "Results_airgap1660")</f>
        <v/>
      </c>
      <c r="V1660" s="19" t="n"/>
      <c r="W1660" s="15" t="n">
        <v>1.985961086956521</v>
      </c>
      <c r="X1660" s="15" t="n">
        <v>0.9203321501699513</v>
      </c>
      <c r="Y1660" s="15" t="n">
        <v>0.2936140058534612</v>
      </c>
      <c r="Z1660" s="15" t="n">
        <v>0.002016511867527118</v>
      </c>
      <c r="AA1660" s="15" t="n">
        <v>0.006025216631613405</v>
      </c>
      <c r="AB1660" s="15" t="n">
        <v>3.452916690612561</v>
      </c>
      <c r="AC1660" s="15" t="n">
        <v>20.67848237641823</v>
      </c>
      <c r="AD1660" s="15" t="n">
        <v>61.00435981070807</v>
      </c>
      <c r="AE1660" s="15" t="n">
        <v>95.57173321376645</v>
      </c>
      <c r="AF1660" s="15" t="n">
        <v>127.07370621785</v>
      </c>
      <c r="AH1660" s="42">
        <f>HIPERLINK($A$1 &amp; "\Dados\Magnet_fields_1660.txt.txt", "Magnet_fields_1660.txt")</f>
        <v/>
      </c>
      <c r="AI1660" t="n">
        <v>11605</v>
      </c>
      <c r="AJ1660" t="n">
        <v>30</v>
      </c>
      <c r="AK1660" s="42">
        <f>HIPERLINK($A$1 &amp; "\Dados\Magnet_3D_results_1660.txt.txt", "Magnet_3D_results_1660.txt")</f>
        <v/>
      </c>
      <c r="AL1660" s="42">
        <f>HIPERLINK($A$1 &amp; "\Dados\Magnet_fields_2D_1660.txt.txt", "Magnet_fields_2D_1660.txt")</f>
        <v/>
      </c>
    </row>
    <row r="1661">
      <c r="E1661" s="15" t="n">
        <v>144</v>
      </c>
      <c r="F1661" s="15" t="n">
        <v>193</v>
      </c>
      <c r="G1661" s="15" t="n">
        <v>417</v>
      </c>
      <c r="H1661" s="15" t="n">
        <v>32</v>
      </c>
      <c r="I1661" s="15" t="n">
        <v>173</v>
      </c>
      <c r="J1661" s="13" t="n">
        <v>25</v>
      </c>
      <c r="K1661" t="n">
        <v>50</v>
      </c>
      <c r="L1661" s="13" t="n">
        <v>2.6</v>
      </c>
      <c r="M1661" s="12" t="n"/>
      <c r="N1661" s="8" t="n">
        <v>1.377194068288245</v>
      </c>
      <c r="O1661" s="15" t="n">
        <v>1.197766927928922</v>
      </c>
      <c r="P1661" s="15" t="n">
        <v>1.320257336366214</v>
      </c>
      <c r="Q1661" s="15" t="n">
        <v>0.005166426763105557</v>
      </c>
      <c r="R1661" s="15" t="n">
        <v>0.04669635029952224</v>
      </c>
      <c r="S1661" s="15" t="n">
        <v>0.005631858014991533</v>
      </c>
      <c r="T1661" s="42">
        <f>HIPERLINK($A$1 &amp; "\Dados\Imagem_perfil_1661.png", "Imagem_perfil_1661")</f>
        <v/>
      </c>
      <c r="U1661" s="42">
        <f>HIPERLINK($A$1 &amp; "\Dados\Results_airgap1661.txt", "Results_airgap1661")</f>
        <v/>
      </c>
      <c r="V1661" s="19" t="n"/>
      <c r="W1661" s="15" t="n">
        <v>1.814766739130435</v>
      </c>
      <c r="X1661" s="15" t="n">
        <v>0.8606348524212294</v>
      </c>
      <c r="Y1661" s="15" t="n">
        <v>0.4368105681888478</v>
      </c>
      <c r="Z1661" s="15" t="n">
        <v>0.0006495812103884227</v>
      </c>
      <c r="AA1661" s="15" t="n">
        <v>2.09022676742593</v>
      </c>
      <c r="AB1661" s="15" t="n">
        <v>1.751841322428527</v>
      </c>
      <c r="AC1661" s="15" t="n">
        <v>12.85947236369665</v>
      </c>
      <c r="AD1661" s="15" t="n">
        <v>50.54842710177145</v>
      </c>
      <c r="AE1661" s="15" t="n">
        <v>89.5646503133209</v>
      </c>
      <c r="AF1661" s="15" t="n">
        <v>121.8266924365152</v>
      </c>
      <c r="AH1661" s="42">
        <f>HIPERLINK($A$1 &amp; "\Dados\Magnet_fields_1661.txt.txt", "Magnet_fields_1661.txt")</f>
        <v/>
      </c>
      <c r="AI1661" t="n">
        <v>7410</v>
      </c>
      <c r="AJ1661" t="n">
        <v>29</v>
      </c>
      <c r="AK1661" s="42">
        <f>HIPERLINK($A$1 &amp; "\Dados\Magnet_3D_results_1661.txt.txt", "Magnet_3D_results_1661.txt")</f>
        <v/>
      </c>
      <c r="AL1661" s="42">
        <f>HIPERLINK($A$1 &amp; "\Dados\Magnet_fields_2D_1661.txt.txt", "Magnet_fields_2D_1661.txt")</f>
        <v/>
      </c>
    </row>
    <row r="1662">
      <c r="E1662" s="15" t="n">
        <v>130</v>
      </c>
      <c r="F1662" s="15" t="n">
        <v>171</v>
      </c>
      <c r="G1662" s="15" t="n">
        <v>421</v>
      </c>
      <c r="H1662" s="15" t="n">
        <v>35</v>
      </c>
      <c r="I1662" s="15" t="n">
        <v>150</v>
      </c>
      <c r="J1662" s="13" t="n">
        <v>25</v>
      </c>
      <c r="K1662" t="n">
        <v>55</v>
      </c>
      <c r="L1662" s="13" t="n">
        <v>2.6</v>
      </c>
      <c r="M1662" s="12" t="n"/>
      <c r="N1662" s="8" t="n">
        <v>1.523591156267687</v>
      </c>
      <c r="O1662" s="15" t="n">
        <v>1.217551880078069</v>
      </c>
      <c r="P1662" s="15" t="n">
        <v>1.431237744596824</v>
      </c>
      <c r="Q1662" s="15" t="n">
        <v>0.01618802376990644</v>
      </c>
      <c r="R1662" s="15" t="n">
        <v>0.06406436767410482</v>
      </c>
      <c r="S1662" s="15" t="n">
        <v>0.01622643297118465</v>
      </c>
      <c r="T1662" s="42">
        <f>HIPERLINK($A$1 &amp; "\Dados\Imagem_perfil_1662.png", "Imagem_perfil_1662")</f>
        <v/>
      </c>
      <c r="U1662" s="42">
        <f>HIPERLINK($A$1 &amp; "\Dados\Results_airgap1662.txt", "Results_airgap1662")</f>
        <v/>
      </c>
      <c r="V1662" s="19" t="n"/>
      <c r="W1662" s="15" t="n">
        <v>2.115949130434782</v>
      </c>
      <c r="X1662" s="15" t="n">
        <v>0.9692045566436566</v>
      </c>
      <c r="Y1662" s="15" t="n">
        <v>0.1800391170106037</v>
      </c>
      <c r="Z1662" s="15" t="n">
        <v>0.000818846303745382</v>
      </c>
      <c r="AA1662" s="15" t="n">
        <v>0.2599680342691411</v>
      </c>
      <c r="AB1662" s="15" t="n">
        <v>2.348263046957602</v>
      </c>
      <c r="AC1662" s="15" t="n">
        <v>17.65258405583461</v>
      </c>
      <c r="AD1662" s="15" t="n">
        <v>58.17221361830705</v>
      </c>
      <c r="AE1662" s="15" t="n">
        <v>94.705521552147</v>
      </c>
      <c r="AF1662" s="15" t="n">
        <v>126.9679605499082</v>
      </c>
      <c r="AH1662" s="42">
        <f>HIPERLINK($A$1 &amp; "\Dados\Magnet_fields_1662.txt.txt", "Magnet_fields_1662.txt")</f>
        <v/>
      </c>
      <c r="AI1662" t="n">
        <v>11184</v>
      </c>
      <c r="AJ1662" t="n">
        <v>30</v>
      </c>
      <c r="AK1662" s="42">
        <f>HIPERLINK($A$1 &amp; "\Dados\Magnet_3D_results_1662.txt.txt", "Magnet_3D_results_1662.txt")</f>
        <v/>
      </c>
      <c r="AL1662" s="42">
        <f>HIPERLINK($A$1 &amp; "\Dados\Magnet_fields_2D_1662.txt.txt", "Magnet_fields_2D_1662.txt")</f>
        <v/>
      </c>
    </row>
    <row r="1663">
      <c r="E1663" s="15" t="n">
        <v>147</v>
      </c>
      <c r="F1663" s="15" t="n">
        <v>185</v>
      </c>
      <c r="G1663" s="15" t="n">
        <v>395</v>
      </c>
      <c r="H1663" s="15" t="n">
        <v>34</v>
      </c>
      <c r="I1663" s="15" t="n">
        <v>174</v>
      </c>
      <c r="J1663" s="13" t="n">
        <v>25</v>
      </c>
      <c r="K1663" t="n">
        <v>55</v>
      </c>
      <c r="L1663" s="13" t="n">
        <v>2.6</v>
      </c>
      <c r="M1663" s="12" t="n"/>
      <c r="N1663" s="8" t="n">
        <v>1.52724998838824</v>
      </c>
      <c r="O1663" s="15" t="n">
        <v>1.33561693772416</v>
      </c>
      <c r="P1663" s="15" t="n">
        <v>1.478359211623426</v>
      </c>
      <c r="Q1663" s="15" t="n">
        <v>0.009491894266677577</v>
      </c>
      <c r="R1663" s="15" t="n">
        <v>0.04407548663763435</v>
      </c>
      <c r="S1663" s="15" t="n">
        <v>0.009524970685853182</v>
      </c>
      <c r="T1663" s="42">
        <f>HIPERLINK($A$1 &amp; "\Dados\Imagem_perfil_1663.png", "Imagem_perfil_1663")</f>
        <v/>
      </c>
      <c r="U1663" s="42">
        <f>HIPERLINK($A$1 &amp; "\Dados\Results_airgap1663.txt", "Results_airgap1663")</f>
        <v/>
      </c>
      <c r="V1663" s="19" t="n"/>
      <c r="W1663" s="15" t="n">
        <v>1.956907608695652</v>
      </c>
      <c r="X1663" s="15" t="n">
        <v>0.9565646523772248</v>
      </c>
      <c r="Y1663" s="15" t="n">
        <v>0.2499014216346639</v>
      </c>
      <c r="Z1663" s="15" t="n">
        <v>0</v>
      </c>
      <c r="AA1663" s="15" t="n">
        <v>2.622174481574169</v>
      </c>
      <c r="AB1663" s="15" t="n">
        <v>0.95526442043266</v>
      </c>
      <c r="AC1663" s="15" t="n">
        <v>14.55507755326752</v>
      </c>
      <c r="AD1663" s="15" t="n">
        <v>57.04752901610514</v>
      </c>
      <c r="AE1663" s="15" t="n">
        <v>93.6939218265466</v>
      </c>
      <c r="AF1663" s="15" t="n">
        <v>126.1290694664683</v>
      </c>
      <c r="AH1663" s="42">
        <f>HIPERLINK($A$1 &amp; "\Dados\Magnet_fields_1663.txt.txt", "Magnet_fields_1663.txt")</f>
        <v/>
      </c>
      <c r="AI1663" t="n">
        <v>10966</v>
      </c>
      <c r="AJ1663" t="n">
        <v>30</v>
      </c>
      <c r="AK1663" s="42">
        <f>HIPERLINK($A$1 &amp; "\Dados\Magnet_3D_results_1663.txt.txt", "Magnet_3D_results_1663.txt")</f>
        <v/>
      </c>
      <c r="AL1663" s="42">
        <f>HIPERLINK($A$1 &amp; "\Dados\Magnet_fields_2D_1663.txt.txt", "Magnet_fields_2D_1663.txt")</f>
        <v/>
      </c>
    </row>
    <row r="1664">
      <c r="E1664" s="15" t="n">
        <v>123</v>
      </c>
      <c r="F1664" s="15" t="n">
        <v>172</v>
      </c>
      <c r="G1664" s="15" t="n">
        <v>383</v>
      </c>
      <c r="H1664" s="15" t="n">
        <v>37</v>
      </c>
      <c r="I1664" s="15" t="n">
        <v>145</v>
      </c>
      <c r="J1664" s="13" t="n">
        <v>25</v>
      </c>
      <c r="K1664" t="n">
        <v>50</v>
      </c>
      <c r="L1664" s="13" t="n">
        <v>2.6</v>
      </c>
      <c r="M1664" s="12" t="n"/>
      <c r="N1664" s="8" t="n">
        <v>1.30158687843558</v>
      </c>
      <c r="O1664" s="15" t="n">
        <v>1.054018443789314</v>
      </c>
      <c r="P1664" s="15" t="n">
        <v>1.229713116064183</v>
      </c>
      <c r="Q1664" s="15" t="n">
        <v>0.008094082949586353</v>
      </c>
      <c r="R1664" s="15" t="n">
        <v>0.0504950762914278</v>
      </c>
      <c r="S1664" s="15" t="n">
        <v>0.009205664330620124</v>
      </c>
      <c r="T1664" s="42">
        <f>HIPERLINK($A$1 &amp; "\Dados\Imagem_perfil_1664.png", "Imagem_perfil_1664")</f>
        <v/>
      </c>
      <c r="U1664" s="42">
        <f>HIPERLINK($A$1 &amp; "\Dados\Results_airgap1664.txt", "Results_airgap1664")</f>
        <v/>
      </c>
      <c r="V1664" s="19" t="n"/>
      <c r="W1664" s="15" t="n">
        <v>1.794908913043479</v>
      </c>
      <c r="X1664" s="15" t="n">
        <v>0.8819088367593388</v>
      </c>
      <c r="Y1664" s="15" t="n">
        <v>0.4742482943746703</v>
      </c>
      <c r="Z1664" s="15" t="n">
        <v>0.001484676635572926</v>
      </c>
      <c r="AA1664" s="15" t="n">
        <v>0.00564399742481206</v>
      </c>
      <c r="AB1664" s="15" t="n">
        <v>2.366664091710437</v>
      </c>
      <c r="AC1664" s="15" t="n">
        <v>15.29832472756336</v>
      </c>
      <c r="AD1664" s="15" t="n">
        <v>53.31804645779737</v>
      </c>
      <c r="AE1664" s="15" t="n">
        <v>91.12193611580153</v>
      </c>
      <c r="AF1664" s="15" t="n">
        <v>122.4444553162</v>
      </c>
      <c r="AH1664" s="42">
        <f>HIPERLINK($A$1 &amp; "\Dados\Magnet_fields_1664.txt.txt", "Magnet_fields_1664.txt")</f>
        <v/>
      </c>
      <c r="AI1664" t="n">
        <v>7186</v>
      </c>
      <c r="AJ1664" t="n">
        <v>29</v>
      </c>
      <c r="AK1664" s="42">
        <f>HIPERLINK($A$1 &amp; "\Dados\Magnet_3D_results_1664.txt.txt", "Magnet_3D_results_1664.txt")</f>
        <v/>
      </c>
      <c r="AL1664" s="42">
        <f>HIPERLINK($A$1 &amp; "\Dados\Magnet_fields_2D_1664.txt.txt", "Magnet_fields_2D_1664.txt")</f>
        <v/>
      </c>
    </row>
    <row r="1665">
      <c r="E1665" s="15" t="n">
        <v>144</v>
      </c>
      <c r="F1665" s="15" t="n">
        <v>176</v>
      </c>
      <c r="G1665" s="15" t="n">
        <v>393</v>
      </c>
      <c r="H1665" s="15" t="n">
        <v>33</v>
      </c>
      <c r="I1665" s="15" t="n">
        <v>178</v>
      </c>
      <c r="J1665" s="13" t="n">
        <v>25</v>
      </c>
      <c r="K1665" t="n">
        <v>60</v>
      </c>
      <c r="L1665" s="13" t="n">
        <v>2.6</v>
      </c>
      <c r="M1665" s="12" t="n"/>
      <c r="N1665" s="8" t="n">
        <v>1.67023641477026</v>
      </c>
      <c r="O1665" s="15" t="n">
        <v>1.482498303152862</v>
      </c>
      <c r="P1665" s="15" t="n">
        <v>1.616671627425166</v>
      </c>
      <c r="Q1665" s="15" t="n">
        <v>0.02294489825920075</v>
      </c>
      <c r="R1665" s="15" t="n">
        <v>0.05161343529728826</v>
      </c>
      <c r="S1665" s="15" t="n">
        <v>0.02249393107908493</v>
      </c>
      <c r="T1665" s="42">
        <f>HIPERLINK($A$1 &amp; "\Dados\Imagem_perfil_1665.png", "Imagem_perfil_1665")</f>
        <v/>
      </c>
      <c r="U1665" s="42">
        <f>HIPERLINK($A$1 &amp; "\Dados\Results_airgap1665.txt", "Results_airgap1665")</f>
        <v/>
      </c>
      <c r="V1665" s="19" t="n"/>
      <c r="W1665" s="15" t="n">
        <v>2.135796086956522</v>
      </c>
      <c r="X1665" s="15" t="n">
        <v>1.009071221442156</v>
      </c>
      <c r="Y1665" s="15" t="n">
        <v>0.1194427241210622</v>
      </c>
      <c r="Z1665" s="15" t="n">
        <v>0.01864394801740556</v>
      </c>
      <c r="AA1665" s="15" t="n">
        <v>2.743375961468532</v>
      </c>
      <c r="AB1665" s="15" t="n">
        <v>1.257909986583202</v>
      </c>
      <c r="AC1665" s="15" t="n">
        <v>19.63858566892848</v>
      </c>
      <c r="AD1665" s="15" t="n">
        <v>67.96535998490896</v>
      </c>
      <c r="AE1665" s="15" t="n">
        <v>100.5994417408216</v>
      </c>
      <c r="AF1665" s="15" t="n">
        <v>131.8104222799843</v>
      </c>
      <c r="AH1665" s="42">
        <f>HIPERLINK($A$1 &amp; "\Dados\Magnet_fields_1665.txt.txt", "Magnet_fields_1665.txt")</f>
        <v/>
      </c>
      <c r="AI1665" t="n">
        <v>9422</v>
      </c>
      <c r="AJ1665" t="n">
        <v>29</v>
      </c>
      <c r="AK1665" s="42">
        <f>HIPERLINK($A$1 &amp; "\Dados\Magnet_3D_results_1665.txt.txt", "Magnet_3D_results_1665.txt")</f>
        <v/>
      </c>
      <c r="AL1665" s="42">
        <f>HIPERLINK($A$1 &amp; "\Dados\Magnet_fields_2D_1665.txt.txt", "Magnet_fields_2D_1665.txt")</f>
        <v/>
      </c>
    </row>
    <row r="1666">
      <c r="E1666" s="15" t="n">
        <v>131</v>
      </c>
      <c r="F1666" s="15" t="n">
        <v>181</v>
      </c>
      <c r="G1666" s="15" t="n">
        <v>352</v>
      </c>
      <c r="H1666" s="15" t="n">
        <v>27</v>
      </c>
      <c r="I1666" s="15" t="n">
        <v>168</v>
      </c>
      <c r="J1666" s="13" t="n">
        <v>25</v>
      </c>
      <c r="K1666" t="n">
        <v>45</v>
      </c>
      <c r="L1666" s="13" t="n">
        <v>2.6</v>
      </c>
      <c r="M1666" s="12" t="n"/>
      <c r="N1666" s="8" t="n">
        <v>1.241631267118924</v>
      </c>
      <c r="O1666" s="15" t="n">
        <v>1.053035563927791</v>
      </c>
      <c r="P1666" s="15" t="n">
        <v>1.183378338806704</v>
      </c>
      <c r="Q1666" s="15" t="n">
        <v>0.002702951364423159</v>
      </c>
      <c r="R1666" s="15" t="n">
        <v>0.03181678170803334</v>
      </c>
      <c r="S1666" s="15" t="n">
        <v>0.003114163532918858</v>
      </c>
      <c r="T1666" s="42">
        <f>HIPERLINK($A$1 &amp; "\Dados\Imagem_perfil_1666.png", "Imagem_perfil_1666")</f>
        <v/>
      </c>
      <c r="U1666" s="42">
        <f>HIPERLINK($A$1 &amp; "\Dados\Results_airgap1666.txt", "Results_airgap1666")</f>
        <v/>
      </c>
      <c r="V1666" s="19" t="n"/>
      <c r="W1666" s="15" t="n">
        <v>1.558381304347826</v>
      </c>
      <c r="X1666" s="15" t="n">
        <v>0.7761428972199195</v>
      </c>
      <c r="Y1666" s="15" t="n">
        <v>0.723421201595955</v>
      </c>
      <c r="Z1666" s="15" t="n">
        <v>0</v>
      </c>
      <c r="AA1666" s="15" t="n">
        <v>0.5644028622127548</v>
      </c>
      <c r="AB1666" s="15" t="n">
        <v>1.328965294991933</v>
      </c>
      <c r="AC1666" s="15" t="n">
        <v>11.74182436478544</v>
      </c>
      <c r="AD1666" s="15" t="n">
        <v>47.20359815846994</v>
      </c>
      <c r="AE1666" s="15" t="n">
        <v>85.7132842615088</v>
      </c>
      <c r="AF1666" s="15" t="n">
        <v>117.2808731555138</v>
      </c>
      <c r="AH1666" s="42">
        <f>HIPERLINK($A$1 &amp; "\Dados\Magnet_fields_1666.txt.txt", "Magnet_fields_1666.txt")</f>
        <v/>
      </c>
      <c r="AI1666" t="n">
        <v>8045</v>
      </c>
      <c r="AJ1666" t="n">
        <v>29</v>
      </c>
      <c r="AK1666" s="42">
        <f>HIPERLINK($A$1 &amp; "\Dados\Magnet_3D_results_1666.txt.txt", "Magnet_3D_results_1666.txt")</f>
        <v/>
      </c>
      <c r="AL1666" s="42">
        <f>HIPERLINK($A$1 &amp; "\Dados\Magnet_fields_2D_1666.txt.txt", "Magnet_fields_2D_1666.txt")</f>
        <v/>
      </c>
    </row>
    <row r="1667">
      <c r="E1667" s="15" t="n">
        <v>136</v>
      </c>
      <c r="F1667" s="15" t="n">
        <v>185</v>
      </c>
      <c r="G1667" s="15" t="n">
        <v>363</v>
      </c>
      <c r="H1667" s="15" t="n">
        <v>45</v>
      </c>
      <c r="I1667" s="15" t="n">
        <v>150</v>
      </c>
      <c r="J1667" s="13" t="n">
        <v>25</v>
      </c>
      <c r="K1667" t="n">
        <v>60</v>
      </c>
      <c r="L1667" s="13" t="n">
        <v>2.6</v>
      </c>
      <c r="M1667" s="12" t="n"/>
      <c r="N1667" s="8" t="n">
        <v>1.26194926683663</v>
      </c>
      <c r="O1667" s="15" t="n">
        <v>1.027525757905228</v>
      </c>
      <c r="P1667" s="15" t="n">
        <v>1.191151751649207</v>
      </c>
      <c r="Q1667" s="15" t="n">
        <v>0.02171182876401082</v>
      </c>
      <c r="R1667" s="15" t="n">
        <v>0.04750152858359979</v>
      </c>
      <c r="S1667" s="15" t="n">
        <v>0.02217638389994855</v>
      </c>
      <c r="T1667" s="42">
        <f>HIPERLINK($A$1 &amp; "\Dados\Imagem_perfil_1667.png", "Imagem_perfil_1667")</f>
        <v/>
      </c>
      <c r="U1667" s="42">
        <f>HIPERLINK($A$1 &amp; "\Dados\Results_airgap1667.txt", "Results_airgap1667")</f>
        <v/>
      </c>
      <c r="V1667" s="19" t="n"/>
      <c r="W1667" s="15" t="n">
        <v>1.686761521739131</v>
      </c>
      <c r="X1667" s="15" t="n">
        <v>0.8113644082547801</v>
      </c>
      <c r="Y1667" s="15" t="n">
        <v>0.5108375937594583</v>
      </c>
      <c r="Z1667" s="15" t="n">
        <v>0</v>
      </c>
      <c r="AA1667" s="15" t="n">
        <v>0</v>
      </c>
      <c r="AB1667" s="15" t="n">
        <v>0.541642138021061</v>
      </c>
      <c r="AC1667" s="15" t="n">
        <v>17.46524828765158</v>
      </c>
      <c r="AD1667" s="15" t="n">
        <v>64.67166188475315</v>
      </c>
      <c r="AE1667" s="15" t="n">
        <v>96.85848295845784</v>
      </c>
      <c r="AF1667" s="15" t="n">
        <v>129.3386755649512</v>
      </c>
      <c r="AH1667" s="42">
        <f>HIPERLINK($A$1 &amp; "\Dados\Magnet_fields_1667.txt.txt", "Magnet_fields_1667.txt")</f>
        <v/>
      </c>
      <c r="AI1667" t="n">
        <v>7007</v>
      </c>
      <c r="AJ1667" t="n">
        <v>29</v>
      </c>
      <c r="AK1667" s="42">
        <f>HIPERLINK($A$1 &amp; "\Dados\Magnet_3D_results_1667.txt.txt", "Magnet_3D_results_1667.txt")</f>
        <v/>
      </c>
      <c r="AL1667" s="42">
        <f>HIPERLINK($A$1 &amp; "\Dados\Magnet_fields_2D_1667.txt.txt", "Magnet_fields_2D_1667.txt")</f>
        <v/>
      </c>
    </row>
    <row r="1668">
      <c r="E1668" s="15" t="n">
        <v>129</v>
      </c>
      <c r="F1668" s="15" t="n">
        <v>174</v>
      </c>
      <c r="G1668" s="15" t="n">
        <v>365</v>
      </c>
      <c r="H1668" s="15" t="n">
        <v>33</v>
      </c>
      <c r="I1668" s="15" t="n">
        <v>145</v>
      </c>
      <c r="J1668" s="13" t="n">
        <v>25</v>
      </c>
      <c r="K1668" t="n">
        <v>60</v>
      </c>
      <c r="L1668" s="13" t="n">
        <v>2.6</v>
      </c>
      <c r="M1668" s="12" t="n"/>
      <c r="N1668" s="8" t="n">
        <v>1.333191713779072</v>
      </c>
      <c r="O1668" s="15" t="n">
        <v>1.079399007257499</v>
      </c>
      <c r="P1668" s="15" t="n">
        <v>1.254006987591318</v>
      </c>
      <c r="Q1668" s="15" t="n">
        <v>0.02394786092012535</v>
      </c>
      <c r="R1668" s="15" t="n">
        <v>0.04935833572510691</v>
      </c>
      <c r="S1668" s="15" t="n">
        <v>0.02341611794593245</v>
      </c>
      <c r="T1668" s="42">
        <f>HIPERLINK($A$1 &amp; "\Dados\Imagem_perfil_1668.png", "Imagem_perfil_1668")</f>
        <v/>
      </c>
      <c r="U1668" s="42">
        <f>HIPERLINK($A$1 &amp; "\Dados\Results_airgap1668.txt", "Results_airgap1668")</f>
        <v/>
      </c>
      <c r="V1668" s="19" t="n"/>
      <c r="W1668" s="15" t="n">
        <v>1.824237173913044</v>
      </c>
      <c r="X1668" s="15" t="n">
        <v>0.8544917425792617</v>
      </c>
      <c r="Y1668" s="15" t="n">
        <v>0.3888971275349312</v>
      </c>
      <c r="Z1668" s="15" t="n">
        <v>0.004238059850105101</v>
      </c>
      <c r="AA1668" s="15" t="n">
        <v>0.8352691738984416</v>
      </c>
      <c r="AB1668" s="15" t="n">
        <v>0.9626159147626335</v>
      </c>
      <c r="AC1668" s="15" t="n">
        <v>18.32067221576257</v>
      </c>
      <c r="AD1668" s="15" t="n">
        <v>65.34460577288833</v>
      </c>
      <c r="AE1668" s="15" t="n">
        <v>98.45166722964537</v>
      </c>
      <c r="AF1668" s="15" t="n">
        <v>130.3585990642341</v>
      </c>
      <c r="AH1668" s="42">
        <f>HIPERLINK($A$1 &amp; "\Dados\Magnet_fields_1668.txt.txt", "Magnet_fields_1668.txt")</f>
        <v/>
      </c>
      <c r="AI1668" t="n">
        <v>8644</v>
      </c>
      <c r="AJ1668" t="n">
        <v>30</v>
      </c>
      <c r="AK1668" s="42">
        <f>HIPERLINK($A$1 &amp; "\Dados\Magnet_3D_results_1668.txt.txt", "Magnet_3D_results_1668.txt")</f>
        <v/>
      </c>
      <c r="AL1668" s="42">
        <f>HIPERLINK($A$1 &amp; "\Dados\Magnet_fields_2D_1668.txt.txt", "Magnet_fields_2D_1668.txt")</f>
        <v/>
      </c>
    </row>
    <row r="1669">
      <c r="E1669" s="15" t="n">
        <v>149</v>
      </c>
      <c r="F1669" s="15" t="n">
        <v>191</v>
      </c>
      <c r="G1669" s="15" t="n">
        <v>421</v>
      </c>
      <c r="H1669" s="15" t="n">
        <v>28</v>
      </c>
      <c r="I1669" s="15" t="n">
        <v>152</v>
      </c>
      <c r="J1669" s="13" t="n">
        <v>25</v>
      </c>
      <c r="K1669" t="n">
        <v>40</v>
      </c>
      <c r="L1669" s="13" t="n">
        <v>2.6</v>
      </c>
      <c r="M1669" s="12" t="n"/>
      <c r="N1669" s="8" t="n">
        <v>1.345112223502081</v>
      </c>
      <c r="O1669" s="15" t="n">
        <v>1.099934160987609</v>
      </c>
      <c r="P1669" s="15" t="n">
        <v>1.274083747413562</v>
      </c>
      <c r="Q1669" s="15" t="n">
        <v>0.001355609393414552</v>
      </c>
      <c r="R1669" s="15" t="n">
        <v>0.03084726780635232</v>
      </c>
      <c r="S1669" s="15" t="n">
        <v>0.001701467815831466</v>
      </c>
      <c r="T1669" s="42">
        <f>HIPERLINK($A$1 &amp; "\Dados\Imagem_perfil_1669.png", "Imagem_perfil_1669")</f>
        <v/>
      </c>
      <c r="U1669" s="42">
        <f>HIPERLINK($A$1 &amp; "\Dados\Results_airgap1669.txt", "Results_airgap1669")</f>
        <v/>
      </c>
      <c r="V1669" s="19" t="n"/>
      <c r="W1669" s="15" t="n">
        <v>1.766940652173913</v>
      </c>
      <c r="X1669" s="15" t="n">
        <v>0.8639846327521471</v>
      </c>
      <c r="Y1669" s="15" t="n">
        <v>0.5390512407194308</v>
      </c>
      <c r="Z1669" s="15" t="n">
        <v>0.002179168196436045</v>
      </c>
      <c r="AA1669" s="15" t="n">
        <v>2.632774034761722</v>
      </c>
      <c r="AB1669" s="15" t="n">
        <v>1.131190886266449</v>
      </c>
      <c r="AC1669" s="15" t="n">
        <v>6.845138698239312</v>
      </c>
      <c r="AD1669" s="15" t="n">
        <v>31.03519478256059</v>
      </c>
      <c r="AE1669" s="15" t="n">
        <v>80.0484482612349</v>
      </c>
      <c r="AF1669" s="15" t="n">
        <v>114.79007364268</v>
      </c>
      <c r="AH1669" s="42">
        <f>HIPERLINK($A$1 &amp; "\Dados\Magnet_fields_1669.txt.txt", "Magnet_fields_1669.txt")</f>
        <v/>
      </c>
      <c r="AI1669" t="n">
        <v>9090</v>
      </c>
      <c r="AJ1669" t="n">
        <v>30</v>
      </c>
      <c r="AK1669" s="42">
        <f>HIPERLINK($A$1 &amp; "\Dados\Magnet_3D_results_1669.txt.txt", "Magnet_3D_results_1669.txt")</f>
        <v/>
      </c>
      <c r="AL1669" s="42">
        <f>HIPERLINK($A$1 &amp; "\Dados\Magnet_fields_2D_1669.txt.txt", "Magnet_fields_2D_1669.txt")</f>
        <v/>
      </c>
    </row>
    <row r="1670">
      <c r="E1670" s="15" t="n">
        <v>135</v>
      </c>
      <c r="F1670" s="15" t="n">
        <v>182</v>
      </c>
      <c r="G1670" s="15" t="n">
        <v>380</v>
      </c>
      <c r="H1670" s="15" t="n">
        <v>29</v>
      </c>
      <c r="I1670" s="15" t="n">
        <v>172</v>
      </c>
      <c r="J1670" s="13" t="n">
        <v>25</v>
      </c>
      <c r="K1670" t="n">
        <v>55</v>
      </c>
      <c r="L1670" s="13" t="n">
        <v>2.6</v>
      </c>
      <c r="M1670" s="12" t="n"/>
      <c r="N1670" s="8" t="n">
        <v>1.39703330051215</v>
      </c>
      <c r="O1670" s="15" t="n">
        <v>1.202604496311876</v>
      </c>
      <c r="P1670" s="15" t="n">
        <v>1.335723447032622</v>
      </c>
      <c r="Q1670" s="15" t="n">
        <v>0.01068828809016826</v>
      </c>
      <c r="R1670" s="15" t="n">
        <v>0.04772679902876793</v>
      </c>
      <c r="S1670" s="15" t="n">
        <v>0.01130931295626461</v>
      </c>
      <c r="T1670" s="42">
        <f>HIPERLINK($A$1 &amp; "\Dados\Imagem_perfil_1670.png", "Imagem_perfil_1670")</f>
        <v/>
      </c>
      <c r="U1670" s="42">
        <f>HIPERLINK($A$1 &amp; "\Dados\Results_airgap1670.txt", "Results_airgap1670")</f>
        <v/>
      </c>
      <c r="V1670" s="19" t="n"/>
      <c r="W1670" s="15" t="n">
        <v>1.801506956521739</v>
      </c>
      <c r="X1670" s="15" t="n">
        <v>0.8833268134363905</v>
      </c>
      <c r="Y1670" s="15" t="n">
        <v>0.4105378652575968</v>
      </c>
      <c r="Z1670" s="15" t="n">
        <v>0.01782820317783435</v>
      </c>
      <c r="AA1670" s="15" t="n">
        <v>0.7677410724311509</v>
      </c>
      <c r="AB1670" s="15" t="n">
        <v>0.1780151249805807</v>
      </c>
      <c r="AC1670" s="15" t="n">
        <v>16.37525453888174</v>
      </c>
      <c r="AD1670" s="15" t="n">
        <v>64.56433989814336</v>
      </c>
      <c r="AE1670" s="15" t="n">
        <v>96.40165666427146</v>
      </c>
      <c r="AF1670" s="15" t="n">
        <v>126.4328481102665</v>
      </c>
      <c r="AH1670" s="42">
        <f>HIPERLINK($A$1 &amp; "\Dados\Magnet_fields_1670.txt.txt", "Magnet_fields_1670.txt")</f>
        <v/>
      </c>
      <c r="AI1670" t="n">
        <v>13533</v>
      </c>
      <c r="AJ1670" t="n">
        <v>31</v>
      </c>
      <c r="AK1670" s="42">
        <f>HIPERLINK($A$1 &amp; "\Dados\Magnet_3D_results_1670.txt.txt", "Magnet_3D_results_1670.txt")</f>
        <v/>
      </c>
      <c r="AL1670" s="42">
        <f>HIPERLINK($A$1 &amp; "\Dados\Magnet_fields_2D_1670.txt.txt", "Magnet_fields_2D_1670.txt")</f>
        <v/>
      </c>
    </row>
    <row r="1671">
      <c r="E1671" s="15" t="n">
        <v>149</v>
      </c>
      <c r="F1671" s="15" t="n">
        <v>184</v>
      </c>
      <c r="G1671" s="15" t="n">
        <v>415</v>
      </c>
      <c r="H1671" s="15" t="n">
        <v>37</v>
      </c>
      <c r="I1671" s="15" t="n">
        <v>156</v>
      </c>
      <c r="J1671" s="13" t="n">
        <v>25</v>
      </c>
      <c r="K1671" t="n">
        <v>50</v>
      </c>
      <c r="L1671" s="13" t="n">
        <v>2.6</v>
      </c>
      <c r="M1671" s="12" t="n"/>
      <c r="N1671" s="8" t="n">
        <v>1.559805676854924</v>
      </c>
      <c r="O1671" s="15" t="n">
        <v>1.301463039233141</v>
      </c>
      <c r="P1671" s="15" t="n">
        <v>1.489694728806472</v>
      </c>
      <c r="Q1671" s="15" t="n">
        <v>0.006111082179741453</v>
      </c>
      <c r="R1671" s="15" t="n">
        <v>0.04469886558685936</v>
      </c>
      <c r="S1671" s="15" t="n">
        <v>0.006135980719577077</v>
      </c>
      <c r="T1671" s="42">
        <f>HIPERLINK($A$1 &amp; "\Dados\Imagem_perfil_1671.png", "Imagem_perfil_1671")</f>
        <v/>
      </c>
      <c r="U1671" s="42">
        <f>HIPERLINK($A$1 &amp; "\Dados\Results_airgap1671.txt", "Results_airgap1671")</f>
        <v/>
      </c>
      <c r="V1671" s="19" t="n"/>
      <c r="W1671" s="15" t="n">
        <v>2.036389565217391</v>
      </c>
      <c r="X1671" s="15" t="n">
        <v>0.9936946439502521</v>
      </c>
      <c r="Y1671" s="15" t="n">
        <v>0.2050939193956843</v>
      </c>
      <c r="Z1671" s="15" t="n">
        <v>0.007111020603458887</v>
      </c>
      <c r="AA1671" s="15" t="n">
        <v>0.2013884591447539</v>
      </c>
      <c r="AB1671" s="15" t="n">
        <v>0</v>
      </c>
      <c r="AC1671" s="15" t="n">
        <v>6.238678981024764</v>
      </c>
      <c r="AD1671" s="15" t="n">
        <v>54.423785899933</v>
      </c>
      <c r="AE1671" s="15" t="n">
        <v>95.27995532868978</v>
      </c>
      <c r="AF1671" s="15" t="n">
        <v>123.8010286395608</v>
      </c>
      <c r="AH1671" s="42">
        <f>HIPERLINK($A$1 &amp; "\Dados\Magnet_fields_1671.txt.txt", "Magnet_fields_1671.txt")</f>
        <v/>
      </c>
      <c r="AI1671" t="n">
        <v>7118</v>
      </c>
      <c r="AJ1671" t="n">
        <v>29</v>
      </c>
      <c r="AK1671" s="42">
        <f>HIPERLINK($A$1 &amp; "\Dados\Magnet_3D_results_1671.txt.txt", "Magnet_3D_results_1671.txt")</f>
        <v/>
      </c>
      <c r="AL1671" s="42">
        <f>HIPERLINK($A$1 &amp; "\Dados\Magnet_fields_2D_1671.txt.txt", "Magnet_fields_2D_1671.txt")</f>
        <v/>
      </c>
    </row>
    <row r="1672">
      <c r="E1672" s="15" t="n">
        <v>133</v>
      </c>
      <c r="F1672" s="15" t="n">
        <v>171</v>
      </c>
      <c r="G1672" s="15" t="n">
        <v>388</v>
      </c>
      <c r="H1672" s="15" t="n">
        <v>42</v>
      </c>
      <c r="I1672" s="15" t="n">
        <v>151</v>
      </c>
      <c r="J1672" s="13" t="n">
        <v>25</v>
      </c>
      <c r="K1672" t="n">
        <v>40</v>
      </c>
      <c r="L1672" s="13" t="n">
        <v>2.6</v>
      </c>
      <c r="M1672" s="12" t="n"/>
      <c r="N1672" s="8" t="n">
        <v>1.407352807740309</v>
      </c>
      <c r="O1672" s="15" t="n">
        <v>1.137846092932088</v>
      </c>
      <c r="P1672" s="15" t="n">
        <v>1.330523177252238</v>
      </c>
      <c r="Q1672" s="15" t="n">
        <v>0.001696929334291253</v>
      </c>
      <c r="R1672" s="15" t="n">
        <v>0.0336009527731114</v>
      </c>
      <c r="S1672" s="15" t="n">
        <v>0.001946611034607382</v>
      </c>
      <c r="T1672" s="42">
        <f>HIPERLINK($A$1 &amp; "\Dados\Imagem_perfil_1672.png", "Imagem_perfil_1672")</f>
        <v/>
      </c>
      <c r="U1672" s="42">
        <f>HIPERLINK($A$1 &amp; "\Dados\Results_airgap1672.txt", "Results_airgap1672")</f>
        <v/>
      </c>
      <c r="V1672" s="19" t="n"/>
      <c r="W1672" s="15" t="n">
        <v>1.786211086956522</v>
      </c>
      <c r="X1672" s="15" t="n">
        <v>0.8749337245452069</v>
      </c>
      <c r="Y1672" s="15" t="n">
        <v>0.5786379548042909</v>
      </c>
      <c r="Z1672" s="15" t="n">
        <v>0.006893447400923994</v>
      </c>
      <c r="AA1672" s="15" t="n">
        <v>0.003441310582009321</v>
      </c>
      <c r="AB1672" s="15" t="n">
        <v>1.621836542527662</v>
      </c>
      <c r="AC1672" s="15" t="n">
        <v>7.707685035616238</v>
      </c>
      <c r="AD1672" s="15" t="n">
        <v>29.87796572461929</v>
      </c>
      <c r="AE1672" s="15" t="n">
        <v>75.88244920002114</v>
      </c>
      <c r="AF1672" s="15" t="n">
        <v>113.4532739591646</v>
      </c>
      <c r="AH1672" s="42">
        <f>HIPERLINK($A$1 &amp; "\Dados\Magnet_fields_1672.txt.txt", "Magnet_fields_1672.txt")</f>
        <v/>
      </c>
      <c r="AI1672" t="n">
        <v>6980</v>
      </c>
      <c r="AJ1672" t="n">
        <v>28</v>
      </c>
      <c r="AK1672" s="42">
        <f>HIPERLINK($A$1 &amp; "\Dados\Magnet_3D_results_1672.txt.txt", "Magnet_3D_results_1672.txt")</f>
        <v/>
      </c>
      <c r="AL1672" s="42">
        <f>HIPERLINK($A$1 &amp; "\Dados\Magnet_fields_2D_1672.txt.txt", "Magnet_fields_2D_1672.txt")</f>
        <v/>
      </c>
    </row>
    <row r="1673">
      <c r="E1673" s="15" t="n">
        <v>142</v>
      </c>
      <c r="F1673" s="15" t="n">
        <v>180</v>
      </c>
      <c r="G1673" s="15" t="n">
        <v>392</v>
      </c>
      <c r="H1673" s="15" t="n">
        <v>43</v>
      </c>
      <c r="I1673" s="15" t="n">
        <v>140</v>
      </c>
      <c r="J1673" s="13" t="n">
        <v>25</v>
      </c>
      <c r="K1673" t="n">
        <v>40</v>
      </c>
      <c r="L1673" s="13" t="n">
        <v>2.6</v>
      </c>
      <c r="M1673" s="12" t="n"/>
      <c r="N1673" s="8" t="n">
        <v>1.356610963834135</v>
      </c>
      <c r="O1673" s="15" t="n">
        <v>1.044058794991947</v>
      </c>
      <c r="P1673" s="15" t="n">
        <v>1.269270268572467</v>
      </c>
      <c r="Q1673" s="15" t="n">
        <v>0.001483920224860827</v>
      </c>
      <c r="R1673" s="15" t="n">
        <v>0.0308724398531094</v>
      </c>
      <c r="S1673" s="15" t="n">
        <v>0.001975013293582871</v>
      </c>
      <c r="T1673" s="42">
        <f>HIPERLINK($A$1 &amp; "\Dados\Imagem_perfil_1673.png", "Imagem_perfil_1673")</f>
        <v/>
      </c>
      <c r="U1673" s="42">
        <f>HIPERLINK($A$1 &amp; "\Dados\Results_airgap1673.txt", "Results_airgap1673")</f>
        <v/>
      </c>
      <c r="V1673" s="19" t="n"/>
      <c r="W1673" s="15" t="n">
        <v>1.768259565217392</v>
      </c>
      <c r="X1673" s="15" t="n">
        <v>0.8616543760072646</v>
      </c>
      <c r="Y1673" s="15" t="n">
        <v>0.4942468939458297</v>
      </c>
      <c r="Z1673" s="15" t="n">
        <v>0</v>
      </c>
      <c r="AA1673" s="15" t="n">
        <v>0.007196684435791538</v>
      </c>
      <c r="AB1673" s="15" t="n">
        <v>0.4963122346726416</v>
      </c>
      <c r="AC1673" s="15" t="n">
        <v>3.939064148615671</v>
      </c>
      <c r="AD1673" s="15" t="n">
        <v>29.92227396080395</v>
      </c>
      <c r="AE1673" s="15" t="n">
        <v>83.36465182618431</v>
      </c>
      <c r="AF1673" s="15" t="n">
        <v>115.6464090147823</v>
      </c>
      <c r="AH1673" s="42">
        <f>HIPERLINK($A$1 &amp; "\Dados\Magnet_fields_1673.txt.txt", "Magnet_fields_1673.txt")</f>
        <v/>
      </c>
      <c r="AI1673" t="n">
        <v>7259</v>
      </c>
      <c r="AJ1673" t="n">
        <v>28</v>
      </c>
      <c r="AK1673" s="42">
        <f>HIPERLINK($A$1 &amp; "\Dados\Magnet_3D_results_1673.txt.txt", "Magnet_3D_results_1673.txt")</f>
        <v/>
      </c>
      <c r="AL1673" s="42">
        <f>HIPERLINK($A$1 &amp; "\Dados\Magnet_fields_2D_1673.txt.txt", "Magnet_fields_2D_1673.txt")</f>
        <v/>
      </c>
    </row>
    <row r="1674">
      <c r="E1674" s="15" t="n">
        <v>143</v>
      </c>
      <c r="F1674" s="15" t="n">
        <v>189</v>
      </c>
      <c r="G1674" s="15" t="n">
        <v>391</v>
      </c>
      <c r="H1674" s="15" t="n">
        <v>25</v>
      </c>
      <c r="I1674" s="15" t="n">
        <v>148</v>
      </c>
      <c r="J1674" s="13" t="n">
        <v>25</v>
      </c>
      <c r="K1674" t="n">
        <v>55</v>
      </c>
      <c r="L1674" s="13" t="n">
        <v>2.6</v>
      </c>
      <c r="M1674" s="12" t="n"/>
      <c r="N1674" s="8" t="n">
        <v>1.299992442876128</v>
      </c>
      <c r="O1674" s="15" t="n">
        <v>1.043633376972861</v>
      </c>
      <c r="P1674" s="15" t="n">
        <v>1.219440513152271</v>
      </c>
      <c r="Q1674" s="15" t="n">
        <v>0.008202415563587421</v>
      </c>
      <c r="R1674" s="15" t="n">
        <v>0.04050933218844024</v>
      </c>
      <c r="S1674" s="15" t="n">
        <v>0.0091344495740859</v>
      </c>
      <c r="T1674" s="42">
        <f>HIPERLINK($A$1 &amp; "\Dados\Imagem_perfil_1674.png", "Imagem_perfil_1674")</f>
        <v/>
      </c>
      <c r="U1674" s="42">
        <f>HIPERLINK($A$1 &amp; "\Dados\Results_airgap1674.txt", "Results_airgap1674")</f>
        <v/>
      </c>
      <c r="V1674" s="19" t="n"/>
      <c r="W1674" s="15" t="n">
        <v>1.800585869565217</v>
      </c>
      <c r="X1674" s="15" t="n">
        <v>0.8413581205657695</v>
      </c>
      <c r="Y1674" s="15" t="n">
        <v>0.40792213582632</v>
      </c>
      <c r="Z1674" s="15" t="n">
        <v>0.01748583545195012</v>
      </c>
      <c r="AA1674" s="15" t="n">
        <v>6.104920652530851</v>
      </c>
      <c r="AB1674" s="15" t="n">
        <v>0.7087306105788413</v>
      </c>
      <c r="AC1674" s="15" t="n">
        <v>12.90590867945462</v>
      </c>
      <c r="AD1674" s="15" t="n">
        <v>57.42476329006941</v>
      </c>
      <c r="AE1674" s="15" t="n">
        <v>94.15437423176284</v>
      </c>
      <c r="AF1674" s="15" t="n">
        <v>125.8175906805296</v>
      </c>
      <c r="AH1674" s="42">
        <f>HIPERLINK($A$1 &amp; "\Dados\Magnet_fields_1674.txt.txt", "Magnet_fields_1674.txt")</f>
        <v/>
      </c>
      <c r="AI1674" t="n">
        <v>12725</v>
      </c>
      <c r="AJ1674" t="n">
        <v>30</v>
      </c>
      <c r="AK1674" s="42">
        <f>HIPERLINK($A$1 &amp; "\Dados\Magnet_3D_results_1674.txt.txt", "Magnet_3D_results_1674.txt")</f>
        <v/>
      </c>
      <c r="AL1674" s="42">
        <f>HIPERLINK($A$1 &amp; "\Dados\Magnet_fields_2D_1674.txt.txt", "Magnet_fields_2D_1674.txt")</f>
        <v/>
      </c>
    </row>
    <row r="1675">
      <c r="E1675" s="15" t="n">
        <v>143</v>
      </c>
      <c r="F1675" s="15" t="n">
        <v>188</v>
      </c>
      <c r="G1675" s="15" t="n">
        <v>403</v>
      </c>
      <c r="H1675" s="15" t="n">
        <v>39</v>
      </c>
      <c r="I1675" s="15" t="n">
        <v>152</v>
      </c>
      <c r="J1675" s="13" t="n">
        <v>25</v>
      </c>
      <c r="K1675" t="n">
        <v>45</v>
      </c>
      <c r="L1675" s="13" t="n">
        <v>2.6</v>
      </c>
      <c r="M1675" s="12" t="n"/>
      <c r="N1675" s="8" t="n">
        <v>1.333817991466737</v>
      </c>
      <c r="O1675" s="15" t="n">
        <v>1.089587818430264</v>
      </c>
      <c r="P1675" s="15" t="n">
        <v>1.26039608970883</v>
      </c>
      <c r="Q1675" s="15" t="n">
        <v>0.002300492806933328</v>
      </c>
      <c r="R1675" s="15" t="n">
        <v>0.03865288943011854</v>
      </c>
      <c r="S1675" s="15" t="n">
        <v>0.003021874546789357</v>
      </c>
      <c r="T1675" s="42">
        <f>HIPERLINK($A$1 &amp; "\Dados\Imagem_perfil_1675.png", "Imagem_perfil_1675")</f>
        <v/>
      </c>
      <c r="U1675" s="42">
        <f>HIPERLINK($A$1 &amp; "\Dados\Results_airgap1675.txt", "Results_airgap1675")</f>
        <v/>
      </c>
      <c r="V1675" s="19" t="n"/>
      <c r="W1675" s="15" t="n">
        <v>1.767130652173913</v>
      </c>
      <c r="X1675" s="15" t="n">
        <v>0.8623689792356628</v>
      </c>
      <c r="Y1675" s="15" t="n">
        <v>0.5020675856801391</v>
      </c>
      <c r="Z1675" s="15" t="n">
        <v>0</v>
      </c>
      <c r="AA1675" s="15" t="n">
        <v>0.1161001773960705</v>
      </c>
      <c r="AB1675" s="15" t="n">
        <v>0.8114960305531747</v>
      </c>
      <c r="AC1675" s="15" t="n">
        <v>7.526382175657774</v>
      </c>
      <c r="AD1675" s="15" t="n">
        <v>41.15226319163258</v>
      </c>
      <c r="AE1675" s="15" t="n">
        <v>86.86877987843587</v>
      </c>
      <c r="AF1675" s="15" t="n">
        <v>118.6083601301609</v>
      </c>
      <c r="AH1675" s="42">
        <f>HIPERLINK($A$1 &amp; "\Dados\Magnet_fields_1675.txt.txt", "Magnet_fields_1675.txt")</f>
        <v/>
      </c>
      <c r="AI1675" t="n">
        <v>6742</v>
      </c>
      <c r="AJ1675" t="n">
        <v>28</v>
      </c>
      <c r="AK1675" s="42">
        <f>HIPERLINK($A$1 &amp; "\Dados\Magnet_3D_results_1675.txt.txt", "Magnet_3D_results_1675.txt")</f>
        <v/>
      </c>
      <c r="AL1675" s="42">
        <f>HIPERLINK($A$1 &amp; "\Dados\Magnet_fields_2D_1675.txt.txt", "Magnet_fields_2D_1675.txt")</f>
        <v/>
      </c>
    </row>
    <row r="1676">
      <c r="E1676" s="15" t="n">
        <v>134</v>
      </c>
      <c r="F1676" s="15" t="n">
        <v>172</v>
      </c>
      <c r="G1676" s="15" t="n">
        <v>416</v>
      </c>
      <c r="H1676" s="15" t="n">
        <v>27</v>
      </c>
      <c r="I1676" s="15" t="n">
        <v>164</v>
      </c>
      <c r="J1676" s="13" t="n">
        <v>25</v>
      </c>
      <c r="K1676" t="n">
        <v>55</v>
      </c>
      <c r="L1676" s="13" t="n">
        <v>2.6</v>
      </c>
      <c r="M1676" s="12" t="n"/>
      <c r="N1676" s="8" t="n">
        <v>1.58380517940678</v>
      </c>
      <c r="O1676" s="15" t="n">
        <v>1.365489811859098</v>
      </c>
      <c r="P1676" s="15" t="n">
        <v>1.514165179246497</v>
      </c>
      <c r="Q1676" s="15" t="n">
        <v>0.0141565735705299</v>
      </c>
      <c r="R1676" s="15" t="n">
        <v>0.05903447565079358</v>
      </c>
      <c r="S1676" s="15" t="n">
        <v>0.01410005092046599</v>
      </c>
      <c r="T1676" s="42">
        <f>HIPERLINK($A$1 &amp; "\Dados\Imagem_perfil_1676.png", "Imagem_perfil_1676")</f>
        <v/>
      </c>
      <c r="U1676" s="42">
        <f>HIPERLINK($A$1 &amp; "\Dados\Results_airgap1676.txt", "Results_airgap1676")</f>
        <v/>
      </c>
      <c r="V1676" s="19" t="n"/>
      <c r="W1676" s="15" t="n">
        <v>2.121424347826087</v>
      </c>
      <c r="X1676" s="15" t="n">
        <v>1.029169838720579</v>
      </c>
      <c r="Y1676" s="15" t="n">
        <v>0.1644659061282112</v>
      </c>
      <c r="Z1676" s="15" t="n">
        <v>0.01575712265996878</v>
      </c>
      <c r="AA1676" s="15" t="n">
        <v>3.568417575767375</v>
      </c>
      <c r="AB1676" s="15" t="n">
        <v>1.135036777715205</v>
      </c>
      <c r="AC1676" s="15" t="n">
        <v>12.78691889663745</v>
      </c>
      <c r="AD1676" s="15" t="n">
        <v>61.73696631585555</v>
      </c>
      <c r="AE1676" s="15" t="n">
        <v>98.17635567104321</v>
      </c>
      <c r="AF1676" s="15" t="n">
        <v>127.9296091165494</v>
      </c>
      <c r="AH1676" s="42">
        <f>HIPERLINK($A$1 &amp; "\Dados\Magnet_fields_1676.txt.txt", "Magnet_fields_1676.txt")</f>
        <v/>
      </c>
      <c r="AI1676" t="n">
        <v>13234</v>
      </c>
      <c r="AJ1676" t="n">
        <v>31</v>
      </c>
      <c r="AK1676" s="42">
        <f>HIPERLINK($A$1 &amp; "\Dados\Magnet_3D_results_1676.txt.txt", "Magnet_3D_results_1676.txt")</f>
        <v/>
      </c>
      <c r="AL1676" s="42">
        <f>HIPERLINK($A$1 &amp; "\Dados\Magnet_fields_2D_1676.txt.txt", "Magnet_fields_2D_1676.txt")</f>
        <v/>
      </c>
    </row>
    <row r="1677">
      <c r="E1677" s="15" t="n">
        <v>147</v>
      </c>
      <c r="F1677" s="15" t="n">
        <v>179</v>
      </c>
      <c r="G1677" s="15" t="n">
        <v>355</v>
      </c>
      <c r="H1677" s="15" t="n">
        <v>33</v>
      </c>
      <c r="I1677" s="15" t="n">
        <v>178</v>
      </c>
      <c r="J1677" s="13" t="n">
        <v>25</v>
      </c>
      <c r="K1677" t="n">
        <v>55</v>
      </c>
      <c r="L1677" s="13" t="n">
        <v>2.6</v>
      </c>
      <c r="M1677" s="12" t="n"/>
      <c r="N1677" s="8" t="n">
        <v>1.559289692355549</v>
      </c>
      <c r="O1677" s="15" t="n">
        <v>1.377136354227473</v>
      </c>
      <c r="P1677" s="15" t="n">
        <v>1.503286025964455</v>
      </c>
      <c r="Q1677" s="15" t="n">
        <v>0.008167474709665872</v>
      </c>
      <c r="R1677" s="15" t="n">
        <v>0.03142083612246261</v>
      </c>
      <c r="S1677" s="15" t="n">
        <v>0.008332155433779314</v>
      </c>
      <c r="T1677" s="42">
        <f>HIPERLINK($A$1 &amp; "\Dados\Imagem_perfil_1677.png", "Imagem_perfil_1677")</f>
        <v/>
      </c>
      <c r="U1677" s="42">
        <f>HIPERLINK($A$1 &amp; "\Dados\Results_airgap1677.txt", "Results_airgap1677")</f>
        <v/>
      </c>
      <c r="V1677" s="19" t="n"/>
      <c r="W1677" s="15" t="n">
        <v>1.886386739130435</v>
      </c>
      <c r="X1677" s="15" t="n">
        <v>0.9490956117074747</v>
      </c>
      <c r="Y1677" s="15" t="n">
        <v>0.274684184552326</v>
      </c>
      <c r="Z1677" s="15" t="n">
        <v>0.03332122577026612</v>
      </c>
      <c r="AA1677" s="15" t="n">
        <v>2.061899624701061</v>
      </c>
      <c r="AB1677" s="15" t="n">
        <v>0</v>
      </c>
      <c r="AC1677" s="15" t="n">
        <v>11.34232394738384</v>
      </c>
      <c r="AD1677" s="15" t="n">
        <v>59.7968297737381</v>
      </c>
      <c r="AE1677" s="15" t="n">
        <v>95.35092673765817</v>
      </c>
      <c r="AF1677" s="15" t="n">
        <v>126.2447721455715</v>
      </c>
      <c r="AH1677" s="42">
        <f>HIPERLINK($A$1 &amp; "\Dados\Magnet_fields_1677.txt.txt", "Magnet_fields_1677.txt")</f>
        <v/>
      </c>
      <c r="AI1677" t="n">
        <v>11565</v>
      </c>
      <c r="AJ1677" t="n">
        <v>31</v>
      </c>
      <c r="AK1677" s="42">
        <f>HIPERLINK($A$1 &amp; "\Dados\Magnet_3D_results_1677.txt.txt", "Magnet_3D_results_1677.txt")</f>
        <v/>
      </c>
      <c r="AL1677" s="42">
        <f>HIPERLINK($A$1 &amp; "\Dados\Magnet_fields_2D_1677.txt.txt", "Magnet_fields_2D_1677.txt")</f>
        <v/>
      </c>
    </row>
    <row r="1678">
      <c r="E1678" s="15" t="n">
        <v>145</v>
      </c>
      <c r="F1678" s="15" t="n">
        <v>180</v>
      </c>
      <c r="G1678" s="15" t="n">
        <v>360</v>
      </c>
      <c r="H1678" s="15" t="n">
        <v>43</v>
      </c>
      <c r="I1678" s="15" t="n">
        <v>143</v>
      </c>
      <c r="J1678" s="13" t="n">
        <v>25</v>
      </c>
      <c r="K1678" t="n">
        <v>55</v>
      </c>
      <c r="L1678" s="13" t="n">
        <v>2.6</v>
      </c>
      <c r="M1678" s="12" t="n"/>
      <c r="N1678" s="8" t="n">
        <v>1.439734454275626</v>
      </c>
      <c r="O1678" s="15" t="n">
        <v>1.154737778256208</v>
      </c>
      <c r="P1678" s="15" t="n">
        <v>1.359218754255267</v>
      </c>
      <c r="Q1678" s="15" t="n">
        <v>0.008145807028512909</v>
      </c>
      <c r="R1678" s="15" t="n">
        <v>0.03632512443407845</v>
      </c>
      <c r="S1678" s="15" t="n">
        <v>0.008139959445094252</v>
      </c>
      <c r="T1678" s="42">
        <f>HIPERLINK($A$1 &amp; "\Dados\Imagem_perfil_1678.png", "Imagem_perfil_1678")</f>
        <v/>
      </c>
      <c r="U1678" s="42">
        <f>HIPERLINK($A$1 &amp; "\Dados\Results_airgap1678.txt", "Results_airgap1678")</f>
        <v/>
      </c>
      <c r="V1678" s="19" t="n"/>
      <c r="W1678" s="15" t="n">
        <v>1.86442</v>
      </c>
      <c r="X1678" s="15" t="n">
        <v>0.9138005911966455</v>
      </c>
      <c r="Y1678" s="15" t="n">
        <v>0.3064096598628726</v>
      </c>
      <c r="Z1678" s="15" t="n">
        <v>0</v>
      </c>
      <c r="AA1678" s="15" t="n">
        <v>0</v>
      </c>
      <c r="AB1678" s="15" t="n">
        <v>0.03919617618879665</v>
      </c>
      <c r="AC1678" s="15" t="n">
        <v>12.38766604963745</v>
      </c>
      <c r="AD1678" s="15" t="n">
        <v>59.26878707883698</v>
      </c>
      <c r="AE1678" s="15" t="n">
        <v>94.59697455098841</v>
      </c>
      <c r="AF1678" s="15" t="n">
        <v>125.962852428941</v>
      </c>
      <c r="AH1678" s="42">
        <f>HIPERLINK($A$1 &amp; "\Dados\Magnet_fields_1678.txt.txt", "Magnet_fields_1678.txt")</f>
        <v/>
      </c>
      <c r="AI1678" t="n">
        <v>9724</v>
      </c>
      <c r="AJ1678" t="n">
        <v>30</v>
      </c>
      <c r="AK1678" s="42">
        <f>HIPERLINK($A$1 &amp; "\Dados\Magnet_3D_results_1678.txt.txt", "Magnet_3D_results_1678.txt")</f>
        <v/>
      </c>
      <c r="AL1678" s="42">
        <f>HIPERLINK($A$1 &amp; "\Dados\Magnet_fields_2D_1678.txt.txt", "Magnet_fields_2D_1678.txt")</f>
        <v/>
      </c>
    </row>
    <row r="1679">
      <c r="E1679" s="15" t="n">
        <v>126</v>
      </c>
      <c r="F1679" s="15" t="n">
        <v>175</v>
      </c>
      <c r="G1679" s="15" t="n">
        <v>378</v>
      </c>
      <c r="H1679" s="15" t="n">
        <v>41</v>
      </c>
      <c r="I1679" s="15" t="n">
        <v>153</v>
      </c>
      <c r="J1679" s="13" t="n">
        <v>25</v>
      </c>
      <c r="K1679" t="n">
        <v>40</v>
      </c>
      <c r="L1679" s="13" t="n">
        <v>2.6</v>
      </c>
      <c r="M1679" s="12" t="n"/>
      <c r="N1679" s="8" t="n">
        <v>1.237484522534785</v>
      </c>
      <c r="O1679" s="15" t="n">
        <v>1.033013292141457</v>
      </c>
      <c r="P1679" s="15" t="n">
        <v>1.176036208588011</v>
      </c>
      <c r="Q1679" s="15" t="n">
        <v>0.001778622683867302</v>
      </c>
      <c r="R1679" s="15" t="n">
        <v>0.03560055380536694</v>
      </c>
      <c r="S1679" s="15" t="n">
        <v>0.002572314377877988</v>
      </c>
      <c r="T1679" s="42">
        <f>HIPERLINK($A$1 &amp; "\Dados\Imagem_perfil_1679.png", "Imagem_perfil_1679")</f>
        <v/>
      </c>
      <c r="U1679" s="42">
        <f>HIPERLINK($A$1 &amp; "\Dados\Results_airgap1679.txt", "Results_airgap1679")</f>
        <v/>
      </c>
      <c r="V1679" s="19" t="n"/>
      <c r="W1679" s="15" t="n">
        <v>1.600283043478261</v>
      </c>
      <c r="X1679" s="15" t="n">
        <v>0.7795716117886698</v>
      </c>
      <c r="Y1679" s="15" t="n">
        <v>0.7847538500918869</v>
      </c>
      <c r="Z1679" s="15" t="n">
        <v>0.02979355091590672</v>
      </c>
      <c r="AA1679" s="15" t="n">
        <v>0.003408217736124313</v>
      </c>
      <c r="AB1679" s="15" t="n">
        <v>2.619975878536737</v>
      </c>
      <c r="AC1679" s="15" t="n">
        <v>11.8353521902973</v>
      </c>
      <c r="AD1679" s="15" t="n">
        <v>37.27542463441662</v>
      </c>
      <c r="AE1679" s="15" t="n">
        <v>78.58305896850071</v>
      </c>
      <c r="AF1679" s="15" t="n">
        <v>113.6819759610428</v>
      </c>
      <c r="AH1679" s="42">
        <f>HIPERLINK($A$1 &amp; "\Dados\Magnet_fields_1679.txt.txt", "Magnet_fields_1679.txt")</f>
        <v/>
      </c>
      <c r="AI1679" t="n">
        <v>6926</v>
      </c>
      <c r="AJ1679" t="n">
        <v>28</v>
      </c>
      <c r="AK1679" s="42">
        <f>HIPERLINK($A$1 &amp; "\Dados\Magnet_3D_results_1679.txt.txt", "Magnet_3D_results_1679.txt")</f>
        <v/>
      </c>
      <c r="AL1679" s="42">
        <f>HIPERLINK($A$1 &amp; "\Dados\Magnet_fields_2D_1679.txt.txt", "Magnet_fields_2D_1679.txt")</f>
        <v/>
      </c>
    </row>
    <row r="1680">
      <c r="E1680" s="15" t="n">
        <v>147</v>
      </c>
      <c r="F1680" s="15" t="n">
        <v>194</v>
      </c>
      <c r="G1680" s="15" t="n">
        <v>414</v>
      </c>
      <c r="H1680" s="15" t="n">
        <v>35</v>
      </c>
      <c r="I1680" s="15" t="n">
        <v>173</v>
      </c>
      <c r="J1680" s="13" t="n">
        <v>25</v>
      </c>
      <c r="K1680" t="n">
        <v>60</v>
      </c>
      <c r="L1680" s="13" t="n">
        <v>2.6</v>
      </c>
      <c r="M1680" s="12" t="n"/>
      <c r="N1680" s="8" t="n">
        <v>1.418045994182243</v>
      </c>
      <c r="O1680" s="15" t="n">
        <v>1.236250254058467</v>
      </c>
      <c r="P1680" s="15" t="n">
        <v>1.358468927652528</v>
      </c>
      <c r="Q1680" s="15" t="n">
        <v>0.02035954948228351</v>
      </c>
      <c r="R1680" s="15" t="n">
        <v>0.05691111810448905</v>
      </c>
      <c r="S1680" s="15" t="n">
        <v>0.02035160096898356</v>
      </c>
      <c r="T1680" s="42">
        <f>HIPERLINK($A$1 &amp; "\Dados\Imagem_perfil_1680.png", "Imagem_perfil_1680")</f>
        <v/>
      </c>
      <c r="U1680" s="42">
        <f>HIPERLINK($A$1 &amp; "\Dados\Results_airgap1680.txt", "Results_airgap1680")</f>
        <v/>
      </c>
      <c r="V1680" s="19" t="n"/>
      <c r="W1680" s="15" t="n">
        <v>1.888032173913044</v>
      </c>
      <c r="X1680" s="15" t="n">
        <v>0.9123086947295971</v>
      </c>
      <c r="Y1680" s="15" t="n">
        <v>0.3205322730544672</v>
      </c>
      <c r="Z1680" s="15" t="n">
        <v>0.007508464509310186</v>
      </c>
      <c r="AA1680" s="15" t="n">
        <v>1.224402889378857</v>
      </c>
      <c r="AB1680" s="15" t="n">
        <v>0.5527840135260911</v>
      </c>
      <c r="AC1680" s="15" t="n">
        <v>17.0275711595528</v>
      </c>
      <c r="AD1680" s="15" t="n">
        <v>67.20322079390044</v>
      </c>
      <c r="AE1680" s="15" t="n">
        <v>99.5184560572762</v>
      </c>
      <c r="AF1680" s="15" t="n">
        <v>131.0417172465537</v>
      </c>
      <c r="AH1680" s="42">
        <f>HIPERLINK($A$1 &amp; "\Dados\Magnet_fields_1680.txt.txt", "Magnet_fields_1680.txt")</f>
        <v/>
      </c>
      <c r="AI1680" t="n">
        <v>8709</v>
      </c>
      <c r="AJ1680" t="n">
        <v>29</v>
      </c>
      <c r="AK1680" s="42">
        <f>HIPERLINK($A$1 &amp; "\Dados\Magnet_3D_results_1680.txt.txt", "Magnet_3D_results_1680.txt")</f>
        <v/>
      </c>
      <c r="AL1680" s="42">
        <f>HIPERLINK($A$1 &amp; "\Dados\Magnet_fields_2D_1680.txt.txt", "Magnet_fields_2D_1680.txt")</f>
        <v/>
      </c>
    </row>
    <row r="1681">
      <c r="E1681" s="15" t="n">
        <v>133</v>
      </c>
      <c r="F1681" s="15" t="n">
        <v>179</v>
      </c>
      <c r="G1681" s="15" t="n">
        <v>430</v>
      </c>
      <c r="H1681" s="15" t="n">
        <v>33</v>
      </c>
      <c r="I1681" s="15" t="n">
        <v>174</v>
      </c>
      <c r="J1681" s="13" t="n">
        <v>25</v>
      </c>
      <c r="K1681" t="n">
        <v>45</v>
      </c>
      <c r="L1681" s="13" t="n">
        <v>2.6</v>
      </c>
      <c r="M1681" s="12" t="n"/>
      <c r="N1681" s="8" t="n">
        <v>1.461197327997357</v>
      </c>
      <c r="O1681" s="15" t="n">
        <v>1.269519507319122</v>
      </c>
      <c r="P1681" s="15" t="n">
        <v>1.406221123406843</v>
      </c>
      <c r="Q1681" s="15" t="n">
        <v>0.003562333629885901</v>
      </c>
      <c r="R1681" s="15" t="n">
        <v>0.05153690331466541</v>
      </c>
      <c r="S1681" s="15" t="n">
        <v>0.003786178022078992</v>
      </c>
      <c r="T1681" s="42">
        <f>HIPERLINK($A$1 &amp; "\Dados\Imagem_perfil_1681.png", "Imagem_perfil_1681")</f>
        <v/>
      </c>
      <c r="U1681" s="42">
        <f>HIPERLINK($A$1 &amp; "\Dados\Results_airgap1681.txt", "Results_airgap1681")</f>
        <v/>
      </c>
      <c r="V1681" s="19" t="n"/>
      <c r="W1681" s="15" t="n">
        <v>1.895191739130435</v>
      </c>
      <c r="X1681" s="15" t="n">
        <v>0.9216171700834438</v>
      </c>
      <c r="Y1681" s="15" t="n">
        <v>0.4016814800646212</v>
      </c>
      <c r="Z1681" s="15" t="n">
        <v>0</v>
      </c>
      <c r="AA1681" s="15" t="n">
        <v>0.3558699619242324</v>
      </c>
      <c r="AB1681" s="15" t="n">
        <v>2.09781756786114</v>
      </c>
      <c r="AC1681" s="15" t="n">
        <v>11.90464374896608</v>
      </c>
      <c r="AD1681" s="15" t="n">
        <v>47.45632735590753</v>
      </c>
      <c r="AE1681" s="15" t="n">
        <v>89.75397164782564</v>
      </c>
      <c r="AF1681" s="15" t="n">
        <v>119.6794883555705</v>
      </c>
      <c r="AH1681" s="42">
        <f>HIPERLINK($A$1 &amp; "\Dados\Magnet_fields_1681.txt.txt", "Magnet_fields_1681.txt")</f>
        <v/>
      </c>
      <c r="AI1681" t="n">
        <v>7586</v>
      </c>
      <c r="AJ1681" t="n">
        <v>29</v>
      </c>
      <c r="AK1681" s="42">
        <f>HIPERLINK($A$1 &amp; "\Dados\Magnet_3D_results_1681.txt.txt", "Magnet_3D_results_1681.txt")</f>
        <v/>
      </c>
      <c r="AL1681" s="42">
        <f>HIPERLINK($A$1 &amp; "\Dados\Magnet_fields_2D_1681.txt.txt", "Magnet_fields_2D_1681.txt")</f>
        <v/>
      </c>
    </row>
    <row r="1682">
      <c r="E1682" s="15" t="n">
        <v>145</v>
      </c>
      <c r="F1682" s="15" t="n">
        <v>192</v>
      </c>
      <c r="G1682" s="15" t="n">
        <v>415</v>
      </c>
      <c r="H1682" s="15" t="n">
        <v>28</v>
      </c>
      <c r="I1682" s="15" t="n">
        <v>156</v>
      </c>
      <c r="J1682" s="13" t="n">
        <v>25</v>
      </c>
      <c r="K1682" t="n">
        <v>45</v>
      </c>
      <c r="L1682" s="13" t="n">
        <v>2.6</v>
      </c>
      <c r="M1682" s="12" t="n"/>
      <c r="N1682" s="8" t="n">
        <v>1.313153322215054</v>
      </c>
      <c r="O1682" s="15" t="n">
        <v>1.102288918902823</v>
      </c>
      <c r="P1682" s="15" t="n">
        <v>1.251726636430121</v>
      </c>
      <c r="Q1682" s="15" t="n">
        <v>0.002417223661922048</v>
      </c>
      <c r="R1682" s="15" t="n">
        <v>0.03748412691094719</v>
      </c>
      <c r="S1682" s="15" t="n">
        <v>0.002832847292440239</v>
      </c>
      <c r="T1682" s="42">
        <f>HIPERLINK($A$1 &amp; "\Dados\Imagem_perfil_1682.png", "Imagem_perfil_1682")</f>
        <v/>
      </c>
      <c r="U1682" s="42">
        <f>HIPERLINK($A$1 &amp; "\Dados\Results_airgap1682.txt", "Results_airgap1682")</f>
        <v/>
      </c>
      <c r="V1682" s="19" t="n"/>
      <c r="W1682" s="15" t="n">
        <v>1.762457826086957</v>
      </c>
      <c r="X1682" s="15" t="n">
        <v>0.862868462596358</v>
      </c>
      <c r="Y1682" s="15" t="n">
        <v>0.5201495406250278</v>
      </c>
      <c r="Z1682" s="15" t="n">
        <v>0</v>
      </c>
      <c r="AA1682" s="15" t="n">
        <v>2.903839547657493</v>
      </c>
      <c r="AB1682" s="15" t="n">
        <v>1.016380200633648</v>
      </c>
      <c r="AC1682" s="15" t="n">
        <v>8.027010098954598</v>
      </c>
      <c r="AD1682" s="15" t="n">
        <v>40.32696906052387</v>
      </c>
      <c r="AE1682" s="15" t="n">
        <v>86.0940136175433</v>
      </c>
      <c r="AF1682" s="15" t="n">
        <v>118.523893753818</v>
      </c>
      <c r="AH1682" s="42">
        <f>HIPERLINK($A$1 &amp; "\Dados\Magnet_fields_1682.txt.txt", "Magnet_fields_1682.txt")</f>
        <v/>
      </c>
      <c r="AI1682" t="n">
        <v>8541</v>
      </c>
      <c r="AJ1682" t="n">
        <v>29</v>
      </c>
      <c r="AK1682" s="42">
        <f>HIPERLINK($A$1 &amp; "\Dados\Magnet_3D_results_1682.txt.txt", "Magnet_3D_results_1682.txt")</f>
        <v/>
      </c>
      <c r="AL1682" s="42">
        <f>HIPERLINK($A$1 &amp; "\Dados\Magnet_fields_2D_1682.txt.txt", "Magnet_fields_2D_1682.txt")</f>
        <v/>
      </c>
    </row>
    <row r="1683">
      <c r="E1683" s="15" t="n">
        <v>146</v>
      </c>
      <c r="F1683" s="15" t="n">
        <v>188</v>
      </c>
      <c r="G1683" s="15" t="n">
        <v>404</v>
      </c>
      <c r="H1683" s="15" t="n">
        <v>43</v>
      </c>
      <c r="I1683" s="15" t="n">
        <v>147</v>
      </c>
      <c r="J1683" s="13" t="n">
        <v>25</v>
      </c>
      <c r="K1683" t="n">
        <v>50</v>
      </c>
      <c r="L1683" s="13" t="n">
        <v>2.6</v>
      </c>
      <c r="M1683" s="12" t="n"/>
      <c r="N1683" s="8" t="n">
        <v>1.391735534831974</v>
      </c>
      <c r="O1683" s="15" t="n">
        <v>1.120235571904711</v>
      </c>
      <c r="P1683" s="15" t="n">
        <v>1.314387942206174</v>
      </c>
      <c r="Q1683" s="15" t="n">
        <v>0.004306553733794109</v>
      </c>
      <c r="R1683" s="15" t="n">
        <v>0.04392658656842115</v>
      </c>
      <c r="S1683" s="15" t="n">
        <v>0.00520582870298534</v>
      </c>
      <c r="T1683" s="42">
        <f>HIPERLINK($A$1 &amp; "\Dados\Imagem_perfil_1683.png", "Imagem_perfil_1683")</f>
        <v/>
      </c>
      <c r="U1683" s="42">
        <f>HIPERLINK($A$1 &amp; "\Dados\Results_airgap1683.txt", "Results_airgap1683")</f>
        <v/>
      </c>
      <c r="V1683" s="19" t="n"/>
      <c r="W1683" s="15" t="n">
        <v>1.871524347826087</v>
      </c>
      <c r="X1683" s="15" t="n">
        <v>0.9112849726475232</v>
      </c>
      <c r="Y1683" s="15" t="n">
        <v>0.3541921972231658</v>
      </c>
      <c r="Z1683" s="15" t="n">
        <v>0</v>
      </c>
      <c r="AA1683" s="15" t="n">
        <v>0.0009618748948890931</v>
      </c>
      <c r="AB1683" s="15" t="n">
        <v>0.4972858427273757</v>
      </c>
      <c r="AC1683" s="15" t="n">
        <v>8.726218541964172</v>
      </c>
      <c r="AD1683" s="15" t="n">
        <v>50.56602416047637</v>
      </c>
      <c r="AE1683" s="15" t="n">
        <v>92.24277819664758</v>
      </c>
      <c r="AF1683" s="15" t="n">
        <v>122.6368855543014</v>
      </c>
      <c r="AH1683" s="42">
        <f>HIPERLINK($A$1 &amp; "\Dados\Magnet_fields_1683.txt.txt", "Magnet_fields_1683.txt")</f>
        <v/>
      </c>
      <c r="AI1683" t="n">
        <v>6703</v>
      </c>
      <c r="AJ1683" t="n">
        <v>28</v>
      </c>
      <c r="AK1683" s="42">
        <f>HIPERLINK($A$1 &amp; "\Dados\Magnet_3D_results_1683.txt.txt", "Magnet_3D_results_1683.txt")</f>
        <v/>
      </c>
      <c r="AL1683" s="42">
        <f>HIPERLINK($A$1 &amp; "\Dados\Magnet_fields_2D_1683.txt.txt", "Magnet_fields_2D_1683.txt")</f>
        <v/>
      </c>
    </row>
    <row r="1684">
      <c r="E1684" s="15" t="n">
        <v>134</v>
      </c>
      <c r="F1684" s="15" t="n">
        <v>170</v>
      </c>
      <c r="G1684" s="15" t="n">
        <v>357</v>
      </c>
      <c r="H1684" s="15" t="n">
        <v>40</v>
      </c>
      <c r="I1684" s="15" t="n">
        <v>169</v>
      </c>
      <c r="J1684" s="13" t="n">
        <v>25</v>
      </c>
      <c r="K1684" t="n">
        <v>50</v>
      </c>
      <c r="L1684" s="13" t="n">
        <v>2.6</v>
      </c>
      <c r="M1684" s="12" t="n"/>
      <c r="N1684" s="8" t="n">
        <v>1.504137336268635</v>
      </c>
      <c r="O1684" s="15" t="n">
        <v>1.310098013704323</v>
      </c>
      <c r="P1684" s="15" t="n">
        <v>1.449442382437407</v>
      </c>
      <c r="Q1684" s="15" t="n">
        <v>0.00543728009473685</v>
      </c>
      <c r="R1684" s="15" t="n">
        <v>0.03821740338257458</v>
      </c>
      <c r="S1684" s="15" t="n">
        <v>0.005517760260391764</v>
      </c>
      <c r="T1684" s="42">
        <f>HIPERLINK($A$1 &amp; "\Dados\Imagem_perfil_1684.png", "Imagem_perfil_1684")</f>
        <v/>
      </c>
      <c r="U1684" s="42">
        <f>HIPERLINK($A$1 &amp; "\Dados\Results_airgap1684.txt", "Results_airgap1684")</f>
        <v/>
      </c>
      <c r="V1684" s="19" t="n"/>
      <c r="W1684" s="15" t="n">
        <v>1.848368695652174</v>
      </c>
      <c r="X1684" s="15" t="n">
        <v>0.9337559668071898</v>
      </c>
      <c r="Y1684" s="15" t="n">
        <v>0.3603206523720682</v>
      </c>
      <c r="Z1684" s="15" t="n">
        <v>0</v>
      </c>
      <c r="AA1684" s="15" t="n">
        <v>0</v>
      </c>
      <c r="AB1684" s="15" t="n">
        <v>0</v>
      </c>
      <c r="AC1684" s="15" t="n">
        <v>5.708674744192314</v>
      </c>
      <c r="AD1684" s="15" t="n">
        <v>48.4865123260816</v>
      </c>
      <c r="AE1684" s="15" t="n">
        <v>92.31405429322395</v>
      </c>
      <c r="AF1684" s="15" t="n">
        <v>122.5932908698958</v>
      </c>
      <c r="AH1684" s="42">
        <f>HIPERLINK($A$1 &amp; "\Dados\Magnet_fields_1684.txt.txt", "Magnet_fields_1684.txt")</f>
        <v/>
      </c>
      <c r="AI1684" t="n">
        <v>7097</v>
      </c>
      <c r="AJ1684" t="n">
        <v>29</v>
      </c>
      <c r="AK1684" s="42">
        <f>HIPERLINK($A$1 &amp; "\Dados\Magnet_3D_results_1684.txt.txt", "Magnet_3D_results_1684.txt")</f>
        <v/>
      </c>
      <c r="AL1684" s="42">
        <f>HIPERLINK($A$1 &amp; "\Dados\Magnet_fields_2D_1684.txt.txt", "Magnet_fields_2D_1684.txt")</f>
        <v/>
      </c>
    </row>
    <row r="1685">
      <c r="E1685" s="15" t="n">
        <v>140</v>
      </c>
      <c r="F1685" s="15" t="n">
        <v>175</v>
      </c>
      <c r="G1685" s="15" t="n">
        <v>361</v>
      </c>
      <c r="H1685" s="15" t="n">
        <v>32</v>
      </c>
      <c r="I1685" s="15" t="n">
        <v>145</v>
      </c>
      <c r="J1685" s="13" t="n">
        <v>25</v>
      </c>
      <c r="K1685" t="n">
        <v>55</v>
      </c>
      <c r="L1685" s="13" t="n">
        <v>2.6</v>
      </c>
      <c r="M1685" s="12" t="n"/>
      <c r="N1685" s="8" t="n">
        <v>1.460048764463435</v>
      </c>
      <c r="O1685" s="15" t="n">
        <v>1.180186314297059</v>
      </c>
      <c r="P1685" s="15" t="n">
        <v>1.380633751005599</v>
      </c>
      <c r="Q1685" s="15" t="n">
        <v>0.008778015251451717</v>
      </c>
      <c r="R1685" s="15" t="n">
        <v>0.03624834057017467</v>
      </c>
      <c r="S1685" s="15" t="n">
        <v>0.008729652783322038</v>
      </c>
      <c r="T1685" s="42">
        <f>HIPERLINK($A$1 &amp; "\Dados\Imagem_perfil_1685.png", "Imagem_perfil_1685")</f>
        <v/>
      </c>
      <c r="U1685" s="42">
        <f>HIPERLINK($A$1 &amp; "\Dados\Results_airgap1685.txt", "Results_airgap1685")</f>
        <v/>
      </c>
      <c r="V1685" s="19" t="n"/>
      <c r="W1685" s="15" t="n">
        <v>1.908702826086957</v>
      </c>
      <c r="X1685" s="15" t="n">
        <v>0.9630039063212489</v>
      </c>
      <c r="Y1685" s="15" t="n">
        <v>0.2785652706951735</v>
      </c>
      <c r="Z1685" s="15" t="n">
        <v>0</v>
      </c>
      <c r="AA1685" s="15" t="n">
        <v>1.640520549749554</v>
      </c>
      <c r="AB1685" s="15" t="n">
        <v>0.2573642791522673</v>
      </c>
      <c r="AC1685" s="15" t="n">
        <v>13.24938859055769</v>
      </c>
      <c r="AD1685" s="15" t="n">
        <v>59.4083665449954</v>
      </c>
      <c r="AE1685" s="15" t="n">
        <v>94.77954591289993</v>
      </c>
      <c r="AF1685" s="15" t="n">
        <v>126.2208246746799</v>
      </c>
      <c r="AH1685" s="42">
        <f>HIPERLINK($A$1 &amp; "\Dados\Magnet_fields_1685.txt.txt", "Magnet_fields_1685.txt")</f>
        <v/>
      </c>
      <c r="AI1685" t="n">
        <v>11855</v>
      </c>
      <c r="AJ1685" t="n">
        <v>31</v>
      </c>
      <c r="AK1685" s="42">
        <f>HIPERLINK($A$1 &amp; "\Dados\Magnet_3D_results_1685.txt.txt", "Magnet_3D_results_1685.txt")</f>
        <v/>
      </c>
      <c r="AL1685" s="42">
        <f>HIPERLINK($A$1 &amp; "\Dados\Magnet_fields_2D_1685.txt.txt", "Magnet_fields_2D_1685.txt")</f>
        <v/>
      </c>
    </row>
    <row r="1686">
      <c r="E1686" s="15" t="n">
        <v>144</v>
      </c>
      <c r="F1686" s="15" t="n">
        <v>179</v>
      </c>
      <c r="G1686" s="15" t="n">
        <v>370</v>
      </c>
      <c r="H1686" s="15" t="n">
        <v>34</v>
      </c>
      <c r="I1686" s="15" t="n">
        <v>158</v>
      </c>
      <c r="J1686" s="13" t="n">
        <v>25</v>
      </c>
      <c r="K1686" t="n">
        <v>55</v>
      </c>
      <c r="L1686" s="13" t="n">
        <v>2.6</v>
      </c>
      <c r="M1686" s="12" t="n"/>
      <c r="N1686" s="8" t="n">
        <v>1.494105335950148</v>
      </c>
      <c r="O1686" s="15" t="n">
        <v>1.281085155372335</v>
      </c>
      <c r="P1686" s="15" t="n">
        <v>1.432151134263398</v>
      </c>
      <c r="Q1686" s="15" t="n">
        <v>0.008721203895132083</v>
      </c>
      <c r="R1686" s="15" t="n">
        <v>0.03804705495700322</v>
      </c>
      <c r="S1686" s="15" t="n">
        <v>0.008704736630535694</v>
      </c>
      <c r="T1686" s="42">
        <f>HIPERLINK($A$1 &amp; "\Dados\Imagem_perfil_1686.png", "Imagem_perfil_1686")</f>
        <v/>
      </c>
      <c r="U1686" s="42">
        <f>HIPERLINK($A$1 &amp; "\Dados\Results_airgap1686.txt", "Results_airgap1686")</f>
        <v/>
      </c>
      <c r="V1686" s="19" t="n"/>
      <c r="W1686" s="15" t="n">
        <v>1.922882173913044</v>
      </c>
      <c r="X1686" s="15" t="n">
        <v>0.9399170809191562</v>
      </c>
      <c r="Y1686" s="15" t="n">
        <v>0.264613901307306</v>
      </c>
      <c r="Z1686" s="15" t="n">
        <v>0</v>
      </c>
      <c r="AA1686" s="15" t="n">
        <v>0.8791048099216409</v>
      </c>
      <c r="AB1686" s="15" t="n">
        <v>0.1487547828672506</v>
      </c>
      <c r="AC1686" s="15" t="n">
        <v>12.9183554702419</v>
      </c>
      <c r="AD1686" s="15" t="n">
        <v>59.7541684469404</v>
      </c>
      <c r="AE1686" s="15" t="n">
        <v>95.14055579346098</v>
      </c>
      <c r="AF1686" s="15" t="n">
        <v>126.3728256253994</v>
      </c>
      <c r="AH1686" s="42">
        <f>HIPERLINK($A$1 &amp; "\Dados\Magnet_fields_1686.txt.txt", "Magnet_fields_1686.txt")</f>
        <v/>
      </c>
      <c r="AI1686" t="n">
        <v>11709</v>
      </c>
      <c r="AJ1686" t="n">
        <v>30</v>
      </c>
      <c r="AK1686" s="42">
        <f>HIPERLINK($A$1 &amp; "\Dados\Magnet_3D_results_1686.txt.txt", "Magnet_3D_results_1686.txt")</f>
        <v/>
      </c>
      <c r="AL1686" s="42">
        <f>HIPERLINK($A$1 &amp; "\Dados\Magnet_fields_2D_1686.txt.txt", "Magnet_fields_2D_1686.txt")</f>
        <v/>
      </c>
    </row>
    <row r="1687">
      <c r="E1687" s="15" t="n">
        <v>144</v>
      </c>
      <c r="F1687" s="15" t="n">
        <v>175</v>
      </c>
      <c r="G1687" s="15" t="n">
        <v>356</v>
      </c>
      <c r="H1687" s="15" t="n">
        <v>28</v>
      </c>
      <c r="I1687" s="15" t="n">
        <v>144</v>
      </c>
      <c r="J1687" s="13" t="n">
        <v>25</v>
      </c>
      <c r="K1687" t="n">
        <v>45</v>
      </c>
      <c r="L1687" s="13" t="n">
        <v>2.6</v>
      </c>
      <c r="M1687" s="12" t="n"/>
      <c r="N1687" s="8" t="n">
        <v>1.459537159080679</v>
      </c>
      <c r="O1687" s="15" t="n">
        <v>1.180178720889552</v>
      </c>
      <c r="P1687" s="15" t="n">
        <v>1.384454129459534</v>
      </c>
      <c r="Q1687" s="15" t="n">
        <v>0.003045873790057619</v>
      </c>
      <c r="R1687" s="15" t="n">
        <v>0.02367059538644048</v>
      </c>
      <c r="S1687" s="15" t="n">
        <v>0.003242549643315544</v>
      </c>
      <c r="T1687" s="42">
        <f>HIPERLINK($A$1 &amp; "\Dados\Imagem_perfil_1687.png", "Imagem_perfil_1687")</f>
        <v/>
      </c>
      <c r="U1687" s="42">
        <f>HIPERLINK($A$1 &amp; "\Dados\Results_airgap1687.txt", "Results_airgap1687")</f>
        <v/>
      </c>
      <c r="V1687" s="19" t="n"/>
      <c r="W1687" s="15" t="n">
        <v>1.853808260869565</v>
      </c>
      <c r="X1687" s="15" t="n">
        <v>0.9343499588463949</v>
      </c>
      <c r="Y1687" s="15" t="n">
        <v>0.3590507446969851</v>
      </c>
      <c r="Z1687" s="15" t="n">
        <v>0</v>
      </c>
      <c r="AA1687" s="15" t="n">
        <v>4.114305700246412</v>
      </c>
      <c r="AB1687" s="15" t="n">
        <v>0</v>
      </c>
      <c r="AC1687" s="15" t="n">
        <v>5.043673758848592</v>
      </c>
      <c r="AD1687" s="15" t="n">
        <v>38.70590781280162</v>
      </c>
      <c r="AE1687" s="15" t="n">
        <v>83.34391376533003</v>
      </c>
      <c r="AF1687" s="15" t="n">
        <v>117.292520404328</v>
      </c>
      <c r="AH1687" s="42">
        <f>HIPERLINK($A$1 &amp; "\Dados\Magnet_fields_1687.txt.txt", "Magnet_fields_1687.txt")</f>
        <v/>
      </c>
      <c r="AI1687" t="n">
        <v>7738</v>
      </c>
      <c r="AJ1687" t="n">
        <v>29</v>
      </c>
      <c r="AK1687" s="42">
        <f>HIPERLINK($A$1 &amp; "\Dados\Magnet_3D_results_1687.txt.txt", "Magnet_3D_results_1687.txt")</f>
        <v/>
      </c>
      <c r="AL1687" s="42">
        <f>HIPERLINK($A$1 &amp; "\Dados\Magnet_fields_2D_1687.txt.txt", "Magnet_fields_2D_1687.txt")</f>
        <v/>
      </c>
    </row>
    <row r="1688">
      <c r="E1688" s="15" t="n">
        <v>139</v>
      </c>
      <c r="F1688" s="15" t="n">
        <v>177</v>
      </c>
      <c r="G1688" s="15" t="n">
        <v>389</v>
      </c>
      <c r="H1688" s="15" t="n">
        <v>44</v>
      </c>
      <c r="I1688" s="15" t="n">
        <v>153</v>
      </c>
      <c r="J1688" s="13" t="n">
        <v>25</v>
      </c>
      <c r="K1688" t="n">
        <v>50</v>
      </c>
      <c r="L1688" s="13" t="n">
        <v>2.6</v>
      </c>
      <c r="M1688" s="12" t="n"/>
      <c r="N1688" s="8" t="n">
        <v>1.483930163600895</v>
      </c>
      <c r="O1688" s="15" t="n">
        <v>1.226805160566863</v>
      </c>
      <c r="P1688" s="15" t="n">
        <v>1.40253303156488</v>
      </c>
      <c r="Q1688" s="15" t="n">
        <v>0.00575597884476161</v>
      </c>
      <c r="R1688" s="15" t="n">
        <v>0.04422200878561749</v>
      </c>
      <c r="S1688" s="15" t="n">
        <v>0.005765808664429472</v>
      </c>
      <c r="T1688" s="42">
        <f>HIPERLINK($A$1 &amp; "\Dados\Imagem_perfil_1688.png", "Imagem_perfil_1688")</f>
        <v/>
      </c>
      <c r="U1688" s="42">
        <f>HIPERLINK($A$1 &amp; "\Dados\Results_airgap1688.txt", "Results_airgap1688")</f>
        <v/>
      </c>
      <c r="V1688" s="19" t="n"/>
      <c r="W1688" s="15" t="n">
        <v>1.931214782608695</v>
      </c>
      <c r="X1688" s="15" t="n">
        <v>0.9345257999342971</v>
      </c>
      <c r="Y1688" s="15" t="n">
        <v>0.3036343085488302</v>
      </c>
      <c r="Z1688" s="15" t="n">
        <v>0</v>
      </c>
      <c r="AA1688" s="15" t="n">
        <v>0</v>
      </c>
      <c r="AB1688" s="15" t="n">
        <v>0.5826943464532554</v>
      </c>
      <c r="AC1688" s="15" t="n">
        <v>8.671773817932261</v>
      </c>
      <c r="AD1688" s="15" t="n">
        <v>50.80247626457982</v>
      </c>
      <c r="AE1688" s="15" t="n">
        <v>92.65917340774809</v>
      </c>
      <c r="AF1688" s="15" t="n">
        <v>122.878256644964</v>
      </c>
      <c r="AH1688" s="42">
        <f>HIPERLINK($A$1 &amp; "\Dados\Magnet_fields_1688.txt.txt", "Magnet_fields_1688.txt")</f>
        <v/>
      </c>
      <c r="AI1688" t="n">
        <v>6745</v>
      </c>
      <c r="AJ1688" t="n">
        <v>28</v>
      </c>
      <c r="AK1688" s="42">
        <f>HIPERLINK($A$1 &amp; "\Dados\Magnet_3D_results_1688.txt.txt", "Magnet_3D_results_1688.txt")</f>
        <v/>
      </c>
      <c r="AL1688" s="42">
        <f>HIPERLINK($A$1 &amp; "\Dados\Magnet_fields_2D_1688.txt.txt", "Magnet_fields_2D_1688.txt")</f>
        <v/>
      </c>
    </row>
    <row r="1689">
      <c r="E1689" s="15" t="n">
        <v>145</v>
      </c>
      <c r="F1689" s="15" t="n">
        <v>185</v>
      </c>
      <c r="G1689" s="15" t="n">
        <v>410</v>
      </c>
      <c r="H1689" s="15" t="n">
        <v>41</v>
      </c>
      <c r="I1689" s="15" t="n">
        <v>148</v>
      </c>
      <c r="J1689" s="13" t="n">
        <v>25</v>
      </c>
      <c r="K1689" t="n">
        <v>40</v>
      </c>
      <c r="L1689" s="13" t="n">
        <v>2.6</v>
      </c>
      <c r="M1689" s="12" t="n"/>
      <c r="N1689" s="8" t="n">
        <v>1.374357951747105</v>
      </c>
      <c r="O1689" s="15" t="n">
        <v>1.131772790844563</v>
      </c>
      <c r="P1689" s="15" t="n">
        <v>1.300997636057266</v>
      </c>
      <c r="Q1689" s="15" t="n">
        <v>0.001456251358584825</v>
      </c>
      <c r="R1689" s="15" t="n">
        <v>0.03346115857815481</v>
      </c>
      <c r="S1689" s="15" t="n">
        <v>0.001795620116339067</v>
      </c>
      <c r="T1689" s="42">
        <f>HIPERLINK($A$1 &amp; "\Dados\Imagem_perfil_1689.png", "Imagem_perfil_1689")</f>
        <v/>
      </c>
      <c r="U1689" s="42">
        <f>HIPERLINK($A$1 &amp; "\Dados\Results_airgap1689.txt", "Results_airgap1689")</f>
        <v/>
      </c>
      <c r="V1689" s="19" t="n"/>
      <c r="W1689" s="15" t="n">
        <v>1.78944347826087</v>
      </c>
      <c r="X1689" s="15" t="n">
        <v>0.8766644906731197</v>
      </c>
      <c r="Y1689" s="15" t="n">
        <v>0.4901711239224565</v>
      </c>
      <c r="Z1689" s="15" t="n">
        <v>0</v>
      </c>
      <c r="AA1689" s="15" t="n">
        <v>0.04009263762295467</v>
      </c>
      <c r="AB1689" s="15" t="n">
        <v>0.9249204301014597</v>
      </c>
      <c r="AC1689" s="15" t="n">
        <v>6.071137610337206</v>
      </c>
      <c r="AD1689" s="15" t="n">
        <v>32.79326205724497</v>
      </c>
      <c r="AE1689" s="15" t="n">
        <v>83.05042553671774</v>
      </c>
      <c r="AF1689" s="15" t="n">
        <v>115.3246770923821</v>
      </c>
      <c r="AH1689" s="42">
        <f>HIPERLINK($A$1 &amp; "\Dados\Magnet_fields_1689.txt.txt", "Magnet_fields_1689.txt")</f>
        <v/>
      </c>
      <c r="AI1689" t="n">
        <v>7344</v>
      </c>
      <c r="AJ1689" t="n">
        <v>28</v>
      </c>
      <c r="AK1689" s="42">
        <f>HIPERLINK($A$1 &amp; "\Dados\Magnet_3D_results_1689.txt.txt", "Magnet_3D_results_1689.txt")</f>
        <v/>
      </c>
      <c r="AL1689" s="42">
        <f>HIPERLINK($A$1 &amp; "\Dados\Magnet_fields_2D_1689.txt.txt", "Magnet_fields_2D_1689.txt")</f>
        <v/>
      </c>
    </row>
    <row r="1690">
      <c r="E1690" s="15" t="n">
        <v>148</v>
      </c>
      <c r="F1690" s="15" t="n">
        <v>184</v>
      </c>
      <c r="G1690" s="15" t="n">
        <v>361</v>
      </c>
      <c r="H1690" s="15" t="n">
        <v>39</v>
      </c>
      <c r="I1690" s="15" t="n">
        <v>171</v>
      </c>
      <c r="J1690" s="13" t="n">
        <v>25</v>
      </c>
      <c r="K1690" t="n">
        <v>40</v>
      </c>
      <c r="L1690" s="13" t="n">
        <v>2.6</v>
      </c>
      <c r="M1690" s="12" t="n"/>
      <c r="N1690" s="8" t="n">
        <v>1.407686124598135</v>
      </c>
      <c r="O1690" s="15" t="n">
        <v>1.231189718343114</v>
      </c>
      <c r="P1690" s="15" t="n">
        <v>1.35596870608629</v>
      </c>
      <c r="Q1690" s="15" t="n">
        <v>0.001451421975320281</v>
      </c>
      <c r="R1690" s="15" t="n">
        <v>0.02291997793543926</v>
      </c>
      <c r="S1690" s="15" t="n">
        <v>0.001469673521508892</v>
      </c>
      <c r="T1690" s="42">
        <f>HIPERLINK($A$1 &amp; "\Dados\Imagem_perfil_1690.png", "Imagem_perfil_1690")</f>
        <v/>
      </c>
      <c r="U1690" s="42">
        <f>HIPERLINK($A$1 &amp; "\Dados\Results_airgap1690.txt", "Results_airgap1690")</f>
        <v/>
      </c>
      <c r="V1690" s="19" t="n"/>
      <c r="W1690" s="15" t="n">
        <v>1.67706847826087</v>
      </c>
      <c r="X1690" s="15" t="n">
        <v>0.8905824182724167</v>
      </c>
      <c r="Y1690" s="15" t="n">
        <v>0.6176392878321437</v>
      </c>
      <c r="Z1690" s="15" t="n">
        <v>0.005757186366635342</v>
      </c>
      <c r="AA1690" s="15" t="n">
        <v>0.08964774536579859</v>
      </c>
      <c r="AB1690" s="15" t="n">
        <v>0</v>
      </c>
      <c r="AC1690" s="15" t="n">
        <v>4.118205785871444</v>
      </c>
      <c r="AD1690" s="15" t="n">
        <v>28.45774784406936</v>
      </c>
      <c r="AE1690" s="15" t="n">
        <v>73.76246957213841</v>
      </c>
      <c r="AF1690" s="15" t="n">
        <v>111.5370228702072</v>
      </c>
      <c r="AH1690" s="42">
        <f>HIPERLINK($A$1 &amp; "\Dados\Magnet_fields_1690.txt.txt", "Magnet_fields_1690.txt")</f>
        <v/>
      </c>
      <c r="AI1690" t="n">
        <v>7393</v>
      </c>
      <c r="AJ1690" t="n">
        <v>28</v>
      </c>
      <c r="AK1690" s="42">
        <f>HIPERLINK($A$1 &amp; "\Dados\Magnet_3D_results_1690.txt.txt", "Magnet_3D_results_1690.txt")</f>
        <v/>
      </c>
      <c r="AL1690" s="42">
        <f>HIPERLINK($A$1 &amp; "\Dados\Magnet_fields_2D_1690.txt.txt", "Magnet_fields_2D_1690.txt")</f>
        <v/>
      </c>
    </row>
    <row r="1691">
      <c r="E1691" s="15" t="n">
        <v>131</v>
      </c>
      <c r="F1691" s="15" t="n">
        <v>171</v>
      </c>
      <c r="G1691" s="15" t="n">
        <v>395</v>
      </c>
      <c r="H1691" s="15" t="n">
        <v>41</v>
      </c>
      <c r="I1691" s="15" t="n">
        <v>168</v>
      </c>
      <c r="J1691" s="13" t="n">
        <v>25</v>
      </c>
      <c r="K1691" t="n">
        <v>40</v>
      </c>
      <c r="L1691" s="13" t="n">
        <v>2.6</v>
      </c>
      <c r="M1691" s="12" t="n"/>
      <c r="N1691" s="8" t="n">
        <v>1.450199089232058</v>
      </c>
      <c r="O1691" s="15" t="n">
        <v>1.241518105848092</v>
      </c>
      <c r="P1691" s="15" t="n">
        <v>1.389403323257846</v>
      </c>
      <c r="Q1691" s="15" t="n">
        <v>0.001743027030369728</v>
      </c>
      <c r="R1691" s="15" t="n">
        <v>0.03740232375627459</v>
      </c>
      <c r="S1691" s="15" t="n">
        <v>0.001872786114631854</v>
      </c>
      <c r="T1691" s="42">
        <f>HIPERLINK($A$1 &amp; "\Dados\Imagem_perfil_1691.png", "Imagem_perfil_1691")</f>
        <v/>
      </c>
      <c r="U1691" s="42">
        <f>HIPERLINK($A$1 &amp; "\Dados\Results_airgap1691.txt", "Results_airgap1691")</f>
        <v/>
      </c>
      <c r="V1691" s="19" t="n"/>
      <c r="W1691" s="15" t="n">
        <v>1.795935869565217</v>
      </c>
      <c r="X1691" s="15" t="n">
        <v>0.9082464189385421</v>
      </c>
      <c r="Y1691" s="15" t="n">
        <v>0.5758427814649433</v>
      </c>
      <c r="Z1691" s="15" t="n">
        <v>0.02421317438784818</v>
      </c>
      <c r="AA1691" s="15" t="n">
        <v>0.008163938854110413</v>
      </c>
      <c r="AB1691" s="15" t="n">
        <v>2.188992664662654</v>
      </c>
      <c r="AC1691" s="15" t="n">
        <v>10.35530173090365</v>
      </c>
      <c r="AD1691" s="15" t="n">
        <v>35.15255613608076</v>
      </c>
      <c r="AE1691" s="15" t="n">
        <v>77.3613753933149</v>
      </c>
      <c r="AF1691" s="15" t="n">
        <v>113.0866262972826</v>
      </c>
      <c r="AH1691" s="42">
        <f>HIPERLINK($A$1 &amp; "\Dados\Magnet_fields_1691.txt.txt", "Magnet_fields_1691.txt")</f>
        <v/>
      </c>
      <c r="AI1691" t="n">
        <v>7872</v>
      </c>
      <c r="AJ1691" t="n">
        <v>29</v>
      </c>
      <c r="AK1691" s="42">
        <f>HIPERLINK($A$1 &amp; "\Dados\Magnet_3D_results_1691.txt.txt", "Magnet_3D_results_1691.txt")</f>
        <v/>
      </c>
      <c r="AL1691" s="42">
        <f>HIPERLINK($A$1 &amp; "\Dados\Magnet_fields_2D_1691.txt.txt", "Magnet_fields_2D_1691.txt")</f>
        <v/>
      </c>
    </row>
    <row r="1692">
      <c r="E1692" s="15" t="n">
        <v>150</v>
      </c>
      <c r="F1692" s="15" t="n">
        <v>198</v>
      </c>
      <c r="G1692" s="15" t="n">
        <v>361</v>
      </c>
      <c r="H1692" s="15" t="n">
        <v>28</v>
      </c>
      <c r="I1692" s="15" t="n">
        <v>156</v>
      </c>
      <c r="J1692" s="13" t="n">
        <v>25</v>
      </c>
      <c r="K1692" t="n">
        <v>60</v>
      </c>
      <c r="L1692" s="13" t="n">
        <v>2.6</v>
      </c>
      <c r="M1692" s="12" t="n"/>
      <c r="N1692" s="8" t="n">
        <v>1.196030493031041</v>
      </c>
      <c r="O1692" s="15" t="n">
        <v>0.9856215469720893</v>
      </c>
      <c r="P1692" s="15" t="n">
        <v>1.130623246577363</v>
      </c>
      <c r="Q1692" s="15" t="n">
        <v>0.01504872424478585</v>
      </c>
      <c r="R1692" s="15" t="n">
        <v>0.03098397653601198</v>
      </c>
      <c r="S1692" s="15" t="n">
        <v>0.01474801018587755</v>
      </c>
      <c r="T1692" s="42">
        <f>HIPERLINK($A$1 &amp; "\Dados\Imagem_perfil_1692.png", "Imagem_perfil_1692")</f>
        <v/>
      </c>
      <c r="U1692" s="42">
        <f>HIPERLINK($A$1 &amp; "\Dados\Results_airgap1692.txt", "Results_airgap1692")</f>
        <v/>
      </c>
      <c r="V1692" s="19" t="n"/>
      <c r="W1692" s="15" t="n">
        <v>1.587547391304348</v>
      </c>
      <c r="X1692" s="15" t="n">
        <v>0.7721080175288342</v>
      </c>
      <c r="Y1692" s="15" t="n">
        <v>0.5912578282501018</v>
      </c>
      <c r="Z1692" s="15" t="n">
        <v>0.02854526056300606</v>
      </c>
      <c r="AA1692" s="15" t="n">
        <v>6.881747686635108</v>
      </c>
      <c r="AB1692" s="15" t="n">
        <v>0</v>
      </c>
      <c r="AC1692" s="15" t="n">
        <v>14.26639582100369</v>
      </c>
      <c r="AD1692" s="15" t="n">
        <v>65.1114281382044</v>
      </c>
      <c r="AE1692" s="15" t="n">
        <v>96.83862691338632</v>
      </c>
      <c r="AF1692" s="15" t="n">
        <v>128.485375591784</v>
      </c>
      <c r="AH1692" s="42">
        <f>HIPERLINK($A$1 &amp; "\Dados\Magnet_fields_1692.txt.txt", "Magnet_fields_1692.txt")</f>
        <v/>
      </c>
      <c r="AI1692" t="n">
        <v>9498</v>
      </c>
      <c r="AJ1692" t="n">
        <v>30</v>
      </c>
      <c r="AK1692" s="42">
        <f>HIPERLINK($A$1 &amp; "\Dados\Magnet_3D_results_1692.txt.txt", "Magnet_3D_results_1692.txt")</f>
        <v/>
      </c>
      <c r="AL1692" s="42">
        <f>HIPERLINK($A$1 &amp; "\Dados\Magnet_fields_2D_1692.txt.txt", "Magnet_fields_2D_1692.txt")</f>
        <v/>
      </c>
    </row>
    <row r="1693">
      <c r="E1693" s="15" t="n">
        <v>131</v>
      </c>
      <c r="F1693" s="15" t="n">
        <v>180</v>
      </c>
      <c r="G1693" s="15" t="n">
        <v>387</v>
      </c>
      <c r="H1693" s="15" t="n">
        <v>31</v>
      </c>
      <c r="I1693" s="15" t="n">
        <v>142</v>
      </c>
      <c r="J1693" s="13" t="n">
        <v>25</v>
      </c>
      <c r="K1693" t="n">
        <v>50</v>
      </c>
      <c r="L1693" s="13" t="n">
        <v>2.6</v>
      </c>
      <c r="M1693" s="12" t="n"/>
      <c r="N1693" s="8" t="n">
        <v>1.278148668790528</v>
      </c>
      <c r="O1693" s="15" t="n">
        <v>0.9994661911301662</v>
      </c>
      <c r="P1693" s="15" t="n">
        <v>1.206093110420514</v>
      </c>
      <c r="Q1693" s="15" t="n">
        <v>0.005985491687124561</v>
      </c>
      <c r="R1693" s="15" t="n">
        <v>0.0458843316397293</v>
      </c>
      <c r="S1693" s="15" t="n">
        <v>0.007425304439226803</v>
      </c>
      <c r="T1693" s="42">
        <f>HIPERLINK($A$1 &amp; "\Dados\Imagem_perfil_1693.png", "Imagem_perfil_1693")</f>
        <v/>
      </c>
      <c r="U1693" s="42">
        <f>HIPERLINK($A$1 &amp; "\Dados\Results_airgap1693.txt", "Results_airgap1693")</f>
        <v/>
      </c>
      <c r="V1693" s="19" t="n"/>
      <c r="W1693" s="15" t="n">
        <v>1.782178913043479</v>
      </c>
      <c r="X1693" s="15" t="n">
        <v>0.8381013969009318</v>
      </c>
      <c r="Y1693" s="15" t="n">
        <v>0.4610700635923713</v>
      </c>
      <c r="Z1693" s="15" t="n">
        <v>0.0002131437280068761</v>
      </c>
      <c r="AA1693" s="15" t="n">
        <v>0.004110079676830306</v>
      </c>
      <c r="AB1693" s="15" t="n">
        <v>1.707441046598631</v>
      </c>
      <c r="AC1693" s="15" t="n">
        <v>15.87406432287669</v>
      </c>
      <c r="AD1693" s="15" t="n">
        <v>57.21348344869297</v>
      </c>
      <c r="AE1693" s="15" t="n">
        <v>92.25188729602274</v>
      </c>
      <c r="AF1693" s="15" t="n">
        <v>122.4491974175871</v>
      </c>
      <c r="AH1693" s="42">
        <f>HIPERLINK($A$1 &amp; "\Dados\Magnet_fields_1693.txt.txt", "Magnet_fields_1693.txt")</f>
        <v/>
      </c>
      <c r="AI1693" t="n">
        <v>7824</v>
      </c>
      <c r="AJ1693" t="n">
        <v>30</v>
      </c>
      <c r="AK1693" s="42">
        <f>HIPERLINK($A$1 &amp; "\Dados\Magnet_3D_results_1693.txt.txt", "Magnet_3D_results_1693.txt")</f>
        <v/>
      </c>
      <c r="AL1693" s="42">
        <f>HIPERLINK($A$1 &amp; "\Dados\Magnet_fields_2D_1693.txt.txt", "Magnet_fields_2D_1693.txt")</f>
        <v/>
      </c>
    </row>
    <row r="1694">
      <c r="E1694" s="15" t="n">
        <v>148</v>
      </c>
      <c r="F1694" s="15" t="n">
        <v>189</v>
      </c>
      <c r="G1694" s="15" t="n">
        <v>421</v>
      </c>
      <c r="H1694" s="15" t="n">
        <v>36</v>
      </c>
      <c r="I1694" s="15" t="n">
        <v>175</v>
      </c>
      <c r="J1694" s="13" t="n">
        <v>25</v>
      </c>
      <c r="K1694" t="n">
        <v>60</v>
      </c>
      <c r="L1694" s="13" t="n">
        <v>2.6</v>
      </c>
      <c r="M1694" s="12" t="n"/>
      <c r="N1694" s="8" t="n">
        <v>1.549917351908117</v>
      </c>
      <c r="O1694" s="15" t="n">
        <v>1.363917783889844</v>
      </c>
      <c r="P1694" s="15" t="n">
        <v>1.491968126292385</v>
      </c>
      <c r="Q1694" s="15" t="n">
        <v>0.02123840291170578</v>
      </c>
      <c r="R1694" s="15" t="n">
        <v>0.0602680798748706</v>
      </c>
      <c r="S1694" s="15" t="n">
        <v>0.02031673682510754</v>
      </c>
      <c r="T1694" s="42">
        <f>HIPERLINK($A$1 &amp; "\Dados\Imagem_perfil_1694.png", "Imagem_perfil_1694")</f>
        <v/>
      </c>
      <c r="U1694" s="42">
        <f>HIPERLINK($A$1 &amp; "\Dados\Results_airgap1694.txt", "Results_airgap1694")</f>
        <v/>
      </c>
      <c r="V1694" s="19" t="n"/>
      <c r="W1694" s="15" t="n">
        <v>2.041607173913043</v>
      </c>
      <c r="X1694" s="15" t="n">
        <v>0.9928079878101542</v>
      </c>
      <c r="Y1694" s="15" t="n">
        <v>0.1969470478323883</v>
      </c>
      <c r="Z1694" s="15" t="n">
        <v>0.01808952764219789</v>
      </c>
      <c r="AA1694" s="15" t="n">
        <v>0.4228620681566352</v>
      </c>
      <c r="AB1694" s="15" t="n">
        <v>0.5231631778126985</v>
      </c>
      <c r="AC1694" s="15" t="n">
        <v>19.50255238870068</v>
      </c>
      <c r="AD1694" s="15" t="n">
        <v>71.2829348159634</v>
      </c>
      <c r="AE1694" s="15" t="n">
        <v>100.9330610014347</v>
      </c>
      <c r="AF1694" s="15" t="n">
        <v>131.6649982745223</v>
      </c>
      <c r="AH1694" s="42">
        <f>HIPERLINK($A$1 &amp; "\Dados\Magnet_fields_1694.txt.txt", "Magnet_fields_1694.txt")</f>
        <v/>
      </c>
      <c r="AI1694" t="n">
        <v>8847</v>
      </c>
      <c r="AJ1694" t="n">
        <v>30</v>
      </c>
      <c r="AK1694" s="42">
        <f>HIPERLINK($A$1 &amp; "\Dados\Magnet_3D_results_1694.txt.txt", "Magnet_3D_results_1694.txt")</f>
        <v/>
      </c>
      <c r="AL1694" s="42">
        <f>HIPERLINK($A$1 &amp; "\Dados\Magnet_fields_2D_1694.txt.txt", "Magnet_fields_2D_1694.txt")</f>
        <v/>
      </c>
    </row>
    <row r="1695">
      <c r="E1695" s="15" t="n">
        <v>150</v>
      </c>
      <c r="F1695" s="15" t="n">
        <v>197</v>
      </c>
      <c r="G1695" s="15" t="n">
        <v>373</v>
      </c>
      <c r="H1695" s="15" t="n">
        <v>27</v>
      </c>
      <c r="I1695" s="15" t="n">
        <v>178</v>
      </c>
      <c r="J1695" s="13" t="n">
        <v>25</v>
      </c>
      <c r="K1695" t="n">
        <v>45</v>
      </c>
      <c r="L1695" s="13" t="n">
        <v>2.6</v>
      </c>
      <c r="M1695" s="12" t="n"/>
      <c r="N1695" s="8" t="n">
        <v>1.264153691500694</v>
      </c>
      <c r="O1695" s="15" t="n">
        <v>1.091654684303361</v>
      </c>
      <c r="P1695" s="15" t="n">
        <v>1.217947944200547</v>
      </c>
      <c r="Q1695" s="15" t="n">
        <v>0.001602217732470795</v>
      </c>
      <c r="R1695" s="15" t="n">
        <v>0.02624656614590904</v>
      </c>
      <c r="S1695" s="15" t="n">
        <v>0.00175785412644191</v>
      </c>
      <c r="T1695" s="42">
        <f>HIPERLINK($A$1 &amp; "\Dados\Imagem_perfil_1695.png", "Imagem_perfil_1695")</f>
        <v/>
      </c>
      <c r="U1695" s="42">
        <f>HIPERLINK($A$1 &amp; "\Dados\Results_airgap1695.txt", "Results_airgap1695")</f>
        <v/>
      </c>
      <c r="V1695" s="19" t="n"/>
      <c r="W1695" s="15" t="n">
        <v>1.578905217391304</v>
      </c>
      <c r="X1695" s="15" t="n">
        <v>0.7879673268865056</v>
      </c>
      <c r="Y1695" s="15" t="n">
        <v>0.6764968442468428</v>
      </c>
      <c r="Z1695" s="15" t="n">
        <v>0</v>
      </c>
      <c r="AA1695" s="15" t="n">
        <v>4.157009564141073</v>
      </c>
      <c r="AB1695" s="15" t="n">
        <v>0</v>
      </c>
      <c r="AC1695" s="15" t="n">
        <v>5.276126136209227</v>
      </c>
      <c r="AD1695" s="15" t="n">
        <v>39.16691106712621</v>
      </c>
      <c r="AE1695" s="15" t="n">
        <v>84.43041957205661</v>
      </c>
      <c r="AF1695" s="15" t="n">
        <v>117.129480633406</v>
      </c>
      <c r="AH1695" s="42">
        <f>HIPERLINK($A$1 &amp; "\Dados\Magnet_fields_1695.txt.txt", "Magnet_fields_1695.txt")</f>
        <v/>
      </c>
      <c r="AI1695" t="n">
        <v>8570</v>
      </c>
      <c r="AJ1695" t="n">
        <v>29</v>
      </c>
      <c r="AK1695" s="42">
        <f>HIPERLINK($A$1 &amp; "\Dados\Magnet_3D_results_1695.txt.txt", "Magnet_3D_results_1695.txt")</f>
        <v/>
      </c>
      <c r="AL1695" s="42">
        <f>HIPERLINK($A$1 &amp; "\Dados\Magnet_fields_2D_1695.txt.txt", "Magnet_fields_2D_1695.txt")</f>
        <v/>
      </c>
    </row>
    <row r="1696">
      <c r="E1696" s="15" t="n">
        <v>137</v>
      </c>
      <c r="F1696" s="15" t="n">
        <v>175</v>
      </c>
      <c r="G1696" s="15" t="n">
        <v>388</v>
      </c>
      <c r="H1696" s="15" t="n">
        <v>37</v>
      </c>
      <c r="I1696" s="15" t="n">
        <v>162</v>
      </c>
      <c r="J1696" s="13" t="n">
        <v>25</v>
      </c>
      <c r="K1696" t="n">
        <v>60</v>
      </c>
      <c r="L1696" s="13" t="n">
        <v>2.6</v>
      </c>
      <c r="M1696" s="12" t="n"/>
      <c r="N1696" s="8" t="n">
        <v>1.565902060803011</v>
      </c>
      <c r="O1696" s="15" t="n">
        <v>1.333115135658494</v>
      </c>
      <c r="P1696" s="15" t="n">
        <v>1.491122763619898</v>
      </c>
      <c r="Q1696" s="15" t="n">
        <v>0.02277121200084153</v>
      </c>
      <c r="R1696" s="15" t="n">
        <v>0.05663466209987617</v>
      </c>
      <c r="S1696" s="15" t="n">
        <v>0.0218435531412342</v>
      </c>
      <c r="T1696" s="42">
        <f>HIPERLINK($A$1 &amp; "\Dados\Imagem_perfil_1696.png", "Imagem_perfil_1696")</f>
        <v/>
      </c>
      <c r="U1696" s="42">
        <f>HIPERLINK($A$1 &amp; "\Dados\Results_airgap1696.txt", "Results_airgap1696")</f>
        <v/>
      </c>
      <c r="V1696" s="19" t="n"/>
      <c r="W1696" s="15" t="n">
        <v>2.053824782608696</v>
      </c>
      <c r="X1696" s="15" t="n">
        <v>0.9892234973683276</v>
      </c>
      <c r="Y1696" s="15" t="n">
        <v>0.1863891216464874</v>
      </c>
      <c r="Z1696" s="15" t="n">
        <v>0</v>
      </c>
      <c r="AA1696" s="15" t="n">
        <v>0.005707780647437347</v>
      </c>
      <c r="AB1696" s="15" t="n">
        <v>1.628363384913235</v>
      </c>
      <c r="AC1696" s="15" t="n">
        <v>24.19346520043524</v>
      </c>
      <c r="AD1696" s="15" t="n">
        <v>70.50185601089969</v>
      </c>
      <c r="AE1696" s="15" t="n">
        <v>100.0827094816806</v>
      </c>
      <c r="AF1696" s="15" t="n">
        <v>131.6284550847926</v>
      </c>
      <c r="AH1696" s="42">
        <f>HIPERLINK($A$1 &amp; "\Dados\Magnet_fields_1696.txt.txt", "Magnet_fields_1696.txt")</f>
        <v/>
      </c>
      <c r="AI1696" t="n">
        <v>8057</v>
      </c>
      <c r="AJ1696" t="n">
        <v>29</v>
      </c>
      <c r="AK1696" s="42">
        <f>HIPERLINK($A$1 &amp; "\Dados\Magnet_3D_results_1696.txt.txt", "Magnet_3D_results_1696.txt")</f>
        <v/>
      </c>
      <c r="AL1696" s="42">
        <f>HIPERLINK($A$1 &amp; "\Dados\Magnet_fields_2D_1696.txt.txt", "Magnet_fields_2D_1696.txt")</f>
        <v/>
      </c>
    </row>
    <row r="1697">
      <c r="E1697" s="15" t="n">
        <v>125</v>
      </c>
      <c r="F1697" s="15" t="n">
        <v>173</v>
      </c>
      <c r="G1697" s="15" t="n">
        <v>356</v>
      </c>
      <c r="H1697" s="15" t="n">
        <v>32</v>
      </c>
      <c r="I1697" s="15" t="n">
        <v>160</v>
      </c>
      <c r="J1697" s="13" t="n">
        <v>25</v>
      </c>
      <c r="K1697" t="n">
        <v>55</v>
      </c>
      <c r="L1697" s="13" t="n">
        <v>2.6</v>
      </c>
      <c r="M1697" s="12" t="n"/>
      <c r="N1697" s="8" t="n">
        <v>1.329403903162172</v>
      </c>
      <c r="O1697" s="15" t="n">
        <v>1.11428747596581</v>
      </c>
      <c r="P1697" s="15" t="n">
        <v>1.263059362710797</v>
      </c>
      <c r="Q1697" s="15" t="n">
        <v>0.01380589721249266</v>
      </c>
      <c r="R1697" s="15" t="n">
        <v>0.0460747798079823</v>
      </c>
      <c r="S1697" s="15" t="n">
        <v>0.01378262383504373</v>
      </c>
      <c r="T1697" s="42">
        <f>HIPERLINK($A$1 &amp; "\Dados\Imagem_perfil_1697.png", "Imagem_perfil_1697")</f>
        <v/>
      </c>
      <c r="U1697" s="42">
        <f>HIPERLINK($A$1 &amp; "\Dados\Results_airgap1697.txt", "Results_airgap1697")</f>
        <v/>
      </c>
      <c r="V1697" s="19" t="n"/>
      <c r="W1697" s="15" t="n">
        <v>1.728944130434783</v>
      </c>
      <c r="X1697" s="15" t="n">
        <v>0.8491442288921475</v>
      </c>
      <c r="Y1697" s="15" t="n">
        <v>0.4975319936997115</v>
      </c>
      <c r="Z1697" s="15" t="n">
        <v>0.008094300109543756</v>
      </c>
      <c r="AA1697" s="15" t="n">
        <v>0.1106902868099832</v>
      </c>
      <c r="AB1697" s="15" t="n">
        <v>1.308116479833404</v>
      </c>
      <c r="AC1697" s="15" t="n">
        <v>16.35259228869134</v>
      </c>
      <c r="AD1697" s="15" t="n">
        <v>60.42543024877999</v>
      </c>
      <c r="AE1697" s="15" t="n">
        <v>94.40653543807325</v>
      </c>
      <c r="AF1697" s="15" t="n">
        <v>125.7690267768138</v>
      </c>
      <c r="AH1697" s="42">
        <f>HIPERLINK($A$1 &amp; "\Dados\Magnet_fields_1697.txt.txt", "Magnet_fields_1697.txt")</f>
        <v/>
      </c>
      <c r="AI1697" t="n">
        <v>11150</v>
      </c>
      <c r="AJ1697" t="n">
        <v>30</v>
      </c>
      <c r="AK1697" s="42">
        <f>HIPERLINK($A$1 &amp; "\Dados\Magnet_3D_results_1697.txt.txt", "Magnet_3D_results_1697.txt")</f>
        <v/>
      </c>
      <c r="AL1697" s="42">
        <f>HIPERLINK($A$1 &amp; "\Dados\Magnet_fields_2D_1697.txt.txt", "Magnet_fields_2D_1697.txt")</f>
        <v/>
      </c>
    </row>
    <row r="1698">
      <c r="E1698" s="15" t="n">
        <v>139</v>
      </c>
      <c r="F1698" s="15" t="n">
        <v>171</v>
      </c>
      <c r="G1698" s="15" t="n">
        <v>353</v>
      </c>
      <c r="H1698" s="15" t="n">
        <v>39</v>
      </c>
      <c r="I1698" s="15" t="n">
        <v>151</v>
      </c>
      <c r="J1698" s="13" t="n">
        <v>25</v>
      </c>
      <c r="K1698" t="n">
        <v>50</v>
      </c>
      <c r="L1698" s="13" t="n">
        <v>2.6</v>
      </c>
      <c r="M1698" s="12" t="n"/>
      <c r="N1698" s="8" t="n">
        <v>1.500055829888398</v>
      </c>
      <c r="O1698" s="15" t="n">
        <v>1.220302308449529</v>
      </c>
      <c r="P1698" s="15" t="n">
        <v>1.424979679145424</v>
      </c>
      <c r="Q1698" s="15" t="n">
        <v>0.005638300044218225</v>
      </c>
      <c r="R1698" s="15" t="n">
        <v>0.0329488385275087</v>
      </c>
      <c r="S1698" s="15" t="n">
        <v>0.005727032811422313</v>
      </c>
      <c r="T1698" s="42">
        <f>HIPERLINK($A$1 &amp; "\Dados\Imagem_perfil_1698.png", "Imagem_perfil_1698")</f>
        <v/>
      </c>
      <c r="U1698" s="42">
        <f>HIPERLINK($A$1 &amp; "\Dados\Results_airgap1698.txt", "Results_airgap1698")</f>
        <v/>
      </c>
      <c r="V1698" s="19" t="n"/>
      <c r="W1698" s="15" t="n">
        <v>1.877442608695652</v>
      </c>
      <c r="X1698" s="15" t="n">
        <v>0.9563127132042507</v>
      </c>
      <c r="Y1698" s="15" t="n">
        <v>0.3175176306795532</v>
      </c>
      <c r="Z1698" s="15" t="n">
        <v>0</v>
      </c>
      <c r="AA1698" s="15" t="n">
        <v>0.06646196162166951</v>
      </c>
      <c r="AB1698" s="15" t="n">
        <v>0</v>
      </c>
      <c r="AC1698" s="15" t="n">
        <v>5.003959279608641</v>
      </c>
      <c r="AD1698" s="15" t="n">
        <v>46.12030012375534</v>
      </c>
      <c r="AE1698" s="15" t="n">
        <v>90.0069835019894</v>
      </c>
      <c r="AF1698" s="15" t="n">
        <v>122.0396180072629</v>
      </c>
      <c r="AH1698" s="42">
        <f>HIPERLINK($A$1 &amp; "\Dados\Magnet_fields_1698.txt.txt", "Magnet_fields_1698.txt")</f>
        <v/>
      </c>
      <c r="AI1698" t="n">
        <v>7288</v>
      </c>
      <c r="AJ1698" t="n">
        <v>30</v>
      </c>
      <c r="AK1698" s="42">
        <f>HIPERLINK($A$1 &amp; "\Dados\Magnet_3D_results_1698.txt.txt", "Magnet_3D_results_1698.txt")</f>
        <v/>
      </c>
      <c r="AL1698" s="42">
        <f>HIPERLINK($A$1 &amp; "\Dados\Magnet_fields_2D_1698.txt.txt", "Magnet_fields_2D_1698.txt")</f>
        <v/>
      </c>
    </row>
    <row r="1699">
      <c r="E1699" s="15" t="n">
        <v>147</v>
      </c>
      <c r="F1699" s="15" t="n">
        <v>197</v>
      </c>
      <c r="G1699" s="15" t="n">
        <v>377</v>
      </c>
      <c r="H1699" s="15" t="n">
        <v>43</v>
      </c>
      <c r="I1699" s="15" t="n">
        <v>160</v>
      </c>
      <c r="J1699" s="13" t="n">
        <v>25</v>
      </c>
      <c r="K1699" t="n">
        <v>50</v>
      </c>
      <c r="L1699" s="13" t="n">
        <v>2.6</v>
      </c>
      <c r="M1699" s="12" t="n"/>
      <c r="N1699" s="8" t="n">
        <v>1.239872628290022</v>
      </c>
      <c r="O1699" s="15" t="n">
        <v>1.040180993379849</v>
      </c>
      <c r="P1699" s="15" t="n">
        <v>1.184487003625698</v>
      </c>
      <c r="Q1699" s="15" t="n">
        <v>0.004297040512229532</v>
      </c>
      <c r="R1699" s="15" t="n">
        <v>0.03660948662559621</v>
      </c>
      <c r="S1699" s="15" t="n">
        <v>0.004691285525622239</v>
      </c>
      <c r="T1699" s="42">
        <f>HIPERLINK($A$1 &amp; "\Dados\Imagem_perfil_1699.png", "Imagem_perfil_1699")</f>
        <v/>
      </c>
      <c r="U1699" s="42">
        <f>HIPERLINK($A$1 &amp; "\Dados\Results_airgap1699.txt", "Results_airgap1699")</f>
        <v/>
      </c>
      <c r="V1699" s="19" t="n"/>
      <c r="W1699" s="15" t="n">
        <v>1.615712391304348</v>
      </c>
      <c r="X1699" s="15" t="n">
        <v>0.8084484662185214</v>
      </c>
      <c r="Y1699" s="15" t="n">
        <v>0.6185686325376442</v>
      </c>
      <c r="Z1699" s="15" t="n">
        <v>0.0002876711725792393</v>
      </c>
      <c r="AA1699" s="15" t="n">
        <v>0</v>
      </c>
      <c r="AB1699" s="15" t="n">
        <v>0.8235493126088799</v>
      </c>
      <c r="AC1699" s="15" t="n">
        <v>10.99516077074987</v>
      </c>
      <c r="AD1699" s="15" t="n">
        <v>49.16595829669434</v>
      </c>
      <c r="AE1699" s="15" t="n">
        <v>87.48405606697197</v>
      </c>
      <c r="AF1699" s="15" t="n">
        <v>120.3064862783625</v>
      </c>
      <c r="AH1699" s="42">
        <f>HIPERLINK($A$1 &amp; "\Dados\Magnet_fields_1699.txt.txt", "Magnet_fields_1699.txt")</f>
        <v/>
      </c>
      <c r="AI1699" t="n">
        <v>6130</v>
      </c>
      <c r="AJ1699" t="n">
        <v>28</v>
      </c>
      <c r="AK1699" s="42">
        <f>HIPERLINK($A$1 &amp; "\Dados\Magnet_3D_results_1699.txt.txt", "Magnet_3D_results_1699.txt")</f>
        <v/>
      </c>
      <c r="AL1699" s="42">
        <f>HIPERLINK($A$1 &amp; "\Dados\Magnet_fields_2D_1699.txt.txt", "Magnet_fields_2D_1699.txt")</f>
        <v/>
      </c>
    </row>
    <row r="1700">
      <c r="E1700" s="15" t="n">
        <v>130</v>
      </c>
      <c r="F1700" s="15" t="n">
        <v>175</v>
      </c>
      <c r="G1700" s="15" t="n">
        <v>426</v>
      </c>
      <c r="H1700" s="15" t="n">
        <v>42</v>
      </c>
      <c r="I1700" s="15" t="n">
        <v>171</v>
      </c>
      <c r="J1700" s="13" t="n">
        <v>25</v>
      </c>
      <c r="K1700" t="n">
        <v>45</v>
      </c>
      <c r="L1700" s="13" t="n">
        <v>2.6</v>
      </c>
      <c r="M1700" s="12" t="n"/>
      <c r="N1700" s="8" t="n">
        <v>1.481423979206909</v>
      </c>
      <c r="O1700" s="15" t="n">
        <v>1.283184407322296</v>
      </c>
      <c r="P1700" s="15" t="n">
        <v>1.422635903079922</v>
      </c>
      <c r="Q1700" s="15" t="n">
        <v>0.003968788854120665</v>
      </c>
      <c r="R1700" s="15" t="n">
        <v>0.05347309525188303</v>
      </c>
      <c r="S1700" s="15" t="n">
        <v>0.004130673863210197</v>
      </c>
      <c r="T1700" s="42">
        <f>HIPERLINK($A$1 &amp; "\Dados\Imagem_perfil_1700.png", "Imagem_perfil_1700")</f>
        <v/>
      </c>
      <c r="U1700" s="42">
        <f>HIPERLINK($A$1 &amp; "\Dados\Results_airgap1700.txt", "Results_airgap1700")</f>
        <v/>
      </c>
      <c r="V1700" s="19" t="n"/>
      <c r="W1700" s="15" t="n">
        <v>1.918698695652173</v>
      </c>
      <c r="X1700" s="15" t="n">
        <v>0.9356908224156802</v>
      </c>
      <c r="Y1700" s="15" t="n">
        <v>0.4003563474509756</v>
      </c>
      <c r="Z1700" s="15" t="n">
        <v>0.001618973181067589</v>
      </c>
      <c r="AA1700" s="15" t="n">
        <v>0</v>
      </c>
      <c r="AB1700" s="15" t="n">
        <v>2.942040302244717</v>
      </c>
      <c r="AC1700" s="15" t="n">
        <v>14.79599541760498</v>
      </c>
      <c r="AD1700" s="15" t="n">
        <v>46.92112481301944</v>
      </c>
      <c r="AE1700" s="15" t="n">
        <v>86.09905269054215</v>
      </c>
      <c r="AF1700" s="15" t="n">
        <v>118.308938671282</v>
      </c>
      <c r="AH1700" s="42">
        <f>HIPERLINK($A$1 &amp; "\Dados\Magnet_fields_1700.txt.txt", "Magnet_fields_1700.txt")</f>
        <v/>
      </c>
      <c r="AI1700" t="n">
        <v>6697</v>
      </c>
      <c r="AJ1700" t="n">
        <v>28</v>
      </c>
      <c r="AK1700" s="42">
        <f>HIPERLINK($A$1 &amp; "\Dados\Magnet_3D_results_1700.txt.txt", "Magnet_3D_results_1700.txt")</f>
        <v/>
      </c>
      <c r="AL1700" s="42">
        <f>HIPERLINK($A$1 &amp; "\Dados\Magnet_fields_2D_1700.txt.txt", "Magnet_fields_2D_1700.txt")</f>
        <v/>
      </c>
    </row>
    <row r="1701">
      <c r="E1701" s="15" t="n">
        <v>137</v>
      </c>
      <c r="F1701" s="15" t="n">
        <v>170</v>
      </c>
      <c r="G1701" s="15" t="n">
        <v>418</v>
      </c>
      <c r="H1701" s="15" t="n">
        <v>25</v>
      </c>
      <c r="I1701" s="15" t="n">
        <v>145</v>
      </c>
      <c r="J1701" s="13" t="n">
        <v>25</v>
      </c>
      <c r="K1701" t="n">
        <v>50</v>
      </c>
      <c r="L1701" s="13" t="n">
        <v>2.6</v>
      </c>
      <c r="M1701" s="12" t="n"/>
      <c r="N1701" s="8" t="n">
        <v>1.607661862115241</v>
      </c>
      <c r="O1701" s="15" t="n">
        <v>1.28615773038989</v>
      </c>
      <c r="P1701" s="15" t="n">
        <v>1.510334331117261</v>
      </c>
      <c r="Q1701" s="15" t="n">
        <v>0.008055684619727355</v>
      </c>
      <c r="R1701" s="15" t="n">
        <v>0.04829795334102707</v>
      </c>
      <c r="S1701" s="15" t="n">
        <v>0.008210711239571693</v>
      </c>
      <c r="T1701" s="42">
        <f>HIPERLINK($A$1 &amp; "\Dados\Imagem_perfil_1701.png", "Imagem_perfil_1701")</f>
        <v/>
      </c>
      <c r="U1701" s="42">
        <f>HIPERLINK($A$1 &amp; "\Dados\Results_airgap1701.txt", "Results_airgap1701")</f>
        <v/>
      </c>
      <c r="V1701" s="19" t="n"/>
      <c r="W1701" s="15" t="n">
        <v>2.175495217391305</v>
      </c>
      <c r="X1701" s="15" t="n">
        <v>1.026167062049321</v>
      </c>
      <c r="Y1701" s="15" t="n">
        <v>0.138098743832925</v>
      </c>
      <c r="Z1701" s="15" t="n">
        <v>0.01099336412143687</v>
      </c>
      <c r="AA1701" s="15" t="n">
        <v>3.794995932596204</v>
      </c>
      <c r="AB1701" s="15" t="n">
        <v>0.8296201481756903</v>
      </c>
      <c r="AC1701" s="15" t="n">
        <v>10.8921613409934</v>
      </c>
      <c r="AD1701" s="15" t="n">
        <v>53.30349834486351</v>
      </c>
      <c r="AE1701" s="15" t="n">
        <v>93.1498343526135</v>
      </c>
      <c r="AF1701" s="15" t="n">
        <v>123.6947247537291</v>
      </c>
      <c r="AH1701" s="42">
        <f>HIPERLINK($A$1 &amp; "\Dados\Magnet_fields_1701.txt.txt", "Magnet_fields_1701.txt")</f>
        <v/>
      </c>
      <c r="AI1701" t="n">
        <v>10160</v>
      </c>
      <c r="AJ1701" t="n">
        <v>30</v>
      </c>
      <c r="AK1701" s="42">
        <f>HIPERLINK($A$1 &amp; "\Dados\Magnet_3D_results_1701.txt.txt", "Magnet_3D_results_1701.txt")</f>
        <v/>
      </c>
      <c r="AL1701" s="42">
        <f>HIPERLINK($A$1 &amp; "\Dados\Magnet_fields_2D_1701.txt.txt", "Magnet_fields_2D_1701.txt")</f>
        <v/>
      </c>
    </row>
    <row r="1702">
      <c r="E1702" s="15" t="n">
        <v>147</v>
      </c>
      <c r="F1702" s="15" t="n">
        <v>190</v>
      </c>
      <c r="G1702" s="15" t="n">
        <v>360</v>
      </c>
      <c r="H1702" s="15" t="n">
        <v>27</v>
      </c>
      <c r="I1702" s="15" t="n">
        <v>168</v>
      </c>
      <c r="J1702" s="13" t="n">
        <v>25</v>
      </c>
      <c r="K1702" t="n">
        <v>55</v>
      </c>
      <c r="L1702" s="13" t="n">
        <v>2.6</v>
      </c>
      <c r="M1702" s="12" t="n"/>
      <c r="N1702" s="8" t="n">
        <v>1.340637440254563</v>
      </c>
      <c r="O1702" s="15" t="n">
        <v>1.121581123990663</v>
      </c>
      <c r="P1702" s="15" t="n">
        <v>1.27727912448566</v>
      </c>
      <c r="Q1702" s="15" t="n">
        <v>0.006619206767337376</v>
      </c>
      <c r="R1702" s="15" t="n">
        <v>0.03142835891774107</v>
      </c>
      <c r="S1702" s="15" t="n">
        <v>0.006616463041698093</v>
      </c>
      <c r="T1702" s="42">
        <f>HIPERLINK($A$1 &amp; "\Dados\Imagem_perfil_1702.png", "Imagem_perfil_1702")</f>
        <v/>
      </c>
      <c r="U1702" s="42">
        <f>HIPERLINK($A$1 &amp; "\Dados\Results_airgap1702.txt", "Results_airgap1702")</f>
        <v/>
      </c>
      <c r="V1702" s="19" t="n"/>
      <c r="W1702" s="15" t="n">
        <v>1.696860434782609</v>
      </c>
      <c r="X1702" s="15" t="n">
        <v>0.850341596201202</v>
      </c>
      <c r="Y1702" s="15" t="n">
        <v>0.4820279939695636</v>
      </c>
      <c r="Z1702" s="15" t="n">
        <v>0.03382940397278965</v>
      </c>
      <c r="AA1702" s="15" t="n">
        <v>4.951306917246563</v>
      </c>
      <c r="AB1702" s="15" t="n">
        <v>0</v>
      </c>
      <c r="AC1702" s="15" t="n">
        <v>13.31730176238184</v>
      </c>
      <c r="AD1702" s="15" t="n">
        <v>62.59139777907163</v>
      </c>
      <c r="AE1702" s="15" t="n">
        <v>94.71648601117876</v>
      </c>
      <c r="AF1702" s="15" t="n">
        <v>125.2144202377175</v>
      </c>
      <c r="AH1702" s="42">
        <f>HIPERLINK($A$1 &amp; "\Dados\Magnet_fields_1702.txt.txt", "Magnet_fields_1702.txt")</f>
        <v/>
      </c>
      <c r="AI1702" t="n">
        <v>11896</v>
      </c>
      <c r="AJ1702" t="n">
        <v>32</v>
      </c>
      <c r="AK1702" s="42">
        <f>HIPERLINK($A$1 &amp; "\Dados\Magnet_3D_results_1702.txt.txt", "Magnet_3D_results_1702.txt")</f>
        <v/>
      </c>
      <c r="AL1702" s="42">
        <f>HIPERLINK($A$1 &amp; "\Dados\Magnet_fields_2D_1702.txt.txt", "Magnet_fields_2D_1702.txt")</f>
        <v/>
      </c>
    </row>
    <row r="1703">
      <c r="E1703" s="15" t="n">
        <v>139</v>
      </c>
      <c r="F1703" s="15" t="n">
        <v>172</v>
      </c>
      <c r="G1703" s="15" t="n">
        <v>398</v>
      </c>
      <c r="H1703" s="15" t="n">
        <v>39</v>
      </c>
      <c r="I1703" s="15" t="n">
        <v>146</v>
      </c>
      <c r="J1703" s="13" t="n">
        <v>25</v>
      </c>
      <c r="K1703" t="n">
        <v>60</v>
      </c>
      <c r="L1703" s="13" t="n">
        <v>2.6</v>
      </c>
      <c r="M1703" s="12" t="n"/>
      <c r="N1703" s="8" t="n">
        <v>1.606827724936292</v>
      </c>
      <c r="O1703" s="15" t="n">
        <v>1.308176382526587</v>
      </c>
      <c r="P1703" s="15" t="n">
        <v>1.504981875558802</v>
      </c>
      <c r="Q1703" s="15" t="n">
        <v>0.02217841668126311</v>
      </c>
      <c r="R1703" s="15" t="n">
        <v>0.05822086082014032</v>
      </c>
      <c r="S1703" s="15" t="n">
        <v>0.02316767523050866</v>
      </c>
      <c r="T1703" s="42">
        <f>HIPERLINK($A$1 &amp; "\Dados\Imagem_perfil_1703.png", "Imagem_perfil_1703")</f>
        <v/>
      </c>
      <c r="U1703" s="42">
        <f>HIPERLINK($A$1 &amp; "\Dados\Results_airgap1703.txt", "Results_airgap1703")</f>
        <v/>
      </c>
      <c r="V1703" s="19" t="n"/>
      <c r="W1703" s="15" t="n">
        <v>2.168805869565217</v>
      </c>
      <c r="X1703" s="15" t="n">
        <v>1.009357764387271</v>
      </c>
      <c r="Y1703" s="15" t="n">
        <v>0.1134165048963669</v>
      </c>
      <c r="Z1703" s="15" t="n">
        <v>0.02716370595811265</v>
      </c>
      <c r="AA1703" s="15" t="n">
        <v>0</v>
      </c>
      <c r="AB1703" s="15" t="n">
        <v>0.280726685183098</v>
      </c>
      <c r="AC1703" s="15" t="n">
        <v>17.96725473722833</v>
      </c>
      <c r="AD1703" s="15" t="n">
        <v>73.76644189188904</v>
      </c>
      <c r="AE1703" s="15" t="n">
        <v>102.6550237081858</v>
      </c>
      <c r="AF1703" s="15" t="n">
        <v>132.6291167266097</v>
      </c>
      <c r="AH1703" s="42">
        <f>HIPERLINK($A$1 &amp; "\Dados\Magnet_fields_1703.txt.txt", "Magnet_fields_1703.txt")</f>
        <v/>
      </c>
      <c r="AI1703" t="n">
        <v>7785</v>
      </c>
      <c r="AJ1703" t="n">
        <v>31</v>
      </c>
      <c r="AK1703" s="42">
        <f>HIPERLINK($A$1 &amp; "\Dados\Magnet_3D_results_1703.txt.txt", "Magnet_3D_results_1703.txt")</f>
        <v/>
      </c>
      <c r="AL1703" s="42">
        <f>HIPERLINK($A$1 &amp; "\Dados\Magnet_fields_2D_1703.txt.txt", "Magnet_fields_2D_1703.txt")</f>
        <v/>
      </c>
    </row>
    <row r="1704">
      <c r="E1704" s="15" t="n">
        <v>125</v>
      </c>
      <c r="F1704" s="15" t="n">
        <v>170</v>
      </c>
      <c r="G1704" s="15" t="n">
        <v>378</v>
      </c>
      <c r="H1704" s="15" t="n">
        <v>34</v>
      </c>
      <c r="I1704" s="15" t="n">
        <v>147</v>
      </c>
      <c r="J1704" s="13" t="n">
        <v>25</v>
      </c>
      <c r="K1704" t="n">
        <v>50</v>
      </c>
      <c r="L1704" s="13" t="n">
        <v>2.6</v>
      </c>
      <c r="M1704" s="12" t="n"/>
      <c r="N1704" s="8" t="n">
        <v>1.368252627814744</v>
      </c>
      <c r="O1704" s="15" t="n">
        <v>1.107302532822305</v>
      </c>
      <c r="P1704" s="15" t="n">
        <v>1.293306396636352</v>
      </c>
      <c r="Q1704" s="15" t="n">
        <v>0.006595356915202937</v>
      </c>
      <c r="R1704" s="15" t="n">
        <v>0.04748459045996452</v>
      </c>
      <c r="S1704" s="15" t="n">
        <v>0.007549364388035391</v>
      </c>
      <c r="T1704" s="42">
        <f>HIPERLINK($A$1 &amp; "\Dados\Imagem_perfil_1704.png", "Imagem_perfil_1704")</f>
        <v/>
      </c>
      <c r="U1704" s="42">
        <f>HIPERLINK($A$1 &amp; "\Dados\Results_airgap1704.txt", "Results_airgap1704")</f>
        <v/>
      </c>
      <c r="V1704" s="19" t="n"/>
      <c r="W1704" s="15" t="n">
        <v>1.851747608695652</v>
      </c>
      <c r="X1704" s="15" t="n">
        <v>0.8774610777196612</v>
      </c>
      <c r="Y1704" s="15" t="n">
        <v>0.4050564579241474</v>
      </c>
      <c r="Z1704" s="15" t="n">
        <v>0.001507995298747718</v>
      </c>
      <c r="AA1704" s="15" t="n">
        <v>0</v>
      </c>
      <c r="AB1704" s="15" t="n">
        <v>2.87050681864818</v>
      </c>
      <c r="AC1704" s="15" t="n">
        <v>17.15279861292142</v>
      </c>
      <c r="AD1704" s="15" t="n">
        <v>53.19762987427719</v>
      </c>
      <c r="AE1704" s="15" t="n">
        <v>89.07587322938123</v>
      </c>
      <c r="AF1704" s="15" t="n">
        <v>121.6416840312139</v>
      </c>
      <c r="AH1704" s="42">
        <f>HIPERLINK($A$1 &amp; "\Dados\Magnet_fields_1704.txt.txt", "Magnet_fields_1704.txt")</f>
        <v/>
      </c>
      <c r="AI1704" t="n">
        <v>7665</v>
      </c>
      <c r="AJ1704" t="n">
        <v>29</v>
      </c>
      <c r="AK1704" s="42">
        <f>HIPERLINK($A$1 &amp; "\Dados\Magnet_3D_results_1704.txt.txt", "Magnet_3D_results_1704.txt")</f>
        <v/>
      </c>
      <c r="AL1704" s="42">
        <f>HIPERLINK($A$1 &amp; "\Dados\Magnet_fields_2D_1704.txt.txt", "Magnet_fields_2D_1704.txt")</f>
        <v/>
      </c>
    </row>
    <row r="1705">
      <c r="E1705" s="15" t="n">
        <v>134</v>
      </c>
      <c r="F1705" s="15" t="n">
        <v>175</v>
      </c>
      <c r="G1705" s="15" t="n">
        <v>410</v>
      </c>
      <c r="H1705" s="15" t="n">
        <v>38</v>
      </c>
      <c r="I1705" s="15" t="n">
        <v>147</v>
      </c>
      <c r="J1705" s="13" t="n">
        <v>25</v>
      </c>
      <c r="K1705" t="n">
        <v>60</v>
      </c>
      <c r="L1705" s="13" t="n">
        <v>2.6</v>
      </c>
      <c r="M1705" s="12" t="n"/>
      <c r="N1705" s="8" t="n">
        <v>1.486891859452668</v>
      </c>
      <c r="O1705" s="15" t="n">
        <v>1.193132966228369</v>
      </c>
      <c r="P1705" s="15" t="n">
        <v>1.398325633129365</v>
      </c>
      <c r="Q1705" s="15" t="n">
        <v>0.02553531946624511</v>
      </c>
      <c r="R1705" s="15" t="n">
        <v>0.06467057472377659</v>
      </c>
      <c r="S1705" s="15" t="n">
        <v>0.02620908820956558</v>
      </c>
      <c r="T1705" s="42">
        <f>HIPERLINK($A$1 &amp; "\Dados\Imagem_perfil_1705.png", "Imagem_perfil_1705")</f>
        <v/>
      </c>
      <c r="U1705" s="42">
        <f>HIPERLINK($A$1 &amp; "\Dados\Results_airgap1705.txt", "Results_airgap1705")</f>
        <v/>
      </c>
      <c r="V1705" s="19" t="n"/>
      <c r="W1705" s="15" t="n">
        <v>2.088129782608696</v>
      </c>
      <c r="X1705" s="15" t="n">
        <v>0.9642047297353374</v>
      </c>
      <c r="Y1705" s="15" t="n">
        <v>0.1743471226726569</v>
      </c>
      <c r="Z1705" s="15" t="n">
        <v>0</v>
      </c>
      <c r="AA1705" s="15" t="n">
        <v>0.1942375619364838</v>
      </c>
      <c r="AB1705" s="15" t="n">
        <v>2.332123779582259</v>
      </c>
      <c r="AC1705" s="15" t="n">
        <v>20.72829591118137</v>
      </c>
      <c r="AD1705" s="15" t="n">
        <v>64.82424483614349</v>
      </c>
      <c r="AE1705" s="15" t="n">
        <v>98.66720488102894</v>
      </c>
      <c r="AF1705" s="15" t="n">
        <v>131.4309265934543</v>
      </c>
      <c r="AH1705" s="42">
        <f>HIPERLINK($A$1 &amp; "\Dados\Magnet_fields_1705.txt.txt", "Magnet_fields_1705.txt")</f>
        <v/>
      </c>
      <c r="AI1705" t="n">
        <v>8570</v>
      </c>
      <c r="AJ1705" t="n">
        <v>30</v>
      </c>
      <c r="AK1705" s="42">
        <f>HIPERLINK($A$1 &amp; "\Dados\Magnet_3D_results_1705.txt.txt", "Magnet_3D_results_1705.txt")</f>
        <v/>
      </c>
      <c r="AL1705" s="42">
        <f>HIPERLINK($A$1 &amp; "\Dados\Magnet_fields_2D_1705.txt.txt", "Magnet_fields_2D_1705.txt")</f>
        <v/>
      </c>
    </row>
    <row r="1706">
      <c r="E1706" s="15" t="n">
        <v>146</v>
      </c>
      <c r="F1706" s="15" t="n">
        <v>193</v>
      </c>
      <c r="G1706" s="15" t="n">
        <v>351</v>
      </c>
      <c r="H1706" s="15" t="n">
        <v>28</v>
      </c>
      <c r="I1706" s="15" t="n">
        <v>162</v>
      </c>
      <c r="J1706" s="13" t="n">
        <v>25</v>
      </c>
      <c r="K1706" t="n">
        <v>50</v>
      </c>
      <c r="L1706" s="13" t="n">
        <v>2.6</v>
      </c>
      <c r="M1706" s="12" t="n"/>
      <c r="N1706" s="8" t="n">
        <v>1.219533483633951</v>
      </c>
      <c r="O1706" s="15" t="n">
        <v>1.028086420713584</v>
      </c>
      <c r="P1706" s="15" t="n">
        <v>1.158047715494735</v>
      </c>
      <c r="Q1706" s="15" t="n">
        <v>0.003319075413946383</v>
      </c>
      <c r="R1706" s="15" t="n">
        <v>0.02665986064898189</v>
      </c>
      <c r="S1706" s="15" t="n">
        <v>0.003675513869714663</v>
      </c>
      <c r="T1706" s="42">
        <f>HIPERLINK($A$1 &amp; "\Dados\Imagem_perfil_1706.png", "Imagem_perfil_1706")</f>
        <v/>
      </c>
      <c r="U1706" s="42">
        <f>HIPERLINK($A$1 &amp; "\Dados\Results_airgap1706.txt", "Results_airgap1706")</f>
        <v/>
      </c>
      <c r="V1706" s="19" t="n"/>
      <c r="W1706" s="15" t="n">
        <v>1.549506739130435</v>
      </c>
      <c r="X1706" s="15" t="n">
        <v>0.7591836210148836</v>
      </c>
      <c r="Y1706" s="15" t="n">
        <v>0.6755585297669554</v>
      </c>
      <c r="Z1706" s="15" t="n">
        <v>0.005752528448166571</v>
      </c>
      <c r="AA1706" s="15" t="n">
        <v>3.61655165185537</v>
      </c>
      <c r="AB1706" s="15" t="n">
        <v>0</v>
      </c>
      <c r="AC1706" s="15" t="n">
        <v>8.689910833855789</v>
      </c>
      <c r="AD1706" s="15" t="n">
        <v>50.11693913498904</v>
      </c>
      <c r="AE1706" s="15" t="n">
        <v>88.34883459829572</v>
      </c>
      <c r="AF1706" s="15" t="n">
        <v>120.0995596351124</v>
      </c>
      <c r="AH1706" s="42">
        <f>HIPERLINK($A$1 &amp; "\Dados\Magnet_fields_1706.txt.txt", "Magnet_fields_1706.txt")</f>
        <v/>
      </c>
      <c r="AI1706" t="n">
        <v>8029</v>
      </c>
      <c r="AJ1706" t="n">
        <v>29</v>
      </c>
      <c r="AK1706" s="42">
        <f>HIPERLINK($A$1 &amp; "\Dados\Magnet_3D_results_1706.txt.txt", "Magnet_3D_results_1706.txt")</f>
        <v/>
      </c>
      <c r="AL1706" s="42">
        <f>HIPERLINK($A$1 &amp; "\Dados\Magnet_fields_2D_1706.txt.txt", "Magnet_fields_2D_1706.txt")</f>
        <v/>
      </c>
    </row>
    <row r="1707">
      <c r="E1707" s="15" t="n">
        <v>132</v>
      </c>
      <c r="F1707" s="15" t="n">
        <v>174</v>
      </c>
      <c r="G1707" s="15" t="n">
        <v>354</v>
      </c>
      <c r="H1707" s="15" t="n">
        <v>41</v>
      </c>
      <c r="I1707" s="15" t="n">
        <v>141</v>
      </c>
      <c r="J1707" s="13" t="n">
        <v>25</v>
      </c>
      <c r="K1707" t="n">
        <v>55</v>
      </c>
      <c r="L1707" s="13" t="n">
        <v>2.6</v>
      </c>
      <c r="M1707" s="12" t="n"/>
      <c r="N1707" s="8" t="n">
        <v>1.342335731938085</v>
      </c>
      <c r="O1707" s="15" t="n">
        <v>1.036759429781133</v>
      </c>
      <c r="P1707" s="15" t="n">
        <v>1.248668770415584</v>
      </c>
      <c r="Q1707" s="15" t="n">
        <v>0.009669976998179664</v>
      </c>
      <c r="R1707" s="15" t="n">
        <v>0.04082859419784481</v>
      </c>
      <c r="S1707" s="15" t="n">
        <v>0.01059560275081383</v>
      </c>
      <c r="T1707" s="42">
        <f>HIPERLINK($A$1 &amp; "\Dados\Imagem_perfil_1707.png", "Imagem_perfil_1707")</f>
        <v/>
      </c>
      <c r="U1707" s="42">
        <f>HIPERLINK($A$1 &amp; "\Dados\Results_airgap1707.txt", "Results_airgap1707")</f>
        <v/>
      </c>
      <c r="V1707" s="20" t="n"/>
      <c r="W1707" s="17" t="n">
        <v>1.78467152173913</v>
      </c>
      <c r="X1707" s="17" t="n">
        <v>0.8859125611891219</v>
      </c>
      <c r="Y1707" s="17" t="n">
        <v>0.4153243915677771</v>
      </c>
      <c r="Z1707" s="17" t="n">
        <v>0</v>
      </c>
      <c r="AA1707" s="17" t="n">
        <v>0.008126799964423566</v>
      </c>
      <c r="AB1707" s="17" t="n">
        <v>1.350839429522802</v>
      </c>
      <c r="AC1707" s="17" t="n">
        <v>15.2381758499367</v>
      </c>
      <c r="AD1707" s="17" t="n">
        <v>55.82043031515537</v>
      </c>
      <c r="AE1707" s="17" t="n">
        <v>91.65237283749502</v>
      </c>
      <c r="AF1707" s="17" t="n">
        <v>124.9209250039966</v>
      </c>
      <c r="AH1707" s="42">
        <f>HIPERLINK($A$1 &amp; "\Dados\Magnet_fields_1707.txt.txt", "Magnet_fields_1707.txt")</f>
        <v/>
      </c>
      <c r="AI1707" t="n">
        <v>10396</v>
      </c>
      <c r="AJ1707" t="n">
        <v>30</v>
      </c>
      <c r="AK1707" s="42">
        <f>HIPERLINK($A$1 &amp; "\Dados\Magnet_3D_results_1707.txt.txt", "Magnet_3D_results_1707.txt")</f>
        <v/>
      </c>
      <c r="AL1707" s="42">
        <f>HIPERLINK($A$1 &amp; "\Dados\Magnet_fields_2D_1707.txt.txt", "Magnet_fields_2D_1707.txt")</f>
        <v/>
      </c>
    </row>
    <row r="1708">
      <c r="E1708" t="n">
        <v>139</v>
      </c>
      <c r="F1708" t="n">
        <v>182</v>
      </c>
      <c r="G1708" t="n">
        <v>373</v>
      </c>
      <c r="H1708" t="n">
        <v>33</v>
      </c>
      <c r="I1708" t="n">
        <v>162</v>
      </c>
      <c r="J1708" t="n">
        <v>25</v>
      </c>
      <c r="K1708" t="n">
        <v>50</v>
      </c>
      <c r="L1708" t="n">
        <v>2.6</v>
      </c>
      <c r="N1708" t="n">
        <v>1.369336285745838</v>
      </c>
      <c r="O1708" t="n">
        <v>1.167272272814469</v>
      </c>
      <c r="P1708" t="n">
        <v>1.3106956773488</v>
      </c>
      <c r="Q1708" t="n">
        <v>0.00480039250231572</v>
      </c>
      <c r="R1708" t="n">
        <v>0.03629586527861953</v>
      </c>
      <c r="S1708" t="n">
        <v>0.005005086583738878</v>
      </c>
      <c r="T1708" s="42">
        <f>HIPERLINK($A$1 &amp; "\Dados\Imagem_perfil_1708.png", "Imagem_perfil_1708")</f>
        <v/>
      </c>
      <c r="U1708" s="42">
        <f>HIPERLINK($A$1 &amp; "\Dados\Results_airgap1708.txt", "Results_airgap1708")</f>
        <v/>
      </c>
      <c r="V1708" s="21" t="n"/>
      <c r="W1708" t="n">
        <v>1.767306086956522</v>
      </c>
      <c r="X1708" t="n">
        <v>0.884752873594023</v>
      </c>
      <c r="Y1708" t="n">
        <v>0.4629108792797615</v>
      </c>
      <c r="Z1708" t="n">
        <v>0</v>
      </c>
      <c r="AA1708" t="n">
        <v>2.94288367209559</v>
      </c>
      <c r="AB1708" t="n">
        <v>1.293338150416586</v>
      </c>
      <c r="AC1708" t="n">
        <v>11.70698653612671</v>
      </c>
      <c r="AD1708" t="n">
        <v>46.80819966277662</v>
      </c>
      <c r="AE1708" t="n">
        <v>86.09222473320582</v>
      </c>
      <c r="AF1708" t="n">
        <v>120.4809626172323</v>
      </c>
      <c r="AH1708" s="42">
        <f>HIPERLINK($A$1 &amp; "\Dados\Magnet_fields_1708.txt.txt", "Magnet_fields_1708.txt")</f>
        <v/>
      </c>
      <c r="AI1708" t="n">
        <v>7917</v>
      </c>
      <c r="AJ1708" t="n">
        <v>29</v>
      </c>
      <c r="AK1708" s="42">
        <f>HIPERLINK($A$1 &amp; "\Dados\Magnet_3D_results_1708.txt.txt", "Magnet_3D_results_1708.txt")</f>
        <v/>
      </c>
      <c r="AL1708" s="42">
        <f>HIPERLINK($A$1 &amp; "\Dados\Magnet_fields_2D_1708.txt.txt", "Magnet_fields_2D_1708.txt")</f>
        <v/>
      </c>
    </row>
    <row r="1709">
      <c r="E1709" t="n">
        <v>147</v>
      </c>
      <c r="F1709" t="n">
        <v>194</v>
      </c>
      <c r="G1709" t="n">
        <v>373</v>
      </c>
      <c r="H1709" t="n">
        <v>31</v>
      </c>
      <c r="I1709" t="n">
        <v>167</v>
      </c>
      <c r="J1709" t="n">
        <v>25</v>
      </c>
      <c r="K1709" t="n">
        <v>40</v>
      </c>
      <c r="L1709" t="n">
        <v>2.6</v>
      </c>
      <c r="N1709" t="n">
        <v>1.235222972383968</v>
      </c>
      <c r="O1709" t="n">
        <v>1.062428467930309</v>
      </c>
      <c r="P1709" t="n">
        <v>1.181369948870766</v>
      </c>
      <c r="Q1709" t="n">
        <v>0.0009661100821518222</v>
      </c>
      <c r="R1709" t="n">
        <v>0.0247740091850651</v>
      </c>
      <c r="S1709" t="n">
        <v>0.001204067167661413</v>
      </c>
      <c r="T1709" s="42">
        <f>HIPERLINK($A$1 &amp; "\Dados\Imagem_perfil_1709.png", "Imagem_perfil_1709")</f>
        <v/>
      </c>
      <c r="U1709" s="42">
        <f>HIPERLINK($A$1 &amp; "\Dados\Results_airgap1709.txt", "Results_airgap1709")</f>
        <v/>
      </c>
      <c r="W1709" t="n">
        <v>1.537562391304348</v>
      </c>
      <c r="X1709" t="n">
        <v>0.7701413903980046</v>
      </c>
      <c r="Y1709" t="n">
        <v>0.791575883580107</v>
      </c>
      <c r="Z1709" t="n">
        <v>0.008674990854920137</v>
      </c>
      <c r="AA1709" t="n">
        <v>1.453781649943261</v>
      </c>
      <c r="AB1709" t="n">
        <v>0.5054538645342436</v>
      </c>
      <c r="AC1709" t="n">
        <v>6.182124529842074</v>
      </c>
      <c r="AD1709" t="n">
        <v>32.51168229611527</v>
      </c>
      <c r="AE1709" t="n">
        <v>77.60127496547307</v>
      </c>
      <c r="AF1709" t="n">
        <v>112.9821413443982</v>
      </c>
      <c r="AH1709" s="42">
        <f>HIPERLINK($A$1 &amp; "\Dados\Magnet_fields_1709.txt.txt", "Magnet_fields_1709.txt")</f>
        <v/>
      </c>
      <c r="AI1709" t="n">
        <v>8158</v>
      </c>
      <c r="AJ1709" t="n">
        <v>29</v>
      </c>
      <c r="AK1709" s="42">
        <f>HIPERLINK($A$1 &amp; "\Dados\Magnet_3D_results_1709.txt.txt", "Magnet_3D_results_1709.txt")</f>
        <v/>
      </c>
      <c r="AL1709" s="42">
        <f>HIPERLINK($A$1 &amp; "\Dados\Magnet_fields_2D_1709.txt.txt", "Magnet_fields_2D_1709.txt")</f>
        <v/>
      </c>
    </row>
    <row r="1710">
      <c r="E1710" t="n">
        <v>130</v>
      </c>
      <c r="F1710" t="n">
        <v>172</v>
      </c>
      <c r="G1710" t="n">
        <v>400</v>
      </c>
      <c r="H1710" t="n">
        <v>33</v>
      </c>
      <c r="I1710" t="n">
        <v>155</v>
      </c>
      <c r="J1710" t="n">
        <v>25</v>
      </c>
      <c r="K1710" t="n">
        <v>60</v>
      </c>
      <c r="L1710" t="n">
        <v>2.6</v>
      </c>
      <c r="N1710" t="n">
        <v>1.483575525377971</v>
      </c>
      <c r="O1710" t="n">
        <v>1.230584520771</v>
      </c>
      <c r="P1710" t="n">
        <v>1.407080556976263</v>
      </c>
      <c r="Q1710" t="n">
        <v>0.02767414051994446</v>
      </c>
      <c r="R1710" t="n">
        <v>0.06360013543291537</v>
      </c>
      <c r="S1710" t="n">
        <v>0.02754229091304878</v>
      </c>
      <c r="T1710" s="42">
        <f>HIPERLINK($A$1 &amp; "\Dados\Imagem_perfil_1710.png", "Imagem_perfil_1710")</f>
        <v/>
      </c>
      <c r="U1710" s="42">
        <f>HIPERLINK($A$1 &amp; "\Dados\Results_airgap1710.txt", "Results_airgap1710")</f>
        <v/>
      </c>
      <c r="W1710" t="n">
        <v>2.038603695652174</v>
      </c>
      <c r="X1710" t="n">
        <v>0.9610322678451473</v>
      </c>
      <c r="Y1710" t="n">
        <v>0.2171642827267443</v>
      </c>
      <c r="Z1710" t="n">
        <v>0.007064725236396075</v>
      </c>
      <c r="AA1710" t="n">
        <v>0.8252372324799443</v>
      </c>
      <c r="AB1710" t="n">
        <v>1.174290923148468</v>
      </c>
      <c r="AC1710" t="n">
        <v>17.95426494834102</v>
      </c>
      <c r="AD1710" t="n">
        <v>67.14142775681226</v>
      </c>
      <c r="AE1710" t="n">
        <v>100.2213199001768</v>
      </c>
      <c r="AF1710" t="n">
        <v>131.7459870057193</v>
      </c>
      <c r="AH1710" s="42">
        <f>HIPERLINK($A$1 &amp; "\Dados\Magnet_fields_1710.txt.txt", "Magnet_fields_1710.txt")</f>
        <v/>
      </c>
      <c r="AI1710" t="n">
        <v>9555</v>
      </c>
      <c r="AJ1710" t="n">
        <v>30</v>
      </c>
      <c r="AK1710" s="42">
        <f>HIPERLINK($A$1 &amp; "\Dados\Magnet_3D_results_1710.txt.txt", "Magnet_3D_results_1710.txt")</f>
        <v/>
      </c>
      <c r="AL1710" s="42">
        <f>HIPERLINK($A$1 &amp; "\Dados\Magnet_fields_2D_1710.txt.txt", "Magnet_fields_2D_1710.txt")</f>
        <v/>
      </c>
    </row>
    <row r="1711">
      <c r="E1711" t="n">
        <v>136</v>
      </c>
      <c r="F1711" t="n">
        <v>170</v>
      </c>
      <c r="G1711" t="n">
        <v>398</v>
      </c>
      <c r="H1711" t="n">
        <v>44</v>
      </c>
      <c r="I1711" t="n">
        <v>180</v>
      </c>
      <c r="J1711" t="n">
        <v>25</v>
      </c>
      <c r="K1711" t="n">
        <v>50</v>
      </c>
      <c r="L1711" t="n">
        <v>2.6</v>
      </c>
      <c r="N1711" t="n">
        <v>1.659480899240579</v>
      </c>
      <c r="O1711" t="n">
        <v>1.467214109410024</v>
      </c>
      <c r="P1711" t="n">
        <v>1.607453329060111</v>
      </c>
      <c r="Q1711" t="n">
        <v>0.008265672794334209</v>
      </c>
      <c r="R1711" t="n">
        <v>0.0501610983874014</v>
      </c>
      <c r="S1711" t="n">
        <v>0.008388245039177799</v>
      </c>
      <c r="T1711" s="42">
        <f>HIPERLINK($A$1 &amp; "\Dados\Imagem_perfil_1711.png", "Imagem_perfil_1711")</f>
        <v/>
      </c>
      <c r="U1711" s="42">
        <f>HIPERLINK($A$1 &amp; "\Dados\Results_airgap1711.txt", "Results_airgap1711")</f>
        <v/>
      </c>
      <c r="W1711" t="n">
        <v>2.063393695652174</v>
      </c>
      <c r="X1711" t="n">
        <v>1.050846504580248</v>
      </c>
      <c r="Y1711" t="n">
        <v>0.2114125632705565</v>
      </c>
      <c r="Z1711" t="n">
        <v>0.0006046472301257863</v>
      </c>
      <c r="AA1711" t="n">
        <v>0</v>
      </c>
      <c r="AB1711" t="n">
        <v>0.9632322329035627</v>
      </c>
      <c r="AC1711" t="n">
        <v>9.087557155060013</v>
      </c>
      <c r="AD1711" t="n">
        <v>48.71711469326934</v>
      </c>
      <c r="AE1711" t="n">
        <v>91.27866296214397</v>
      </c>
      <c r="AF1711" t="n">
        <v>122.9368624229857</v>
      </c>
      <c r="AH1711" s="42">
        <f>HIPERLINK($A$1 &amp; "\Dados\Magnet_fields_1711.txt.txt", "Magnet_fields_1711.txt")</f>
        <v/>
      </c>
      <c r="AI1711" t="n">
        <v>7502</v>
      </c>
      <c r="AJ1711" t="n">
        <v>29</v>
      </c>
      <c r="AK1711" s="42">
        <f>HIPERLINK($A$1 &amp; "\Dados\Magnet_3D_results_1711.txt.txt", "Magnet_3D_results_1711.txt")</f>
        <v/>
      </c>
      <c r="AL1711" s="42">
        <f>HIPERLINK($A$1 &amp; "\Dados\Magnet_fields_2D_1711.txt.txt", "Magnet_fields_2D_1711.txt")</f>
        <v/>
      </c>
    </row>
    <row r="1712">
      <c r="E1712" t="n">
        <v>146</v>
      </c>
      <c r="F1712" t="n">
        <v>187</v>
      </c>
      <c r="G1712" t="n">
        <v>391</v>
      </c>
      <c r="H1712" t="n">
        <v>39</v>
      </c>
      <c r="I1712" t="n">
        <v>141</v>
      </c>
      <c r="J1712" t="n">
        <v>25</v>
      </c>
      <c r="K1712" t="n">
        <v>60</v>
      </c>
      <c r="L1712" t="n">
        <v>2.6</v>
      </c>
      <c r="N1712" t="n">
        <v>1.390479832316782</v>
      </c>
      <c r="O1712" t="n">
        <v>1.09079864711834</v>
      </c>
      <c r="P1712" t="n">
        <v>1.302955068920414</v>
      </c>
      <c r="Q1712" t="n">
        <v>0.01635728841675383</v>
      </c>
      <c r="R1712" t="n">
        <v>0.04872579991137838</v>
      </c>
      <c r="S1712" t="n">
        <v>0.01669302673295913</v>
      </c>
      <c r="T1712" s="42">
        <f>HIPERLINK($A$1 &amp; "\Dados\Imagem_perfil_1712.png", "Imagem_perfil_1712")</f>
        <v/>
      </c>
      <c r="U1712" s="42">
        <f>HIPERLINK($A$1 &amp; "\Dados\Results_airgap1712.txt", "Results_airgap1712")</f>
        <v/>
      </c>
      <c r="W1712" t="n">
        <v>1.916418043478261</v>
      </c>
      <c r="X1712" t="n">
        <v>0.9229733426256997</v>
      </c>
      <c r="Y1712" t="n">
        <v>0.2818723496950555</v>
      </c>
      <c r="Z1712" t="n">
        <v>0.006978635811102285</v>
      </c>
      <c r="AA1712" t="n">
        <v>0.07919985546390378</v>
      </c>
      <c r="AB1712" t="n">
        <v>0.01957659596147126</v>
      </c>
      <c r="AC1712" t="n">
        <v>18.70954768469423</v>
      </c>
      <c r="AD1712" t="n">
        <v>70.5848270601216</v>
      </c>
      <c r="AE1712" t="n">
        <v>100.102571752718</v>
      </c>
      <c r="AF1712" t="n">
        <v>130.9164517312937</v>
      </c>
      <c r="AH1712" s="42">
        <f>HIPERLINK($A$1 &amp; "\Dados\Magnet_fields_1712.txt.txt", "Magnet_fields_1712.txt")</f>
        <v/>
      </c>
      <c r="AI1712" t="n">
        <v>8004</v>
      </c>
      <c r="AJ1712" t="n">
        <v>29</v>
      </c>
      <c r="AK1712" s="42">
        <f>HIPERLINK($A$1 &amp; "\Dados\Magnet_3D_results_1712.txt.txt", "Magnet_3D_results_1712.txt")</f>
        <v/>
      </c>
      <c r="AL1712" s="42">
        <f>HIPERLINK($A$1 &amp; "\Dados\Magnet_fields_2D_1712.txt.txt", "Magnet_fields_2D_1712.txt")</f>
        <v/>
      </c>
    </row>
    <row r="1713">
      <c r="E1713" t="n">
        <v>126</v>
      </c>
      <c r="F1713" t="n">
        <v>173</v>
      </c>
      <c r="G1713" t="n">
        <v>402</v>
      </c>
      <c r="H1713" t="n">
        <v>33</v>
      </c>
      <c r="I1713" t="n">
        <v>166</v>
      </c>
      <c r="J1713" t="n">
        <v>25</v>
      </c>
      <c r="K1713" t="n">
        <v>50</v>
      </c>
      <c r="L1713" t="n">
        <v>2.6</v>
      </c>
      <c r="N1713" t="n">
        <v>1.435912375522292</v>
      </c>
      <c r="O1713" t="n">
        <v>1.2312693911013</v>
      </c>
      <c r="P1713" t="n">
        <v>1.374980394604927</v>
      </c>
      <c r="Q1713" t="n">
        <v>0.008262596562250904</v>
      </c>
      <c r="R1713" t="n">
        <v>0.05495490716848933</v>
      </c>
      <c r="S1713" t="n">
        <v>0.008399508493319024</v>
      </c>
      <c r="T1713" s="42">
        <f>HIPERLINK($A$1 &amp; "\Dados\Imagem_perfil_1713.png", "Imagem_perfil_1713")</f>
        <v/>
      </c>
      <c r="U1713" s="42">
        <f>HIPERLINK($A$1 &amp; "\Dados\Results_airgap1713.txt", "Results_airgap1713")</f>
        <v/>
      </c>
      <c r="W1713" t="n">
        <v>1.900724565217391</v>
      </c>
      <c r="X1713" t="n">
        <v>0.8988302087183757</v>
      </c>
      <c r="Y1713" t="n">
        <v>0.3726439870184064</v>
      </c>
      <c r="Z1713" t="n">
        <v>0.001748384644621817</v>
      </c>
      <c r="AA1713" t="n">
        <v>0.1148806413531399</v>
      </c>
      <c r="AB1713" t="n">
        <v>3.227626326112796</v>
      </c>
      <c r="AC1713" t="n">
        <v>18.1604062609501</v>
      </c>
      <c r="AD1713" t="n">
        <v>53.49996329296339</v>
      </c>
      <c r="AE1713" t="n">
        <v>89.4715899667996</v>
      </c>
      <c r="AF1713" t="n">
        <v>121.9518127869793</v>
      </c>
      <c r="AH1713" s="42">
        <f>HIPERLINK($A$1 &amp; "\Dados\Magnet_fields_1713.txt.txt", "Magnet_fields_1713.txt")</f>
        <v/>
      </c>
      <c r="AI1713" t="n">
        <v>7945</v>
      </c>
      <c r="AJ1713" t="n">
        <v>29</v>
      </c>
      <c r="AK1713" s="42">
        <f>HIPERLINK($A$1 &amp; "\Dados\Magnet_3D_results_1713.txt.txt", "Magnet_3D_results_1713.txt")</f>
        <v/>
      </c>
      <c r="AL1713" s="42">
        <f>HIPERLINK($A$1 &amp; "\Dados\Magnet_fields_2D_1713.txt.txt", "Magnet_fields_2D_1713.txt")</f>
        <v/>
      </c>
    </row>
    <row r="1714">
      <c r="E1714" t="n">
        <v>145</v>
      </c>
      <c r="F1714" t="n">
        <v>183</v>
      </c>
      <c r="G1714" t="n">
        <v>419</v>
      </c>
      <c r="H1714" t="n">
        <v>33</v>
      </c>
      <c r="I1714" t="n">
        <v>171</v>
      </c>
      <c r="J1714" t="n">
        <v>25</v>
      </c>
      <c r="K1714" t="n">
        <v>50</v>
      </c>
      <c r="L1714" t="n">
        <v>2.6</v>
      </c>
      <c r="N1714" t="n">
        <v>1.583365377760652</v>
      </c>
      <c r="O1714" t="n">
        <v>1.406135223134932</v>
      </c>
      <c r="P1714" t="n">
        <v>1.521512064073905</v>
      </c>
      <c r="Q1714" t="n">
        <v>0.006397616050325335</v>
      </c>
      <c r="R1714" t="n">
        <v>0.04777023330346928</v>
      </c>
      <c r="S1714" t="n">
        <v>0.00644200821528956</v>
      </c>
      <c r="T1714" s="42">
        <f>HIPERLINK($A$1 &amp; "\Dados\Imagem_perfil_1714.png", "Imagem_perfil_1714")</f>
        <v/>
      </c>
      <c r="U1714" s="42">
        <f>HIPERLINK($A$1 &amp; "\Dados\Results_airgap1714.txt", "Results_airgap1714")</f>
        <v/>
      </c>
      <c r="W1714" t="n">
        <v>2.04647652173913</v>
      </c>
      <c r="X1714" t="n">
        <v>1.022155406542266</v>
      </c>
      <c r="Y1714" t="n">
        <v>0.2151224780873673</v>
      </c>
      <c r="Z1714" t="n">
        <v>0</v>
      </c>
      <c r="AA1714" t="n">
        <v>1.05656735438104</v>
      </c>
      <c r="AB1714" t="n">
        <v>1.334699277031373</v>
      </c>
      <c r="AC1714" t="n">
        <v>14.57941190755306</v>
      </c>
      <c r="AD1714" t="n">
        <v>53.73457278731211</v>
      </c>
      <c r="AE1714" t="n">
        <v>90.80755737713464</v>
      </c>
      <c r="AF1714" t="n">
        <v>122.5592975733681</v>
      </c>
      <c r="AH1714" s="42">
        <f>HIPERLINK($A$1 &amp; "\Dados\Magnet_fields_1714.txt.txt", "Magnet_fields_1714.txt")</f>
        <v/>
      </c>
      <c r="AI1714" t="n">
        <v>8023</v>
      </c>
      <c r="AJ1714" t="n">
        <v>29</v>
      </c>
      <c r="AK1714" s="42">
        <f>HIPERLINK($A$1 &amp; "\Dados\Magnet_3D_results_1714.txt.txt", "Magnet_3D_results_1714.txt")</f>
        <v/>
      </c>
      <c r="AL1714" s="42">
        <f>HIPERLINK($A$1 &amp; "\Dados\Magnet_fields_2D_1714.txt.txt", "Magnet_fields_2D_1714.txt")</f>
        <v/>
      </c>
    </row>
    <row r="1715">
      <c r="E1715" t="n">
        <v>146</v>
      </c>
      <c r="F1715" t="n">
        <v>189</v>
      </c>
      <c r="G1715" t="n">
        <v>423</v>
      </c>
      <c r="H1715" t="n">
        <v>37</v>
      </c>
      <c r="I1715" t="n">
        <v>164</v>
      </c>
      <c r="J1715" t="n">
        <v>25</v>
      </c>
      <c r="K1715" t="n">
        <v>60</v>
      </c>
      <c r="L1715" t="n">
        <v>2.6</v>
      </c>
      <c r="N1715" t="n">
        <v>1.478331918909183</v>
      </c>
      <c r="O1715" t="n">
        <v>1.268423882150697</v>
      </c>
      <c r="P1715" t="n">
        <v>1.416202734781798</v>
      </c>
      <c r="Q1715" t="n">
        <v>0.02050014952556301</v>
      </c>
      <c r="R1715" t="n">
        <v>0.06187776074887431</v>
      </c>
      <c r="S1715" t="n">
        <v>0.020466252641726</v>
      </c>
      <c r="T1715" s="42">
        <f>HIPERLINK($A$1 &amp; "\Dados\Imagem_perfil_1715.png", "Imagem_perfil_1715")</f>
        <v/>
      </c>
      <c r="U1715" s="42">
        <f>HIPERLINK($A$1 &amp; "\Dados\Results_airgap1715.txt", "Results_airgap1715")</f>
        <v/>
      </c>
      <c r="W1715" t="n">
        <v>2.008356086956522</v>
      </c>
      <c r="X1715" t="n">
        <v>0.954540991735877</v>
      </c>
      <c r="Y1715" t="n">
        <v>0.2213847454356462</v>
      </c>
      <c r="Z1715" t="n">
        <v>0.01313703114805942</v>
      </c>
      <c r="AA1715" t="n">
        <v>0.5859296549369536</v>
      </c>
      <c r="AB1715" t="n">
        <v>0.6300096615302579</v>
      </c>
      <c r="AC1715" t="n">
        <v>16.64679036357602</v>
      </c>
      <c r="AD1715" t="n">
        <v>69.37768280120096</v>
      </c>
      <c r="AE1715" t="n">
        <v>100.800418225725</v>
      </c>
      <c r="AF1715" t="n">
        <v>131.6437190292435</v>
      </c>
      <c r="AH1715" s="42">
        <f>HIPERLINK($A$1 &amp; "\Dados\Magnet_fields_1715.txt.txt", "Magnet_fields_1715.txt")</f>
        <v/>
      </c>
      <c r="AI1715" t="n">
        <v>8763</v>
      </c>
      <c r="AJ1715" t="n">
        <v>30</v>
      </c>
      <c r="AK1715" s="42">
        <f>HIPERLINK($A$1 &amp; "\Dados\Magnet_3D_results_1715.txt.txt", "Magnet_3D_results_1715.txt")</f>
        <v/>
      </c>
      <c r="AL1715" s="42">
        <f>HIPERLINK($A$1 &amp; "\Dados\Magnet_fields_2D_1715.txt.txt", "Magnet_fields_2D_1715.txt")</f>
        <v/>
      </c>
    </row>
    <row r="1716">
      <c r="E1716" t="n">
        <v>139</v>
      </c>
      <c r="F1716" t="n">
        <v>171</v>
      </c>
      <c r="G1716" t="n">
        <v>354</v>
      </c>
      <c r="H1716" t="n">
        <v>29</v>
      </c>
      <c r="I1716" t="n">
        <v>165</v>
      </c>
      <c r="J1716" t="n">
        <v>25</v>
      </c>
      <c r="K1716" t="n">
        <v>50</v>
      </c>
      <c r="L1716" t="n">
        <v>2.6</v>
      </c>
      <c r="N1716" t="n">
        <v>1.520624123132075</v>
      </c>
      <c r="O1716" t="n">
        <v>1.29641342687234</v>
      </c>
      <c r="P1716" t="n">
        <v>1.4605435014411</v>
      </c>
      <c r="Q1716" t="n">
        <v>0.005503003319944644</v>
      </c>
      <c r="R1716" t="n">
        <v>0.0300308191672795</v>
      </c>
      <c r="S1716" t="n">
        <v>0.005529111656251117</v>
      </c>
      <c r="T1716" s="42">
        <f>HIPERLINK($A$1 &amp; "\Dados\Imagem_perfil_1716.png", "Imagem_perfil_1716")</f>
        <v/>
      </c>
      <c r="U1716" s="42">
        <f>HIPERLINK($A$1 &amp; "\Dados\Results_airgap1716.txt", "Results_airgap1716")</f>
        <v/>
      </c>
      <c r="W1716" t="n">
        <v>1.882341956521739</v>
      </c>
      <c r="X1716" t="n">
        <v>0.9166580493081367</v>
      </c>
      <c r="Y1716" t="n">
        <v>0.314078472244665</v>
      </c>
      <c r="Z1716" t="n">
        <v>0</v>
      </c>
      <c r="AA1716" t="n">
        <v>4.550573430187309</v>
      </c>
      <c r="AB1716" t="n">
        <v>0</v>
      </c>
      <c r="AC1716" t="n">
        <v>5.074187810147489</v>
      </c>
      <c r="AD1716" t="n">
        <v>46.19114587683892</v>
      </c>
      <c r="AE1716" t="n">
        <v>90.06299152672406</v>
      </c>
      <c r="AF1716" t="n">
        <v>122.0780642014168</v>
      </c>
      <c r="AH1716" s="42">
        <f>HIPERLINK($A$1 &amp; "\Dados\Magnet_fields_1716.txt.txt", "Magnet_fields_1716.txt")</f>
        <v/>
      </c>
      <c r="AI1716" t="n">
        <v>8635</v>
      </c>
      <c r="AJ1716" t="n">
        <v>30</v>
      </c>
      <c r="AK1716" s="42">
        <f>HIPERLINK($A$1 &amp; "\Dados\Magnet_3D_results_1716.txt.txt", "Magnet_3D_results_1716.txt")</f>
        <v/>
      </c>
      <c r="AL1716" s="42">
        <f>HIPERLINK($A$1 &amp; "\Dados\Magnet_fields_2D_1716.txt.txt", "Magnet_fields_2D_1716.txt")</f>
        <v/>
      </c>
    </row>
    <row r="1717">
      <c r="E1717" t="n">
        <v>142</v>
      </c>
      <c r="F1717" t="n">
        <v>189</v>
      </c>
      <c r="G1717" t="n">
        <v>414</v>
      </c>
      <c r="H1717" t="n">
        <v>33</v>
      </c>
      <c r="I1717" t="n">
        <v>146</v>
      </c>
      <c r="J1717" t="n">
        <v>25</v>
      </c>
      <c r="K1717" t="n">
        <v>45</v>
      </c>
      <c r="L1717" t="n">
        <v>2.6</v>
      </c>
      <c r="N1717" t="n">
        <v>1.298550859050327</v>
      </c>
      <c r="O1717" t="n">
        <v>1.035240951765223</v>
      </c>
      <c r="P1717" t="n">
        <v>1.226981259559635</v>
      </c>
      <c r="Q1717" t="n">
        <v>0.002640492246290595</v>
      </c>
      <c r="R1717" t="n">
        <v>0.0393869340503424</v>
      </c>
      <c r="S1717" t="n">
        <v>0.003269045652478632</v>
      </c>
      <c r="T1717" s="42">
        <f>HIPERLINK($A$1 &amp; "\Dados\Imagem_perfil_1717.png", "Imagem_perfil_1717")</f>
        <v/>
      </c>
      <c r="U1717" s="42">
        <f>HIPERLINK($A$1 &amp; "\Dados\Results_airgap1717.txt", "Results_airgap1717")</f>
        <v/>
      </c>
      <c r="W1717" t="n">
        <v>1.772879782608696</v>
      </c>
      <c r="X1717" t="n">
        <v>0.8383882819516522</v>
      </c>
      <c r="Y1717" t="n">
        <v>0.5253654961911538</v>
      </c>
      <c r="Z1717" t="n">
        <v>0</v>
      </c>
      <c r="AA1717" t="n">
        <v>1.521871562228169</v>
      </c>
      <c r="AB1717" t="n">
        <v>1.40288239898234</v>
      </c>
      <c r="AC1717" t="n">
        <v>9.194400824719244</v>
      </c>
      <c r="AD1717" t="n">
        <v>40.28269914224452</v>
      </c>
      <c r="AE1717" t="n">
        <v>84.9178641111239</v>
      </c>
      <c r="AF1717" t="n">
        <v>118.1876689895664</v>
      </c>
      <c r="AH1717" s="42">
        <f>HIPERLINK($A$1 &amp; "\Dados\Magnet_fields_1717.txt.txt", "Magnet_fields_1717.txt")</f>
        <v/>
      </c>
      <c r="AI1717" t="n">
        <v>7976</v>
      </c>
      <c r="AJ1717" t="n">
        <v>29</v>
      </c>
      <c r="AK1717" s="42">
        <f>HIPERLINK($A$1 &amp; "\Dados\Magnet_3D_results_1717.txt.txt", "Magnet_3D_results_1717.txt")</f>
        <v/>
      </c>
      <c r="AL1717" s="42">
        <f>HIPERLINK($A$1 &amp; "\Dados\Magnet_fields_2D_1717.txt.txt", "Magnet_fields_2D_1717.txt")</f>
        <v/>
      </c>
    </row>
    <row r="1718">
      <c r="E1718" t="n">
        <v>144</v>
      </c>
      <c r="F1718" t="n">
        <v>186</v>
      </c>
      <c r="G1718" t="n">
        <v>419</v>
      </c>
      <c r="H1718" t="n">
        <v>30</v>
      </c>
      <c r="I1718" t="n">
        <v>163</v>
      </c>
      <c r="J1718" t="n">
        <v>25</v>
      </c>
      <c r="K1718" t="n">
        <v>40</v>
      </c>
      <c r="L1718" t="n">
        <v>2.6</v>
      </c>
      <c r="N1718" t="n">
        <v>1.389661869290935</v>
      </c>
      <c r="O1718" t="n">
        <v>1.18301642687022</v>
      </c>
      <c r="P1718" t="n">
        <v>1.333525089414517</v>
      </c>
      <c r="Q1718" t="n">
        <v>0.001399272300054284</v>
      </c>
      <c r="R1718" t="n">
        <v>0.03419801605565279</v>
      </c>
      <c r="S1718" t="n">
        <v>0.001645904418115805</v>
      </c>
      <c r="T1718" s="42">
        <f>HIPERLINK($A$1 &amp; "\Dados\Imagem_perfil_1718.png", "Imagem_perfil_1718")</f>
        <v/>
      </c>
      <c r="U1718" s="42">
        <f>HIPERLINK($A$1 &amp; "\Dados\Results_airgap1718.txt", "Results_airgap1718")</f>
        <v/>
      </c>
      <c r="W1718" t="n">
        <v>1.781932391304348</v>
      </c>
      <c r="X1718" t="n">
        <v>0.8780158057520383</v>
      </c>
      <c r="Y1718" t="n">
        <v>0.5270426261497846</v>
      </c>
      <c r="Z1718" t="n">
        <v>0.003176200551599123</v>
      </c>
      <c r="AA1718" t="n">
        <v>1.836588556956643</v>
      </c>
      <c r="AB1718" t="n">
        <v>1.350402093619584</v>
      </c>
      <c r="AC1718" t="n">
        <v>7.138641842976378</v>
      </c>
      <c r="AD1718" t="n">
        <v>33.44602391557488</v>
      </c>
      <c r="AE1718" t="n">
        <v>81.68651436750908</v>
      </c>
      <c r="AF1718" t="n">
        <v>115.0129302138882</v>
      </c>
      <c r="AH1718" s="42">
        <f>HIPERLINK($A$1 &amp; "\Dados\Magnet_fields_1718.txt.txt", "Magnet_fields_1718.txt")</f>
        <v/>
      </c>
      <c r="AI1718" t="n">
        <v>8931</v>
      </c>
      <c r="AJ1718" t="n">
        <v>30</v>
      </c>
      <c r="AK1718" s="42">
        <f>HIPERLINK($A$1 &amp; "\Dados\Magnet_3D_results_1718.txt.txt", "Magnet_3D_results_1718.txt")</f>
        <v/>
      </c>
      <c r="AL1718" s="42">
        <f>HIPERLINK($A$1 &amp; "\Dados\Magnet_fields_2D_1718.txt.txt", "Magnet_fields_2D_1718.txt")</f>
        <v/>
      </c>
    </row>
    <row r="1719">
      <c r="E1719" t="n">
        <v>147</v>
      </c>
      <c r="F1719" t="n">
        <v>197</v>
      </c>
      <c r="G1719" t="n">
        <v>359</v>
      </c>
      <c r="H1719" t="n">
        <v>27</v>
      </c>
      <c r="I1719" t="n">
        <v>162</v>
      </c>
      <c r="J1719" t="n">
        <v>25</v>
      </c>
      <c r="K1719" t="n">
        <v>45</v>
      </c>
      <c r="L1719" t="n">
        <v>2.6</v>
      </c>
      <c r="N1719" t="n">
        <v>1.165355874876791</v>
      </c>
      <c r="O1719" t="n">
        <v>0.9857470882228528</v>
      </c>
      <c r="P1719" t="n">
        <v>1.111812921238311</v>
      </c>
      <c r="Q1719" t="n">
        <v>0.001880152478585964</v>
      </c>
      <c r="R1719" t="n">
        <v>0.02437650842249189</v>
      </c>
      <c r="S1719" t="n">
        <v>0.002118767576076288</v>
      </c>
      <c r="T1719" s="42">
        <f>HIPERLINK($A$1 &amp; "\Dados\Imagem_perfil_1719.png", "Imagem_perfil_1719")</f>
        <v/>
      </c>
      <c r="U1719" s="42">
        <f>HIPERLINK($A$1 &amp; "\Dados\Results_airgap1719.txt", "Results_airgap1719")</f>
        <v/>
      </c>
      <c r="W1719" t="n">
        <v>1.48412847826087</v>
      </c>
      <c r="X1719" t="n">
        <v>0.7381131621391233</v>
      </c>
      <c r="Y1719" t="n">
        <v>0.8023172991392664</v>
      </c>
      <c r="Z1719" t="n">
        <v>0</v>
      </c>
      <c r="AA1719" t="n">
        <v>3.724206335383559</v>
      </c>
      <c r="AB1719" t="n">
        <v>0</v>
      </c>
      <c r="AC1719" t="n">
        <v>6.108898763275421</v>
      </c>
      <c r="AD1719" t="n">
        <v>39.01075088691867</v>
      </c>
      <c r="AE1719" t="n">
        <v>82.30027508260711</v>
      </c>
      <c r="AF1719" t="n">
        <v>116.1180198476362</v>
      </c>
      <c r="AH1719" s="42">
        <f>HIPERLINK($A$1 &amp; "\Dados\Magnet_fields_1719.txt.txt", "Magnet_fields_1719.txt")</f>
        <v/>
      </c>
      <c r="AI1719" t="n">
        <v>8083</v>
      </c>
      <c r="AJ1719" t="n">
        <v>30</v>
      </c>
      <c r="AK1719" s="42">
        <f>HIPERLINK($A$1 &amp; "\Dados\Magnet_3D_results_1719.txt.txt", "Magnet_3D_results_1719.txt")</f>
        <v/>
      </c>
      <c r="AL1719" s="42">
        <f>HIPERLINK($A$1 &amp; "\Dados\Magnet_fields_2D_1719.txt.txt", "Magnet_fields_2D_1719.txt")</f>
        <v/>
      </c>
    </row>
    <row r="1720">
      <c r="E1720" t="n">
        <v>135</v>
      </c>
      <c r="F1720" t="n">
        <v>170</v>
      </c>
      <c r="G1720" t="n">
        <v>410</v>
      </c>
      <c r="H1720" t="n">
        <v>31</v>
      </c>
      <c r="I1720" t="n">
        <v>169</v>
      </c>
      <c r="J1720" t="n">
        <v>25</v>
      </c>
      <c r="K1720" t="n">
        <v>60</v>
      </c>
      <c r="L1720" t="n">
        <v>2.6</v>
      </c>
      <c r="N1720" t="n">
        <v>1.671879511567895</v>
      </c>
      <c r="O1720" t="n">
        <v>1.444595569508093</v>
      </c>
      <c r="P1720" t="n">
        <v>1.603614436367928</v>
      </c>
      <c r="Q1720" t="n">
        <v>0.02978501910820336</v>
      </c>
      <c r="R1720" t="n">
        <v>0.06479553817671374</v>
      </c>
      <c r="S1720" t="n">
        <v>0.02928749319040811</v>
      </c>
      <c r="T1720" s="42">
        <f>HIPERLINK($A$1 &amp; "\Dados\Imagem_perfil_1720.png", "Imagem_perfil_1720")</f>
        <v/>
      </c>
      <c r="U1720" s="42">
        <f>HIPERLINK($A$1 &amp; "\Dados\Results_airgap1720.txt", "Results_airgap1720")</f>
        <v/>
      </c>
      <c r="W1720" t="n">
        <v>2.217849782608695</v>
      </c>
      <c r="X1720" t="n">
        <v>1.028562339192645</v>
      </c>
      <c r="Y1720" t="n">
        <v>0.09414001067080729</v>
      </c>
      <c r="Z1720" t="n">
        <v>0</v>
      </c>
      <c r="AA1720" t="n">
        <v>2.6156672967406</v>
      </c>
      <c r="AB1720" t="n">
        <v>2.311753420629197</v>
      </c>
      <c r="AC1720" t="n">
        <v>21.19250649229381</v>
      </c>
      <c r="AD1720" t="n">
        <v>66.87255678535676</v>
      </c>
      <c r="AE1720" t="n">
        <v>100.2457670221028</v>
      </c>
      <c r="AF1720" t="n">
        <v>132.096966520527</v>
      </c>
      <c r="AH1720" s="42">
        <f>HIPERLINK($A$1 &amp; "\Dados\Magnet_fields_1720.txt.txt", "Magnet_fields_1720.txt")</f>
        <v/>
      </c>
      <c r="AI1720" t="n">
        <v>9554</v>
      </c>
      <c r="AJ1720" t="n">
        <v>30</v>
      </c>
      <c r="AK1720" s="42">
        <f>HIPERLINK($A$1 &amp; "\Dados\Magnet_3D_results_1720.txt.txt", "Magnet_3D_results_1720.txt")</f>
        <v/>
      </c>
      <c r="AL1720" s="42">
        <f>HIPERLINK($A$1 &amp; "\Dados\Magnet_fields_2D_1720.txt.txt", "Magnet_fields_2D_1720.txt")</f>
        <v/>
      </c>
    </row>
    <row r="1721">
      <c r="E1721" t="n">
        <v>131</v>
      </c>
      <c r="F1721" t="n">
        <v>172</v>
      </c>
      <c r="G1721" t="n">
        <v>399</v>
      </c>
      <c r="H1721" t="n">
        <v>27</v>
      </c>
      <c r="I1721" t="n">
        <v>143</v>
      </c>
      <c r="J1721" t="n">
        <v>25</v>
      </c>
      <c r="K1721" t="n">
        <v>60</v>
      </c>
      <c r="L1721" t="n">
        <v>2.6</v>
      </c>
      <c r="N1721" t="n">
        <v>1.451575296695818</v>
      </c>
      <c r="O1721" t="n">
        <v>1.160884463768372</v>
      </c>
      <c r="P1721" t="n">
        <v>1.367282850517331</v>
      </c>
      <c r="Q1721" t="n">
        <v>0.02516418122496709</v>
      </c>
      <c r="R1721" t="n">
        <v>0.0573862005778419</v>
      </c>
      <c r="S1721" t="n">
        <v>0.02491714794911896</v>
      </c>
      <c r="T1721" s="42">
        <f>HIPERLINK($A$1 &amp; "\Dados\Imagem_perfil_1721.png", "Imagem_perfil_1721")</f>
        <v/>
      </c>
      <c r="U1721" s="42">
        <f>HIPERLINK($A$1 &amp; "\Dados\Results_airgap1721.txt", "Results_airgap1721")</f>
        <v/>
      </c>
      <c r="W1721" t="n">
        <v>2.06612652173913</v>
      </c>
      <c r="X1721" t="n">
        <v>0.9426582954205319</v>
      </c>
      <c r="Y1721" t="n">
        <v>0.188001240436745</v>
      </c>
      <c r="Z1721" t="n">
        <v>0.003990200849812318</v>
      </c>
      <c r="AA1721" t="n">
        <v>5.147897999241731</v>
      </c>
      <c r="AB1721" t="n">
        <v>2.684918989347233</v>
      </c>
      <c r="AC1721" t="n">
        <v>21.85550226114729</v>
      </c>
      <c r="AD1721" t="n">
        <v>64.49250416253362</v>
      </c>
      <c r="AE1721" t="n">
        <v>98.16651130712484</v>
      </c>
      <c r="AF1721" t="n">
        <v>131.1578398728529</v>
      </c>
      <c r="AH1721" s="42">
        <f>HIPERLINK($A$1 &amp; "\Dados\Magnet_fields_1721.txt.txt", "Magnet_fields_1721.txt")</f>
        <v/>
      </c>
      <c r="AI1721" t="n">
        <v>9469</v>
      </c>
      <c r="AJ1721" t="n">
        <v>29</v>
      </c>
      <c r="AK1721" s="42">
        <f>HIPERLINK($A$1 &amp; "\Dados\Magnet_3D_results_1721.txt.txt", "Magnet_3D_results_1721.txt")</f>
        <v/>
      </c>
      <c r="AL1721" s="42">
        <f>HIPERLINK($A$1 &amp; "\Dados\Magnet_fields_2D_1721.txt.txt", "Magnet_fields_2D_1721.txt")</f>
        <v/>
      </c>
    </row>
    <row r="1722">
      <c r="E1722" t="n">
        <v>126</v>
      </c>
      <c r="F1722" t="n">
        <v>176</v>
      </c>
      <c r="G1722" t="n">
        <v>414</v>
      </c>
      <c r="H1722" t="n">
        <v>39</v>
      </c>
      <c r="I1722" t="n">
        <v>170</v>
      </c>
      <c r="J1722" t="n">
        <v>25</v>
      </c>
      <c r="K1722" t="n">
        <v>60</v>
      </c>
      <c r="L1722" t="n">
        <v>2.6</v>
      </c>
      <c r="N1722" t="n">
        <v>1.44507108002572</v>
      </c>
      <c r="O1722" t="n">
        <v>1.247354377259324</v>
      </c>
      <c r="P1722" t="n">
        <v>1.387198886668362</v>
      </c>
      <c r="Q1722" t="n">
        <v>0.0364963844829558</v>
      </c>
      <c r="R1722" t="n">
        <v>0.07569865636862605</v>
      </c>
      <c r="S1722" t="n">
        <v>0.03596953448528659</v>
      </c>
      <c r="T1722" s="42">
        <f>HIPERLINK($A$1 &amp; "\Dados\Imagem_perfil_1722.png", "Imagem_perfil_1722")</f>
        <v/>
      </c>
      <c r="U1722" s="42">
        <f>HIPERLINK($A$1 &amp; "\Dados\Results_airgap1722.txt", "Results_airgap1722")</f>
        <v/>
      </c>
      <c r="W1722" t="n">
        <v>1.971534565217392</v>
      </c>
      <c r="X1722" t="n">
        <v>0.9233478666573387</v>
      </c>
      <c r="Y1722" t="n">
        <v>0.2867956705666796</v>
      </c>
      <c r="Z1722" t="n">
        <v>0.003644281192736832</v>
      </c>
      <c r="AA1722" t="n">
        <v>0</v>
      </c>
      <c r="AB1722" t="n">
        <v>2.837889314065663</v>
      </c>
      <c r="AC1722" t="n">
        <v>20.68315342544865</v>
      </c>
      <c r="AD1722" t="n">
        <v>63.85575054557636</v>
      </c>
      <c r="AE1722" t="n">
        <v>98.34238327476898</v>
      </c>
      <c r="AF1722" t="n">
        <v>131.3867404416437</v>
      </c>
      <c r="AH1722" s="42">
        <f>HIPERLINK($A$1 &amp; "\Dados\Magnet_fields_1722.txt.txt", "Magnet_fields_1722.txt")</f>
        <v/>
      </c>
      <c r="AI1722" t="n">
        <v>8451</v>
      </c>
      <c r="AJ1722" t="n">
        <v>30</v>
      </c>
      <c r="AK1722" s="42">
        <f>HIPERLINK($A$1 &amp; "\Dados\Magnet_3D_results_1722.txt.txt", "Magnet_3D_results_1722.txt")</f>
        <v/>
      </c>
      <c r="AL1722" s="42">
        <f>HIPERLINK($A$1 &amp; "\Dados\Magnet_fields_2D_1722.txt.txt", "Magnet_fields_2D_1722.txt")</f>
        <v/>
      </c>
    </row>
    <row r="1723">
      <c r="E1723" t="n">
        <v>143</v>
      </c>
      <c r="F1723" t="n">
        <v>183</v>
      </c>
      <c r="G1723" t="n">
        <v>415</v>
      </c>
      <c r="H1723" t="n">
        <v>29</v>
      </c>
      <c r="I1723" t="n">
        <v>140</v>
      </c>
      <c r="J1723" t="n">
        <v>25</v>
      </c>
      <c r="K1723" t="n">
        <v>45</v>
      </c>
      <c r="L1723" t="n">
        <v>2.6</v>
      </c>
      <c r="N1723" t="n">
        <v>1.405501943552628</v>
      </c>
      <c r="O1723" t="n">
        <v>1.094132984870333</v>
      </c>
      <c r="P1723" t="n">
        <v>1.323137806303793</v>
      </c>
      <c r="Q1723" t="n">
        <v>0.002795497772551116</v>
      </c>
      <c r="R1723" t="n">
        <v>0.03916246515538092</v>
      </c>
      <c r="S1723" t="n">
        <v>0.00353182658162391</v>
      </c>
      <c r="T1723" s="42">
        <f>HIPERLINK($A$1 &amp; "\Dados\Imagem_perfil_1723.png", "Imagem_perfil_1723")</f>
        <v/>
      </c>
      <c r="U1723" s="42">
        <f>HIPERLINK($A$1 &amp; "\Dados\Results_airgap1723.txt", "Results_airgap1723")</f>
        <v/>
      </c>
      <c r="W1723" t="n">
        <v>1.939213913043478</v>
      </c>
      <c r="X1723" t="n">
        <v>0.9320021088725819</v>
      </c>
      <c r="Y1723" t="n">
        <v>0.3291848668499361</v>
      </c>
      <c r="Z1723" t="n">
        <v>0</v>
      </c>
      <c r="AA1723" t="n">
        <v>1.473145644112678</v>
      </c>
      <c r="AB1723" t="n">
        <v>1.575476939554413</v>
      </c>
      <c r="AC1723" t="n">
        <v>12.3931979432423</v>
      </c>
      <c r="AD1723" t="n">
        <v>48.23133872569373</v>
      </c>
      <c r="AE1723" t="n">
        <v>86.78160106149296</v>
      </c>
      <c r="AF1723" t="n">
        <v>118.3212676900682</v>
      </c>
      <c r="AH1723" s="42">
        <f>HIPERLINK($A$1 &amp; "\Dados\Magnet_fields_1723.txt.txt", "Magnet_fields_1723.txt")</f>
        <v/>
      </c>
      <c r="AI1723" t="n">
        <v>8664</v>
      </c>
      <c r="AJ1723" t="n">
        <v>30</v>
      </c>
      <c r="AK1723" s="42">
        <f>HIPERLINK($A$1 &amp; "\Dados\Magnet_3D_results_1723.txt.txt", "Magnet_3D_results_1723.txt")</f>
        <v/>
      </c>
      <c r="AL1723" s="42">
        <f>HIPERLINK($A$1 &amp; "\Dados\Magnet_fields_2D_1723.txt.txt", "Magnet_fields_2D_1723.txt")</f>
        <v/>
      </c>
    </row>
    <row r="1724">
      <c r="E1724" t="n">
        <v>144</v>
      </c>
      <c r="F1724" t="n">
        <v>190</v>
      </c>
      <c r="G1724" t="n">
        <v>420</v>
      </c>
      <c r="H1724" t="n">
        <v>31</v>
      </c>
      <c r="I1724" t="n">
        <v>162</v>
      </c>
      <c r="J1724" t="n">
        <v>25</v>
      </c>
      <c r="K1724" t="n">
        <v>50</v>
      </c>
      <c r="L1724" t="n">
        <v>2.6</v>
      </c>
      <c r="N1724" t="n">
        <v>1.387375126249977</v>
      </c>
      <c r="O1724" t="n">
        <v>1.180598371401724</v>
      </c>
      <c r="P1724" t="n">
        <v>1.322326392837443</v>
      </c>
      <c r="Q1724" t="n">
        <v>0.005078026818920338</v>
      </c>
      <c r="R1724" t="n">
        <v>0.04661266070531832</v>
      </c>
      <c r="S1724" t="n">
        <v>0.005374721039383575</v>
      </c>
      <c r="T1724" s="42">
        <f>HIPERLINK($A$1 &amp; "\Dados\Imagem_perfil_1724.png", "Imagem_perfil_1724")</f>
        <v/>
      </c>
      <c r="U1724" s="42">
        <f>HIPERLINK($A$1 &amp; "\Dados\Results_airgap1724.txt", "Results_airgap1724")</f>
        <v/>
      </c>
      <c r="W1724" t="n">
        <v>1.865205217391304</v>
      </c>
      <c r="X1724" t="n">
        <v>0.8719856555143809</v>
      </c>
      <c r="Y1724" t="n">
        <v>0.3835828006708134</v>
      </c>
      <c r="Z1724" t="n">
        <v>0</v>
      </c>
      <c r="AA1724" t="n">
        <v>2.551640334875046</v>
      </c>
      <c r="AB1724" t="n">
        <v>1.170780407026254</v>
      </c>
      <c r="AC1724" t="n">
        <v>8.865802261965198</v>
      </c>
      <c r="AD1724" t="n">
        <v>50.01311770061492</v>
      </c>
      <c r="AE1724" t="n">
        <v>92.74065795333425</v>
      </c>
      <c r="AF1724" t="n">
        <v>122.9884454730292</v>
      </c>
      <c r="AH1724" s="42">
        <f>HIPERLINK($A$1 &amp; "\Dados\Magnet_fields_1724.txt.txt", "Magnet_fields_1724.txt")</f>
        <v/>
      </c>
      <c r="AI1724" t="n">
        <v>8164</v>
      </c>
      <c r="AJ1724" t="n">
        <v>30</v>
      </c>
      <c r="AK1724" s="42">
        <f>HIPERLINK($A$1 &amp; "\Dados\Magnet_3D_results_1724.txt.txt", "Magnet_3D_results_1724.txt")</f>
        <v/>
      </c>
      <c r="AL1724" s="42">
        <f>HIPERLINK($A$1 &amp; "\Dados\Magnet_fields_2D_1724.txt.txt", "Magnet_fields_2D_1724.txt")</f>
        <v/>
      </c>
    </row>
    <row r="1725">
      <c r="E1725" t="n">
        <v>128</v>
      </c>
      <c r="F1725" t="n">
        <v>172</v>
      </c>
      <c r="G1725" t="n">
        <v>388</v>
      </c>
      <c r="H1725" t="n">
        <v>40</v>
      </c>
      <c r="I1725" t="n">
        <v>169</v>
      </c>
      <c r="J1725" t="n">
        <v>25</v>
      </c>
      <c r="K1725" t="n">
        <v>50</v>
      </c>
      <c r="L1725" t="n">
        <v>2.6</v>
      </c>
      <c r="N1725" t="n">
        <v>1.461996020087736</v>
      </c>
      <c r="O1725" t="n">
        <v>1.26209867507895</v>
      </c>
      <c r="P1725" t="n">
        <v>1.404546984205912</v>
      </c>
      <c r="Q1725" t="n">
        <v>0.006961773981421737</v>
      </c>
      <c r="R1725" t="n">
        <v>0.0508409014957095</v>
      </c>
      <c r="S1725" t="n">
        <v>0.007498366774739271</v>
      </c>
      <c r="T1725" s="42">
        <f>HIPERLINK($A$1 &amp; "\Dados\Imagem_perfil_1725.png", "Imagem_perfil_1725")</f>
        <v/>
      </c>
      <c r="U1725" s="42">
        <f>HIPERLINK($A$1 &amp; "\Dados\Results_airgap1725.txt", "Results_airgap1725")</f>
        <v/>
      </c>
      <c r="W1725" t="n">
        <v>1.884239565217391</v>
      </c>
      <c r="X1725" t="n">
        <v>0.9099081935372721</v>
      </c>
      <c r="Y1725" t="n">
        <v>0.3829120749518535</v>
      </c>
      <c r="Z1725" t="n">
        <v>0.001819025719734383</v>
      </c>
      <c r="AA1725" t="n">
        <v>0.008807072829391173</v>
      </c>
      <c r="AB1725" t="n">
        <v>2.707609749876108</v>
      </c>
      <c r="AC1725" t="n">
        <v>15.34848039207993</v>
      </c>
      <c r="AD1725" t="n">
        <v>50.22369178238116</v>
      </c>
      <c r="AE1725" t="n">
        <v>88.10192545934795</v>
      </c>
      <c r="AF1725" t="n">
        <v>121.5065010221943</v>
      </c>
      <c r="AH1725" s="42">
        <f>HIPERLINK($A$1 &amp; "\Dados\Magnet_fields_1725.txt.txt", "Magnet_fields_1725.txt")</f>
        <v/>
      </c>
      <c r="AI1725" t="n">
        <v>6925</v>
      </c>
      <c r="AJ1725" t="n">
        <v>29</v>
      </c>
      <c r="AK1725" s="42">
        <f>HIPERLINK($A$1 &amp; "\Dados\Magnet_3D_results_1725.txt.txt", "Magnet_3D_results_1725.txt")</f>
        <v/>
      </c>
      <c r="AL1725" s="42">
        <f>HIPERLINK($A$1 &amp; "\Dados\Magnet_fields_2D_1725.txt.txt", "Magnet_fields_2D_1725.txt")</f>
        <v/>
      </c>
    </row>
    <row r="1726">
      <c r="E1726" t="n">
        <v>131</v>
      </c>
      <c r="F1726" t="n">
        <v>175</v>
      </c>
      <c r="G1726" t="n">
        <v>379</v>
      </c>
      <c r="H1726" t="n">
        <v>26</v>
      </c>
      <c r="I1726" t="n">
        <v>161</v>
      </c>
      <c r="J1726" t="n">
        <v>25</v>
      </c>
      <c r="K1726" t="n">
        <v>60</v>
      </c>
      <c r="L1726" t="n">
        <v>2.6</v>
      </c>
      <c r="N1726" t="n">
        <v>1.4156250992973</v>
      </c>
      <c r="O1726" t="n">
        <v>1.202805909348232</v>
      </c>
      <c r="P1726" t="n">
        <v>1.345549029224385</v>
      </c>
      <c r="Q1726" t="n">
        <v>0.02433375639722313</v>
      </c>
      <c r="R1726" t="n">
        <v>0.0509178823249333</v>
      </c>
      <c r="S1726" t="n">
        <v>0.02365927938315784</v>
      </c>
      <c r="T1726" s="42">
        <f>HIPERLINK($A$1 &amp; "\Dados\Imagem_perfil_1726.png", "Imagem_perfil_1726")</f>
        <v/>
      </c>
      <c r="U1726" s="42">
        <f>HIPERLINK($A$1 &amp; "\Dados\Results_airgap1726.txt", "Results_airgap1726")</f>
        <v/>
      </c>
      <c r="W1726" t="n">
        <v>1.897425217391304</v>
      </c>
      <c r="X1726" t="n">
        <v>0.8877128292495884</v>
      </c>
      <c r="Y1726" t="n">
        <v>0.3243506140891466</v>
      </c>
      <c r="Z1726" t="n">
        <v>0.02050973675873578</v>
      </c>
      <c r="AA1726" t="n">
        <v>5.77897435555142</v>
      </c>
      <c r="AB1726" t="n">
        <v>1.016532249894542</v>
      </c>
      <c r="AC1726" t="n">
        <v>18.259409581839</v>
      </c>
      <c r="AD1726" t="n">
        <v>65.94246085078969</v>
      </c>
      <c r="AE1726" t="n">
        <v>99.14351385827942</v>
      </c>
      <c r="AF1726" t="n">
        <v>130.9586616305991</v>
      </c>
      <c r="AH1726" s="42">
        <f>HIPERLINK($A$1 &amp; "\Dados\Magnet_fields_1726.txt.txt", "Magnet_fields_1726.txt")</f>
        <v/>
      </c>
      <c r="AI1726" t="n">
        <v>9697</v>
      </c>
      <c r="AJ1726" t="n">
        <v>30</v>
      </c>
      <c r="AK1726" s="42">
        <f>HIPERLINK($A$1 &amp; "\Dados\Magnet_3D_results_1726.txt.txt", "Magnet_3D_results_1726.txt")</f>
        <v/>
      </c>
      <c r="AL1726" s="42">
        <f>HIPERLINK($A$1 &amp; "\Dados\Magnet_fields_2D_1726.txt.txt", "Magnet_fields_2D_1726.txt")</f>
        <v/>
      </c>
    </row>
    <row r="1727">
      <c r="E1727" t="n">
        <v>131</v>
      </c>
      <c r="F1727" t="n">
        <v>173</v>
      </c>
      <c r="G1727" t="n">
        <v>370</v>
      </c>
      <c r="H1727" t="n">
        <v>25</v>
      </c>
      <c r="I1727" t="n">
        <v>171</v>
      </c>
      <c r="J1727" t="n">
        <v>25</v>
      </c>
      <c r="K1727" t="n">
        <v>50</v>
      </c>
      <c r="L1727" t="n">
        <v>2.6</v>
      </c>
      <c r="N1727" t="n">
        <v>1.432081592237414</v>
      </c>
      <c r="O1727" t="n">
        <v>1.229359655939917</v>
      </c>
      <c r="P1727" t="n">
        <v>1.371667415474922</v>
      </c>
      <c r="Q1727" t="n">
        <v>0.005691247678026216</v>
      </c>
      <c r="R1727" t="n">
        <v>0.03819703920983995</v>
      </c>
      <c r="S1727" t="n">
        <v>0.005883025656862419</v>
      </c>
      <c r="T1727" s="42">
        <f>HIPERLINK($A$1 &amp; "\Dados\Imagem_perfil_1727.png", "Imagem_perfil_1727")</f>
        <v/>
      </c>
      <c r="U1727" s="42">
        <f>HIPERLINK($A$1 &amp; "\Dados\Results_airgap1727.txt", "Results_airgap1727")</f>
        <v/>
      </c>
      <c r="W1727" t="n">
        <v>1.827440869565217</v>
      </c>
      <c r="X1727" t="n">
        <v>0.9053109446312712</v>
      </c>
      <c r="Y1727" t="n">
        <v>0.4177505774720578</v>
      </c>
      <c r="Z1727" t="n">
        <v>0.001121355820673028</v>
      </c>
      <c r="AA1727" t="n">
        <v>4.79031132106607</v>
      </c>
      <c r="AB1727" t="n">
        <v>1.846619066886106</v>
      </c>
      <c r="AC1727" t="n">
        <v>13.43555831928507</v>
      </c>
      <c r="AD1727" t="n">
        <v>48.59685183921008</v>
      </c>
      <c r="AE1727" t="n">
        <v>87.21320636866341</v>
      </c>
      <c r="AF1727" t="n">
        <v>121.0297109683454</v>
      </c>
      <c r="AH1727" s="42">
        <f>HIPERLINK($A$1 &amp; "\Dados\Magnet_fields_1727.txt.txt", "Magnet_fields_1727.txt")</f>
        <v/>
      </c>
      <c r="AI1727" t="n">
        <v>9960</v>
      </c>
      <c r="AJ1727" t="n">
        <v>30</v>
      </c>
      <c r="AK1727" s="42">
        <f>HIPERLINK($A$1 &amp; "\Dados\Magnet_3D_results_1727.txt.txt", "Magnet_3D_results_1727.txt")</f>
        <v/>
      </c>
      <c r="AL1727" s="42">
        <f>HIPERLINK($A$1 &amp; "\Dados\Magnet_fields_2D_1727.txt.txt", "Magnet_fields_2D_1727.txt")</f>
        <v/>
      </c>
    </row>
    <row r="1728">
      <c r="E1728" t="n">
        <v>146</v>
      </c>
      <c r="F1728" t="n">
        <v>194</v>
      </c>
      <c r="G1728" t="n">
        <v>363</v>
      </c>
      <c r="H1728" t="n">
        <v>38</v>
      </c>
      <c r="I1728" t="n">
        <v>168</v>
      </c>
      <c r="J1728" t="n">
        <v>25</v>
      </c>
      <c r="K1728" t="n">
        <v>45</v>
      </c>
      <c r="L1728" t="n">
        <v>2.6</v>
      </c>
      <c r="N1728" t="n">
        <v>1.232221002509083</v>
      </c>
      <c r="O1728" t="n">
        <v>1.045188183811975</v>
      </c>
      <c r="P1728" t="n">
        <v>1.17916079311283</v>
      </c>
      <c r="Q1728" t="n">
        <v>0.001691855088326678</v>
      </c>
      <c r="R1728" t="n">
        <v>0.02888441234447342</v>
      </c>
      <c r="S1728" t="n">
        <v>0.002106187188345692</v>
      </c>
      <c r="T1728" s="42">
        <f>HIPERLINK($A$1 &amp; "\Dados\Imagem_perfil_1728.png", "Imagem_perfil_1728")</f>
        <v/>
      </c>
      <c r="U1728" s="42">
        <f>HIPERLINK($A$1 &amp; "\Dados\Results_airgap1728.txt", "Results_airgap1728")</f>
        <v/>
      </c>
      <c r="W1728" t="n">
        <v>1.543256956521739</v>
      </c>
      <c r="X1728" t="n">
        <v>0.7950033265512129</v>
      </c>
      <c r="Y1728" t="n">
        <v>0.7286024641583478</v>
      </c>
      <c r="Z1728" t="n">
        <v>0</v>
      </c>
      <c r="AA1728" t="n">
        <v>0.05533340555424993</v>
      </c>
      <c r="AB1728" t="n">
        <v>0</v>
      </c>
      <c r="AC1728" t="n">
        <v>6.443705752677817</v>
      </c>
      <c r="AD1728" t="n">
        <v>39.82514937011742</v>
      </c>
      <c r="AE1728" t="n">
        <v>83.27452043418387</v>
      </c>
      <c r="AF1728" t="n">
        <v>116.5927562138672</v>
      </c>
      <c r="AH1728" s="42">
        <f>HIPERLINK($A$1 &amp; "\Dados\Magnet_fields_1728.txt.txt", "Magnet_fields_1728.txt")</f>
        <v/>
      </c>
      <c r="AI1728" t="n">
        <v>7010</v>
      </c>
      <c r="AJ1728" t="n">
        <v>28</v>
      </c>
      <c r="AK1728" s="42">
        <f>HIPERLINK($A$1 &amp; "\Dados\Magnet_3D_results_1728.txt.txt", "Magnet_3D_results_1728.txt")</f>
        <v/>
      </c>
      <c r="AL1728" s="42">
        <f>HIPERLINK($A$1 &amp; "\Dados\Magnet_fields_2D_1728.txt.txt", "Magnet_fields_2D_1728.txt")</f>
        <v/>
      </c>
    </row>
    <row r="1729">
      <c r="E1729" t="n">
        <v>135</v>
      </c>
      <c r="F1729" t="n">
        <v>176</v>
      </c>
      <c r="G1729" t="n">
        <v>425</v>
      </c>
      <c r="H1729" t="n">
        <v>34</v>
      </c>
      <c r="I1729" t="n">
        <v>153</v>
      </c>
      <c r="J1729" t="n">
        <v>25</v>
      </c>
      <c r="K1729" t="n">
        <v>40</v>
      </c>
      <c r="L1729" t="n">
        <v>2.6</v>
      </c>
      <c r="N1729" t="n">
        <v>1.417973873464609</v>
      </c>
      <c r="O1729" t="n">
        <v>1.164069896596669</v>
      </c>
      <c r="P1729" t="n">
        <v>1.3395685917413</v>
      </c>
      <c r="Q1729" t="n">
        <v>0.001676915916169512</v>
      </c>
      <c r="R1729" t="n">
        <v>0.03947267021684597</v>
      </c>
      <c r="S1729" t="n">
        <v>0.002160380651986646</v>
      </c>
      <c r="T1729" s="42">
        <f>HIPERLINK($A$1 &amp; "\Dados\Imagem_perfil_1729.png", "Imagem_perfil_1729")</f>
        <v/>
      </c>
      <c r="U1729" s="42">
        <f>HIPERLINK($A$1 &amp; "\Dados\Results_airgap1729.txt", "Results_airgap1729")</f>
        <v/>
      </c>
      <c r="W1729" t="n">
        <v>1.85315152173913</v>
      </c>
      <c r="X1729" t="n">
        <v>0.9035033978474152</v>
      </c>
      <c r="Y1729" t="n">
        <v>0.5262558389662942</v>
      </c>
      <c r="Z1729" t="n">
        <v>0.004726414869182314</v>
      </c>
      <c r="AA1729" t="n">
        <v>0.6767325360304537</v>
      </c>
      <c r="AB1729" t="n">
        <v>2.474750558224063</v>
      </c>
      <c r="AC1729" t="n">
        <v>11.43762726850154</v>
      </c>
      <c r="AD1729" t="n">
        <v>36.70041924299441</v>
      </c>
      <c r="AE1729" t="n">
        <v>78.15989433963219</v>
      </c>
      <c r="AF1729" t="n">
        <v>113.3114845655758</v>
      </c>
      <c r="AH1729" s="42">
        <f>HIPERLINK($A$1 &amp; "\Dados\Magnet_fields_1729.txt.txt", "Magnet_fields_1729.txt")</f>
        <v/>
      </c>
      <c r="AI1729" t="n">
        <v>8720</v>
      </c>
      <c r="AJ1729" t="n">
        <v>29</v>
      </c>
      <c r="AK1729" s="42">
        <f>HIPERLINK($A$1 &amp; "\Dados\Magnet_3D_results_1729.txt.txt", "Magnet_3D_results_1729.txt")</f>
        <v/>
      </c>
      <c r="AL1729" s="42">
        <f>HIPERLINK($A$1 &amp; "\Dados\Magnet_fields_2D_1729.txt.txt", "Magnet_fields_2D_1729.txt")</f>
        <v/>
      </c>
    </row>
    <row r="1730">
      <c r="E1730" t="n">
        <v>147</v>
      </c>
      <c r="F1730" t="n">
        <v>181</v>
      </c>
      <c r="G1730" t="n">
        <v>419</v>
      </c>
      <c r="H1730" t="n">
        <v>25</v>
      </c>
      <c r="I1730" t="n">
        <v>161</v>
      </c>
      <c r="J1730" t="n">
        <v>25</v>
      </c>
      <c r="K1730" t="n">
        <v>45</v>
      </c>
      <c r="L1730" t="n">
        <v>2.6</v>
      </c>
      <c r="N1730" t="n">
        <v>1.583566116555657</v>
      </c>
      <c r="O1730" t="n">
        <v>1.366131489143099</v>
      </c>
      <c r="P1730" t="n">
        <v>1.525021800287336</v>
      </c>
      <c r="Q1730" t="n">
        <v>0.003724787319018841</v>
      </c>
      <c r="R1730" t="n">
        <v>0.03802244698367035</v>
      </c>
      <c r="S1730" t="n">
        <v>0.00389956650138646</v>
      </c>
      <c r="T1730" s="42">
        <f>HIPERLINK($A$1 &amp; "\Dados\Imagem_perfil_1730.png", "Imagem_perfil_1730")</f>
        <v/>
      </c>
      <c r="U1730" s="42">
        <f>HIPERLINK($A$1 &amp; "\Dados\Results_airgap1730.txt", "Results_airgap1730")</f>
        <v/>
      </c>
      <c r="W1730" t="n">
        <v>2.043686956521739</v>
      </c>
      <c r="X1730" t="n">
        <v>0.991070430234859</v>
      </c>
      <c r="Y1730" t="n">
        <v>0.2300847014341094</v>
      </c>
      <c r="Z1730" t="n">
        <v>0.003167757983290077</v>
      </c>
      <c r="AA1730" t="n">
        <v>3.52727106398976</v>
      </c>
      <c r="AB1730" t="n">
        <v>0.3556320981928788</v>
      </c>
      <c r="AC1730" t="n">
        <v>8.175382479721291</v>
      </c>
      <c r="AD1730" t="n">
        <v>46.95294851079115</v>
      </c>
      <c r="AE1730" t="n">
        <v>88.77306844770006</v>
      </c>
      <c r="AF1730" t="n">
        <v>119.1008507136599</v>
      </c>
      <c r="AH1730" s="42">
        <f>HIPERLINK($A$1 &amp; "\Dados\Magnet_fields_1730.txt.txt", "Magnet_fields_1730.txt")</f>
        <v/>
      </c>
      <c r="AI1730" t="n">
        <v>10461</v>
      </c>
      <c r="AJ1730" t="n">
        <v>30</v>
      </c>
      <c r="AK1730" s="42">
        <f>HIPERLINK($A$1 &amp; "\Dados\Magnet_3D_results_1730.txt.txt", "Magnet_3D_results_1730.txt")</f>
        <v/>
      </c>
      <c r="AL1730" s="42">
        <f>HIPERLINK($A$1 &amp; "\Dados\Magnet_fields_2D_1730.txt.txt", "Magnet_fields_2D_1730.txt")</f>
        <v/>
      </c>
    </row>
    <row r="1731">
      <c r="E1731" t="n">
        <v>136</v>
      </c>
      <c r="F1731" t="n">
        <v>186</v>
      </c>
      <c r="G1731" t="n">
        <v>400</v>
      </c>
      <c r="H1731" t="n">
        <v>42</v>
      </c>
      <c r="I1731" t="n">
        <v>142</v>
      </c>
      <c r="J1731" t="n">
        <v>25</v>
      </c>
      <c r="K1731" t="n">
        <v>45</v>
      </c>
      <c r="L1731" t="n">
        <v>2.6</v>
      </c>
      <c r="N1731" t="n">
        <v>1.247545478527284</v>
      </c>
      <c r="O1731" t="n">
        <v>0.9686683523353509</v>
      </c>
      <c r="P1731" t="n">
        <v>1.165061576852879</v>
      </c>
      <c r="Q1731" t="n">
        <v>0.002985782791676864</v>
      </c>
      <c r="R1731" t="n">
        <v>0.04146335423339327</v>
      </c>
      <c r="S1731" t="n">
        <v>0.004124243244970709</v>
      </c>
      <c r="T1731" s="42">
        <f>HIPERLINK($A$1 &amp; "\Dados\Imagem_perfil_1731.png", "Imagem_perfil_1731")</f>
        <v/>
      </c>
      <c r="U1731" s="42">
        <f>HIPERLINK($A$1 &amp; "\Dados\Results_airgap1731.txt", "Results_airgap1731")</f>
        <v/>
      </c>
      <c r="W1731" t="n">
        <v>1.711970652173913</v>
      </c>
      <c r="X1731" t="n">
        <v>0.8234555156424638</v>
      </c>
      <c r="Y1731" t="n">
        <v>0.5780075628827488</v>
      </c>
      <c r="Z1731" t="n">
        <v>0</v>
      </c>
      <c r="AA1731" t="n">
        <v>0</v>
      </c>
      <c r="AB1731" t="n">
        <v>1.804244240745214</v>
      </c>
      <c r="AC1731" t="n">
        <v>11.19287508190204</v>
      </c>
      <c r="AD1731" t="n">
        <v>44.7029442159842</v>
      </c>
      <c r="AE1731" t="n">
        <v>86.46288866423126</v>
      </c>
      <c r="AF1731" t="n">
        <v>118.2337878099427</v>
      </c>
      <c r="AH1731" s="42">
        <f>HIPERLINK($A$1 &amp; "\Dados\Magnet_fields_1731.txt.txt", "Magnet_fields_1731.txt")</f>
        <v/>
      </c>
      <c r="AI1731" t="n">
        <v>6267</v>
      </c>
      <c r="AJ1731" t="n">
        <v>28</v>
      </c>
      <c r="AK1731" s="42">
        <f>HIPERLINK($A$1 &amp; "\Dados\Magnet_3D_results_1731.txt.txt", "Magnet_3D_results_1731.txt")</f>
        <v/>
      </c>
      <c r="AL1731" s="42">
        <f>HIPERLINK($A$1 &amp; "\Dados\Magnet_fields_2D_1731.txt.txt", "Magnet_fields_2D_1731.txt")</f>
        <v/>
      </c>
    </row>
    <row r="1732">
      <c r="E1732" t="n">
        <v>135</v>
      </c>
      <c r="F1732" t="n">
        <v>173</v>
      </c>
      <c r="G1732" t="n">
        <v>421</v>
      </c>
      <c r="H1732" t="n">
        <v>32</v>
      </c>
      <c r="I1732" t="n">
        <v>172</v>
      </c>
      <c r="J1732" t="n">
        <v>25</v>
      </c>
      <c r="K1732" t="n">
        <v>60</v>
      </c>
      <c r="L1732" t="n">
        <v>2.6</v>
      </c>
      <c r="N1732" t="n">
        <v>1.646266329025984</v>
      </c>
      <c r="O1732" t="n">
        <v>1.444014031164199</v>
      </c>
      <c r="P1732" t="n">
        <v>1.584307921694314</v>
      </c>
      <c r="Q1732" t="n">
        <v>0.02998543465579504</v>
      </c>
      <c r="R1732" t="n">
        <v>0.07072542103866335</v>
      </c>
      <c r="S1732" t="n">
        <v>0.02814787301782719</v>
      </c>
      <c r="T1732" s="42">
        <f>HIPERLINK($A$1 &amp; "\Dados\Imagem_perfil_1732.png", "Imagem_perfil_1732")</f>
        <v/>
      </c>
      <c r="U1732" s="42">
        <f>HIPERLINK($A$1 &amp; "\Dados\Results_airgap1732.txt", "Results_airgap1732")</f>
        <v/>
      </c>
      <c r="W1732" t="n">
        <v>2.197372826086956</v>
      </c>
      <c r="X1732" t="n">
        <v>1.041827797524988</v>
      </c>
      <c r="Y1732" t="n">
        <v>0.1156601178891707</v>
      </c>
      <c r="Z1732" t="n">
        <v>0.02242444845278843</v>
      </c>
      <c r="AA1732" t="n">
        <v>1.210351145519138</v>
      </c>
      <c r="AB1732" t="n">
        <v>1.113949067080872</v>
      </c>
      <c r="AC1732" t="n">
        <v>20.67298944490493</v>
      </c>
      <c r="AD1732" t="n">
        <v>71.68644510806338</v>
      </c>
      <c r="AE1732" t="n">
        <v>101.9675208614954</v>
      </c>
      <c r="AF1732" t="n">
        <v>132.7616922446398</v>
      </c>
      <c r="AH1732" s="42">
        <f>HIPERLINK($A$1 &amp; "\Dados\Magnet_fields_1732.txt.txt", "Magnet_fields_1732.txt")</f>
        <v/>
      </c>
      <c r="AI1732" t="n">
        <v>9003</v>
      </c>
      <c r="AJ1732" t="n">
        <v>30</v>
      </c>
      <c r="AK1732" s="42">
        <f>HIPERLINK($A$1 &amp; "\Dados\Magnet_3D_results_1732.txt.txt", "Magnet_3D_results_1732.txt")</f>
        <v/>
      </c>
      <c r="AL1732" s="42">
        <f>HIPERLINK($A$1 &amp; "\Dados\Magnet_fields_2D_1732.txt.txt", "Magnet_fields_2D_1732.txt")</f>
        <v/>
      </c>
    </row>
    <row r="1733">
      <c r="E1733" t="n">
        <v>150</v>
      </c>
      <c r="F1733" t="n">
        <v>190</v>
      </c>
      <c r="G1733" t="n">
        <v>394</v>
      </c>
      <c r="H1733" t="n">
        <v>41</v>
      </c>
      <c r="I1733" t="n">
        <v>143</v>
      </c>
      <c r="J1733" t="n">
        <v>25</v>
      </c>
      <c r="K1733" t="n">
        <v>50</v>
      </c>
      <c r="L1733" t="n">
        <v>2.6</v>
      </c>
      <c r="N1733" t="n">
        <v>1.371939816407982</v>
      </c>
      <c r="O1733" t="n">
        <v>1.092548083759328</v>
      </c>
      <c r="P1733" t="n">
        <v>1.284798226695536</v>
      </c>
      <c r="Q1733" t="n">
        <v>0.004266502695943544</v>
      </c>
      <c r="R1733" t="n">
        <v>0.03799257673493361</v>
      </c>
      <c r="S1733" t="n">
        <v>0.004574072189523889</v>
      </c>
      <c r="T1733" s="42">
        <f>HIPERLINK($A$1 &amp; "\Dados\Imagem_perfil_1733.png", "Imagem_perfil_1733")</f>
        <v/>
      </c>
      <c r="U1733" s="42">
        <f>HIPERLINK($A$1 &amp; "\Dados\Results_airgap1733.txt", "Results_airgap1733")</f>
        <v/>
      </c>
      <c r="W1733" t="n">
        <v>1.828914347826087</v>
      </c>
      <c r="X1733" t="n">
        <v>0.9350330658251187</v>
      </c>
      <c r="Y1733" t="n">
        <v>0.3735267548071521</v>
      </c>
      <c r="Z1733" t="n">
        <v>0</v>
      </c>
      <c r="AA1733" t="n">
        <v>0.09328728173662897</v>
      </c>
      <c r="AB1733" t="n">
        <v>0</v>
      </c>
      <c r="AC1733" t="n">
        <v>5.203000123967947</v>
      </c>
      <c r="AD1733" t="n">
        <v>48.21708819310632</v>
      </c>
      <c r="AE1733" t="n">
        <v>92.21107184228735</v>
      </c>
      <c r="AF1733" t="n">
        <v>122.4949661479053</v>
      </c>
      <c r="AH1733" s="42">
        <f>HIPERLINK($A$1 &amp; "\Dados\Magnet_fields_1733.txt.txt", "Magnet_fields_1733.txt")</f>
        <v/>
      </c>
      <c r="AI1733" t="n">
        <v>7099</v>
      </c>
      <c r="AJ1733" t="n">
        <v>29</v>
      </c>
      <c r="AK1733" s="42">
        <f>HIPERLINK($A$1 &amp; "\Dados\Magnet_3D_results_1733.txt.txt", "Magnet_3D_results_1733.txt")</f>
        <v/>
      </c>
      <c r="AL1733" s="42">
        <f>HIPERLINK($A$1 &amp; "\Dados\Magnet_fields_2D_1733.txt.txt", "Magnet_fields_2D_1733.txt")</f>
        <v/>
      </c>
    </row>
    <row r="1734">
      <c r="E1734" t="n">
        <v>133</v>
      </c>
      <c r="F1734" t="n">
        <v>172</v>
      </c>
      <c r="G1734" t="n">
        <v>416</v>
      </c>
      <c r="H1734" t="n">
        <v>27</v>
      </c>
      <c r="I1734" t="n">
        <v>145</v>
      </c>
      <c r="J1734" t="n">
        <v>25</v>
      </c>
      <c r="K1734" t="n">
        <v>55</v>
      </c>
      <c r="L1734" t="n">
        <v>2.6</v>
      </c>
      <c r="N1734" t="n">
        <v>1.51917163310952</v>
      </c>
      <c r="O1734" t="n">
        <v>1.2125695912544</v>
      </c>
      <c r="P1734" t="n">
        <v>1.423204105047025</v>
      </c>
      <c r="Q1734" t="n">
        <v>0.01328555094441151</v>
      </c>
      <c r="R1734" t="n">
        <v>0.05673662766166841</v>
      </c>
      <c r="S1734" t="n">
        <v>0.01422144571226934</v>
      </c>
      <c r="T1734" s="42">
        <f>HIPERLINK($A$1 &amp; "\Dados\Imagem_perfil_1734.png", "Imagem_perfil_1734")</f>
        <v/>
      </c>
      <c r="U1734" s="42">
        <f>HIPERLINK($A$1 &amp; "\Dados\Results_airgap1734.txt", "Results_airgap1734")</f>
        <v/>
      </c>
      <c r="W1734" t="n">
        <v>2.122007391304348</v>
      </c>
      <c r="X1734" t="n">
        <v>0.9991946852263415</v>
      </c>
      <c r="Y1734" t="n">
        <v>0.1675977579172254</v>
      </c>
      <c r="Z1734" t="n">
        <v>0</v>
      </c>
      <c r="AA1734" t="n">
        <v>4.3734552382189</v>
      </c>
      <c r="AB1734" t="n">
        <v>2.188605343581848</v>
      </c>
      <c r="AC1734" t="n">
        <v>17.05424968319605</v>
      </c>
      <c r="AD1734" t="n">
        <v>58.52977520685272</v>
      </c>
      <c r="AE1734" t="n">
        <v>94.86184177088228</v>
      </c>
      <c r="AF1734" t="n">
        <v>127.0043626370106</v>
      </c>
      <c r="AH1734" s="42">
        <f>HIPERLINK($A$1 &amp; "\Dados\Magnet_fields_1734.txt.txt", "Magnet_fields_1734.txt")</f>
        <v/>
      </c>
      <c r="AI1734" t="n">
        <v>12380</v>
      </c>
      <c r="AJ1734" t="n">
        <v>31</v>
      </c>
      <c r="AK1734" s="42">
        <f>HIPERLINK($A$1 &amp; "\Dados\Magnet_3D_results_1734.txt.txt", "Magnet_3D_results_1734.txt")</f>
        <v/>
      </c>
      <c r="AL1734" s="42">
        <f>HIPERLINK($A$1 &amp; "\Dados\Magnet_fields_2D_1734.txt.txt", "Magnet_fields_2D_1734.txt")</f>
        <v/>
      </c>
    </row>
    <row r="1735">
      <c r="E1735" t="n">
        <v>135</v>
      </c>
      <c r="F1735" t="n">
        <v>180</v>
      </c>
      <c r="G1735" t="n">
        <v>370</v>
      </c>
      <c r="H1735" t="n">
        <v>36</v>
      </c>
      <c r="I1735" t="n">
        <v>161</v>
      </c>
      <c r="J1735" t="n">
        <v>25</v>
      </c>
      <c r="K1735" t="n">
        <v>45</v>
      </c>
      <c r="L1735" t="n">
        <v>2.6</v>
      </c>
      <c r="N1735" t="n">
        <v>1.332441891263992</v>
      </c>
      <c r="O1735" t="n">
        <v>1.125842940857767</v>
      </c>
      <c r="P1735" t="n">
        <v>1.274568123384752</v>
      </c>
      <c r="Q1735" t="n">
        <v>0.002588559668156068</v>
      </c>
      <c r="R1735" t="n">
        <v>0.03501047746744616</v>
      </c>
      <c r="S1735" t="n">
        <v>0.002823255160464992</v>
      </c>
      <c r="T1735" s="42">
        <f>HIPERLINK($A$1 &amp; "\Dados\Imagem_perfil_1735.png", "Imagem_perfil_1735")</f>
        <v/>
      </c>
      <c r="U1735" s="42">
        <f>HIPERLINK($A$1 &amp; "\Dados\Results_airgap1735.txt", "Results_airgap1735")</f>
        <v/>
      </c>
      <c r="W1735" t="n">
        <v>1.696645434782609</v>
      </c>
      <c r="X1735" t="n">
        <v>0.8380397844189512</v>
      </c>
      <c r="Y1735" t="n">
        <v>0.5960407529996409</v>
      </c>
      <c r="Z1735" t="n">
        <v>0</v>
      </c>
      <c r="AA1735" t="n">
        <v>0.0450937188214683</v>
      </c>
      <c r="AB1735" t="n">
        <v>1.904300222660948</v>
      </c>
      <c r="AC1735" t="n">
        <v>12.02873439852987</v>
      </c>
      <c r="AD1735" t="n">
        <v>42.20123941319135</v>
      </c>
      <c r="AE1735" t="n">
        <v>81.4777785537438</v>
      </c>
      <c r="AF1735" t="n">
        <v>116.221130766235</v>
      </c>
      <c r="AH1735" s="42">
        <f>HIPERLINK($A$1 &amp; "\Dados\Magnet_fields_1735.txt.txt", "Magnet_fields_1735.txt")</f>
        <v/>
      </c>
      <c r="AI1735" t="n">
        <v>6770</v>
      </c>
      <c r="AJ1735" t="n">
        <v>29</v>
      </c>
      <c r="AK1735" s="42">
        <f>HIPERLINK($A$1 &amp; "\Dados\Magnet_3D_results_1735.txt.txt", "Magnet_3D_results_1735.txt")</f>
        <v/>
      </c>
      <c r="AL1735" s="42">
        <f>HIPERLINK($A$1 &amp; "\Dados\Magnet_fields_2D_1735.txt.txt", "Magnet_fields_2D_1735.txt")</f>
        <v/>
      </c>
    </row>
    <row r="1736">
      <c r="E1736" t="n">
        <v>142</v>
      </c>
      <c r="F1736" t="n">
        <v>172</v>
      </c>
      <c r="G1736" t="n">
        <v>383</v>
      </c>
      <c r="H1736" t="n">
        <v>42</v>
      </c>
      <c r="I1736" t="n">
        <v>177</v>
      </c>
      <c r="J1736" t="n">
        <v>25</v>
      </c>
      <c r="K1736" t="n">
        <v>45</v>
      </c>
      <c r="L1736" t="n">
        <v>2.6</v>
      </c>
      <c r="N1736" t="n">
        <v>1.648657962476257</v>
      </c>
      <c r="O1736" t="n">
        <v>1.480798356646948</v>
      </c>
      <c r="P1736" t="n">
        <v>1.599187145487974</v>
      </c>
      <c r="Q1736" t="n">
        <v>0.004583803558726236</v>
      </c>
      <c r="R1736" t="n">
        <v>0.0358011293767501</v>
      </c>
      <c r="S1736" t="n">
        <v>0.004632167729837061</v>
      </c>
      <c r="T1736" s="42">
        <f>HIPERLINK($A$1 &amp; "\Dados\Imagem_perfil_1736.png", "Imagem_perfil_1736")</f>
        <v/>
      </c>
      <c r="U1736" s="42">
        <f>HIPERLINK($A$1 &amp; "\Dados\Results_airgap1736.txt", "Results_airgap1736")</f>
        <v/>
      </c>
      <c r="W1736" t="n">
        <v>1.990646086956522</v>
      </c>
      <c r="X1736" t="n">
        <v>1.013134472764966</v>
      </c>
      <c r="Y1736" t="n">
        <v>0.2618096600827856</v>
      </c>
      <c r="Z1736" t="n">
        <v>0</v>
      </c>
      <c r="AA1736" t="n">
        <v>0.06558328220323585</v>
      </c>
      <c r="AB1736" t="n">
        <v>0</v>
      </c>
      <c r="AC1736" t="n">
        <v>4.600694637179064</v>
      </c>
      <c r="AD1736" t="n">
        <v>38.86322981635934</v>
      </c>
      <c r="AE1736" t="n">
        <v>85.99130264351123</v>
      </c>
      <c r="AF1736" t="n">
        <v>118.4570116118424</v>
      </c>
      <c r="AH1736" s="42">
        <f>HIPERLINK($A$1 &amp; "\Dados\Magnet_fields_1736.txt.txt", "Magnet_fields_1736.txt")</f>
        <v/>
      </c>
      <c r="AI1736" t="n">
        <v>6695</v>
      </c>
      <c r="AJ1736" t="n">
        <v>28</v>
      </c>
      <c r="AK1736" s="42">
        <f>HIPERLINK($A$1 &amp; "\Dados\Magnet_3D_results_1736.txt.txt", "Magnet_3D_results_1736.txt")</f>
        <v/>
      </c>
      <c r="AL1736" s="42">
        <f>HIPERLINK($A$1 &amp; "\Dados\Magnet_fields_2D_1736.txt.txt", "Magnet_fields_2D_1736.txt")</f>
        <v/>
      </c>
    </row>
    <row r="1737">
      <c r="E1737" t="n">
        <v>148</v>
      </c>
      <c r="F1737" t="n">
        <v>181</v>
      </c>
      <c r="G1737" t="n">
        <v>417</v>
      </c>
      <c r="H1737" t="n">
        <v>31</v>
      </c>
      <c r="I1737" t="n">
        <v>143</v>
      </c>
      <c r="J1737" t="n">
        <v>25</v>
      </c>
      <c r="K1737" t="n">
        <v>45</v>
      </c>
      <c r="L1737" t="n">
        <v>2.6</v>
      </c>
      <c r="N1737" t="n">
        <v>1.549000746648922</v>
      </c>
      <c r="O1737" t="n">
        <v>1.239406975223365</v>
      </c>
      <c r="P1737" t="n">
        <v>1.461184686453651</v>
      </c>
      <c r="Q1737" t="n">
        <v>0.003840004714051053</v>
      </c>
      <c r="R1737" t="n">
        <v>0.03752564073864461</v>
      </c>
      <c r="S1737" t="n">
        <v>0.004077657094781371</v>
      </c>
      <c r="T1737" s="42">
        <f>HIPERLINK($A$1 &amp; "\Dados\Imagem_perfil_1737.png", "Imagem_perfil_1737")</f>
        <v/>
      </c>
      <c r="U1737" s="42">
        <f>HIPERLINK($A$1 &amp; "\Dados\Results_airgap1737.txt", "Results_airgap1737")</f>
        <v/>
      </c>
      <c r="W1737" t="n">
        <v>2.050005</v>
      </c>
      <c r="X1737" t="n">
        <v>0.9930860285729907</v>
      </c>
      <c r="Y1737" t="n">
        <v>0.2205064820093615</v>
      </c>
      <c r="Z1737" t="n">
        <v>0</v>
      </c>
      <c r="AA1737" t="n">
        <v>1.393479621998631</v>
      </c>
      <c r="AB1737" t="n">
        <v>0.320547898082512</v>
      </c>
      <c r="AC1737" t="n">
        <v>7.227308117492798</v>
      </c>
      <c r="AD1737" t="n">
        <v>46.55902508371901</v>
      </c>
      <c r="AE1737" t="n">
        <v>89.04012678748542</v>
      </c>
      <c r="AF1737" t="n">
        <v>119.1897025491413</v>
      </c>
      <c r="AH1737" s="42">
        <f>HIPERLINK($A$1 &amp; "\Dados\Magnet_fields_1737.txt.txt", "Magnet_fields_1737.txt")</f>
        <v/>
      </c>
      <c r="AI1737" t="n">
        <v>8005</v>
      </c>
      <c r="AJ1737" t="n">
        <v>30</v>
      </c>
      <c r="AK1737" s="42">
        <f>HIPERLINK($A$1 &amp; "\Dados\Magnet_3D_results_1737.txt.txt", "Magnet_3D_results_1737.txt")</f>
        <v/>
      </c>
      <c r="AL1737" s="42">
        <f>HIPERLINK($A$1 &amp; "\Dados\Magnet_fields_2D_1737.txt.txt", "Magnet_fields_2D_1737.txt")</f>
        <v/>
      </c>
    </row>
    <row r="1738">
      <c r="E1738" t="n">
        <v>142</v>
      </c>
      <c r="F1738" t="n">
        <v>173</v>
      </c>
      <c r="G1738" t="n">
        <v>379</v>
      </c>
      <c r="H1738" t="n">
        <v>26</v>
      </c>
      <c r="I1738" t="n">
        <v>178</v>
      </c>
      <c r="J1738" t="n">
        <v>25</v>
      </c>
      <c r="K1738" t="n">
        <v>55</v>
      </c>
      <c r="L1738" t="n">
        <v>2.6</v>
      </c>
      <c r="N1738" t="n">
        <v>1.664207197951821</v>
      </c>
      <c r="O1738" t="n">
        <v>1.47719990343693</v>
      </c>
      <c r="P1738" t="n">
        <v>1.608309143018516</v>
      </c>
      <c r="Q1738" t="n">
        <v>0.01202840519879399</v>
      </c>
      <c r="R1738" t="n">
        <v>0.04015482359963149</v>
      </c>
      <c r="S1738" t="n">
        <v>0.01209174475390749</v>
      </c>
      <c r="T1738" s="42">
        <f>HIPERLINK($A$1 &amp; "\Dados\Imagem_perfil_1738.png", "Imagem_perfil_1738")</f>
        <v/>
      </c>
      <c r="U1738" s="42">
        <f>HIPERLINK($A$1 &amp; "\Dados\Results_airgap1738.txt", "Results_airgap1738")</f>
        <v/>
      </c>
      <c r="W1738" t="n">
        <v>2.072680652173913</v>
      </c>
      <c r="X1738" t="n">
        <v>1.016864229806395</v>
      </c>
      <c r="Y1738" t="n">
        <v>0.1588730206919175</v>
      </c>
      <c r="Z1738" t="n">
        <v>0.02142594750179654</v>
      </c>
      <c r="AA1738" t="n">
        <v>5.747670423482794</v>
      </c>
      <c r="AB1738" t="n">
        <v>0.3011651404419109</v>
      </c>
      <c r="AC1738" t="n">
        <v>13.29410198280075</v>
      </c>
      <c r="AD1738" t="n">
        <v>61.06101636113294</v>
      </c>
      <c r="AE1738" t="n">
        <v>96.79389475942374</v>
      </c>
      <c r="AF1738" t="n">
        <v>127.3329030924612</v>
      </c>
      <c r="AH1738" s="42">
        <f>HIPERLINK($A$1 &amp; "\Dados\Magnet_fields_1738.txt.txt", "Magnet_fields_1738.txt")</f>
        <v/>
      </c>
      <c r="AI1738" t="n">
        <v>13310</v>
      </c>
      <c r="AJ1738" t="n">
        <v>32</v>
      </c>
      <c r="AK1738" s="42">
        <f>HIPERLINK($A$1 &amp; "\Dados\Magnet_3D_results_1738.txt.txt", "Magnet_3D_results_1738.txt")</f>
        <v/>
      </c>
      <c r="AL1738" s="42">
        <f>HIPERLINK($A$1 &amp; "\Dados\Magnet_fields_2D_1738.txt.txt", "Magnet_fields_2D_1738.txt")</f>
        <v/>
      </c>
    </row>
    <row r="1739">
      <c r="E1739" t="n">
        <v>137</v>
      </c>
      <c r="F1739" t="n">
        <v>178</v>
      </c>
      <c r="G1739" t="n">
        <v>379</v>
      </c>
      <c r="H1739" t="n">
        <v>25</v>
      </c>
      <c r="I1739" t="n">
        <v>172</v>
      </c>
      <c r="J1739" t="n">
        <v>25</v>
      </c>
      <c r="K1739" t="n">
        <v>55</v>
      </c>
      <c r="L1739" t="n">
        <v>2.6</v>
      </c>
      <c r="N1739" t="n">
        <v>1.465822817849426</v>
      </c>
      <c r="O1739" t="n">
        <v>1.258399243202015</v>
      </c>
      <c r="P1739" t="n">
        <v>1.407428734223002</v>
      </c>
      <c r="Q1739" t="n">
        <v>0.009950435222138062</v>
      </c>
      <c r="R1739" t="n">
        <v>0.04125903823358364</v>
      </c>
      <c r="S1739" t="n">
        <v>0.01013076074336633</v>
      </c>
      <c r="T1739" s="42">
        <f>HIPERLINK($A$1 &amp; "\Dados\Imagem_perfil_1739.png", "Imagem_perfil_1739")</f>
        <v/>
      </c>
      <c r="U1739" s="42">
        <f>HIPERLINK($A$1 &amp; "\Dados\Results_airgap1739.txt", "Results_airgap1739")</f>
        <v/>
      </c>
      <c r="W1739" t="n">
        <v>1.891220869565218</v>
      </c>
      <c r="X1739" t="n">
        <v>0.9359149467496579</v>
      </c>
      <c r="Y1739" t="n">
        <v>0.3201264105069536</v>
      </c>
      <c r="Z1739" t="n">
        <v>0.01323234089063554</v>
      </c>
      <c r="AA1739" t="n">
        <v>6.361477764894875</v>
      </c>
      <c r="AB1739" t="n">
        <v>1.35048382390667</v>
      </c>
      <c r="AC1739" t="n">
        <v>15.39898708623338</v>
      </c>
      <c r="AD1739" t="n">
        <v>56.62325596086052</v>
      </c>
      <c r="AE1739" t="n">
        <v>92.83968638143264</v>
      </c>
      <c r="AF1739" t="n">
        <v>125.7006620178516</v>
      </c>
      <c r="AH1739" s="42">
        <f>HIPERLINK($A$1 &amp; "\Dados\Magnet_fields_1739.txt.txt", "Magnet_fields_1739.txt")</f>
        <v/>
      </c>
      <c r="AI1739" t="n">
        <v>13143</v>
      </c>
      <c r="AJ1739" t="n">
        <v>31</v>
      </c>
      <c r="AK1739" s="42">
        <f>HIPERLINK($A$1 &amp; "\Dados\Magnet_3D_results_1739.txt.txt", "Magnet_3D_results_1739.txt")</f>
        <v/>
      </c>
      <c r="AL1739" s="42">
        <f>HIPERLINK($A$1 &amp; "\Dados\Magnet_fields_2D_1739.txt.txt", "Magnet_fields_2D_1739.txt")</f>
        <v/>
      </c>
    </row>
    <row r="1740">
      <c r="E1740" t="n">
        <v>138</v>
      </c>
      <c r="F1740" t="n">
        <v>170</v>
      </c>
      <c r="G1740" t="n">
        <v>350</v>
      </c>
      <c r="H1740" t="n">
        <v>34</v>
      </c>
      <c r="I1740" t="n">
        <v>164</v>
      </c>
      <c r="J1740" t="n">
        <v>25</v>
      </c>
      <c r="K1740" t="n">
        <v>60</v>
      </c>
      <c r="L1740" t="n">
        <v>2.6</v>
      </c>
      <c r="N1740" t="n">
        <v>1.55218715846367</v>
      </c>
      <c r="O1740" t="n">
        <v>1.326051143936846</v>
      </c>
      <c r="P1740" t="n">
        <v>1.488601797817361</v>
      </c>
      <c r="Q1740" t="n">
        <v>0.0163314048353435</v>
      </c>
      <c r="R1740" t="n">
        <v>0.03966846374959583</v>
      </c>
      <c r="S1740" t="n">
        <v>0.0167034202315496</v>
      </c>
      <c r="T1740" s="42">
        <f>HIPERLINK($A$1 &amp; "\Dados\Imagem_perfil_1740.png", "Imagem_perfil_1740")</f>
        <v/>
      </c>
      <c r="U1740" s="42">
        <f>HIPERLINK($A$1 &amp; "\Dados\Results_airgap1740.txt", "Results_airgap1740")</f>
        <v/>
      </c>
      <c r="W1740" t="n">
        <v>1.950128043478261</v>
      </c>
      <c r="X1740" t="n">
        <v>0.97946623790403</v>
      </c>
      <c r="Y1740" t="n">
        <v>0.2329356585506215</v>
      </c>
      <c r="Z1740" t="n">
        <v>0.03321949022328318</v>
      </c>
      <c r="AA1740" t="n">
        <v>0.5401394608241543</v>
      </c>
      <c r="AB1740" t="n">
        <v>0</v>
      </c>
      <c r="AC1740" t="n">
        <v>15.72092444414767</v>
      </c>
      <c r="AD1740" t="n">
        <v>70.42837483707009</v>
      </c>
      <c r="AE1740" t="n">
        <v>100.6923781992079</v>
      </c>
      <c r="AF1740" t="n">
        <v>131.1170298328647</v>
      </c>
      <c r="AH1740" s="42">
        <f>HIPERLINK($A$1 &amp; "\Dados\Magnet_fields_1740.txt.txt", "Magnet_fields_1740.txt")</f>
        <v/>
      </c>
      <c r="AI1740" t="n">
        <v>8233</v>
      </c>
      <c r="AJ1740" t="n">
        <v>29</v>
      </c>
      <c r="AK1740" s="42">
        <f>HIPERLINK($A$1 &amp; "\Dados\Magnet_3D_results_1740.txt.txt", "Magnet_3D_results_1740.txt")</f>
        <v/>
      </c>
      <c r="AL1740" s="42">
        <f>HIPERLINK($A$1 &amp; "\Dados\Magnet_fields_2D_1740.txt.txt", "Magnet_fields_2D_1740.txt")</f>
        <v/>
      </c>
    </row>
    <row r="1741">
      <c r="E1741" t="n">
        <v>138</v>
      </c>
      <c r="F1741" t="n">
        <v>182</v>
      </c>
      <c r="G1741" t="n">
        <v>406</v>
      </c>
      <c r="H1741" t="n">
        <v>45</v>
      </c>
      <c r="I1741" t="n">
        <v>166</v>
      </c>
      <c r="J1741" t="n">
        <v>25</v>
      </c>
      <c r="K1741" t="n">
        <v>45</v>
      </c>
      <c r="L1741" t="n">
        <v>2.6</v>
      </c>
      <c r="N1741" t="n">
        <v>1.426452947061573</v>
      </c>
      <c r="O1741" t="n">
        <v>1.209431409205626</v>
      </c>
      <c r="P1741" t="n">
        <v>1.364041065645829</v>
      </c>
      <c r="Q1741" t="n">
        <v>0.002965503196228143</v>
      </c>
      <c r="R1741" t="n">
        <v>0.04338816080730453</v>
      </c>
      <c r="S1741" t="n">
        <v>0.003282953889929672</v>
      </c>
      <c r="T1741" s="42">
        <f>HIPERLINK($A$1 &amp; "\Dados\Imagem_perfil_1741.png", "Imagem_perfil_1741")</f>
        <v/>
      </c>
      <c r="U1741" s="42">
        <f>HIPERLINK($A$1 &amp; "\Dados\Results_airgap1741.txt", "Results_airgap1741")</f>
        <v/>
      </c>
      <c r="W1741" t="n">
        <v>1.836315</v>
      </c>
      <c r="X1741" t="n">
        <v>0.9128734822649711</v>
      </c>
      <c r="Y1741" t="n">
        <v>0.4641026542372561</v>
      </c>
      <c r="Z1741" t="n">
        <v>0.001685874375978986</v>
      </c>
      <c r="AA1741" t="n">
        <v>0</v>
      </c>
      <c r="AB1741" t="n">
        <v>2.195501840487644</v>
      </c>
      <c r="AC1741" t="n">
        <v>12.95430340486103</v>
      </c>
      <c r="AD1741" t="n">
        <v>43.26307549541145</v>
      </c>
      <c r="AE1741" t="n">
        <v>82.59396311925947</v>
      </c>
      <c r="AF1741" t="n">
        <v>116.9313407083975</v>
      </c>
      <c r="AH1741" s="42">
        <f>HIPERLINK($A$1 &amp; "\Dados\Magnet_fields_1741.txt.txt", "Magnet_fields_1741.txt")</f>
        <v/>
      </c>
      <c r="AI1741" t="n">
        <v>6418</v>
      </c>
      <c r="AJ1741" t="n">
        <v>28</v>
      </c>
      <c r="AK1741" s="42">
        <f>HIPERLINK($A$1 &amp; "\Dados\Magnet_3D_results_1741.txt.txt", "Magnet_3D_results_1741.txt")</f>
        <v/>
      </c>
      <c r="AL1741" s="42">
        <f>HIPERLINK($A$1 &amp; "\Dados\Magnet_fields_2D_1741.txt.txt", "Magnet_fields_2D_1741.txt")</f>
        <v/>
      </c>
    </row>
    <row r="1742">
      <c r="E1742" t="n">
        <v>137</v>
      </c>
      <c r="F1742" t="n">
        <v>180</v>
      </c>
      <c r="G1742" t="n">
        <v>379</v>
      </c>
      <c r="H1742" t="n">
        <v>35</v>
      </c>
      <c r="I1742" t="n">
        <v>163</v>
      </c>
      <c r="J1742" t="n">
        <v>25</v>
      </c>
      <c r="K1742" t="n">
        <v>60</v>
      </c>
      <c r="L1742" t="n">
        <v>2.6</v>
      </c>
      <c r="N1742" t="n">
        <v>1.414942611043071</v>
      </c>
      <c r="O1742" t="n">
        <v>1.206038295909219</v>
      </c>
      <c r="P1742" t="n">
        <v>1.352309562645839</v>
      </c>
      <c r="Q1742" t="n">
        <v>0.02008840409006992</v>
      </c>
      <c r="R1742" t="n">
        <v>0.05087288499526328</v>
      </c>
      <c r="S1742" t="n">
        <v>0.02043496164578797</v>
      </c>
      <c r="T1742" s="42">
        <f>HIPERLINK($A$1 &amp; "\Dados\Imagem_perfil_1742.png", "Imagem_perfil_1742")</f>
        <v/>
      </c>
      <c r="U1742" s="42">
        <f>HIPERLINK($A$1 &amp; "\Dados\Results_airgap1742.txt", "Results_airgap1742")</f>
        <v/>
      </c>
      <c r="W1742" t="n">
        <v>1.868715217391304</v>
      </c>
      <c r="X1742" t="n">
        <v>0.912014049439772</v>
      </c>
      <c r="Y1742" t="n">
        <v>0.3311450569349237</v>
      </c>
      <c r="Z1742" t="n">
        <v>0.01231035470674234</v>
      </c>
      <c r="AA1742" t="n">
        <v>0.7065160442053163</v>
      </c>
      <c r="AB1742" t="n">
        <v>0.573983385323323</v>
      </c>
      <c r="AC1742" t="n">
        <v>16.42477159915448</v>
      </c>
      <c r="AD1742" t="n">
        <v>66.22752818964777</v>
      </c>
      <c r="AE1742" t="n">
        <v>99.08449599911444</v>
      </c>
      <c r="AF1742" t="n">
        <v>130.6873554350055</v>
      </c>
      <c r="AH1742" s="42">
        <f>HIPERLINK($A$1 &amp; "\Dados\Magnet_fields_1742.txt.txt", "Magnet_fields_1742.txt")</f>
        <v/>
      </c>
      <c r="AI1742" t="n">
        <v>8902</v>
      </c>
      <c r="AJ1742" t="n">
        <v>30</v>
      </c>
      <c r="AK1742" s="42">
        <f>HIPERLINK($A$1 &amp; "\Dados\Magnet_3D_results_1742.txt.txt", "Magnet_3D_results_1742.txt")</f>
        <v/>
      </c>
      <c r="AL1742" s="42">
        <f>HIPERLINK($A$1 &amp; "\Dados\Magnet_fields_2D_1742.txt.txt", "Magnet_fields_2D_1742.txt")</f>
        <v/>
      </c>
    </row>
    <row r="1743">
      <c r="E1743" t="n">
        <v>145</v>
      </c>
      <c r="F1743" t="n">
        <v>179</v>
      </c>
      <c r="G1743" t="n">
        <v>377</v>
      </c>
      <c r="H1743" t="n">
        <v>39</v>
      </c>
      <c r="I1743" t="n">
        <v>173</v>
      </c>
      <c r="J1743" t="n">
        <v>25</v>
      </c>
      <c r="K1743" t="n">
        <v>60</v>
      </c>
      <c r="L1743" t="n">
        <v>2.6</v>
      </c>
      <c r="N1743" t="n">
        <v>1.599558248239641</v>
      </c>
      <c r="O1743" t="n">
        <v>1.40214150170295</v>
      </c>
      <c r="P1743" t="n">
        <v>1.536846137560732</v>
      </c>
      <c r="Q1743" t="n">
        <v>0.0173917497115267</v>
      </c>
      <c r="R1743" t="n">
        <v>0.04745417304464571</v>
      </c>
      <c r="S1743" t="n">
        <v>0.0173498218619473</v>
      </c>
      <c r="T1743" s="42">
        <f>HIPERLINK($A$1 &amp; "\Dados\Imagem_perfil_1743.png", "Imagem_perfil_1743")</f>
        <v/>
      </c>
      <c r="U1743" s="42">
        <f>HIPERLINK($A$1 &amp; "\Dados\Results_airgap1743.txt", "Results_airgap1743")</f>
        <v/>
      </c>
      <c r="W1743" t="n">
        <v>1.997792826086957</v>
      </c>
      <c r="X1743" t="n">
        <v>0.9757480530559132</v>
      </c>
      <c r="Y1743" t="n">
        <v>0.205183992471232</v>
      </c>
      <c r="Z1743" t="n">
        <v>0.02301932635653702</v>
      </c>
      <c r="AA1743" t="n">
        <v>0.01723408921348449</v>
      </c>
      <c r="AB1743" t="n">
        <v>0</v>
      </c>
      <c r="AC1743" t="n">
        <v>17.14875719182155</v>
      </c>
      <c r="AD1743" t="n">
        <v>73.40652595520599</v>
      </c>
      <c r="AE1743" t="n">
        <v>101.7308501267519</v>
      </c>
      <c r="AF1743" t="n">
        <v>131.5243627323818</v>
      </c>
      <c r="AH1743" s="42">
        <f>HIPERLINK($A$1 &amp; "\Dados\Magnet_fields_1743.txt.txt", "Magnet_fields_1743.txt")</f>
        <v/>
      </c>
      <c r="AI1743" t="n">
        <v>7881</v>
      </c>
      <c r="AJ1743" t="n">
        <v>30</v>
      </c>
      <c r="AK1743" s="42">
        <f>HIPERLINK($A$1 &amp; "\Dados\Magnet_3D_results_1743.txt.txt", "Magnet_3D_results_1743.txt")</f>
        <v/>
      </c>
      <c r="AL1743" s="42">
        <f>HIPERLINK($A$1 &amp; "\Dados\Magnet_fields_2D_1743.txt.txt", "Magnet_fields_2D_1743.txt")</f>
        <v/>
      </c>
    </row>
    <row r="1744">
      <c r="E1744" t="n">
        <v>143</v>
      </c>
      <c r="F1744" t="n">
        <v>173</v>
      </c>
      <c r="G1744" t="n">
        <v>389</v>
      </c>
      <c r="H1744" t="n">
        <v>37</v>
      </c>
      <c r="I1744" t="n">
        <v>171</v>
      </c>
      <c r="J1744" t="n">
        <v>25</v>
      </c>
      <c r="K1744" t="n">
        <v>40</v>
      </c>
      <c r="L1744" t="n">
        <v>2.6</v>
      </c>
      <c r="N1744" t="n">
        <v>1.612691191413879</v>
      </c>
      <c r="O1744" t="n">
        <v>1.419795371482371</v>
      </c>
      <c r="P1744" t="n">
        <v>1.552874373698657</v>
      </c>
      <c r="Q1744" t="n">
        <v>0.00255688240516446</v>
      </c>
      <c r="R1744" t="n">
        <v>0.03009656568542116</v>
      </c>
      <c r="S1744" t="n">
        <v>0.002562055566905064</v>
      </c>
      <c r="T1744" s="42">
        <f>HIPERLINK($A$1 &amp; "\Dados\Imagem_perfil_1744.png", "Imagem_perfil_1744")</f>
        <v/>
      </c>
      <c r="U1744" s="42">
        <f>HIPERLINK($A$1 &amp; "\Dados\Results_airgap1744.txt", "Results_airgap1744")</f>
        <v/>
      </c>
      <c r="W1744" t="n">
        <v>1.9363</v>
      </c>
      <c r="X1744" t="n">
        <v>1.009700680059918</v>
      </c>
      <c r="Y1744" t="n">
        <v>0.3564460591619274</v>
      </c>
      <c r="Z1744" t="n">
        <v>0</v>
      </c>
      <c r="AA1744" t="n">
        <v>0.4706310762802933</v>
      </c>
      <c r="AB1744" t="n">
        <v>0</v>
      </c>
      <c r="AC1744" t="n">
        <v>4.68588571238016</v>
      </c>
      <c r="AD1744" t="n">
        <v>32.07001017492337</v>
      </c>
      <c r="AE1744" t="n">
        <v>78.23997320594053</v>
      </c>
      <c r="AF1744" t="n">
        <v>113.3448659958357</v>
      </c>
      <c r="AH1744" s="42">
        <f>HIPERLINK($A$1 &amp; "\Dados\Magnet_fields_1744.txt.txt", "Magnet_fields_1744.txt")</f>
        <v/>
      </c>
      <c r="AI1744" t="n">
        <v>8467</v>
      </c>
      <c r="AJ1744" t="n">
        <v>30</v>
      </c>
      <c r="AK1744" s="42">
        <f>HIPERLINK($A$1 &amp; "\Dados\Magnet_3D_results_1744.txt.txt", "Magnet_3D_results_1744.txt")</f>
        <v/>
      </c>
      <c r="AL1744" s="42">
        <f>HIPERLINK($A$1 &amp; "\Dados\Magnet_fields_2D_1744.txt.txt", "Magnet_fields_2D_1744.txt")</f>
        <v/>
      </c>
    </row>
  </sheetData>
  <mergeCells count="35">
    <mergeCell ref="A34:B34"/>
    <mergeCell ref="A36:B36"/>
    <mergeCell ref="A6:B6"/>
    <mergeCell ref="AH2:AL2"/>
    <mergeCell ref="A27:B27"/>
    <mergeCell ref="A28:B28"/>
    <mergeCell ref="A29:B29"/>
    <mergeCell ref="A30:B30"/>
    <mergeCell ref="A31:B31"/>
    <mergeCell ref="A32:B32"/>
    <mergeCell ref="A9:B9"/>
    <mergeCell ref="A10:B10"/>
    <mergeCell ref="A23:B23"/>
    <mergeCell ref="A24:B24"/>
    <mergeCell ref="A25:B25"/>
    <mergeCell ref="A26:B26"/>
    <mergeCell ref="W2:AF2"/>
    <mergeCell ref="A17:B17"/>
    <mergeCell ref="A18:B18"/>
    <mergeCell ref="A19:B19"/>
    <mergeCell ref="A20:B20"/>
    <mergeCell ref="A8:B8"/>
    <mergeCell ref="A21:B21"/>
    <mergeCell ref="A22:B22"/>
    <mergeCell ref="A11:B11"/>
    <mergeCell ref="A12:B12"/>
    <mergeCell ref="A13:B13"/>
    <mergeCell ref="A14:B14"/>
    <mergeCell ref="A15:B15"/>
    <mergeCell ref="A16:B16"/>
    <mergeCell ref="N1:O1"/>
    <mergeCell ref="Q1:R1"/>
    <mergeCell ref="E2:L2"/>
    <mergeCell ref="N2:U2"/>
    <mergeCell ref="A7:B7"/>
  </mergeCells>
  <conditionalFormatting sqref="I4:I1707">
    <cfRule dxfId="56" operator="equal" priority="1" type="cellIs">
      <formula>300</formula>
    </cfRule>
    <cfRule dxfId="55" operator="equal" priority="2" type="cellIs">
      <formula>250</formula>
    </cfRule>
    <cfRule dxfId="54" operator="equal" priority="3" type="cellIs">
      <formula>200</formula>
    </cfRule>
  </conditionalFormatting>
  <pageMargins bottom="0.75" footer="0.3" header="0.3" left="0.7" right="0.7" top="0.75"/>
  <pageSetup orientation="portrait"/>
  <legacyDrawing r:id="anysvml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2019-09-16T21:10:28Z</dcterms:modified>
  <cp:lastModifiedBy>Luis Felipe</cp:lastModifiedBy>
</cp:coreProperties>
</file>