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uario\Documents\GitHub\Jupyter\Eta\Experimental\Jaime\"/>
    </mc:Choice>
  </mc:AlternateContent>
  <bookViews>
    <workbookView xWindow="0" yWindow="0" windowWidth="28800" windowHeight="14100" activeTab="2"/>
  </bookViews>
  <sheets>
    <sheet name="Torque and Power" sheetId="1" r:id="rId1"/>
    <sheet name="Thermal load x Span" sheetId="2" r:id="rId2"/>
    <sheet name="Simulations" sheetId="3" r:id="rId3"/>
    <sheet name="Performance" sheetId="4" r:id="rId4"/>
  </sheets>
  <definedNames>
    <definedName name="_xlnm.Print_Area" localSheetId="3">Performance!$A$1:$AH$29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6" i="3" l="1"/>
  <c r="O167" i="3"/>
  <c r="O168" i="3"/>
  <c r="O169" i="3"/>
  <c r="O170" i="3"/>
  <c r="O165" i="3"/>
  <c r="O161" i="3"/>
  <c r="O162" i="3"/>
  <c r="O163" i="3"/>
  <c r="O164" i="3"/>
  <c r="O160" i="3"/>
  <c r="O155" i="3"/>
  <c r="O156" i="3"/>
  <c r="O157" i="3"/>
  <c r="O158" i="3"/>
  <c r="O159" i="3"/>
  <c r="O154" i="3"/>
  <c r="O149" i="3"/>
  <c r="O150" i="3"/>
  <c r="O151" i="3"/>
  <c r="O152" i="3"/>
  <c r="O153" i="3"/>
  <c r="O148" i="3"/>
  <c r="O143" i="3"/>
  <c r="O144" i="3"/>
  <c r="O145" i="3"/>
  <c r="O146" i="3"/>
  <c r="O147" i="3"/>
  <c r="O142" i="3"/>
  <c r="O137" i="3"/>
  <c r="O138" i="3"/>
  <c r="O139" i="3"/>
  <c r="O140" i="3"/>
  <c r="O141" i="3"/>
  <c r="O136" i="3"/>
  <c r="Q57" i="3"/>
  <c r="Q58" i="3"/>
  <c r="Q59" i="3"/>
  <c r="Q60" i="3"/>
  <c r="Q61" i="3"/>
  <c r="Q62" i="3"/>
  <c r="Q63" i="3"/>
  <c r="Q64" i="3"/>
  <c r="Q65" i="3"/>
  <c r="Q56" i="3"/>
  <c r="Q47" i="3"/>
  <c r="Q48" i="3"/>
  <c r="Q49" i="3"/>
  <c r="Q50" i="3"/>
  <c r="Q51" i="3"/>
  <c r="Q52" i="3"/>
  <c r="Q53" i="3"/>
  <c r="Q54" i="3"/>
  <c r="Q55" i="3"/>
  <c r="Q46" i="3"/>
  <c r="Q37" i="3"/>
  <c r="Q38" i="3"/>
  <c r="Q39" i="3"/>
  <c r="Q40" i="3"/>
  <c r="Q41" i="3"/>
  <c r="Q42" i="3"/>
  <c r="Q43" i="3"/>
  <c r="Q44" i="3"/>
  <c r="Q45" i="3"/>
  <c r="Q36" i="3"/>
  <c r="Q25" i="3"/>
  <c r="Q26" i="3"/>
  <c r="Q27" i="3"/>
  <c r="Q28" i="3"/>
  <c r="Q29" i="3"/>
  <c r="Q30" i="3"/>
  <c r="Q31" i="3"/>
  <c r="Q32" i="3"/>
  <c r="Q33" i="3"/>
  <c r="Q24" i="3"/>
  <c r="Q15" i="3"/>
  <c r="Q16" i="3"/>
  <c r="Q17" i="3"/>
  <c r="Q18" i="3"/>
  <c r="Q19" i="3"/>
  <c r="Q20" i="3"/>
  <c r="Q21" i="3"/>
  <c r="Q22" i="3"/>
  <c r="Q23" i="3"/>
  <c r="Q5" i="3"/>
  <c r="Q6" i="3"/>
  <c r="Q7" i="3"/>
  <c r="Q8" i="3"/>
  <c r="Q9" i="3"/>
  <c r="Q10" i="3"/>
  <c r="Q11" i="3"/>
  <c r="Q12" i="3"/>
  <c r="Q13" i="3"/>
  <c r="Q4" i="3"/>
  <c r="Q14" i="3"/>
  <c r="V80" i="3" l="1"/>
  <c r="V78" i="3" s="1"/>
  <c r="R53" i="3" l="1"/>
  <c r="R54" i="3"/>
  <c r="S57" i="3"/>
  <c r="S58" i="3"/>
  <c r="S59" i="3"/>
  <c r="S60" i="3"/>
  <c r="S61" i="3"/>
  <c r="S62" i="3"/>
  <c r="S63" i="3"/>
  <c r="S64" i="3"/>
  <c r="S65" i="3"/>
  <c r="S56" i="3"/>
  <c r="AA23" i="4" l="1"/>
  <c r="AE6" i="4"/>
  <c r="AF23" i="4"/>
  <c r="AA24" i="4"/>
  <c r="AE7" i="4"/>
  <c r="AF24" i="4"/>
  <c r="AA25" i="4"/>
  <c r="AE8" i="4"/>
  <c r="AF25" i="4"/>
  <c r="AA26" i="4"/>
  <c r="AE9" i="4"/>
  <c r="AF26" i="4"/>
  <c r="AA27" i="4"/>
  <c r="AE10" i="4"/>
  <c r="AF27" i="4"/>
  <c r="AA28" i="4"/>
  <c r="AE11" i="4"/>
  <c r="AF28" i="4"/>
  <c r="AA29" i="4"/>
  <c r="AE12" i="4"/>
  <c r="AF29" i="4"/>
  <c r="AA22" i="4"/>
  <c r="AE5" i="4"/>
  <c r="AF22" i="4"/>
  <c r="AA21" i="4"/>
  <c r="AE4" i="4"/>
  <c r="AF21" i="4"/>
  <c r="AA18" i="4"/>
  <c r="S7" i="4"/>
  <c r="AF18" i="4"/>
  <c r="AA19" i="4"/>
  <c r="S8" i="4"/>
  <c r="AF19" i="4"/>
  <c r="AA20" i="4"/>
  <c r="S9" i="4"/>
  <c r="AF20" i="4"/>
  <c r="AA17" i="4"/>
  <c r="S6" i="4"/>
  <c r="AF17" i="4"/>
  <c r="AA16" i="4"/>
  <c r="S5" i="4"/>
  <c r="AF16" i="4"/>
  <c r="AA15" i="4"/>
  <c r="S4" i="4"/>
  <c r="AF15" i="4"/>
  <c r="P12" i="4"/>
  <c r="P11" i="4"/>
  <c r="P10" i="4"/>
  <c r="I5" i="4"/>
  <c r="E5" i="4"/>
  <c r="J5" i="4"/>
  <c r="R8" i="4"/>
  <c r="R7" i="4"/>
  <c r="R5" i="4"/>
  <c r="R4" i="4"/>
  <c r="G5" i="4"/>
  <c r="AB15" i="4"/>
  <c r="AD15" i="4"/>
  <c r="AE15" i="4"/>
  <c r="AB16" i="4"/>
  <c r="AD16" i="4"/>
  <c r="AE16" i="4"/>
  <c r="AB17" i="4"/>
  <c r="AD17" i="4"/>
  <c r="AE17" i="4"/>
  <c r="AB18" i="4"/>
  <c r="AD18" i="4"/>
  <c r="AE18" i="4"/>
  <c r="AB19" i="4"/>
  <c r="AD19" i="4"/>
  <c r="AE19" i="4"/>
  <c r="AB20" i="4"/>
  <c r="AD20" i="4"/>
  <c r="AE20" i="4"/>
  <c r="G7" i="4"/>
  <c r="AB21" i="4"/>
  <c r="AD21" i="4"/>
  <c r="AE21" i="4"/>
  <c r="AB22" i="4"/>
  <c r="AD22" i="4"/>
  <c r="AE22" i="4"/>
  <c r="AB23" i="4"/>
  <c r="AD23" i="4"/>
  <c r="AE23" i="4"/>
  <c r="AB24" i="4"/>
  <c r="AD24" i="4"/>
  <c r="AE24" i="4"/>
  <c r="AB25" i="4"/>
  <c r="AD25" i="4"/>
  <c r="AE25" i="4"/>
  <c r="AB26" i="4"/>
  <c r="AD26" i="4"/>
  <c r="AE26" i="4"/>
  <c r="AB27" i="4"/>
  <c r="AD27" i="4"/>
  <c r="AE27" i="4"/>
  <c r="AB28" i="4"/>
  <c r="AD28" i="4"/>
  <c r="AE28" i="4"/>
  <c r="AB29" i="4"/>
  <c r="AD29" i="4"/>
  <c r="AE29" i="4"/>
  <c r="M35" i="1"/>
  <c r="M36" i="1"/>
  <c r="M37" i="1"/>
  <c r="M38" i="1"/>
  <c r="M39" i="1"/>
  <c r="M40" i="1"/>
  <c r="M41" i="1"/>
  <c r="M42" i="1"/>
  <c r="M43" i="1"/>
  <c r="M34" i="1"/>
  <c r="N35" i="1"/>
  <c r="E6" i="4"/>
  <c r="J6" i="4"/>
  <c r="N36" i="1"/>
  <c r="E7" i="4"/>
  <c r="J7" i="4"/>
  <c r="N37" i="1"/>
  <c r="E8" i="4"/>
  <c r="J8" i="4"/>
  <c r="N38" i="1"/>
  <c r="E9" i="4"/>
  <c r="J9" i="4"/>
  <c r="N39" i="1"/>
  <c r="E10" i="4"/>
  <c r="J10" i="4"/>
  <c r="N40" i="1"/>
  <c r="E11" i="4"/>
  <c r="J11" i="4"/>
  <c r="N41" i="1"/>
  <c r="N42" i="1"/>
  <c r="N43" i="1"/>
  <c r="E4" i="4"/>
  <c r="J4" i="4"/>
  <c r="N34" i="1"/>
  <c r="L35" i="1"/>
  <c r="L36" i="1"/>
  <c r="L37" i="1"/>
  <c r="L38" i="1"/>
  <c r="L39" i="1"/>
  <c r="L40" i="1"/>
  <c r="L41" i="1"/>
  <c r="L42" i="1"/>
  <c r="L43" i="1"/>
  <c r="L34" i="1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V4" i="4"/>
  <c r="V5" i="4"/>
  <c r="V6" i="4"/>
  <c r="V7" i="4"/>
  <c r="V8" i="4"/>
  <c r="V9" i="4"/>
  <c r="R9" i="4"/>
  <c r="Q9" i="4"/>
  <c r="Q8" i="4"/>
  <c r="Q7" i="4"/>
  <c r="R6" i="4"/>
  <c r="Q6" i="4"/>
  <c r="Q5" i="4"/>
  <c r="Q4" i="4"/>
  <c r="AH5" i="4"/>
  <c r="AH6" i="4"/>
  <c r="AH7" i="4"/>
  <c r="AH8" i="4"/>
  <c r="AH9" i="4"/>
  <c r="AH10" i="4"/>
  <c r="AH11" i="4"/>
  <c r="AH12" i="4"/>
  <c r="AH4" i="4"/>
  <c r="AC4" i="4"/>
  <c r="AC5" i="4"/>
  <c r="AC6" i="4"/>
  <c r="AC7" i="4"/>
  <c r="AC8" i="4"/>
  <c r="AC9" i="4"/>
  <c r="AC10" i="4"/>
  <c r="AC11" i="4"/>
  <c r="AC12" i="4"/>
  <c r="T5" i="4"/>
  <c r="T6" i="4"/>
  <c r="T7" i="4"/>
  <c r="T8" i="4"/>
  <c r="T9" i="4"/>
  <c r="T4" i="4"/>
  <c r="AF5" i="4"/>
  <c r="AF6" i="4"/>
  <c r="AF7" i="4"/>
  <c r="AF8" i="4"/>
  <c r="AF9" i="4"/>
  <c r="AF10" i="4"/>
  <c r="AF11" i="4"/>
  <c r="AF12" i="4"/>
  <c r="AF4" i="4"/>
  <c r="D99" i="1"/>
  <c r="E99" i="1"/>
  <c r="F99" i="1"/>
  <c r="G99" i="1"/>
  <c r="H99" i="1"/>
  <c r="I99" i="1"/>
  <c r="J99" i="1"/>
  <c r="C99" i="1"/>
  <c r="D98" i="1"/>
  <c r="E98" i="1"/>
  <c r="F98" i="1"/>
  <c r="G98" i="1"/>
  <c r="H98" i="1"/>
  <c r="I98" i="1"/>
  <c r="J98" i="1"/>
  <c r="C98" i="1"/>
  <c r="I7" i="4"/>
  <c r="AD4" i="4"/>
  <c r="AD12" i="4"/>
  <c r="AD5" i="4"/>
  <c r="AD6" i="4"/>
  <c r="AD7" i="4"/>
  <c r="AD8" i="4"/>
  <c r="AD9" i="4"/>
  <c r="AD10" i="4"/>
  <c r="AD11" i="4"/>
  <c r="I6" i="4"/>
  <c r="I8" i="4"/>
  <c r="I9" i="4"/>
  <c r="I10" i="4"/>
  <c r="I11" i="4"/>
  <c r="I4" i="4"/>
  <c r="G6" i="4"/>
  <c r="G8" i="4"/>
  <c r="G9" i="4"/>
  <c r="G10" i="4"/>
  <c r="G11" i="4"/>
  <c r="G4" i="4"/>
  <c r="H5" i="4"/>
  <c r="H6" i="4"/>
  <c r="H7" i="4"/>
  <c r="H8" i="4"/>
  <c r="H9" i="4"/>
  <c r="H10" i="4"/>
  <c r="H11" i="4"/>
  <c r="H4" i="4"/>
  <c r="G6" i="1"/>
  <c r="G7" i="1"/>
  <c r="G8" i="1"/>
  <c r="G9" i="1"/>
  <c r="G10" i="1"/>
  <c r="G11" i="1"/>
  <c r="G12" i="1"/>
  <c r="G5" i="1"/>
  <c r="F73" i="1"/>
  <c r="F72" i="1"/>
  <c r="F71" i="1"/>
  <c r="F70" i="1"/>
  <c r="F69" i="1"/>
  <c r="F68" i="1"/>
  <c r="F67" i="1"/>
  <c r="F66" i="1"/>
  <c r="F65" i="1"/>
  <c r="F64" i="1"/>
  <c r="D79" i="1"/>
  <c r="D80" i="1"/>
  <c r="D81" i="1"/>
  <c r="D82" i="1"/>
  <c r="D83" i="1"/>
  <c r="D84" i="1"/>
  <c r="D85" i="1"/>
  <c r="D86" i="1"/>
  <c r="D87" i="1"/>
  <c r="D78" i="1"/>
  <c r="F50" i="1"/>
  <c r="F51" i="1"/>
  <c r="F52" i="1"/>
  <c r="F53" i="1"/>
  <c r="F54" i="1"/>
  <c r="F55" i="1"/>
  <c r="F56" i="1"/>
  <c r="F57" i="1"/>
  <c r="F58" i="1"/>
  <c r="F49" i="1"/>
  <c r="H35" i="1"/>
  <c r="H43" i="1"/>
  <c r="H42" i="1"/>
  <c r="H41" i="1"/>
  <c r="H40" i="1"/>
  <c r="H39" i="1"/>
  <c r="H38" i="1"/>
  <c r="H37" i="1"/>
  <c r="H36" i="1"/>
  <c r="H34" i="1"/>
  <c r="G18" i="2"/>
  <c r="G17" i="2"/>
  <c r="G16" i="2"/>
  <c r="G15" i="2"/>
  <c r="G14" i="2"/>
  <c r="G13" i="2"/>
  <c r="G12" i="2"/>
  <c r="G11" i="2"/>
  <c r="G10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<sst xmlns="http://schemas.openxmlformats.org/spreadsheetml/2006/main" count="428" uniqueCount="114">
  <si>
    <t>Full System</t>
  </si>
  <si>
    <t>294,1 K</t>
  </si>
  <si>
    <t>295,7 K</t>
  </si>
  <si>
    <t>Torque</t>
  </si>
  <si>
    <t>Power</t>
  </si>
  <si>
    <t>freq.</t>
  </si>
  <si>
    <t>Torque (N.m)</t>
  </si>
  <si>
    <t>Power (W)</t>
  </si>
  <si>
    <t>Valves</t>
  </si>
  <si>
    <t>Span</t>
  </si>
  <si>
    <t>Qc</t>
  </si>
  <si>
    <t>f</t>
  </si>
  <si>
    <t>V</t>
  </si>
  <si>
    <t>T_h,in</t>
  </si>
  <si>
    <t>Pump Power</t>
  </si>
  <si>
    <t>Utilization</t>
  </si>
  <si>
    <t>0,4 Hz</t>
  </si>
  <si>
    <t>4 K</t>
  </si>
  <si>
    <t>6 K</t>
  </si>
  <si>
    <t>0,8 Hz</t>
  </si>
  <si>
    <t>8 K</t>
  </si>
  <si>
    <t>Forward v.1</t>
  </si>
  <si>
    <t>Backward v.1</t>
  </si>
  <si>
    <t>Forward v.2</t>
  </si>
  <si>
    <t>Baseline</t>
  </si>
  <si>
    <t>Baseline back</t>
  </si>
  <si>
    <t>Calc. from forward v.1</t>
  </si>
  <si>
    <t>No-valve</t>
  </si>
  <si>
    <t>Freq.</t>
  </si>
  <si>
    <t xml:space="preserve">Torque </t>
  </si>
  <si>
    <t>Calc. Power</t>
  </si>
  <si>
    <t>Calc. Eff. Power</t>
  </si>
  <si>
    <t>Calc. power</t>
  </si>
  <si>
    <t>No Valves</t>
  </si>
  <si>
    <t>Backward v.2</t>
  </si>
  <si>
    <t>No REG</t>
  </si>
  <si>
    <t>Forward</t>
  </si>
  <si>
    <t>Bearings</t>
  </si>
  <si>
    <t>No-load</t>
  </si>
  <si>
    <t>No-losses</t>
  </si>
  <si>
    <t>150 L/h</t>
  </si>
  <si>
    <t>Test</t>
  </si>
  <si>
    <t>U_CB[-]</t>
  </si>
  <si>
    <t>U_HB[-]</t>
  </si>
  <si>
    <t>dPCB[kPa]</t>
  </si>
  <si>
    <t>dPHB[kPa]</t>
  </si>
  <si>
    <t>dT_reg[K]</t>
  </si>
  <si>
    <t>Qc[W]</t>
  </si>
  <si>
    <t>Qh[W]</t>
  </si>
  <si>
    <t>COP[-]</t>
  </si>
  <si>
    <t>s_HT[W/K]</t>
  </si>
  <si>
    <t>s_ACs[W/K]</t>
  </si>
  <si>
    <t>s_ACf[W/K]</t>
  </si>
  <si>
    <t>s_VD[W/K]</t>
  </si>
  <si>
    <t>s_tot[W/K]</t>
  </si>
  <si>
    <t>Test0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</si>
  <si>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</si>
  <si>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</si>
  <si>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</si>
  <si>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</si>
  <si>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</si>
  <si>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</si>
  <si>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</si>
  <si>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</si>
  <si>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</si>
  <si>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125 L/h</t>
  </si>
  <si>
    <t>100 L/h</t>
  </si>
  <si>
    <t>dT_syst [K]</t>
  </si>
  <si>
    <t>200 L/h</t>
  </si>
  <si>
    <t>175 L/h</t>
  </si>
  <si>
    <t>Casing and tubing losses</t>
  </si>
  <si>
    <t xml:space="preserve"> </t>
  </si>
  <si>
    <t>CTL</t>
  </si>
  <si>
    <t>Experimental</t>
  </si>
  <si>
    <t>COP</t>
  </si>
  <si>
    <t>Calc. power (W)</t>
  </si>
  <si>
    <t>294.1 K</t>
  </si>
  <si>
    <t>Powers</t>
  </si>
  <si>
    <t>Rotor</t>
  </si>
  <si>
    <t>Interaction</t>
  </si>
  <si>
    <t>W_syst</t>
  </si>
  <si>
    <t>W_valve</t>
  </si>
  <si>
    <t>W_rot</t>
  </si>
  <si>
    <t>W_int</t>
  </si>
  <si>
    <t>Components Power</t>
  </si>
  <si>
    <t>0.4 Hz</t>
  </si>
  <si>
    <t>0.8 Hz</t>
  </si>
  <si>
    <t>Parameters</t>
  </si>
  <si>
    <t>T_C</t>
  </si>
  <si>
    <t>T_H</t>
  </si>
  <si>
    <t>COP_id</t>
  </si>
  <si>
    <t>COP no-valve</t>
  </si>
  <si>
    <t>eta_2nd</t>
  </si>
  <si>
    <t>Total</t>
  </si>
  <si>
    <t>Int</t>
  </si>
  <si>
    <t>Valve</t>
  </si>
  <si>
    <t>Drive</t>
  </si>
  <si>
    <t>Total power</t>
  </si>
  <si>
    <t>eta_2nd (%)</t>
  </si>
  <si>
    <t>eta_2nd,nv</t>
  </si>
  <si>
    <t>Drive power</t>
  </si>
  <si>
    <t>W Drive (M)</t>
  </si>
  <si>
    <t>W Drive  (%)</t>
  </si>
  <si>
    <t>COP (M)</t>
  </si>
  <si>
    <t>COP (id)</t>
  </si>
  <si>
    <t>eta_2nd,id</t>
  </si>
  <si>
    <t>eta_2nd,M</t>
  </si>
  <si>
    <r>
      <t>h</t>
    </r>
    <r>
      <rPr>
        <vertAlign val="subscript"/>
        <sz val="11"/>
        <color theme="1"/>
        <rFont val="Times Roman"/>
      </rPr>
      <t xml:space="preserve">2nd </t>
    </r>
    <r>
      <rPr>
        <sz val="11"/>
        <color theme="1"/>
        <rFont val="Times Roman"/>
      </rPr>
      <t xml:space="preserve"> Lozano </t>
    </r>
    <r>
      <rPr>
        <i/>
        <sz val="11"/>
        <color theme="1"/>
        <rFont val="Times Roman"/>
      </rPr>
      <t>et al.</t>
    </r>
    <r>
      <rPr>
        <sz val="11"/>
        <color theme="1"/>
        <rFont val="Times Roman"/>
      </rPr>
      <t xml:space="preserve"> (2015)</t>
    </r>
  </si>
  <si>
    <r>
      <t>h</t>
    </r>
    <r>
      <rPr>
        <vertAlign val="subscript"/>
        <sz val="11"/>
        <color theme="1"/>
        <rFont val="Times Roman"/>
      </rPr>
      <t xml:space="preserve">2nd </t>
    </r>
  </si>
  <si>
    <r>
      <t>h</t>
    </r>
    <r>
      <rPr>
        <vertAlign val="subscript"/>
        <sz val="11"/>
        <color theme="1"/>
        <rFont val="Times Roman"/>
      </rPr>
      <t xml:space="preserve">2nd,nv </t>
    </r>
    <r>
      <rPr>
        <sz val="11"/>
        <color theme="1"/>
        <rFont val="Times Roman"/>
      </rPr>
      <t xml:space="preserve"> </t>
    </r>
  </si>
  <si>
    <t>Power transducer</t>
  </si>
  <si>
    <t>Torque transducer</t>
  </si>
  <si>
    <t>No rotary valves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</si>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</sst>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%"/>
    <numFmt numFmtId="167" formatCode="0.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Roman"/>
    </font>
    <font>
      <vertAlign val="subscript"/>
      <sz val="11"/>
      <color theme="1"/>
      <name val="Times Roman"/>
    </font>
    <font>
      <i/>
      <sz val="11"/>
      <color theme="1"/>
      <name val="Times Roman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rgb="FF000000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8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3" xfId="0" applyBorder="1"/>
    <xf numFmtId="0" fontId="0" fillId="0" borderId="15" xfId="0" applyBorder="1"/>
    <xf numFmtId="164" fontId="2" fillId="0" borderId="18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0" fillId="6" borderId="30" xfId="0" applyNumberFormat="1" applyFill="1" applyBorder="1" applyAlignment="1">
      <alignment horizontal="center" vertical="center"/>
    </xf>
    <xf numFmtId="2" fontId="0" fillId="6" borderId="31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3" fillId="6" borderId="30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2" fontId="3" fillId="6" borderId="16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2" fontId="0" fillId="2" borderId="31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3" fillId="2" borderId="33" xfId="0" applyNumberFormat="1" applyFon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36" xfId="0" applyNumberFormat="1" applyFont="1" applyFill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46" xfId="0" applyFont="1" applyBorder="1" applyAlignment="1">
      <alignment horizont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4" borderId="0" xfId="0" applyFill="1"/>
    <xf numFmtId="0" fontId="7" fillId="0" borderId="0" xfId="0" applyFont="1" applyAlignment="1">
      <alignment vertical="center" textRotation="90"/>
    </xf>
    <xf numFmtId="0" fontId="0" fillId="0" borderId="18" xfId="0" applyBorder="1" applyAlignment="1">
      <alignment horizontal="center" vertical="center"/>
    </xf>
    <xf numFmtId="11" fontId="0" fillId="0" borderId="1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2" fillId="4" borderId="0" xfId="0" applyFont="1" applyFill="1" applyBorder="1" applyAlignment="1"/>
    <xf numFmtId="0" fontId="1" fillId="3" borderId="0" xfId="0" applyFont="1" applyFill="1" applyAlignment="1"/>
    <xf numFmtId="0" fontId="7" fillId="0" borderId="0" xfId="0" applyFont="1" applyBorder="1" applyAlignment="1">
      <alignment vertical="center" textRotation="90"/>
    </xf>
    <xf numFmtId="165" fontId="0" fillId="0" borderId="1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4" fillId="7" borderId="32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10" fillId="9" borderId="46" xfId="0" applyNumberFormat="1" applyFont="1" applyFill="1" applyBorder="1" applyAlignment="1">
      <alignment horizontal="center" vertical="center"/>
    </xf>
    <xf numFmtId="2" fontId="10" fillId="9" borderId="55" xfId="0" applyNumberFormat="1" applyFont="1" applyFill="1" applyBorder="1" applyAlignment="1">
      <alignment horizontal="center" vertical="center"/>
    </xf>
    <xf numFmtId="2" fontId="3" fillId="9" borderId="46" xfId="0" applyNumberFormat="1" applyFont="1" applyFill="1" applyBorder="1" applyAlignment="1">
      <alignment horizontal="center" vertical="center"/>
    </xf>
    <xf numFmtId="2" fontId="10" fillId="11" borderId="46" xfId="0" applyNumberFormat="1" applyFont="1" applyFill="1" applyBorder="1" applyAlignment="1">
      <alignment horizontal="center" vertical="center"/>
    </xf>
    <xf numFmtId="2" fontId="10" fillId="11" borderId="55" xfId="0" applyNumberFormat="1" applyFont="1" applyFill="1" applyBorder="1" applyAlignment="1">
      <alignment horizontal="center" vertical="center"/>
    </xf>
    <xf numFmtId="2" fontId="3" fillId="11" borderId="46" xfId="0" applyNumberFormat="1" applyFont="1" applyFill="1" applyBorder="1" applyAlignment="1">
      <alignment horizontal="center" vertical="center"/>
    </xf>
    <xf numFmtId="2" fontId="3" fillId="11" borderId="55" xfId="0" applyNumberFormat="1" applyFont="1" applyFill="1" applyBorder="1" applyAlignment="1">
      <alignment horizontal="center" vertical="center"/>
    </xf>
    <xf numFmtId="2" fontId="3" fillId="9" borderId="38" xfId="0" applyNumberFormat="1" applyFont="1" applyFill="1" applyBorder="1" applyAlignment="1">
      <alignment horizontal="center" vertical="center"/>
    </xf>
    <xf numFmtId="2" fontId="3" fillId="9" borderId="55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8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9" xfId="0" applyNumberFormat="1" applyFont="1" applyFill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/>
    <xf numFmtId="2" fontId="0" fillId="2" borderId="58" xfId="0" applyNumberFormat="1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3" fillId="2" borderId="58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3" fillId="2" borderId="38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10" fillId="9" borderId="38" xfId="0" applyNumberFormat="1" applyFont="1" applyFill="1" applyBorder="1" applyAlignment="1">
      <alignment horizontal="center" vertical="center"/>
    </xf>
    <xf numFmtId="165" fontId="10" fillId="9" borderId="38" xfId="0" applyNumberFormat="1" applyFont="1" applyFill="1" applyBorder="1" applyAlignment="1">
      <alignment horizontal="center" vertical="center"/>
    </xf>
    <xf numFmtId="165" fontId="10" fillId="9" borderId="46" xfId="0" applyNumberFormat="1" applyFont="1" applyFill="1" applyBorder="1" applyAlignment="1">
      <alignment horizontal="center" vertical="center"/>
    </xf>
    <xf numFmtId="165" fontId="10" fillId="9" borderId="55" xfId="0" applyNumberFormat="1" applyFont="1" applyFill="1" applyBorder="1" applyAlignment="1">
      <alignment horizontal="center" vertical="center"/>
    </xf>
    <xf numFmtId="165" fontId="3" fillId="9" borderId="38" xfId="0" applyNumberFormat="1" applyFont="1" applyFill="1" applyBorder="1" applyAlignment="1">
      <alignment horizontal="center" vertical="center"/>
    </xf>
    <xf numFmtId="165" fontId="3" fillId="9" borderId="46" xfId="0" applyNumberFormat="1" applyFont="1" applyFill="1" applyBorder="1" applyAlignment="1">
      <alignment horizontal="center" vertical="center"/>
    </xf>
    <xf numFmtId="165" fontId="3" fillId="9" borderId="55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/>
    </xf>
    <xf numFmtId="2" fontId="4" fillId="12" borderId="45" xfId="0" applyNumberFormat="1" applyFont="1" applyFill="1" applyBorder="1" applyAlignment="1">
      <alignment horizontal="center"/>
    </xf>
    <xf numFmtId="2" fontId="4" fillId="12" borderId="40" xfId="0" applyNumberFormat="1" applyFont="1" applyFill="1" applyBorder="1" applyAlignment="1">
      <alignment horizontal="center"/>
    </xf>
    <xf numFmtId="2" fontId="4" fillId="12" borderId="41" xfId="0" applyNumberFormat="1" applyFont="1" applyFill="1" applyBorder="1" applyAlignment="1">
      <alignment horizontal="center"/>
    </xf>
    <xf numFmtId="2" fontId="4" fillId="12" borderId="51" xfId="0" applyNumberFormat="1" applyFont="1" applyFill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4" fillId="12" borderId="24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4" fillId="12" borderId="60" xfId="0" applyNumberFormat="1" applyFont="1" applyFill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10" fillId="12" borderId="45" xfId="0" applyNumberFormat="1" applyFont="1" applyFill="1" applyBorder="1" applyAlignment="1">
      <alignment horizontal="center"/>
    </xf>
    <xf numFmtId="2" fontId="10" fillId="12" borderId="40" xfId="0" applyNumberFormat="1" applyFont="1" applyFill="1" applyBorder="1" applyAlignment="1">
      <alignment horizontal="center"/>
    </xf>
    <xf numFmtId="2" fontId="10" fillId="12" borderId="41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6" borderId="3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 vertical="center"/>
    </xf>
    <xf numFmtId="10" fontId="0" fillId="6" borderId="16" xfId="0" applyNumberFormat="1" applyFill="1" applyBorder="1" applyAlignment="1">
      <alignment horizontal="center" vertical="center"/>
    </xf>
    <xf numFmtId="10" fontId="3" fillId="6" borderId="30" xfId="0" applyNumberFormat="1" applyFont="1" applyFill="1" applyBorder="1" applyAlignment="1">
      <alignment horizontal="center" vertical="center"/>
    </xf>
    <xf numFmtId="10" fontId="3" fillId="6" borderId="10" xfId="0" applyNumberFormat="1" applyFont="1" applyFill="1" applyBorder="1" applyAlignment="1">
      <alignment horizontal="center" vertical="center"/>
    </xf>
    <xf numFmtId="10" fontId="3" fillId="6" borderId="16" xfId="0" applyNumberFormat="1" applyFont="1" applyFill="1" applyBorder="1" applyAlignment="1">
      <alignment horizontal="center" vertical="center"/>
    </xf>
    <xf numFmtId="10" fontId="0" fillId="6" borderId="33" xfId="0" applyNumberFormat="1" applyFill="1" applyBorder="1" applyAlignment="1">
      <alignment horizontal="center" vertical="center"/>
    </xf>
    <xf numFmtId="10" fontId="10" fillId="9" borderId="38" xfId="0" applyNumberFormat="1" applyFont="1" applyFill="1" applyBorder="1" applyAlignment="1">
      <alignment horizontal="center" vertical="center"/>
    </xf>
    <xf numFmtId="10" fontId="10" fillId="9" borderId="46" xfId="0" applyNumberFormat="1" applyFont="1" applyFill="1" applyBorder="1" applyAlignment="1">
      <alignment horizontal="center" vertical="center"/>
    </xf>
    <xf numFmtId="10" fontId="10" fillId="9" borderId="55" xfId="0" applyNumberFormat="1" applyFont="1" applyFill="1" applyBorder="1" applyAlignment="1">
      <alignment horizontal="center" vertical="center"/>
    </xf>
    <xf numFmtId="10" fontId="3" fillId="9" borderId="38" xfId="0" applyNumberFormat="1" applyFont="1" applyFill="1" applyBorder="1" applyAlignment="1">
      <alignment horizontal="center" vertical="center"/>
    </xf>
    <xf numFmtId="10" fontId="3" fillId="9" borderId="46" xfId="0" applyNumberFormat="1" applyFont="1" applyFill="1" applyBorder="1" applyAlignment="1">
      <alignment horizontal="center" vertical="center"/>
    </xf>
    <xf numFmtId="10" fontId="3" fillId="9" borderId="55" xfId="0" applyNumberFormat="1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/>
    </xf>
    <xf numFmtId="2" fontId="3" fillId="6" borderId="31" xfId="0" applyNumberFormat="1" applyFont="1" applyFill="1" applyBorder="1" applyAlignment="1">
      <alignment horizontal="center" vertical="center"/>
    </xf>
    <xf numFmtId="2" fontId="3" fillId="6" borderId="14" xfId="0" applyNumberFormat="1" applyFont="1" applyFill="1" applyBorder="1" applyAlignment="1">
      <alignment horizontal="center" vertical="center"/>
    </xf>
    <xf numFmtId="2" fontId="3" fillId="6" borderId="17" xfId="0" applyNumberFormat="1" applyFont="1" applyFill="1" applyBorder="1" applyAlignment="1">
      <alignment horizontal="center" vertical="center"/>
    </xf>
    <xf numFmtId="165" fontId="10" fillId="9" borderId="47" xfId="0" applyNumberFormat="1" applyFont="1" applyFill="1" applyBorder="1" applyAlignment="1">
      <alignment horizontal="center" vertical="center"/>
    </xf>
    <xf numFmtId="165" fontId="10" fillId="9" borderId="61" xfId="0" applyNumberFormat="1" applyFont="1" applyFill="1" applyBorder="1" applyAlignment="1">
      <alignment horizontal="center" vertical="center"/>
    </xf>
    <xf numFmtId="165" fontId="10" fillId="9" borderId="7" xfId="0" applyNumberFormat="1" applyFont="1" applyFill="1" applyBorder="1" applyAlignment="1">
      <alignment horizontal="center" vertical="center"/>
    </xf>
    <xf numFmtId="165" fontId="3" fillId="9" borderId="47" xfId="0" applyNumberFormat="1" applyFont="1" applyFill="1" applyBorder="1" applyAlignment="1">
      <alignment horizontal="center" vertical="center"/>
    </xf>
    <xf numFmtId="165" fontId="3" fillId="9" borderId="61" xfId="0" applyNumberFormat="1" applyFont="1" applyFill="1" applyBorder="1" applyAlignment="1">
      <alignment horizontal="center" vertical="center"/>
    </xf>
    <xf numFmtId="165" fontId="3" fillId="9" borderId="7" xfId="0" applyNumberFormat="1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/>
    </xf>
    <xf numFmtId="165" fontId="10" fillId="9" borderId="29" xfId="0" applyNumberFormat="1" applyFont="1" applyFill="1" applyBorder="1" applyAlignment="1">
      <alignment horizontal="center" vertical="center"/>
    </xf>
    <xf numFmtId="2" fontId="10" fillId="9" borderId="47" xfId="0" applyNumberFormat="1" applyFont="1" applyFill="1" applyBorder="1" applyAlignment="1">
      <alignment horizontal="center" vertical="center"/>
    </xf>
    <xf numFmtId="165" fontId="10" fillId="9" borderId="32" xfId="0" applyNumberFormat="1" applyFont="1" applyFill="1" applyBorder="1" applyAlignment="1">
      <alignment horizontal="center" vertical="center"/>
    </xf>
    <xf numFmtId="2" fontId="10" fillId="9" borderId="61" xfId="0" applyNumberFormat="1" applyFont="1" applyFill="1" applyBorder="1" applyAlignment="1">
      <alignment horizontal="center" vertical="center"/>
    </xf>
    <xf numFmtId="165" fontId="10" fillId="9" borderId="57" xfId="0" applyNumberFormat="1" applyFont="1" applyFill="1" applyBorder="1" applyAlignment="1">
      <alignment horizontal="center" vertical="center"/>
    </xf>
    <xf numFmtId="2" fontId="10" fillId="9" borderId="7" xfId="0" applyNumberFormat="1" applyFont="1" applyFill="1" applyBorder="1" applyAlignment="1">
      <alignment horizontal="center" vertical="center"/>
    </xf>
    <xf numFmtId="165" fontId="3" fillId="9" borderId="29" xfId="0" applyNumberFormat="1" applyFont="1" applyFill="1" applyBorder="1" applyAlignment="1">
      <alignment horizontal="center" vertical="center"/>
    </xf>
    <xf numFmtId="2" fontId="3" fillId="9" borderId="47" xfId="0" applyNumberFormat="1" applyFont="1" applyFill="1" applyBorder="1" applyAlignment="1">
      <alignment horizontal="center" vertical="center"/>
    </xf>
    <xf numFmtId="165" fontId="3" fillId="9" borderId="32" xfId="0" applyNumberFormat="1" applyFont="1" applyFill="1" applyBorder="1" applyAlignment="1">
      <alignment horizontal="center" vertical="center"/>
    </xf>
    <xf numFmtId="2" fontId="3" fillId="9" borderId="61" xfId="0" applyNumberFormat="1" applyFont="1" applyFill="1" applyBorder="1" applyAlignment="1">
      <alignment horizontal="center" vertical="center"/>
    </xf>
    <xf numFmtId="165" fontId="3" fillId="9" borderId="57" xfId="0" applyNumberFormat="1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10" fillId="11" borderId="61" xfId="0" applyNumberFormat="1" applyFon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10" fillId="11" borderId="7" xfId="0" applyNumberFormat="1" applyFont="1" applyFill="1" applyBorder="1" applyAlignment="1">
      <alignment horizontal="center" vertical="center"/>
    </xf>
    <xf numFmtId="2" fontId="3" fillId="6" borderId="29" xfId="0" applyNumberFormat="1" applyFont="1" applyFill="1" applyBorder="1" applyAlignment="1">
      <alignment horizontal="center" vertical="center"/>
    </xf>
    <xf numFmtId="2" fontId="3" fillId="11" borderId="61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6" borderId="15" xfId="0" applyNumberFormat="1" applyFont="1" applyFill="1" applyBorder="1" applyAlignment="1">
      <alignment horizontal="center" vertical="center"/>
    </xf>
    <xf numFmtId="2" fontId="3" fillId="11" borderId="7" xfId="0" applyNumberFormat="1" applyFont="1" applyFill="1" applyBorder="1" applyAlignment="1">
      <alignment horizontal="center" vertical="center"/>
    </xf>
    <xf numFmtId="2" fontId="0" fillId="6" borderId="32" xfId="0" applyNumberFormat="1" applyFill="1" applyBorder="1" applyAlignment="1">
      <alignment horizontal="center" vertical="center"/>
    </xf>
    <xf numFmtId="166" fontId="10" fillId="9" borderId="38" xfId="0" applyNumberFormat="1" applyFont="1" applyFill="1" applyBorder="1" applyAlignment="1">
      <alignment horizontal="center" vertical="center"/>
    </xf>
    <xf numFmtId="166" fontId="10" fillId="9" borderId="46" xfId="0" applyNumberFormat="1" applyFont="1" applyFill="1" applyBorder="1" applyAlignment="1">
      <alignment horizontal="center" vertical="center"/>
    </xf>
    <xf numFmtId="166" fontId="10" fillId="9" borderId="55" xfId="0" applyNumberFormat="1" applyFont="1" applyFill="1" applyBorder="1" applyAlignment="1">
      <alignment horizontal="center" vertical="center"/>
    </xf>
    <xf numFmtId="166" fontId="3" fillId="9" borderId="38" xfId="0" applyNumberFormat="1" applyFont="1" applyFill="1" applyBorder="1" applyAlignment="1">
      <alignment horizontal="center" vertical="center"/>
    </xf>
    <xf numFmtId="166" fontId="3" fillId="9" borderId="46" xfId="0" applyNumberFormat="1" applyFont="1" applyFill="1" applyBorder="1" applyAlignment="1">
      <alignment horizontal="center" vertical="center"/>
    </xf>
    <xf numFmtId="166" fontId="3" fillId="9" borderId="55" xfId="0" applyNumberFormat="1" applyFont="1" applyFill="1" applyBorder="1" applyAlignment="1">
      <alignment horizontal="center" vertical="center"/>
    </xf>
    <xf numFmtId="166" fontId="0" fillId="6" borderId="30" xfId="0" applyNumberFormat="1" applyFill="1" applyBorder="1" applyAlignment="1">
      <alignment horizontal="center" vertical="center"/>
    </xf>
    <xf numFmtId="166" fontId="0" fillId="6" borderId="10" xfId="0" applyNumberFormat="1" applyFill="1" applyBorder="1" applyAlignment="1">
      <alignment horizontal="center" vertical="center"/>
    </xf>
    <xf numFmtId="166" fontId="0" fillId="6" borderId="16" xfId="0" applyNumberFormat="1" applyFill="1" applyBorder="1" applyAlignment="1">
      <alignment horizontal="center" vertical="center"/>
    </xf>
    <xf numFmtId="166" fontId="3" fillId="6" borderId="30" xfId="0" applyNumberFormat="1" applyFont="1" applyFill="1" applyBorder="1" applyAlignment="1">
      <alignment horizontal="center" vertical="center"/>
    </xf>
    <xf numFmtId="166" fontId="3" fillId="6" borderId="10" xfId="0" applyNumberFormat="1" applyFont="1" applyFill="1" applyBorder="1" applyAlignment="1">
      <alignment horizontal="center" vertical="center"/>
    </xf>
    <xf numFmtId="166" fontId="3" fillId="6" borderId="16" xfId="0" applyNumberFormat="1" applyFont="1" applyFill="1" applyBorder="1" applyAlignment="1">
      <alignment horizontal="center" vertical="center"/>
    </xf>
    <xf numFmtId="166" fontId="0" fillId="6" borderId="33" xfId="0" applyNumberFormat="1" applyFill="1" applyBorder="1" applyAlignment="1">
      <alignment horizontal="center" vertical="center"/>
    </xf>
    <xf numFmtId="10" fontId="10" fillId="11" borderId="46" xfId="0" applyNumberFormat="1" applyFont="1" applyFill="1" applyBorder="1" applyAlignment="1">
      <alignment horizontal="center" vertical="center"/>
    </xf>
    <xf numFmtId="10" fontId="10" fillId="11" borderId="55" xfId="0" applyNumberFormat="1" applyFont="1" applyFill="1" applyBorder="1" applyAlignment="1">
      <alignment horizontal="center" vertical="center"/>
    </xf>
    <xf numFmtId="10" fontId="3" fillId="11" borderId="46" xfId="0" applyNumberFormat="1" applyFont="1" applyFill="1" applyBorder="1" applyAlignment="1">
      <alignment horizontal="center" vertical="center"/>
    </xf>
    <xf numFmtId="10" fontId="3" fillId="11" borderId="55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 vertical="center"/>
    </xf>
    <xf numFmtId="2" fontId="10" fillId="16" borderId="47" xfId="0" applyNumberFormat="1" applyFont="1" applyFill="1" applyBorder="1" applyAlignment="1">
      <alignment horizontal="center" vertical="center"/>
    </xf>
    <xf numFmtId="0" fontId="15" fillId="0" borderId="0" xfId="0" applyFont="1"/>
    <xf numFmtId="0" fontId="1" fillId="3" borderId="0" xfId="0" applyFont="1" applyFill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" fontId="4" fillId="0" borderId="45" xfId="0" applyNumberFormat="1" applyFont="1" applyBorder="1" applyAlignment="1">
      <alignment horizontal="center"/>
    </xf>
    <xf numFmtId="0" fontId="4" fillId="0" borderId="41" xfId="0" applyNumberFormat="1" applyFont="1" applyBorder="1" applyAlignment="1">
      <alignment horizontal="center"/>
    </xf>
    <xf numFmtId="16" fontId="4" fillId="0" borderId="8" xfId="0" applyNumberFormat="1" applyFont="1" applyBorder="1" applyAlignment="1">
      <alignment horizontal="center" vertical="center"/>
    </xf>
    <xf numFmtId="16" fontId="4" fillId="0" borderId="11" xfId="0" applyNumberFormat="1" applyFont="1" applyBorder="1" applyAlignment="1">
      <alignment horizontal="center" vertical="center"/>
    </xf>
    <xf numFmtId="16" fontId="4" fillId="0" borderId="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7" borderId="39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 textRotation="90"/>
    </xf>
    <xf numFmtId="0" fontId="7" fillId="0" borderId="22" xfId="0" applyFont="1" applyBorder="1" applyAlignment="1">
      <alignment horizontal="center" vertical="center" textRotation="90"/>
    </xf>
    <xf numFmtId="0" fontId="7" fillId="0" borderId="2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2" fillId="4" borderId="1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3" fillId="13" borderId="21" xfId="0" applyFont="1" applyFill="1" applyBorder="1" applyAlignment="1">
      <alignment horizontal="center" vertical="center" textRotation="90"/>
    </xf>
    <xf numFmtId="0" fontId="13" fillId="13" borderId="22" xfId="0" applyFont="1" applyFill="1" applyBorder="1" applyAlignment="1">
      <alignment horizontal="center" vertical="center" textRotation="90"/>
    </xf>
    <xf numFmtId="0" fontId="13" fillId="13" borderId="23" xfId="0" applyFont="1" applyFill="1" applyBorder="1" applyAlignment="1">
      <alignment horizontal="center" vertical="center" textRotation="90"/>
    </xf>
    <xf numFmtId="0" fontId="13" fillId="14" borderId="22" xfId="0" applyFont="1" applyFill="1" applyBorder="1" applyAlignment="1">
      <alignment horizontal="center" vertical="center" textRotation="90"/>
    </xf>
    <xf numFmtId="0" fontId="13" fillId="14" borderId="23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64" fontId="12" fillId="8" borderId="8" xfId="0" applyNumberFormat="1" applyFont="1" applyFill="1" applyBorder="1" applyAlignment="1">
      <alignment horizontal="center"/>
    </xf>
    <xf numFmtId="164" fontId="12" fillId="8" borderId="11" xfId="0" applyNumberFormat="1" applyFont="1" applyFill="1" applyBorder="1" applyAlignment="1">
      <alignment horizontal="center"/>
    </xf>
    <xf numFmtId="164" fontId="12" fillId="8" borderId="9" xfId="0" applyNumberFormat="1" applyFont="1" applyFill="1" applyBorder="1" applyAlignment="1">
      <alignment horizontal="center"/>
    </xf>
    <xf numFmtId="0" fontId="13" fillId="15" borderId="21" xfId="0" applyFont="1" applyFill="1" applyBorder="1" applyAlignment="1">
      <alignment horizontal="center" vertical="center"/>
    </xf>
    <xf numFmtId="0" fontId="13" fillId="15" borderId="22" xfId="0" applyFont="1" applyFill="1" applyBorder="1" applyAlignment="1">
      <alignment horizontal="center" vertical="center"/>
    </xf>
    <xf numFmtId="0" fontId="13" fillId="15" borderId="23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2" fontId="12" fillId="10" borderId="2" xfId="0" applyNumberFormat="1" applyFont="1" applyFill="1" applyBorder="1" applyAlignment="1">
      <alignment horizontal="center" vertical="center"/>
    </xf>
    <xf numFmtId="2" fontId="12" fillId="10" borderId="18" xfId="0" applyNumberFormat="1" applyFont="1" applyFill="1" applyBorder="1" applyAlignment="1">
      <alignment horizontal="center" vertical="center"/>
    </xf>
    <xf numFmtId="2" fontId="12" fillId="10" borderId="3" xfId="0" applyNumberFormat="1" applyFont="1" applyFill="1" applyBorder="1" applyAlignment="1">
      <alignment horizontal="center" vertical="center"/>
    </xf>
  </cellXfs>
  <cellStyles count="4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'Torque and Power'!$B$92</c:f>
              <c:strCache>
                <c:ptCount val="1"/>
                <c:pt idx="0">
                  <c:v>No-load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'Torque and Power'!$C$92:$J$92</c:f>
              <c:numCache>
                <c:formatCode>0.00</c:formatCode>
                <c:ptCount val="8"/>
                <c:pt idx="0">
                  <c:v>6.8548841736888841E-2</c:v>
                </c:pt>
                <c:pt idx="1">
                  <c:v>0.14884567667070056</c:v>
                </c:pt>
                <c:pt idx="2">
                  <c:v>0.23261915444230893</c:v>
                </c:pt>
                <c:pt idx="3">
                  <c:v>0.31578358124088268</c:v>
                </c:pt>
                <c:pt idx="4">
                  <c:v>0.40782409051242829</c:v>
                </c:pt>
                <c:pt idx="5">
                  <c:v>0.50315964171285643</c:v>
                </c:pt>
                <c:pt idx="6">
                  <c:v>0.60389784026063587</c:v>
                </c:pt>
                <c:pt idx="7">
                  <c:v>0.69179448081673334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E-46EB-9CEE-980689FA70C1}"/>
            </c:ext>
          </c:extLst>
        </c:ser>
        <c:ser>
          <c:idx val="1"/>
          <c:order val="1"/>
          <c:tx>
            <c:strRef>
              <c:f>'Torque and Power'!$B$93</c:f>
              <c:strCache>
                <c:ptCount val="1"/>
                <c:pt idx="0">
                  <c:v>Rotor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'Torque and Power'!$C$93:$J$93</c:f>
              <c:numCache>
                <c:formatCode>0.00</c:formatCode>
                <c:ptCount val="8"/>
                <c:pt idx="0">
                  <c:v>1.7177048557386647</c:v>
                </c:pt>
                <c:pt idx="1">
                  <c:v>3.7403603819881992</c:v>
                </c:pt>
                <c:pt idx="2">
                  <c:v>5.9812392739905551</c:v>
                </c:pt>
                <c:pt idx="3">
                  <c:v>8.3357343073248664</c:v>
                </c:pt>
                <c:pt idx="4">
                  <c:v>10.802397392410606</c:v>
                </c:pt>
                <c:pt idx="5">
                  <c:v>13.394338211952798</c:v>
                </c:pt>
                <c:pt idx="6">
                  <c:v>15.822812875094638</c:v>
                </c:pt>
                <c:pt idx="7">
                  <c:v>18.267493090648426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E-46EB-9CEE-980689FA70C1}"/>
            </c:ext>
          </c:extLst>
        </c:ser>
        <c:ser>
          <c:idx val="2"/>
          <c:order val="2"/>
          <c:tx>
            <c:strRef>
              <c:f>'Torque and Power'!$B$94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'Torque and Power'!$C$94:$J$94</c:f>
              <c:numCache>
                <c:formatCode>0.00</c:formatCode>
                <c:ptCount val="8"/>
                <c:pt idx="0">
                  <c:v>1.5457235955244464</c:v>
                </c:pt>
                <c:pt idx="1">
                  <c:v>1.9863049513410989</c:v>
                </c:pt>
                <c:pt idx="2">
                  <c:v>2.289224691567135</c:v>
                </c:pt>
                <c:pt idx="3">
                  <c:v>2.7323807414342483</c:v>
                </c:pt>
                <c:pt idx="4">
                  <c:v>2.3592592670769648</c:v>
                </c:pt>
                <c:pt idx="5">
                  <c:v>2.270145586334344</c:v>
                </c:pt>
                <c:pt idx="6">
                  <c:v>1.8350613146447259</c:v>
                </c:pt>
                <c:pt idx="7">
                  <c:v>1.6031724385348483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E-46EB-9CEE-980689FA70C1}"/>
            </c:ext>
          </c:extLst>
        </c:ser>
        <c:ser>
          <c:idx val="3"/>
          <c:order val="3"/>
          <c:tx>
            <c:strRef>
              <c:f>'Torque and Power'!$B$95</c:f>
              <c:strCache>
                <c:ptCount val="1"/>
                <c:pt idx="0">
                  <c:v>Valve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'Torque and Power'!$C$95:$J$95</c:f>
              <c:numCache>
                <c:formatCode>0.00</c:formatCode>
                <c:ptCount val="8"/>
                <c:pt idx="0">
                  <c:v>5.2119999999999997</c:v>
                </c:pt>
                <c:pt idx="1">
                  <c:v>10.205</c:v>
                </c:pt>
                <c:pt idx="2">
                  <c:v>14.887</c:v>
                </c:pt>
                <c:pt idx="3">
                  <c:v>19.056000000000001</c:v>
                </c:pt>
                <c:pt idx="4">
                  <c:v>23.337</c:v>
                </c:pt>
                <c:pt idx="5">
                  <c:v>27.193000000000001</c:v>
                </c:pt>
                <c:pt idx="6">
                  <c:v>31.146000000000001</c:v>
                </c:pt>
                <c:pt idx="7">
                  <c:v>34.713999999999999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E-46EB-9CEE-980689FA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836272"/>
        <c:axId val="-2111482992"/>
      </c:barChart>
      <c:catAx>
        <c:axId val="-21138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482992"/>
        <c:crosses val="autoZero"/>
        <c:auto val="1"/>
        <c:lblAlgn val="ctr"/>
        <c:lblOffset val="100"/>
        <c:noMultiLvlLbl val="0"/>
      </c:catAx>
      <c:valAx>
        <c:axId val="-21114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38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0.4 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Performance!$AA$20:$AC$20</c:f>
              <c:numCache>
                <c:formatCode>0.00</c:formatCode>
                <c:ptCount val="3"/>
                <c:pt idx="0">
                  <c:v>0.49916775885575082</c:v>
                </c:pt>
                <c:pt idx="1">
                  <c:v>1.4982385832399123</c:v>
                </c:pt>
                <c:pt idx="2">
                  <c:v>2.1031255230453323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5-442D-9221-3253F42C3B73}"/>
            </c:ext>
          </c:extLst>
        </c:ser>
        <c:ser>
          <c:idx val="1"/>
          <c:order val="1"/>
          <c:tx>
            <c:v>0.8 Hz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Performance!$AA$24:$AC$24</c:f>
              <c:numCache>
                <c:formatCode>0.00</c:formatCode>
                <c:ptCount val="3"/>
                <c:pt idx="0">
                  <c:v>0.47334616623719711</c:v>
                </c:pt>
                <c:pt idx="1">
                  <c:v>1.1612033116921137</c:v>
                </c:pt>
                <c:pt idx="2">
                  <c:v>1.8492999328421387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5-442D-9221-3253F42C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137104"/>
        <c:axId val="-2111133472"/>
      </c:barChart>
      <c:catAx>
        <c:axId val="-21111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133472"/>
        <c:crosses val="autoZero"/>
        <c:auto val="1"/>
        <c:lblAlgn val="ctr"/>
        <c:lblOffset val="100"/>
        <c:noMultiLvlLbl val="0"/>
      </c:catAx>
      <c:valAx>
        <c:axId val="-21111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1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94235857995346E-2"/>
          <c:y val="9.3398971490441171E-2"/>
          <c:w val="0.85475438308601903"/>
          <c:h val="0.81280216535433103"/>
        </c:manualLayout>
      </c:layout>
      <c:barChart>
        <c:barDir val="col"/>
        <c:grouping val="clustered"/>
        <c:varyColors val="0"/>
        <c:ser>
          <c:idx val="0"/>
          <c:order val="0"/>
          <c:tx>
            <c:v>100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(Performance!$P$15,Performance!$P$18)</c:f>
              <c:numCache>
                <c:formatCode>0.00</c:formatCode>
                <c:ptCount val="2"/>
                <c:pt idx="0">
                  <c:v>48.28</c:v>
                </c:pt>
                <c:pt idx="1">
                  <c:v>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1-4B12-AC8D-E517BD8B2B21}"/>
            </c:ext>
          </c:extLst>
        </c:ser>
        <c:ser>
          <c:idx val="1"/>
          <c:order val="1"/>
          <c:tx>
            <c:v>125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(Performance!$P$16,Performance!$P$19)</c:f>
              <c:numCache>
                <c:formatCode>0.00</c:formatCode>
                <c:ptCount val="2"/>
                <c:pt idx="0">
                  <c:v>59.65</c:v>
                </c:pt>
                <c:pt idx="1">
                  <c:v>36.29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B12-AC8D-E517BD8B2B21}"/>
            </c:ext>
          </c:extLst>
        </c:ser>
        <c:ser>
          <c:idx val="2"/>
          <c:order val="2"/>
          <c:tx>
            <c:v>150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(Performance!$P$17,Performance!$P$20)</c:f>
              <c:numCache>
                <c:formatCode>0.00</c:formatCode>
                <c:ptCount val="2"/>
                <c:pt idx="0">
                  <c:v>72.349999999999994</c:v>
                </c:pt>
                <c:pt idx="1">
                  <c:v>53.16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1-4B12-AC8D-E517BD8B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092464"/>
        <c:axId val="-2111086384"/>
      </c:barChart>
      <c:catAx>
        <c:axId val="-211109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086384"/>
        <c:crosses val="autoZero"/>
        <c:auto val="1"/>
        <c:lblAlgn val="ctr"/>
        <c:lblOffset val="100"/>
        <c:noMultiLvlLbl val="0"/>
      </c:catAx>
      <c:valAx>
        <c:axId val="-21110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0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886841104163"/>
          <c:y val="6.7772883858267699E-2"/>
          <c:w val="0.45306399433081201"/>
          <c:h val="4.88292322834645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(Performance!$P$21,Performance!$P$24,Performance!$P$27)</c:f>
              <c:numCache>
                <c:formatCode>0.00</c:formatCode>
                <c:ptCount val="3"/>
                <c:pt idx="0">
                  <c:v>80.25</c:v>
                </c:pt>
                <c:pt idx="1">
                  <c:v>59.47</c:v>
                </c:pt>
                <c:pt idx="2">
                  <c:v>33.11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F4B-8CA3-592CF21256C2}"/>
            </c:ext>
          </c:extLst>
        </c:ser>
        <c:ser>
          <c:idx val="1"/>
          <c:order val="1"/>
          <c:tx>
            <c:v>175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(Performance!$P$22,Performance!$P$25,Performance!$P$28)</c:f>
              <c:numCache>
                <c:formatCode>0.00</c:formatCode>
                <c:ptCount val="3"/>
                <c:pt idx="0">
                  <c:v>93.59</c:v>
                </c:pt>
                <c:pt idx="1">
                  <c:v>73.209999999999994</c:v>
                </c:pt>
                <c:pt idx="2">
                  <c:v>40.92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F4B-8CA3-592CF21256C2}"/>
            </c:ext>
          </c:extLst>
        </c:ser>
        <c:ser>
          <c:idx val="2"/>
          <c:order val="2"/>
          <c:tx>
            <c:v>200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(Performance!$P$23,Performance!$P$26,Performance!$P$29)</c:f>
              <c:numCache>
                <c:formatCode>0.00</c:formatCode>
                <c:ptCount val="3"/>
                <c:pt idx="0">
                  <c:v>104.46</c:v>
                </c:pt>
                <c:pt idx="1">
                  <c:v>83.19</c:v>
                </c:pt>
                <c:pt idx="2">
                  <c:v>48.72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6-4F4B-8CA3-592CF212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053152"/>
        <c:axId val="-2111049456"/>
      </c:barChart>
      <c:catAx>
        <c:axId val="-21110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049456"/>
        <c:crosses val="autoZero"/>
        <c:auto val="1"/>
        <c:lblAlgn val="ctr"/>
        <c:lblOffset val="100"/>
        <c:noMultiLvlLbl val="0"/>
      </c:catAx>
      <c:valAx>
        <c:axId val="-21110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0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41111111111"/>
          <c:y val="3.6484895833333301E-2"/>
          <c:w val="0.82132833333333299"/>
          <c:h val="0.86529409722222195"/>
        </c:manualLayout>
      </c:layout>
      <c:barChart>
        <c:barDir val="col"/>
        <c:grouping val="clustered"/>
        <c:varyColors val="0"/>
        <c:ser>
          <c:idx val="0"/>
          <c:order val="0"/>
          <c:tx>
            <c:v>0.4 Hz</c:v>
          </c:tx>
          <c:spPr>
            <a:solidFill>
              <a:srgbClr val="E7E6E6">
                <a:lumMod val="25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Performance!$AK$37:$AM$37</c:f>
              <c:strCache>
                <c:ptCount val="3"/>
                <c:pt idx="0">
                  <c:v>Power transducer</c:v>
                </c:pt>
                <c:pt idx="1">
                  <c:v>Torque transducer</c:v>
                </c:pt>
                <c:pt idx="2">
                  <c:v>No rotary valves</c:v>
                </c:pt>
              </c:strCache>
            </c:strRef>
          </c:cat>
          <c:val>
            <c:numRef>
              <c:f>Performance!$AF$20:$AH$20</c:f>
              <c:numCache>
                <c:formatCode>0.00</c:formatCode>
                <c:ptCount val="3"/>
                <c:pt idx="0">
                  <c:v>1.0333857295035089</c:v>
                </c:pt>
                <c:pt idx="1">
                  <c:v>3.1016794331043629</c:v>
                </c:pt>
                <c:pt idx="2" formatCode="0.0">
                  <c:v>4.3539268398496462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5-49F4-9ED1-EFF0E3162143}"/>
            </c:ext>
          </c:extLst>
        </c:ser>
        <c:ser>
          <c:idx val="1"/>
          <c:order val="1"/>
          <c:tx>
            <c:v>0.8 Hz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Performance!$AK$37:$AM$37</c:f>
              <c:strCache>
                <c:ptCount val="3"/>
                <c:pt idx="0">
                  <c:v>Power transducer</c:v>
                </c:pt>
                <c:pt idx="1">
                  <c:v>Torque transducer</c:v>
                </c:pt>
                <c:pt idx="2">
                  <c:v>No rotary valves</c:v>
                </c:pt>
              </c:strCache>
            </c:strRef>
          </c:cat>
          <c:val>
            <c:numRef>
              <c:f>Performance!$AF$24:$AH$24</c:f>
              <c:numCache>
                <c:formatCode>0.00</c:formatCode>
                <c:ptCount val="3"/>
                <c:pt idx="0">
                  <c:v>0.98604321616920332</c:v>
                </c:pt>
                <c:pt idx="1">
                  <c:v>2.418941421220798</c:v>
                </c:pt>
                <c:pt idx="2">
                  <c:v>3.852338486095165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5-49F4-9ED1-EFF0E316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"/>
        <c:axId val="-2111011136"/>
        <c:axId val="-2111007488"/>
      </c:barChart>
      <c:catAx>
        <c:axId val="-21110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pt-BR"/>
          </a:p>
        </c:txPr>
        <c:crossAx val="-2111007488"/>
        <c:crosses val="autoZero"/>
        <c:auto val="1"/>
        <c:lblAlgn val="ctr"/>
        <c:lblOffset val="100"/>
        <c:noMultiLvlLbl val="0"/>
      </c:catAx>
      <c:valAx>
        <c:axId val="-21110074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Second-law efficiency  (%)</a:t>
                </a:r>
                <a:endParaRPr lang="en-US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pt-BR"/>
          </a:p>
        </c:txPr>
        <c:crossAx val="-211101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80930555555601"/>
          <c:y val="4.3537673611111098E-2"/>
          <c:w val="0.68918916666666696"/>
          <c:h val="7.5214509795774195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5741111111111"/>
          <c:y val="3.6484895833333301E-2"/>
          <c:w val="0.82132833333333299"/>
          <c:h val="0.86529409722222195"/>
        </c:manualLayout>
      </c:layout>
      <c:barChart>
        <c:barDir val="col"/>
        <c:grouping val="clustered"/>
        <c:varyColors val="0"/>
        <c:ser>
          <c:idx val="0"/>
          <c:order val="0"/>
          <c:tx>
            <c:v>0.4 Hz</c:v>
          </c:tx>
          <c:spPr>
            <a:solidFill>
              <a:srgbClr val="E7E6E6">
                <a:lumMod val="25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Performance!$AK$37:$AM$37</c:f>
              <c:strCache>
                <c:ptCount val="3"/>
                <c:pt idx="0">
                  <c:v>Power transducer</c:v>
                </c:pt>
                <c:pt idx="1">
                  <c:v>Torque transducer</c:v>
                </c:pt>
                <c:pt idx="2">
                  <c:v>No rotary valves</c:v>
                </c:pt>
              </c:strCache>
            </c:strRef>
          </c:cat>
          <c:val>
            <c:numRef>
              <c:f>Performance!$AA$20:$AC$20</c:f>
              <c:numCache>
                <c:formatCode>0.00</c:formatCode>
                <c:ptCount val="3"/>
                <c:pt idx="0">
                  <c:v>0.49916775885575082</c:v>
                </c:pt>
                <c:pt idx="1">
                  <c:v>1.4982385832399123</c:v>
                </c:pt>
                <c:pt idx="2">
                  <c:v>2.1031255230453323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42C3-ABEB-4DD7CDB1442E}"/>
            </c:ext>
          </c:extLst>
        </c:ser>
        <c:ser>
          <c:idx val="1"/>
          <c:order val="1"/>
          <c:tx>
            <c:v>0.8 Hz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Performance!$AK$37:$AM$37</c:f>
              <c:strCache>
                <c:ptCount val="3"/>
                <c:pt idx="0">
                  <c:v>Power transducer</c:v>
                </c:pt>
                <c:pt idx="1">
                  <c:v>Torque transducer</c:v>
                </c:pt>
                <c:pt idx="2">
                  <c:v>No rotary valves</c:v>
                </c:pt>
              </c:strCache>
            </c:strRef>
          </c:cat>
          <c:val>
            <c:numRef>
              <c:f>Performance!$AA$24:$AC$24</c:f>
              <c:numCache>
                <c:formatCode>0.00</c:formatCode>
                <c:ptCount val="3"/>
                <c:pt idx="0">
                  <c:v>0.47334616623719711</c:v>
                </c:pt>
                <c:pt idx="1">
                  <c:v>1.1612033116921137</c:v>
                </c:pt>
                <c:pt idx="2">
                  <c:v>1.8492999328421387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8-42C3-ABEB-4DD7CDB1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"/>
        <c:axId val="-2110961712"/>
        <c:axId val="-2110958064"/>
      </c:barChart>
      <c:catAx>
        <c:axId val="-211096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pt-BR"/>
          </a:p>
        </c:txPr>
        <c:crossAx val="-2110958064"/>
        <c:crosses val="autoZero"/>
        <c:auto val="1"/>
        <c:lblAlgn val="ctr"/>
        <c:lblOffset val="100"/>
        <c:noMultiLvlLbl val="0"/>
      </c:catAx>
      <c:valAx>
        <c:axId val="-21109580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COP  (-)</a:t>
                </a:r>
                <a:endParaRPr lang="en-US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pt-BR"/>
          </a:p>
        </c:txPr>
        <c:crossAx val="-2110961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880930555555601"/>
          <c:y val="4.3537673611111098E-2"/>
          <c:w val="0.68918916666666696"/>
          <c:h val="7.5214509795774195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76590426196699"/>
          <c:y val="3.5251026314018399E-2"/>
          <c:w val="0.847599175103112"/>
          <c:h val="0.81443872400565298"/>
        </c:manualLayout>
      </c:layout>
      <c:barChart>
        <c:barDir val="col"/>
        <c:grouping val="stacked"/>
        <c:varyColors val="0"/>
        <c:ser>
          <c:idx val="0"/>
          <c:order val="0"/>
          <c:tx>
            <c:v>Drive system</c:v>
          </c:tx>
          <c:spPr>
            <a:solidFill>
              <a:srgbClr val="E7E6E6">
                <a:lumMod val="5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100</c:v>
              </c:pt>
              <c:pt idx="1">
                <c:v>125</c:v>
              </c:pt>
              <c:pt idx="2">
                <c:v>150</c:v>
              </c:pt>
            </c:numLit>
          </c:cat>
          <c:val>
            <c:numRef>
              <c:f>Performance!$W$18:$W$20</c:f>
              <c:numCache>
                <c:formatCode>0.00</c:formatCode>
                <c:ptCount val="3"/>
                <c:pt idx="0">
                  <c:v>16.080511009999999</c:v>
                </c:pt>
                <c:pt idx="1">
                  <c:v>16.080511009999999</c:v>
                </c:pt>
                <c:pt idx="2">
                  <c:v>16.080511009999999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D-4453-AB93-8071A3AE4E00}"/>
            </c:ext>
          </c:extLst>
        </c:ser>
        <c:ser>
          <c:idx val="1"/>
          <c:order val="1"/>
          <c:tx>
            <c:v>Pump power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100</c:v>
              </c:pt>
              <c:pt idx="1">
                <c:v>125</c:v>
              </c:pt>
              <c:pt idx="2">
                <c:v>150</c:v>
              </c:pt>
            </c:numLit>
          </c:cat>
          <c:val>
            <c:numRef>
              <c:f>Performance!$V$18:$V$20</c:f>
              <c:numCache>
                <c:formatCode>0.00</c:formatCode>
                <c:ptCount val="3"/>
                <c:pt idx="0">
                  <c:v>8.2200000000000006</c:v>
                </c:pt>
                <c:pt idx="1">
                  <c:v>13.81</c:v>
                </c:pt>
                <c:pt idx="2">
                  <c:v>19.55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D-4453-AB93-8071A3AE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213184"/>
        <c:axId val="-2090205952"/>
      </c:barChart>
      <c:catAx>
        <c:axId val="-20902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Volumetric flow rate (L/h)</a:t>
                </a:r>
                <a:endParaRPr 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pt-BR"/>
          </a:p>
        </c:txPr>
        <c:crossAx val="-2090205952"/>
        <c:crosses val="autoZero"/>
        <c:auto val="1"/>
        <c:lblAlgn val="ctr"/>
        <c:lblOffset val="100"/>
        <c:noMultiLvlLbl val="0"/>
      </c:catAx>
      <c:valAx>
        <c:axId val="-20902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Power</a:t>
                </a:r>
                <a:r>
                  <a:rPr lang="en-US" baseline="0" dirty="0" smtClean="0"/>
                  <a:t> (W)</a:t>
                </a:r>
                <a:endParaRPr lang="en-US" dirty="0"/>
              </a:p>
            </c:rich>
          </c:tx>
          <c:layout>
            <c:manualLayout>
              <c:xMode val="edge"/>
              <c:yMode val="edge"/>
              <c:x val="1.68638888888889E-3"/>
              <c:y val="0.3191984374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pt-BR"/>
          </a:p>
        </c:txPr>
        <c:crossAx val="-2090213184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560992375952999"/>
          <c:y val="4.0865132243085002E-2"/>
          <c:w val="0.83830383702037203"/>
          <c:h val="5.315196177400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Performance!$D$14:$D$21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numCache>
            </c:numRef>
          </c:xVal>
          <c:yVal>
            <c:numRef>
              <c:f>Performance!$E$14:$E$21</c:f>
              <c:numCache>
                <c:formatCode>0.000</c:formatCode>
                <c:ptCount val="8"/>
                <c:pt idx="0">
                  <c:v>1.7862536974755536</c:v>
                </c:pt>
                <c:pt idx="1">
                  <c:v>3.8892060586588997</c:v>
                </c:pt>
                <c:pt idx="2">
                  <c:v>6.2138584284328644</c:v>
                </c:pt>
                <c:pt idx="3">
                  <c:v>8.6515178885657491</c:v>
                </c:pt>
                <c:pt idx="4">
                  <c:v>11.210221482923034</c:v>
                </c:pt>
                <c:pt idx="5">
                  <c:v>13.897497853665655</c:v>
                </c:pt>
                <c:pt idx="6">
                  <c:v>16.426710715355274</c:v>
                </c:pt>
                <c:pt idx="7">
                  <c:v>18.959287571465158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2-4EF8-86E6-7034B5C7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81832"/>
        <c:axId val="393382488"/>
      </c:scatterChart>
      <c:valAx>
        <c:axId val="39338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382488"/>
        <c:crosses val="autoZero"/>
        <c:crossBetween val="midCat"/>
      </c:valAx>
      <c:valAx>
        <c:axId val="3933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38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(Performance!$Q$15,Performance!$Q$18)</c:f>
              <c:numCache>
                <c:formatCode>0.00</c:formatCode>
                <c:ptCount val="2"/>
                <c:pt idx="0">
                  <c:v>1.983524502840748</c:v>
                </c:pt>
                <c:pt idx="1">
                  <c:v>0.93002159463641665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664-BA72-8C45BA1B76BB}"/>
            </c:ext>
          </c:extLst>
        </c:ser>
        <c:ser>
          <c:idx val="1"/>
          <c:order val="1"/>
          <c:tx>
            <c:v>125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(Performance!$Q$16,Performance!$Q$19)</c:f>
              <c:numCache>
                <c:formatCode>0.00</c:formatCode>
                <c:ptCount val="2"/>
                <c:pt idx="0">
                  <c:v>2.0036606015920717</c:v>
                </c:pt>
                <c:pt idx="1">
                  <c:v>1.2140976776161179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1-4664-BA72-8C45BA1B76BB}"/>
            </c:ext>
          </c:extLst>
        </c:ser>
        <c:ser>
          <c:idx val="2"/>
          <c:order val="2"/>
          <c:tx>
            <c:v>150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(Performance!$Q$17,Performance!$Q$20)</c:f>
              <c:numCache>
                <c:formatCode>0.00</c:formatCode>
                <c:ptCount val="2"/>
                <c:pt idx="0">
                  <c:v>2.0577061573258404</c:v>
                </c:pt>
                <c:pt idx="1">
                  <c:v>1.491979724486135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1-4664-BA72-8C45BA1B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420032"/>
        <c:axId val="-2111414448"/>
      </c:barChart>
      <c:catAx>
        <c:axId val="-21114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414448"/>
        <c:crosses val="autoZero"/>
        <c:auto val="1"/>
        <c:lblAlgn val="ctr"/>
        <c:lblOffset val="100"/>
        <c:noMultiLvlLbl val="0"/>
      </c:catAx>
      <c:valAx>
        <c:axId val="-21114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 (-)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4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886841104163"/>
          <c:y val="6.7772883858267699E-2"/>
          <c:w val="0.45306399433081201"/>
          <c:h val="4.882923228346459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(Performance!$S$15,Performance!$S$18)</c:f>
              <c:numCache>
                <c:formatCode>0.00</c:formatCode>
                <c:ptCount val="2"/>
                <c:pt idx="0">
                  <c:v>2.7204287610357234</c:v>
                </c:pt>
                <c:pt idx="1">
                  <c:v>1.9265722228194695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F-4B79-B144-F79BA2A5E3D0}"/>
            </c:ext>
          </c:extLst>
        </c:ser>
        <c:ser>
          <c:idx val="1"/>
          <c:order val="1"/>
          <c:tx>
            <c:v>125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(Performance!$S$16,Performance!$S$19)</c:f>
              <c:numCache>
                <c:formatCode>0.00</c:formatCode>
                <c:ptCount val="2"/>
                <c:pt idx="0">
                  <c:v>2.746973071752671</c:v>
                </c:pt>
                <c:pt idx="1">
                  <c:v>2.5142463791674325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F-4B79-B144-F79BA2A5E3D0}"/>
            </c:ext>
          </c:extLst>
        </c:ser>
        <c:ser>
          <c:idx val="2"/>
          <c:order val="2"/>
          <c:tx>
            <c:v>150 L/h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(Performance!$S$17,Performance!$S$20)</c:f>
              <c:numCache>
                <c:formatCode>0.00</c:formatCode>
                <c:ptCount val="2"/>
                <c:pt idx="0">
                  <c:v>2.8200422426592873</c:v>
                </c:pt>
                <c:pt idx="1">
                  <c:v>3.0887222354400787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F-4B79-B144-F79BA2A5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348080"/>
        <c:axId val="-2111344384"/>
      </c:barChart>
      <c:catAx>
        <c:axId val="-21113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344384"/>
        <c:crosses val="autoZero"/>
        <c:auto val="1"/>
        <c:lblAlgn val="ctr"/>
        <c:lblOffset val="100"/>
        <c:noMultiLvlLbl val="0"/>
      </c:catAx>
      <c:valAx>
        <c:axId val="-21113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3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(Performance!$S$21,Performance!$S$24,Performance!$S$27)</c:f>
              <c:numCache>
                <c:formatCode>0.00</c:formatCode>
                <c:ptCount val="3"/>
                <c:pt idx="0">
                  <c:v>2.1527797361140353</c:v>
                </c:pt>
                <c:pt idx="1">
                  <c:v>2.4041177556380311</c:v>
                </c:pt>
                <c:pt idx="2">
                  <c:v>1.7843007393142067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7-4DEA-8944-7BEE3BB3F895}"/>
            </c:ext>
          </c:extLst>
        </c:ser>
        <c:ser>
          <c:idx val="1"/>
          <c:order val="1"/>
          <c:tx>
            <c:v>175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(Performance!$S$22,Performance!$S$25,Performance!$S$28)</c:f>
              <c:numCache>
                <c:formatCode>0.00</c:formatCode>
                <c:ptCount val="3"/>
                <c:pt idx="0">
                  <c:v>2.104722127258229</c:v>
                </c:pt>
                <c:pt idx="1">
                  <c:v>2.4601542751733096</c:v>
                </c:pt>
                <c:pt idx="2">
                  <c:v>1.8400447298627634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7-4DEA-8944-7BEE3BB3F895}"/>
            </c:ext>
          </c:extLst>
        </c:ser>
        <c:ser>
          <c:idx val="2"/>
          <c:order val="2"/>
          <c:tx>
            <c:v>200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(Performance!$S$23,Performance!$S$26,Performance!$S$29)</c:f>
              <c:numCache>
                <c:formatCode>0.00</c:formatCode>
                <c:ptCount val="3"/>
                <c:pt idx="0">
                  <c:v>1.9523755970836394</c:v>
                </c:pt>
                <c:pt idx="1">
                  <c:v>2.3211867301850484</c:v>
                </c:pt>
                <c:pt idx="2">
                  <c:v>1.8206948221987522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7-4DEA-8944-7BEE3BB3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309920"/>
        <c:axId val="-2111306224"/>
      </c:barChart>
      <c:catAx>
        <c:axId val="-21113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306224"/>
        <c:crosses val="autoZero"/>
        <c:auto val="1"/>
        <c:lblAlgn val="ctr"/>
        <c:lblOffset val="100"/>
        <c:noMultiLvlLbl val="0"/>
      </c:catAx>
      <c:valAx>
        <c:axId val="-21113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(Performance!$U$15,Performance!$U$18)</c:f>
              <c:numCache>
                <c:formatCode>0.00</c:formatCode>
                <c:ptCount val="2"/>
                <c:pt idx="0">
                  <c:v>4.7342682928232254</c:v>
                </c:pt>
                <c:pt idx="1">
                  <c:v>3.3568375230388336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4-4A76-BD20-9538420CA5E9}"/>
            </c:ext>
          </c:extLst>
        </c:ser>
        <c:ser>
          <c:idx val="1"/>
          <c:order val="1"/>
          <c:tx>
            <c:v>125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(Performance!$U$16,Performance!$U$19)</c:f>
              <c:numCache>
                <c:formatCode>0.00</c:formatCode>
                <c:ptCount val="2"/>
                <c:pt idx="0">
                  <c:v>4.211783572146687</c:v>
                </c:pt>
                <c:pt idx="1">
                  <c:v>3.8467214233407709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24-4A76-BD20-9538420CA5E9}"/>
            </c:ext>
          </c:extLst>
        </c:ser>
        <c:ser>
          <c:idx val="2"/>
          <c:order val="2"/>
          <c:tx>
            <c:v>150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(Performance!$U$17,Performance!$U$20)</c:f>
              <c:numCache>
                <c:formatCode>0.00</c:formatCode>
                <c:ptCount val="2"/>
                <c:pt idx="0">
                  <c:v>3.9970759870117343</c:v>
                </c:pt>
                <c:pt idx="1">
                  <c:v>4.3539268398496462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24-4A76-BD20-9538420CA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105392"/>
        <c:axId val="-2112101696"/>
      </c:barChart>
      <c:catAx>
        <c:axId val="-21121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2101696"/>
        <c:crosses val="autoZero"/>
        <c:auto val="1"/>
        <c:lblAlgn val="ctr"/>
        <c:lblOffset val="100"/>
        <c:noMultiLvlLbl val="0"/>
      </c:catAx>
      <c:valAx>
        <c:axId val="-2112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21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(Performance!$U$21,Performance!$U$24,Performance!$U$27)</c:f>
              <c:numCache>
                <c:formatCode>0.00</c:formatCode>
                <c:ptCount val="3"/>
                <c:pt idx="0">
                  <c:v>3.4544537916136639</c:v>
                </c:pt>
                <c:pt idx="1">
                  <c:v>3.852338486095165</c:v>
                </c:pt>
                <c:pt idx="2">
                  <c:v>2.8465960724656934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A7F-80D0-1E8BEAF5096F}"/>
            </c:ext>
          </c:extLst>
        </c:ser>
        <c:ser>
          <c:idx val="1"/>
          <c:order val="1"/>
          <c:tx>
            <c:v>175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(Performance!$U$22,Performance!$U$25,Performance!$U$28)</c:f>
              <c:numCache>
                <c:formatCode>0.00</c:formatCode>
                <c:ptCount val="3"/>
                <c:pt idx="0">
                  <c:v>3.0771536687305914</c:v>
                </c:pt>
                <c:pt idx="1">
                  <c:v>3.5789262241332951</c:v>
                </c:pt>
                <c:pt idx="2">
                  <c:v>2.6725182809780716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A7F-80D0-1E8BEAF5096F}"/>
            </c:ext>
          </c:extLst>
        </c:ser>
        <c:ser>
          <c:idx val="2"/>
          <c:order val="2"/>
          <c:tx>
            <c:v>200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(Performance!$U$23,Performance!$U$26,Performance!$U$29)</c:f>
              <c:numCache>
                <c:formatCode>0.00</c:formatCode>
                <c:ptCount val="3"/>
                <c:pt idx="0">
                  <c:v>2.6481502298514399</c:v>
                </c:pt>
                <c:pt idx="1">
                  <c:v>3.1352175302784535</c:v>
                </c:pt>
                <c:pt idx="2">
                  <c:v>2.4569016274283166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7-4A7F-80D0-1E8BEAF5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285504"/>
        <c:axId val="-2111281808"/>
      </c:barChart>
      <c:catAx>
        <c:axId val="-21112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281808"/>
        <c:crosses val="autoZero"/>
        <c:auto val="1"/>
        <c:lblAlgn val="ctr"/>
        <c:lblOffset val="100"/>
        <c:noMultiLvlLbl val="0"/>
      </c:catAx>
      <c:valAx>
        <c:axId val="-21112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2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(Performance!$T$15,Performance!$T$18)</c:f>
              <c:numCache>
                <c:formatCode>0.000</c:formatCode>
                <c:ptCount val="2"/>
                <c:pt idx="0">
                  <c:v>3.4518592423136023</c:v>
                </c:pt>
                <c:pt idx="1">
                  <c:v>1.6204590459334562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3-44AF-BA4C-48780D67ECB9}"/>
            </c:ext>
          </c:extLst>
        </c:ser>
        <c:ser>
          <c:idx val="1"/>
          <c:order val="1"/>
          <c:tx>
            <c:v>125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(Performance!$T$16,Performance!$T$19)</c:f>
              <c:numCache>
                <c:formatCode>0.000</c:formatCode>
                <c:ptCount val="2"/>
                <c:pt idx="0">
                  <c:v>3.0721032152523611</c:v>
                </c:pt>
                <c:pt idx="1">
                  <c:v>1.8575329709973449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3-44AF-BA4C-48780D67ECB9}"/>
            </c:ext>
          </c:extLst>
        </c:ser>
        <c:ser>
          <c:idx val="2"/>
          <c:order val="2"/>
          <c:tx>
            <c:v>150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4</c:v>
              </c:pt>
              <c:pt idx="1">
                <c:v>6</c:v>
              </c:pt>
            </c:numLit>
          </c:cat>
          <c:val>
            <c:numRef>
              <c:f>(Performance!$T$17,Performance!$T$20)</c:f>
              <c:numCache>
                <c:formatCode>0.000</c:formatCode>
                <c:ptCount val="2"/>
                <c:pt idx="0">
                  <c:v>2.9165548463619282</c:v>
                </c:pt>
                <c:pt idx="1">
                  <c:v>2.1031255230453323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3-44AF-BA4C-48780D67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242976"/>
        <c:axId val="-2111239280"/>
      </c:barChart>
      <c:catAx>
        <c:axId val="-21112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239280"/>
        <c:crosses val="autoZero"/>
        <c:auto val="1"/>
        <c:lblAlgn val="ctr"/>
        <c:lblOffset val="100"/>
        <c:noMultiLvlLbl val="0"/>
      </c:catAx>
      <c:valAx>
        <c:axId val="-2111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12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150 L/h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(Performance!$T$21,Performance!$T$24,Performance!$T$27)</c:f>
              <c:numCache>
                <c:formatCode>0.00</c:formatCode>
                <c:ptCount val="3"/>
                <c:pt idx="0">
                  <c:v>2.504829010004701</c:v>
                </c:pt>
                <c:pt idx="1">
                  <c:v>1.8492999328421387</c:v>
                </c:pt>
                <c:pt idx="2">
                  <c:v>1.0175758475985444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2-4506-9F5F-50D6A923D164}"/>
            </c:ext>
          </c:extLst>
        </c:ser>
        <c:ser>
          <c:idx val="1"/>
          <c:order val="1"/>
          <c:tx>
            <c:v>175 L/h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(Performance!$T$22,Performance!$T$25,Performance!$T$28)</c:f>
              <c:numCache>
                <c:formatCode>0.00</c:formatCode>
                <c:ptCount val="3"/>
                <c:pt idx="0">
                  <c:v>2.2321537682092831</c:v>
                </c:pt>
                <c:pt idx="1">
                  <c:v>1.7186206459182896</c:v>
                </c:pt>
                <c:pt idx="2">
                  <c:v>0.95567028005325239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2-4506-9F5F-50D6A923D164}"/>
            </c:ext>
          </c:extLst>
        </c:ser>
        <c:ser>
          <c:idx val="2"/>
          <c:order val="2"/>
          <c:tx>
            <c:v>200 L/h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4</c:v>
              </c:pt>
              <c:pt idx="1">
                <c:v>6</c:v>
              </c:pt>
              <c:pt idx="2">
                <c:v>8</c:v>
              </c:pt>
            </c:numLit>
          </c:cat>
          <c:val>
            <c:numRef>
              <c:f>(Performance!$T$23,Performance!$T$26,Performance!$T$29)</c:f>
              <c:numCache>
                <c:formatCode>0.00</c:formatCode>
                <c:ptCount val="3"/>
                <c:pt idx="0">
                  <c:v>1.9217001896828025</c:v>
                </c:pt>
                <c:pt idx="1">
                  <c:v>1.5060253219460429</c:v>
                </c:pt>
                <c:pt idx="2">
                  <c:v>0.8788177584528194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2-4506-9F5F-50D6A923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093680"/>
        <c:axId val="-2112089984"/>
      </c:barChart>
      <c:catAx>
        <c:axId val="-21120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2089984"/>
        <c:crosses val="autoZero"/>
        <c:auto val="1"/>
        <c:lblAlgn val="ctr"/>
        <c:lblOffset val="100"/>
        <c:noMultiLvlLbl val="0"/>
      </c:catAx>
      <c:valAx>
        <c:axId val="-2112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12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76590426196699"/>
          <c:y val="3.5251026314018399E-2"/>
          <c:w val="0.847599175103112"/>
          <c:h val="0.81443872400565298"/>
        </c:manualLayout>
      </c:layout>
      <c:barChart>
        <c:barDir val="col"/>
        <c:grouping val="stacked"/>
        <c:varyColors val="0"/>
        <c:ser>
          <c:idx val="0"/>
          <c:order val="0"/>
          <c:tx>
            <c:v>Drive power</c:v>
          </c:tx>
          <c:spPr>
            <a:solidFill>
              <a:srgbClr val="E7E6E6">
                <a:lumMod val="50000"/>
              </a:srgb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150</c:v>
              </c:pt>
              <c:pt idx="1">
                <c:v>175</c:v>
              </c:pt>
              <c:pt idx="2">
                <c:v>200</c:v>
              </c:pt>
            </c:numLit>
          </c:cat>
          <c:val>
            <c:numRef>
              <c:f>Performance!$W$24:$W$26</c:f>
              <c:numCache>
                <c:formatCode>0.00</c:formatCode>
                <c:ptCount val="3"/>
                <c:pt idx="0">
                  <c:v>30.439898629999998</c:v>
                </c:pt>
                <c:pt idx="1">
                  <c:v>30.439898629999998</c:v>
                </c:pt>
                <c:pt idx="2">
                  <c:v>30.439898629999998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714-A79F-83AE6F0CD4B2}"/>
            </c:ext>
          </c:extLst>
        </c:ser>
        <c:ser>
          <c:idx val="1"/>
          <c:order val="1"/>
          <c:tx>
            <c:v>Pump power</c:v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150</c:v>
              </c:pt>
              <c:pt idx="1">
                <c:v>175</c:v>
              </c:pt>
              <c:pt idx="2">
                <c:v>200</c:v>
              </c:pt>
            </c:numLit>
          </c:cat>
          <c:val>
            <c:numRef>
              <c:f>Performance!$V$24:$V$26</c:f>
              <c:numCache>
                <c:formatCode>0.00</c:formatCode>
                <c:ptCount val="3"/>
                <c:pt idx="0">
                  <c:v>21.09</c:v>
                </c:pt>
                <c:pt idx="1">
                  <c:v>31.53</c:v>
                </c:pt>
                <c:pt idx="2">
                  <c:v>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9-4714-A79F-83AE6F0C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4971568"/>
        <c:axId val="-2090239952"/>
      </c:barChart>
      <c:catAx>
        <c:axId val="-20949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Volumetric flow rate (L/h)</a:t>
                </a:r>
                <a:endParaRPr lang="en-US" dirty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pt-BR"/>
          </a:p>
        </c:txPr>
        <c:crossAx val="-2090239952"/>
        <c:crosses val="autoZero"/>
        <c:auto val="1"/>
        <c:lblAlgn val="ctr"/>
        <c:lblOffset val="100"/>
        <c:noMultiLvlLbl val="0"/>
      </c:catAx>
      <c:valAx>
        <c:axId val="-20902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dirty="0" smtClean="0"/>
                  <a:t>Power (W)</a:t>
                </a:r>
                <a:endParaRPr lang="en-US" dirty="0"/>
              </a:p>
            </c:rich>
          </c:tx>
          <c:layout>
            <c:manualLayout>
              <c:xMode val="edge"/>
              <c:yMode val="edge"/>
              <c:x val="1.68638888888889E-3"/>
              <c:y val="0.3191984374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pt-BR"/>
          </a:p>
        </c:txPr>
        <c:crossAx val="-2094971568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560992375952999"/>
          <c:y val="4.0865132243085002E-2"/>
          <c:w val="0.63192888888888898"/>
          <c:h val="5.315196177400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863600</xdr:colOff>
      <xdr:row>94</xdr:row>
      <xdr:rowOff>165100</xdr:rowOff>
    </xdr:from>
    <xdr:to>
      <xdr:col>15</xdr:col>
      <xdr:colOff>609600</xdr:colOff>
      <xdr:row>109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459153</xdr:colOff>
      <xdr:row>38</xdr:row>
      <xdr:rowOff>58615</xdr:rowOff>
    </xdr:from>
    <xdr:to>
      <xdr:col>17</xdr:col>
      <xdr:colOff>605692</xdr:colOff>
      <xdr:row>59</xdr:row>
      <xdr:rowOff>19538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210038</xdr:colOff>
      <xdr:row>36</xdr:row>
      <xdr:rowOff>191478</xdr:rowOff>
    </xdr:from>
    <xdr:to>
      <xdr:col>28</xdr:col>
      <xdr:colOff>561731</xdr:colOff>
      <xdr:row>51</xdr:row>
      <xdr:rowOff>3908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34193</xdr:colOff>
      <xdr:row>36</xdr:row>
      <xdr:rowOff>103555</xdr:rowOff>
    </xdr:from>
    <xdr:to>
      <xdr:col>19</xdr:col>
      <xdr:colOff>385885</xdr:colOff>
      <xdr:row>50</xdr:row>
      <xdr:rowOff>111370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713153</xdr:colOff>
      <xdr:row>32</xdr:row>
      <xdr:rowOff>74247</xdr:rowOff>
    </xdr:from>
    <xdr:to>
      <xdr:col>18</xdr:col>
      <xdr:colOff>302845</xdr:colOff>
      <xdr:row>46</xdr:row>
      <xdr:rowOff>82062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527538</xdr:colOff>
      <xdr:row>33</xdr:row>
      <xdr:rowOff>25398</xdr:rowOff>
    </xdr:from>
    <xdr:to>
      <xdr:col>20</xdr:col>
      <xdr:colOff>117231</xdr:colOff>
      <xdr:row>47</xdr:row>
      <xdr:rowOff>33214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517770</xdr:colOff>
      <xdr:row>32</xdr:row>
      <xdr:rowOff>113324</xdr:rowOff>
    </xdr:from>
    <xdr:to>
      <xdr:col>19</xdr:col>
      <xdr:colOff>107462</xdr:colOff>
      <xdr:row>46</xdr:row>
      <xdr:rowOff>121139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732692</xdr:colOff>
      <xdr:row>43</xdr:row>
      <xdr:rowOff>74245</xdr:rowOff>
    </xdr:from>
    <xdr:to>
      <xdr:col>25</xdr:col>
      <xdr:colOff>273539</xdr:colOff>
      <xdr:row>57</xdr:row>
      <xdr:rowOff>82061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273539</xdr:colOff>
      <xdr:row>45</xdr:row>
      <xdr:rowOff>123093</xdr:rowOff>
    </xdr:from>
    <xdr:to>
      <xdr:col>18</xdr:col>
      <xdr:colOff>693616</xdr:colOff>
      <xdr:row>59</xdr:row>
      <xdr:rowOff>150447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166076</xdr:colOff>
      <xdr:row>31</xdr:row>
      <xdr:rowOff>103556</xdr:rowOff>
    </xdr:from>
    <xdr:to>
      <xdr:col>34</xdr:col>
      <xdr:colOff>586153</xdr:colOff>
      <xdr:row>45</xdr:row>
      <xdr:rowOff>111371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2198</xdr:colOff>
      <xdr:row>27</xdr:row>
      <xdr:rowOff>51290</xdr:rowOff>
    </xdr:from>
    <xdr:to>
      <xdr:col>10</xdr:col>
      <xdr:colOff>117231</xdr:colOff>
      <xdr:row>48</xdr:row>
      <xdr:rowOff>24424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439615</xdr:colOff>
      <xdr:row>31</xdr:row>
      <xdr:rowOff>166077</xdr:rowOff>
    </xdr:from>
    <xdr:to>
      <xdr:col>27</xdr:col>
      <xdr:colOff>859692</xdr:colOff>
      <xdr:row>45</xdr:row>
      <xdr:rowOff>173892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234462</xdr:colOff>
      <xdr:row>13</xdr:row>
      <xdr:rowOff>126999</xdr:rowOff>
    </xdr:from>
    <xdr:to>
      <xdr:col>39</xdr:col>
      <xdr:colOff>654539</xdr:colOff>
      <xdr:row>32</xdr:row>
      <xdr:rowOff>126999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37</xdr:col>
      <xdr:colOff>420078</xdr:colOff>
      <xdr:row>64</xdr:row>
      <xdr:rowOff>27353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166076</xdr:colOff>
      <xdr:row>33</xdr:row>
      <xdr:rowOff>44938</xdr:rowOff>
    </xdr:from>
    <xdr:to>
      <xdr:col>13</xdr:col>
      <xdr:colOff>634999</xdr:colOff>
      <xdr:row>47</xdr:row>
      <xdr:rowOff>52753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740017</xdr:colOff>
      <xdr:row>11</xdr:row>
      <xdr:rowOff>159725</xdr:rowOff>
    </xdr:from>
    <xdr:to>
      <xdr:col>9</xdr:col>
      <xdr:colOff>740017</xdr:colOff>
      <xdr:row>25</xdr:row>
      <xdr:rowOff>148002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S99"/>
  <sheetViews>
    <sheetView workbookViewId="0">
      <selection activeCell="L34" sqref="L34"/>
    </sheetView>
  </sheetViews>
  <sheetFormatPr defaultColWidth="8.85546875" defaultRowHeight="15"/>
  <cols>
    <col min="2" max="2" width="12.7109375" customWidth="1"/>
    <col min="3" max="3" width="12.7109375" style="2" customWidth="1"/>
    <col min="4" max="19" width="12.7109375" customWidth="1"/>
  </cols>
  <sheetData>
    <row r="1" spans="2:19" s="1" customFormat="1">
      <c r="C1" s="266" t="s">
        <v>0</v>
      </c>
      <c r="D1" s="266"/>
      <c r="E1" s="266"/>
      <c r="F1" s="266"/>
    </row>
    <row r="2" spans="2:19" ht="15.75" thickBot="1"/>
    <row r="3" spans="2:19" ht="15.75" thickBot="1">
      <c r="C3" s="287" t="s">
        <v>6</v>
      </c>
      <c r="D3" s="288"/>
      <c r="E3" s="287" t="s">
        <v>7</v>
      </c>
      <c r="F3" s="289"/>
      <c r="G3" s="285" t="s">
        <v>75</v>
      </c>
      <c r="H3" s="286"/>
    </row>
    <row r="4" spans="2:19">
      <c r="B4" s="9" t="s">
        <v>5</v>
      </c>
      <c r="C4" s="71" t="s">
        <v>1</v>
      </c>
      <c r="D4" s="72" t="s">
        <v>2</v>
      </c>
      <c r="E4" s="73" t="s">
        <v>1</v>
      </c>
      <c r="F4" s="74" t="s">
        <v>2</v>
      </c>
      <c r="G4" s="136" t="s">
        <v>76</v>
      </c>
    </row>
    <row r="5" spans="2:19">
      <c r="B5" s="12">
        <v>0.2</v>
      </c>
      <c r="C5" s="10">
        <v>6.7990810991957114</v>
      </c>
      <c r="D5" s="14">
        <v>6.8718760536996824</v>
      </c>
      <c r="E5" s="16">
        <v>75.942666722520045</v>
      </c>
      <c r="F5" s="7"/>
      <c r="G5">
        <f>C5*2*PI()*B5</f>
        <v>8.5439772929577842</v>
      </c>
    </row>
    <row r="6" spans="2:19">
      <c r="B6" s="12">
        <v>0.4</v>
      </c>
      <c r="C6" s="10">
        <v>6.3982320359281788</v>
      </c>
      <c r="D6" s="14">
        <v>6.33336561783024</v>
      </c>
      <c r="E6" s="16">
        <v>86.947262807716996</v>
      </c>
      <c r="F6" s="7"/>
      <c r="G6">
        <f t="shared" ref="G6:G12" si="0">C6*2*PI()*B6</f>
        <v>16.080511008027866</v>
      </c>
    </row>
    <row r="7" spans="2:19">
      <c r="B7" s="12">
        <v>0.6</v>
      </c>
      <c r="C7" s="10">
        <v>6.2044122455789514</v>
      </c>
      <c r="D7" s="14">
        <v>6.1682921511628228</v>
      </c>
      <c r="E7" s="16">
        <v>92.647190023357794</v>
      </c>
      <c r="F7" s="7"/>
      <c r="G7">
        <f t="shared" si="0"/>
        <v>23.390083116664062</v>
      </c>
    </row>
    <row r="8" spans="2:19">
      <c r="B8" s="12">
        <v>0.8</v>
      </c>
      <c r="C8" s="10">
        <v>6.0558254167977639</v>
      </c>
      <c r="D8" s="14">
        <v>6.0316938775510156</v>
      </c>
      <c r="E8" s="16">
        <v>104.54743881723796</v>
      </c>
      <c r="F8" s="7"/>
      <c r="G8">
        <f t="shared" si="0"/>
        <v>30.439898625334724</v>
      </c>
    </row>
    <row r="9" spans="2:19">
      <c r="B9" s="12">
        <v>1</v>
      </c>
      <c r="C9" s="10">
        <v>5.8738488430164955</v>
      </c>
      <c r="D9" s="14">
        <v>5.8516242303212023</v>
      </c>
      <c r="E9" s="16">
        <v>118.30557915764858</v>
      </c>
      <c r="F9" s="7"/>
      <c r="G9">
        <f t="shared" si="0"/>
        <v>36.906480747035054</v>
      </c>
    </row>
    <row r="10" spans="2:19">
      <c r="B10" s="12">
        <v>1.2</v>
      </c>
      <c r="C10" s="10">
        <v>5.750883949383959</v>
      </c>
      <c r="D10" s="14">
        <v>5.6673554036024001</v>
      </c>
      <c r="E10" s="16">
        <v>133.00085930735875</v>
      </c>
      <c r="F10" s="7"/>
      <c r="G10">
        <f t="shared" si="0"/>
        <v>43.360643440877041</v>
      </c>
    </row>
    <row r="11" spans="2:19">
      <c r="B11" s="12">
        <v>1.4</v>
      </c>
      <c r="C11" s="10">
        <v>5.6167793896948597</v>
      </c>
      <c r="D11" s="14">
        <v>5.5449067980624704</v>
      </c>
      <c r="E11" s="16">
        <v>146.8409046189756</v>
      </c>
      <c r="F11" s="7"/>
      <c r="G11">
        <f t="shared" si="0"/>
        <v>49.407772028999815</v>
      </c>
    </row>
    <row r="12" spans="2:19" ht="15.75" thickBot="1">
      <c r="B12" s="13">
        <v>1.6</v>
      </c>
      <c r="C12" s="11">
        <v>5.4984511545293104</v>
      </c>
      <c r="D12" s="15">
        <v>5.4403609110701838</v>
      </c>
      <c r="E12" s="17">
        <v>161.34899999999999</v>
      </c>
      <c r="F12" s="8"/>
      <c r="G12">
        <f t="shared" si="0"/>
        <v>55.276460010213114</v>
      </c>
    </row>
    <row r="14" spans="2:19" s="1" customFormat="1">
      <c r="C14" s="266" t="s">
        <v>8</v>
      </c>
      <c r="D14" s="266"/>
      <c r="E14" s="266"/>
      <c r="F14" s="266"/>
    </row>
    <row r="15" spans="2:19" ht="15.75" thickBot="1"/>
    <row r="16" spans="2:19" ht="15.75" thickBot="1">
      <c r="B16" s="44"/>
      <c r="C16" s="282" t="s">
        <v>21</v>
      </c>
      <c r="D16" s="284"/>
      <c r="E16" s="282" t="s">
        <v>22</v>
      </c>
      <c r="F16" s="284"/>
      <c r="G16" s="282" t="s">
        <v>23</v>
      </c>
      <c r="H16" s="284"/>
      <c r="I16" s="280" t="s">
        <v>24</v>
      </c>
      <c r="J16" s="281"/>
      <c r="K16" s="280" t="s">
        <v>25</v>
      </c>
      <c r="L16" s="281"/>
      <c r="M16" s="282" t="s">
        <v>26</v>
      </c>
      <c r="N16" s="283"/>
      <c r="O16" s="284"/>
      <c r="P16" s="282" t="s">
        <v>27</v>
      </c>
      <c r="Q16" s="283"/>
      <c r="R16" s="284"/>
      <c r="S16" s="43"/>
    </row>
    <row r="17" spans="2:19">
      <c r="B17" s="45" t="s">
        <v>28</v>
      </c>
      <c r="C17" s="67" t="s">
        <v>29</v>
      </c>
      <c r="D17" s="68" t="s">
        <v>4</v>
      </c>
      <c r="E17" s="67" t="s">
        <v>29</v>
      </c>
      <c r="F17" s="68" t="s">
        <v>4</v>
      </c>
      <c r="G17" s="67" t="s">
        <v>29</v>
      </c>
      <c r="H17" s="68" t="s">
        <v>4</v>
      </c>
      <c r="I17" s="128" t="s">
        <v>29</v>
      </c>
      <c r="J17" s="129" t="s">
        <v>4</v>
      </c>
      <c r="K17" s="128" t="s">
        <v>29</v>
      </c>
      <c r="L17" s="129" t="s">
        <v>4</v>
      </c>
      <c r="M17" s="67" t="s">
        <v>30</v>
      </c>
      <c r="N17" s="69" t="s">
        <v>31</v>
      </c>
      <c r="O17" s="68" t="s">
        <v>4</v>
      </c>
      <c r="P17" s="67" t="s">
        <v>7</v>
      </c>
      <c r="Q17" s="70" t="s">
        <v>6</v>
      </c>
      <c r="R17" s="68" t="s">
        <v>32</v>
      </c>
      <c r="S17" s="48" t="s">
        <v>28</v>
      </c>
    </row>
    <row r="18" spans="2:19">
      <c r="B18" s="46">
        <v>0.1</v>
      </c>
      <c r="C18" s="51">
        <v>4.1474190698449735</v>
      </c>
      <c r="D18" s="52">
        <v>90.606308218036375</v>
      </c>
      <c r="E18" s="51">
        <v>4.092998751040791</v>
      </c>
      <c r="F18" s="52">
        <v>94.096244129894629</v>
      </c>
      <c r="G18" s="51">
        <v>4.1140532411264807</v>
      </c>
      <c r="H18" s="52">
        <v>92.857146808866972</v>
      </c>
      <c r="I18" s="130">
        <v>7.8708902967659408E-2</v>
      </c>
      <c r="J18" s="131">
        <v>99.339957319104442</v>
      </c>
      <c r="K18" s="130">
        <v>7.4070234113713315E-2</v>
      </c>
      <c r="L18" s="131">
        <v>97.793829140612985</v>
      </c>
      <c r="M18" s="51">
        <v>5.2118005124732729</v>
      </c>
      <c r="N18" s="53">
        <v>6.1315300146744391</v>
      </c>
      <c r="O18" s="52">
        <v>-8.7336491010680675</v>
      </c>
      <c r="P18" s="51">
        <v>0.7792008115622906</v>
      </c>
      <c r="Q18" s="53">
        <v>5.5382512979800023</v>
      </c>
      <c r="R18" s="52">
        <v>6.9595718365872443</v>
      </c>
      <c r="S18" s="49">
        <v>0.2</v>
      </c>
    </row>
    <row r="19" spans="2:19">
      <c r="B19" s="46">
        <v>0.2</v>
      </c>
      <c r="C19" s="51">
        <v>4.0606367109634478</v>
      </c>
      <c r="D19" s="52">
        <v>73.020695016610631</v>
      </c>
      <c r="E19" s="51">
        <v>4.0194727363681606</v>
      </c>
      <c r="F19" s="52">
        <v>75.749324829081033</v>
      </c>
      <c r="G19" s="51">
        <v>4.0351296234588512</v>
      </c>
      <c r="H19" s="52">
        <v>75.537999166944317</v>
      </c>
      <c r="I19" s="130">
        <v>7.8060917850729356E-2</v>
      </c>
      <c r="J19" s="131">
        <v>76.643330720234616</v>
      </c>
      <c r="K19" s="130">
        <v>7.4797898949475999E-2</v>
      </c>
      <c r="L19" s="131">
        <v>77.154796231448884</v>
      </c>
      <c r="M19" s="51">
        <v>10.20549316804783</v>
      </c>
      <c r="N19" s="53">
        <v>12.006462550644507</v>
      </c>
      <c r="O19" s="52">
        <v>-3.6226357036239847</v>
      </c>
      <c r="P19" s="51">
        <v>14.752039105986128</v>
      </c>
      <c r="Q19" s="53">
        <v>5.0617658242104691</v>
      </c>
      <c r="R19" s="52">
        <v>12.721605062025194</v>
      </c>
      <c r="S19" s="49">
        <v>0.4</v>
      </c>
    </row>
    <row r="20" spans="2:19">
      <c r="B20" s="46">
        <v>0.3</v>
      </c>
      <c r="C20" s="51">
        <v>3.9490131886477209</v>
      </c>
      <c r="D20" s="52">
        <v>74.933062270450932</v>
      </c>
      <c r="E20" s="51">
        <v>3.8960395174708693</v>
      </c>
      <c r="F20" s="52">
        <v>76.964207321131667</v>
      </c>
      <c r="G20" s="51">
        <v>3.9316126478919795</v>
      </c>
      <c r="H20" s="52">
        <v>77.084665389101801</v>
      </c>
      <c r="I20" s="130">
        <v>7.8078117175766182E-2</v>
      </c>
      <c r="J20" s="131">
        <v>63.970911200134317</v>
      </c>
      <c r="K20" s="130">
        <v>7.4326290706911366E-2</v>
      </c>
      <c r="L20" s="131">
        <v>63.65523335981014</v>
      </c>
      <c r="M20" s="51">
        <v>14.88742898686186</v>
      </c>
      <c r="N20" s="53">
        <v>17.514622337484543</v>
      </c>
      <c r="O20" s="52">
        <v>10.962151070316615</v>
      </c>
      <c r="P20" s="51">
        <v>21.119447447448735</v>
      </c>
      <c r="Q20" s="53">
        <v>4.8125652318986045</v>
      </c>
      <c r="R20" s="52">
        <v>18.142943492945179</v>
      </c>
      <c r="S20" s="49">
        <v>0.6</v>
      </c>
    </row>
    <row r="21" spans="2:19">
      <c r="B21" s="46">
        <v>0.4</v>
      </c>
      <c r="C21" s="51">
        <v>3.7911455074875051</v>
      </c>
      <c r="D21" s="52">
        <v>88.389078369384208</v>
      </c>
      <c r="E21" s="51">
        <v>3.7897282264779082</v>
      </c>
      <c r="F21" s="52">
        <v>89.956876602831599</v>
      </c>
      <c r="G21" s="51">
        <v>3.8350959015065182</v>
      </c>
      <c r="H21" s="52">
        <v>90.347674388466558</v>
      </c>
      <c r="I21" s="130">
        <v>7.7299250624481314E-2</v>
      </c>
      <c r="J21" s="131">
        <v>69.320630141547312</v>
      </c>
      <c r="K21" s="130">
        <v>4.9368021508778261E-2</v>
      </c>
      <c r="L21" s="131">
        <v>69.219976751540258</v>
      </c>
      <c r="M21" s="51">
        <v>19.056375800020312</v>
      </c>
      <c r="N21" s="53">
        <v>22.419265647082721</v>
      </c>
      <c r="O21" s="52">
        <v>19.068448227836896</v>
      </c>
      <c r="P21" s="51">
        <v>26.027086561535413</v>
      </c>
      <c r="Q21" s="53">
        <v>4.6308507206099812</v>
      </c>
      <c r="R21" s="52">
        <v>23.277194565982906</v>
      </c>
      <c r="S21" s="49">
        <v>0.8</v>
      </c>
    </row>
    <row r="22" spans="2:19">
      <c r="B22" s="46">
        <v>0.5</v>
      </c>
      <c r="C22" s="51">
        <v>3.714244555416792</v>
      </c>
      <c r="D22" s="52">
        <v>90.631200443890549</v>
      </c>
      <c r="E22" s="51">
        <v>3.7736314561812496</v>
      </c>
      <c r="F22" s="52">
        <v>91.753298733756921</v>
      </c>
      <c r="G22" s="51">
        <v>3.8018630354752072</v>
      </c>
      <c r="H22" s="52">
        <v>91.89717771084446</v>
      </c>
      <c r="I22" s="130">
        <v>7.6342041522493242E-2</v>
      </c>
      <c r="J22" s="131">
        <v>64.577725605536671</v>
      </c>
      <c r="K22" s="130">
        <v>7.4907464628396189E-2</v>
      </c>
      <c r="L22" s="131">
        <v>64.182318751016865</v>
      </c>
      <c r="M22" s="51">
        <v>23.337286817866563</v>
      </c>
      <c r="N22" s="53">
        <v>27.455631550431249</v>
      </c>
      <c r="O22" s="52">
        <v>26.053474838353878</v>
      </c>
      <c r="P22" s="51">
        <v>30.008832528715629</v>
      </c>
      <c r="Q22" s="53">
        <v>4.3883900449475792</v>
      </c>
      <c r="R22" s="52">
        <v>27.573067852587794</v>
      </c>
      <c r="S22" s="49">
        <v>1</v>
      </c>
    </row>
    <row r="23" spans="2:19">
      <c r="B23" s="46">
        <v>0.6</v>
      </c>
      <c r="C23" s="51">
        <v>3.6066258261731474</v>
      </c>
      <c r="D23" s="52">
        <v>96.78646298744232</v>
      </c>
      <c r="E23" s="51">
        <v>3.6287863288718691</v>
      </c>
      <c r="F23" s="52">
        <v>96.152304493309003</v>
      </c>
      <c r="G23" s="51">
        <v>3.7314649766510759</v>
      </c>
      <c r="H23" s="52">
        <v>96.747914776518272</v>
      </c>
      <c r="I23" s="130">
        <v>7.782727003845219E-2</v>
      </c>
      <c r="J23" s="131">
        <v>64.273194912749261</v>
      </c>
      <c r="K23" s="130">
        <v>7.4456157965195169E-2</v>
      </c>
      <c r="L23" s="131">
        <v>64.341451974565089</v>
      </c>
      <c r="M23" s="51">
        <v>27.193318079406666</v>
      </c>
      <c r="N23" s="53">
        <v>31.99213891694902</v>
      </c>
      <c r="O23" s="52">
        <v>32.513268074693059</v>
      </c>
      <c r="P23" s="51">
        <v>34.27863649568819</v>
      </c>
      <c r="Q23" s="53">
        <v>4.2086740687473494</v>
      </c>
      <c r="R23" s="52">
        <v>31.732654885753288</v>
      </c>
      <c r="S23" s="49">
        <v>1.2</v>
      </c>
    </row>
    <row r="24" spans="2:19">
      <c r="B24" s="46">
        <v>0.7</v>
      </c>
      <c r="C24" s="51">
        <v>3.5407103022207154</v>
      </c>
      <c r="D24" s="52">
        <v>102.8119893137403</v>
      </c>
      <c r="E24" s="51">
        <v>3.5914512602236268</v>
      </c>
      <c r="F24" s="52">
        <v>102.76580854615148</v>
      </c>
      <c r="G24" s="51">
        <v>3.6728249501991668</v>
      </c>
      <c r="H24" s="52">
        <v>103.25087466799414</v>
      </c>
      <c r="I24" s="130">
        <v>7.8769282025656681E-2</v>
      </c>
      <c r="J24" s="131">
        <v>66.066832250541481</v>
      </c>
      <c r="K24" s="130">
        <v>7.5512081319781557E-2</v>
      </c>
      <c r="L24" s="131">
        <v>66.040584235960509</v>
      </c>
      <c r="M24" s="51">
        <v>31.145714527049627</v>
      </c>
      <c r="N24" s="53">
        <v>36.642017090646618</v>
      </c>
      <c r="O24" s="52">
        <v>36.745157063198818</v>
      </c>
      <c r="P24" s="51">
        <v>37.179585838771359</v>
      </c>
      <c r="Q24" s="53">
        <v>3.9571868217895121</v>
      </c>
      <c r="R24" s="52">
        <v>34.809233335005565</v>
      </c>
      <c r="S24" s="49">
        <v>1.4</v>
      </c>
    </row>
    <row r="25" spans="2:19">
      <c r="B25" s="46">
        <v>0.8</v>
      </c>
      <c r="C25" s="51">
        <v>3.4530587605076377</v>
      </c>
      <c r="D25" s="52">
        <v>108.49228976429967</v>
      </c>
      <c r="E25" s="51">
        <v>3.535185704798256</v>
      </c>
      <c r="F25" s="52">
        <v>109.63569699485575</v>
      </c>
      <c r="G25" s="51"/>
      <c r="H25" s="52"/>
      <c r="I25" s="130">
        <v>7.7265629958745669E-2</v>
      </c>
      <c r="J25" s="131">
        <v>68.563889717548903</v>
      </c>
      <c r="K25" s="130">
        <v>7.4088225483656386E-2</v>
      </c>
      <c r="L25" s="131">
        <v>68.670405103400981</v>
      </c>
      <c r="M25" s="51">
        <v>34.713932910158952</v>
      </c>
      <c r="N25" s="53">
        <v>40.83992107077524</v>
      </c>
      <c r="O25" s="52">
        <v>39.928400046750767</v>
      </c>
      <c r="P25" s="51">
        <v>41.027605386731921</v>
      </c>
      <c r="Q25" s="53">
        <v>3.8465516712821048</v>
      </c>
      <c r="R25" s="52">
        <v>38.669755110890883</v>
      </c>
      <c r="S25" s="49">
        <v>1.6</v>
      </c>
    </row>
    <row r="26" spans="2:19">
      <c r="B26" s="46">
        <v>0.9</v>
      </c>
      <c r="C26" s="51">
        <v>3.435435945860875</v>
      </c>
      <c r="D26" s="52">
        <v>116.56415517784126</v>
      </c>
      <c r="E26" s="51">
        <v>3.4456545602018531</v>
      </c>
      <c r="F26" s="52">
        <v>116.70076189617672</v>
      </c>
      <c r="G26" s="51"/>
      <c r="H26" s="52"/>
      <c r="I26" s="130">
        <v>7.6435101768436764E-2</v>
      </c>
      <c r="J26" s="131">
        <v>71.744648648648806</v>
      </c>
      <c r="K26" s="130">
        <v>7.4695981282687285E-2</v>
      </c>
      <c r="L26" s="131">
        <v>71.921205064683832</v>
      </c>
      <c r="M26" s="51">
        <v>38.853865185821377</v>
      </c>
      <c r="N26" s="53">
        <v>45.710429630378094</v>
      </c>
      <c r="O26" s="52">
        <v>44.819506529192452</v>
      </c>
      <c r="P26" s="51"/>
      <c r="Q26" s="53"/>
      <c r="R26" s="52"/>
      <c r="S26" s="49">
        <v>1.8</v>
      </c>
    </row>
    <row r="27" spans="2:19" ht="15.75" thickBot="1">
      <c r="B27" s="47">
        <v>1</v>
      </c>
      <c r="C27" s="54">
        <v>3.3896345707656605</v>
      </c>
      <c r="D27" s="55">
        <v>124.08247862114679</v>
      </c>
      <c r="E27" s="54">
        <v>3.3745960220624731</v>
      </c>
      <c r="F27" s="55">
        <v>123.63931271937392</v>
      </c>
      <c r="G27" s="54"/>
      <c r="H27" s="55"/>
      <c r="I27" s="132">
        <v>7.691793273600829E-2</v>
      </c>
      <c r="J27" s="133">
        <v>75.587147253604272</v>
      </c>
      <c r="K27" s="132">
        <v>7.4830071918382132E-2</v>
      </c>
      <c r="L27" s="133">
        <v>75.69665897307236</v>
      </c>
      <c r="M27" s="54">
        <v>42.595404263485563</v>
      </c>
      <c r="N27" s="56">
        <v>50.112240309983015</v>
      </c>
      <c r="O27" s="55">
        <v>48.495331367542519</v>
      </c>
      <c r="P27" s="54"/>
      <c r="Q27" s="56"/>
      <c r="R27" s="55"/>
      <c r="S27" s="50">
        <v>2</v>
      </c>
    </row>
    <row r="29" spans="2:19" s="1" customFormat="1">
      <c r="C29" s="266" t="s">
        <v>33</v>
      </c>
      <c r="D29" s="266"/>
      <c r="E29" s="266"/>
      <c r="F29" s="266"/>
    </row>
    <row r="30" spans="2:19" ht="15.75" thickBot="1">
      <c r="C30" s="80"/>
      <c r="D30" s="80"/>
      <c r="E30" s="80"/>
      <c r="F30" s="80"/>
      <c r="G30" s="80"/>
      <c r="H30" s="80"/>
      <c r="I30" s="80"/>
    </row>
    <row r="31" spans="2:19" ht="15.75" thickBot="1">
      <c r="C31" s="275">
        <v>42166</v>
      </c>
      <c r="D31" s="276"/>
      <c r="E31" s="276"/>
      <c r="F31" s="276"/>
      <c r="G31" s="276"/>
      <c r="H31" s="276"/>
      <c r="I31" s="277"/>
      <c r="J31" s="273">
        <v>42145</v>
      </c>
      <c r="K31" s="274"/>
    </row>
    <row r="32" spans="2:19" ht="15.75" thickBot="1">
      <c r="C32" s="77" t="s">
        <v>22</v>
      </c>
      <c r="D32" s="77" t="s">
        <v>21</v>
      </c>
      <c r="E32" s="270" t="s">
        <v>23</v>
      </c>
      <c r="F32" s="271"/>
      <c r="G32" s="270" t="s">
        <v>34</v>
      </c>
      <c r="H32" s="272"/>
      <c r="I32" s="271"/>
      <c r="J32" s="278" t="s">
        <v>36</v>
      </c>
      <c r="K32" s="279"/>
      <c r="N32" s="57"/>
    </row>
    <row r="33" spans="2:14">
      <c r="B33" s="81" t="s">
        <v>28</v>
      </c>
      <c r="C33" s="75" t="s">
        <v>3</v>
      </c>
      <c r="D33" s="75" t="s">
        <v>3</v>
      </c>
      <c r="E33" s="67" t="s">
        <v>3</v>
      </c>
      <c r="F33" s="68" t="s">
        <v>4</v>
      </c>
      <c r="G33" s="67" t="s">
        <v>3</v>
      </c>
      <c r="H33" s="70" t="s">
        <v>30</v>
      </c>
      <c r="I33" s="68" t="s">
        <v>4</v>
      </c>
      <c r="J33" s="84" t="s">
        <v>3</v>
      </c>
      <c r="K33" s="76" t="s">
        <v>4</v>
      </c>
    </row>
    <row r="34" spans="2:14">
      <c r="B34" s="82">
        <v>0.2</v>
      </c>
      <c r="C34" s="78">
        <v>1.501426284189461</v>
      </c>
      <c r="D34" s="78">
        <v>1.6116753333333342</v>
      </c>
      <c r="E34" s="51">
        <v>1.4989340000000013</v>
      </c>
      <c r="F34" s="52">
        <v>77.083596333330291</v>
      </c>
      <c r="G34" s="51">
        <v>1.5052929596262945</v>
      </c>
      <c r="H34" s="53">
        <f t="shared" ref="H34:H43" si="1">G34*(2*PI()*B34)</f>
        <v>1.8916069213849616</v>
      </c>
      <c r="I34" s="52">
        <v>76.936355021685543</v>
      </c>
      <c r="J34" s="85">
        <v>1.2608298012157086</v>
      </c>
      <c r="K34" s="52">
        <v>75.163465910957754</v>
      </c>
      <c r="L34">
        <f>J34*2*PI()*B34</f>
        <v>1.5844054563705399</v>
      </c>
      <c r="M34" s="160">
        <f>K34-G49</f>
        <v>-0.2581154689256806</v>
      </c>
      <c r="N34">
        <f>Performance!J4</f>
        <v>1.5457235955244464</v>
      </c>
    </row>
    <row r="35" spans="2:14">
      <c r="B35" s="82">
        <v>0.4</v>
      </c>
      <c r="C35" s="78">
        <v>1.6102952349216955</v>
      </c>
      <c r="D35" s="78">
        <v>1.6117230563897209</v>
      </c>
      <c r="E35" s="51">
        <v>1.6126581139620149</v>
      </c>
      <c r="F35" s="52">
        <v>73.859396201267046</v>
      </c>
      <c r="G35" s="51">
        <v>1.5783724252491684</v>
      </c>
      <c r="H35" s="53">
        <f t="shared" si="1"/>
        <v>3.9668825726331938</v>
      </c>
      <c r="I35" s="52">
        <v>73.190086378738883</v>
      </c>
      <c r="J35" s="85">
        <v>1.33646621171771</v>
      </c>
      <c r="K35" s="52">
        <v>72.195223701730868</v>
      </c>
      <c r="L35">
        <f t="shared" ref="L35:L43" si="2">J35*2*PI()*B35</f>
        <v>3.3589059460026713</v>
      </c>
      <c r="M35" s="160">
        <f t="shared" ref="M35:M43" si="3">K35-G50</f>
        <v>0.5657379493563468</v>
      </c>
      <c r="N35">
        <f>Performance!J5</f>
        <v>1.9863049513410989</v>
      </c>
    </row>
    <row r="36" spans="2:14">
      <c r="B36" s="82">
        <v>0.6</v>
      </c>
      <c r="C36" s="78">
        <v>1.7283213572854295</v>
      </c>
      <c r="D36" s="78">
        <v>1.7273529411764665</v>
      </c>
      <c r="E36" s="51">
        <v>1.703690642690646</v>
      </c>
      <c r="F36" s="52">
        <v>71.447133533135215</v>
      </c>
      <c r="G36" s="51">
        <v>1.69538180019782</v>
      </c>
      <c r="H36" s="53">
        <f t="shared" si="1"/>
        <v>6.3914388102375721</v>
      </c>
      <c r="I36" s="52">
        <v>71.504396307288246</v>
      </c>
      <c r="J36" s="85">
        <v>1.3918470136803469</v>
      </c>
      <c r="K36" s="52">
        <v>71.527742575909059</v>
      </c>
      <c r="L36">
        <f t="shared" si="2"/>
        <v>5.2471396237188834</v>
      </c>
      <c r="M36" s="160">
        <f t="shared" si="3"/>
        <v>1.375313715491572</v>
      </c>
      <c r="N36">
        <f>Performance!J6</f>
        <v>2.289224691567135</v>
      </c>
    </row>
    <row r="37" spans="2:14">
      <c r="B37" s="82">
        <v>0.8</v>
      </c>
      <c r="C37" s="78">
        <v>1.700061374249499</v>
      </c>
      <c r="D37" s="78">
        <v>1.6851861861861903</v>
      </c>
      <c r="E37" s="51">
        <v>1.6827700000000005</v>
      </c>
      <c r="F37" s="52">
        <v>77.833969333331396</v>
      </c>
      <c r="G37" s="51">
        <v>1.6758582860953664</v>
      </c>
      <c r="H37" s="53">
        <f t="shared" si="1"/>
        <v>8.4237825280876564</v>
      </c>
      <c r="I37" s="52">
        <v>78.480106702232248</v>
      </c>
      <c r="J37" s="85">
        <v>1.4249746961877825</v>
      </c>
      <c r="K37" s="52">
        <v>78.520352255702548</v>
      </c>
      <c r="L37">
        <f t="shared" si="2"/>
        <v>7.1627040593518165</v>
      </c>
      <c r="M37" s="160">
        <f t="shared" si="3"/>
        <v>1.3014081927308894</v>
      </c>
      <c r="N37">
        <f>Performance!J7</f>
        <v>2.7323807414342483</v>
      </c>
    </row>
    <row r="38" spans="2:14">
      <c r="B38" s="82">
        <v>1</v>
      </c>
      <c r="C38" s="78">
        <v>1.7583031390134538</v>
      </c>
      <c r="D38" s="78">
        <v>1.7442298467688184</v>
      </c>
      <c r="E38" s="51">
        <v>1.7424041349999999</v>
      </c>
      <c r="F38" s="52">
        <v>87.041890296767036</v>
      </c>
      <c r="G38" s="51">
        <v>1.7237529960053273</v>
      </c>
      <c r="H38" s="53">
        <f t="shared" si="1"/>
        <v>10.830659497707464</v>
      </c>
      <c r="I38" s="52">
        <v>88.003792942743971</v>
      </c>
      <c r="J38" s="85">
        <v>1.4854587980689162</v>
      </c>
      <c r="K38" s="52">
        <v>88.296746628932951</v>
      </c>
      <c r="L38">
        <f t="shared" si="2"/>
        <v>9.3334128944472621</v>
      </c>
      <c r="M38" s="160">
        <f t="shared" si="3"/>
        <v>1.6087219375761777</v>
      </c>
      <c r="N38">
        <f>Performance!J8</f>
        <v>2.3592592670769648</v>
      </c>
    </row>
    <row r="39" spans="2:14">
      <c r="B39" s="82">
        <v>1.2</v>
      </c>
      <c r="C39" s="78">
        <v>1.9332147361433765</v>
      </c>
      <c r="D39" s="78">
        <v>1.7867132377459178</v>
      </c>
      <c r="E39" s="51">
        <v>1.7978979999999982</v>
      </c>
      <c r="F39" s="52">
        <v>98.104829666667158</v>
      </c>
      <c r="G39" s="51">
        <v>1.7892800933644528</v>
      </c>
      <c r="H39" s="53">
        <f t="shared" si="1"/>
        <v>13.490854071667737</v>
      </c>
      <c r="I39" s="52">
        <v>99.28979259753298</v>
      </c>
      <c r="J39" s="85">
        <v>1.5422098806366094</v>
      </c>
      <c r="K39" s="52">
        <v>98.722222811670562</v>
      </c>
      <c r="L39">
        <f t="shared" si="2"/>
        <v>11.627988555123752</v>
      </c>
      <c r="M39" s="160">
        <f t="shared" si="3"/>
        <v>1.6884556088850644</v>
      </c>
      <c r="N39">
        <f>Performance!J9</f>
        <v>2.270145586334344</v>
      </c>
    </row>
    <row r="40" spans="2:14">
      <c r="B40" s="82">
        <v>1.4</v>
      </c>
      <c r="C40" s="78">
        <v>1.4595160435678525</v>
      </c>
      <c r="D40" s="78">
        <v>1.9320062893081777</v>
      </c>
      <c r="E40" s="51">
        <v>1.8893359473023847</v>
      </c>
      <c r="F40" s="52">
        <v>109.37796235884542</v>
      </c>
      <c r="G40" s="51">
        <v>1.8748539026017299</v>
      </c>
      <c r="H40" s="53">
        <f t="shared" si="1"/>
        <v>16.492076291509694</v>
      </c>
      <c r="I40" s="52">
        <v>111.65474382921954</v>
      </c>
      <c r="J40" s="85">
        <v>1.6595925679053474</v>
      </c>
      <c r="K40" s="52">
        <v>109.66131878020424</v>
      </c>
      <c r="L40">
        <f t="shared" si="2"/>
        <v>14.598538693994243</v>
      </c>
      <c r="M40" s="160">
        <f t="shared" si="3"/>
        <v>1.6073027988476696</v>
      </c>
      <c r="N40">
        <f>Performance!J10</f>
        <v>1.8350613146447259</v>
      </c>
    </row>
    <row r="41" spans="2:14">
      <c r="B41" s="82">
        <v>1.6</v>
      </c>
      <c r="C41" s="78">
        <v>1.3994906794948858</v>
      </c>
      <c r="D41" s="78">
        <v>1.3742139286904367</v>
      </c>
      <c r="E41" s="51">
        <v>1.3777620632279544</v>
      </c>
      <c r="F41" s="52">
        <v>112.838448918469</v>
      </c>
      <c r="G41" s="51">
        <v>1.3968818030050072</v>
      </c>
      <c r="H41" s="53">
        <f t="shared" si="1"/>
        <v>14.042987552812145</v>
      </c>
      <c r="I41" s="52">
        <v>115.76574924874797</v>
      </c>
      <c r="J41" s="85">
        <v>1.6518994832472056</v>
      </c>
      <c r="K41" s="52">
        <v>120.32166927821302</v>
      </c>
      <c r="L41">
        <f t="shared" si="2"/>
        <v>16.606704899322231</v>
      </c>
      <c r="M41" s="160">
        <f t="shared" si="3"/>
        <v>0.40722533351890888</v>
      </c>
      <c r="N41">
        <f>Performance!J11</f>
        <v>1.6031724385348483</v>
      </c>
    </row>
    <row r="42" spans="2:14">
      <c r="B42" s="82">
        <v>1.8</v>
      </c>
      <c r="C42" s="78">
        <v>1.4148903474903503</v>
      </c>
      <c r="D42" s="78">
        <v>1.3563907510862785</v>
      </c>
      <c r="E42" s="51">
        <v>1.3654597662771271</v>
      </c>
      <c r="F42" s="52">
        <v>123.50256994991662</v>
      </c>
      <c r="G42" s="51">
        <v>1.3704781739420191</v>
      </c>
      <c r="H42" s="53">
        <f t="shared" si="1"/>
        <v>15.499742987381046</v>
      </c>
      <c r="I42" s="52">
        <v>127.0937897367547</v>
      </c>
      <c r="J42" s="85">
        <v>1.5871646941156863</v>
      </c>
      <c r="K42" s="52">
        <v>132.83696866144368</v>
      </c>
      <c r="L42">
        <f t="shared" si="2"/>
        <v>17.950409795055354</v>
      </c>
      <c r="M42" s="160">
        <f t="shared" si="3"/>
        <v>-0.38624084969731598</v>
      </c>
      <c r="N42">
        <f>Performance!J12</f>
        <v>0</v>
      </c>
    </row>
    <row r="43" spans="2:14" ht="15.75" thickBot="1">
      <c r="B43" s="83">
        <v>2</v>
      </c>
      <c r="C43" s="79">
        <v>1.4344632352941225</v>
      </c>
      <c r="D43" s="79">
        <v>1.3539572281167132</v>
      </c>
      <c r="E43" s="54">
        <v>1.3748229617304508</v>
      </c>
      <c r="F43" s="55">
        <v>135.73944126455922</v>
      </c>
      <c r="G43" s="54">
        <v>1.3589753086419727</v>
      </c>
      <c r="H43" s="56">
        <f t="shared" si="1"/>
        <v>17.077387384158172</v>
      </c>
      <c r="I43" s="55">
        <v>137.73050517183887</v>
      </c>
      <c r="J43" s="86">
        <v>1.5006404793608565</v>
      </c>
      <c r="K43" s="55">
        <v>143.95386201730969</v>
      </c>
      <c r="L43">
        <f t="shared" si="2"/>
        <v>18.857604422558129</v>
      </c>
      <c r="M43" s="160">
        <f t="shared" si="3"/>
        <v>-2.2649997469052892</v>
      </c>
      <c r="N43">
        <f>Performance!J13</f>
        <v>0</v>
      </c>
    </row>
    <row r="45" spans="2:14" s="1" customFormat="1">
      <c r="C45" s="266" t="s">
        <v>35</v>
      </c>
      <c r="D45" s="266"/>
      <c r="E45" s="266"/>
      <c r="F45" s="266"/>
    </row>
    <row r="46" spans="2:14" ht="15.75" thickBot="1"/>
    <row r="47" spans="2:14" ht="15.75" thickBot="1">
      <c r="C47" s="267" t="s">
        <v>21</v>
      </c>
      <c r="D47" s="268"/>
      <c r="E47" s="267" t="s">
        <v>22</v>
      </c>
      <c r="F47" s="269"/>
      <c r="G47" s="268"/>
      <c r="H47" s="267" t="s">
        <v>23</v>
      </c>
      <c r="I47" s="268"/>
    </row>
    <row r="48" spans="2:14">
      <c r="B48" s="62" t="s">
        <v>28</v>
      </c>
      <c r="C48" s="65" t="s">
        <v>3</v>
      </c>
      <c r="D48" s="66" t="s">
        <v>4</v>
      </c>
      <c r="E48" s="65" t="s">
        <v>3</v>
      </c>
      <c r="F48" s="70" t="s">
        <v>30</v>
      </c>
      <c r="G48" s="66" t="s">
        <v>4</v>
      </c>
      <c r="H48" s="65" t="s">
        <v>3</v>
      </c>
      <c r="I48" s="66" t="s">
        <v>4</v>
      </c>
    </row>
    <row r="49" spans="2:9">
      <c r="B49" s="63">
        <v>0.2</v>
      </c>
      <c r="C49" s="51">
        <v>1.4102853333333278</v>
      </c>
      <c r="D49" s="52">
        <v>76.077570666666801</v>
      </c>
      <c r="E49" s="51">
        <v>1.4214555278470469</v>
      </c>
      <c r="F49" s="53">
        <f>E49*(2*PI()*B49)</f>
        <v>1.7862536974755536</v>
      </c>
      <c r="G49" s="52">
        <v>75.421581379883435</v>
      </c>
      <c r="H49" s="51">
        <v>1.4353265408384823</v>
      </c>
      <c r="I49" s="52">
        <v>75.439718055787694</v>
      </c>
    </row>
    <row r="50" spans="2:9">
      <c r="B50" s="63">
        <v>0.4</v>
      </c>
      <c r="C50" s="51">
        <v>1.5281223572498797</v>
      </c>
      <c r="D50" s="52">
        <v>72.980882303979129</v>
      </c>
      <c r="E50" s="51">
        <v>1.5474659223462794</v>
      </c>
      <c r="F50" s="53">
        <f t="shared" ref="F50:F58" si="4">E50*(2*PI()*B50)</f>
        <v>3.8892060586588997</v>
      </c>
      <c r="G50" s="52">
        <v>71.629485752374521</v>
      </c>
      <c r="H50" s="51">
        <v>1.5578778054862874</v>
      </c>
      <c r="I50" s="52">
        <v>72.827661346633164</v>
      </c>
    </row>
    <row r="51" spans="2:9">
      <c r="B51" s="63">
        <v>0.6</v>
      </c>
      <c r="C51" s="51">
        <v>1.70708552412645</v>
      </c>
      <c r="D51" s="52">
        <v>72.290252911813639</v>
      </c>
      <c r="E51" s="51">
        <v>1.6482771409305446</v>
      </c>
      <c r="F51" s="53">
        <f t="shared" si="4"/>
        <v>6.2138584284328644</v>
      </c>
      <c r="G51" s="52">
        <v>70.152428860417487</v>
      </c>
      <c r="H51" s="51">
        <v>1.6248814579501778</v>
      </c>
      <c r="I51" s="52">
        <v>70.168336900183391</v>
      </c>
    </row>
    <row r="52" spans="2:9">
      <c r="B52" s="63">
        <v>0.8</v>
      </c>
      <c r="C52" s="51">
        <v>1.7966660568767649</v>
      </c>
      <c r="D52" s="52">
        <v>79.783240312656574</v>
      </c>
      <c r="E52" s="51">
        <v>1.7211647965164953</v>
      </c>
      <c r="F52" s="53">
        <f t="shared" si="4"/>
        <v>8.6515178885657491</v>
      </c>
      <c r="G52" s="52">
        <v>77.218944062971659</v>
      </c>
      <c r="H52" s="51">
        <v>1.7123899266177436</v>
      </c>
      <c r="I52" s="52">
        <v>76.579832221481254</v>
      </c>
    </row>
    <row r="53" spans="2:9">
      <c r="B53" s="63">
        <v>1</v>
      </c>
      <c r="C53" s="51">
        <v>1.8409332114969208</v>
      </c>
      <c r="D53" s="52">
        <v>88.289801462036522</v>
      </c>
      <c r="E53" s="51">
        <v>1.7841621621621582</v>
      </c>
      <c r="F53" s="53">
        <f t="shared" si="4"/>
        <v>11.210221482923034</v>
      </c>
      <c r="G53" s="52">
        <v>86.688024691356773</v>
      </c>
      <c r="H53" s="51">
        <v>1.84041946564885</v>
      </c>
      <c r="I53" s="52">
        <v>86.0961698473279</v>
      </c>
    </row>
    <row r="54" spans="2:9">
      <c r="B54" s="63">
        <v>1.2</v>
      </c>
      <c r="C54" s="51">
        <v>1.8791987670776376</v>
      </c>
      <c r="D54" s="52">
        <v>99.255632622458876</v>
      </c>
      <c r="E54" s="51">
        <v>1.8432129000165791</v>
      </c>
      <c r="F54" s="53">
        <f t="shared" si="4"/>
        <v>13.897497853665655</v>
      </c>
      <c r="G54" s="52">
        <v>97.033767202785498</v>
      </c>
      <c r="H54" s="51">
        <v>1.8876178970171682</v>
      </c>
      <c r="I54" s="52">
        <v>96.367576570572041</v>
      </c>
    </row>
    <row r="55" spans="2:9">
      <c r="B55" s="63">
        <v>1.4</v>
      </c>
      <c r="C55" s="51">
        <v>1.9106601601601549</v>
      </c>
      <c r="D55" s="52">
        <v>110.5200235235242</v>
      </c>
      <c r="E55" s="51">
        <v>1.8674230064924255</v>
      </c>
      <c r="F55" s="53">
        <f t="shared" si="4"/>
        <v>16.426710715355274</v>
      </c>
      <c r="G55" s="52">
        <v>108.05401598135657</v>
      </c>
      <c r="H55" s="51">
        <v>1.9334962481240654</v>
      </c>
      <c r="I55" s="52">
        <v>107.23548774387257</v>
      </c>
    </row>
    <row r="56" spans="2:9">
      <c r="B56" s="63">
        <v>1.6</v>
      </c>
      <c r="C56" s="51">
        <v>1.9308151414309458</v>
      </c>
      <c r="D56" s="52">
        <v>122.10806023294496</v>
      </c>
      <c r="E56" s="51">
        <v>1.8859152090621349</v>
      </c>
      <c r="F56" s="53">
        <f t="shared" si="4"/>
        <v>18.959287571465158</v>
      </c>
      <c r="G56" s="52">
        <v>119.91444394469411</v>
      </c>
      <c r="H56" s="51">
        <v>1.9319402520870832</v>
      </c>
      <c r="I56" s="52">
        <v>119.32794696349592</v>
      </c>
    </row>
    <row r="57" spans="2:9">
      <c r="B57" s="63">
        <v>1.8</v>
      </c>
      <c r="C57" s="51">
        <v>1.9301925641880642</v>
      </c>
      <c r="D57" s="52">
        <v>132.87899533177685</v>
      </c>
      <c r="E57" s="51">
        <v>1.9132035251080841</v>
      </c>
      <c r="F57" s="53">
        <f t="shared" si="4"/>
        <v>21.637822101485948</v>
      </c>
      <c r="G57" s="52">
        <v>133.22320951114099</v>
      </c>
      <c r="H57" s="51">
        <v>1.9526622792402561</v>
      </c>
      <c r="I57" s="52">
        <v>131.54931739420087</v>
      </c>
    </row>
    <row r="58" spans="2:9" ht="15.75" thickBot="1">
      <c r="B58" s="64">
        <v>2</v>
      </c>
      <c r="C58" s="54">
        <v>1.9485708347189907</v>
      </c>
      <c r="D58" s="55">
        <v>145.68874243431992</v>
      </c>
      <c r="E58" s="54">
        <v>1.950047190261796</v>
      </c>
      <c r="F58" s="56">
        <f t="shared" si="4"/>
        <v>24.505015708319505</v>
      </c>
      <c r="G58" s="55">
        <v>146.21886176421498</v>
      </c>
      <c r="H58" s="54">
        <v>1.9703962021242349</v>
      </c>
      <c r="I58" s="55">
        <v>144.84561457998143</v>
      </c>
    </row>
    <row r="60" spans="2:9" s="1" customFormat="1">
      <c r="C60" s="266" t="s">
        <v>37</v>
      </c>
      <c r="D60" s="266"/>
      <c r="E60" s="266"/>
      <c r="F60" s="266"/>
    </row>
    <row r="61" spans="2:9" ht="15.75" thickBot="1"/>
    <row r="62" spans="2:9" ht="15.75" thickBot="1">
      <c r="C62" s="267" t="s">
        <v>21</v>
      </c>
      <c r="D62" s="268"/>
      <c r="E62" s="267" t="s">
        <v>22</v>
      </c>
      <c r="F62" s="269"/>
      <c r="G62" s="268"/>
      <c r="H62" s="267" t="s">
        <v>23</v>
      </c>
      <c r="I62" s="268"/>
    </row>
    <row r="63" spans="2:9">
      <c r="B63" s="62" t="s">
        <v>28</v>
      </c>
      <c r="C63" s="65" t="s">
        <v>3</v>
      </c>
      <c r="D63" s="66" t="s">
        <v>4</v>
      </c>
      <c r="E63" s="65" t="s">
        <v>3</v>
      </c>
      <c r="F63" s="70" t="s">
        <v>30</v>
      </c>
      <c r="G63" s="66" t="s">
        <v>4</v>
      </c>
      <c r="H63" s="65" t="s">
        <v>3</v>
      </c>
      <c r="I63" s="66" t="s">
        <v>4</v>
      </c>
    </row>
    <row r="64" spans="2:9">
      <c r="B64" s="63">
        <v>0.2</v>
      </c>
      <c r="C64" s="51">
        <v>0.15757073981712399</v>
      </c>
      <c r="D64" s="52">
        <v>77.081019783873998</v>
      </c>
      <c r="E64" s="51">
        <v>0.17480867557314811</v>
      </c>
      <c r="F64" s="53">
        <f>E64*(2*PI()*B64)</f>
        <v>0.21967106038574544</v>
      </c>
      <c r="G64" s="52">
        <v>77.473474022761408</v>
      </c>
      <c r="H64" s="51">
        <v>0.16145985645134317</v>
      </c>
      <c r="I64" s="52">
        <v>77.9163703889174</v>
      </c>
    </row>
    <row r="65" spans="2:9">
      <c r="B65" s="63">
        <v>0.4</v>
      </c>
      <c r="C65" s="51">
        <v>0.16832582958145764</v>
      </c>
      <c r="D65" s="52">
        <v>69.443251125561716</v>
      </c>
      <c r="E65" s="51">
        <v>0.18487372330547699</v>
      </c>
      <c r="F65" s="53">
        <f t="shared" ref="F65:F73" si="5">E65*(2*PI()*B65)</f>
        <v>0.46463834478262295</v>
      </c>
      <c r="G65" s="52">
        <v>69.502130145464363</v>
      </c>
      <c r="H65" s="51">
        <v>0.17518034430887408</v>
      </c>
      <c r="I65" s="52">
        <v>71.176710680260513</v>
      </c>
    </row>
    <row r="66" spans="2:9">
      <c r="B66" s="63">
        <v>0.6</v>
      </c>
      <c r="C66" s="51">
        <v>0.17968942036206501</v>
      </c>
      <c r="D66" s="52">
        <v>64.843363228700099</v>
      </c>
      <c r="E66" s="51">
        <v>0.19122630019749737</v>
      </c>
      <c r="F66" s="53">
        <f t="shared" si="5"/>
        <v>0.72090616784833694</v>
      </c>
      <c r="G66" s="52">
        <v>64.721163594470596</v>
      </c>
      <c r="H66" s="51">
        <v>0.18866800267201006</v>
      </c>
      <c r="I66" s="52">
        <v>65.343034068136646</v>
      </c>
    </row>
    <row r="67" spans="2:9">
      <c r="B67" s="63">
        <v>0.8</v>
      </c>
      <c r="C67" s="51">
        <v>0.19513034759358089</v>
      </c>
      <c r="D67" s="52">
        <v>68.660048796790832</v>
      </c>
      <c r="E67" s="51">
        <v>0.19971870794077881</v>
      </c>
      <c r="F67" s="53">
        <f t="shared" si="5"/>
        <v>1.0038957210419139</v>
      </c>
      <c r="G67" s="52">
        <v>69.248175134588593</v>
      </c>
      <c r="H67" s="51">
        <v>0.19981758304696406</v>
      </c>
      <c r="I67" s="52">
        <v>68.936198883160188</v>
      </c>
    </row>
    <row r="68" spans="2:9">
      <c r="B68" s="63">
        <v>1</v>
      </c>
      <c r="C68" s="51">
        <v>0.20345166666666595</v>
      </c>
      <c r="D68" s="52">
        <v>76.055051166666686</v>
      </c>
      <c r="E68" s="51">
        <v>0.20758776114492439</v>
      </c>
      <c r="F68" s="53">
        <f t="shared" si="5"/>
        <v>1.3043123707760944</v>
      </c>
      <c r="G68" s="52">
        <v>76.538952623786585</v>
      </c>
      <c r="H68" s="51">
        <v>0.20614247758219761</v>
      </c>
      <c r="I68" s="52">
        <v>76.04153121886452</v>
      </c>
    </row>
    <row r="69" spans="2:9">
      <c r="B69" s="63">
        <v>1.2</v>
      </c>
      <c r="C69" s="51">
        <v>0.21364263322883972</v>
      </c>
      <c r="D69" s="52">
        <v>84.404060056094792</v>
      </c>
      <c r="E69" s="51">
        <v>0.21174920899250629</v>
      </c>
      <c r="F69" s="53">
        <f t="shared" si="5"/>
        <v>1.5965514224983381</v>
      </c>
      <c r="G69" s="52">
        <v>84.732003830140073</v>
      </c>
      <c r="H69" s="51">
        <v>0.21288198033005526</v>
      </c>
      <c r="I69" s="52">
        <v>83.562043673943833</v>
      </c>
    </row>
    <row r="70" spans="2:9">
      <c r="B70" s="63">
        <v>1.4</v>
      </c>
      <c r="C70" s="51">
        <v>0.21993647882627448</v>
      </c>
      <c r="D70" s="52">
        <v>92.919558352785714</v>
      </c>
      <c r="E70" s="51">
        <v>0.21924854336607347</v>
      </c>
      <c r="F70" s="53">
        <f t="shared" si="5"/>
        <v>1.9286109168175347</v>
      </c>
      <c r="G70" s="52">
        <v>93.547287664392698</v>
      </c>
      <c r="H70" s="51">
        <v>0.2187497168742924</v>
      </c>
      <c r="I70" s="52">
        <v>92.11846545866419</v>
      </c>
    </row>
    <row r="71" spans="2:9">
      <c r="B71" s="63">
        <v>1.6</v>
      </c>
      <c r="C71" s="51">
        <v>0.22764019314019254</v>
      </c>
      <c r="D71" s="52">
        <v>101.56921012320912</v>
      </c>
      <c r="E71" s="51">
        <v>0.22615750000000007</v>
      </c>
      <c r="F71" s="53">
        <f t="shared" si="5"/>
        <v>2.2735831697735485</v>
      </c>
      <c r="G71" s="52">
        <v>102.20362049999956</v>
      </c>
      <c r="H71" s="51">
        <v>0.22682147628590482</v>
      </c>
      <c r="I71" s="52">
        <v>101.39413009352081</v>
      </c>
    </row>
    <row r="72" spans="2:9">
      <c r="B72" s="63">
        <v>1.8</v>
      </c>
      <c r="C72" s="51">
        <v>0.24104030646235802</v>
      </c>
      <c r="D72" s="52">
        <v>112.17662724850132</v>
      </c>
      <c r="E72" s="51">
        <v>0.23014988329443054</v>
      </c>
      <c r="F72" s="53">
        <f t="shared" si="5"/>
        <v>2.6029338572963923</v>
      </c>
      <c r="G72" s="52">
        <v>111.74770840280063</v>
      </c>
      <c r="H72" s="51">
        <v>0.23259045186013011</v>
      </c>
      <c r="I72" s="52">
        <v>110.79746255787961</v>
      </c>
    </row>
    <row r="73" spans="2:9" ht="15.75" thickBot="1">
      <c r="B73" s="64">
        <v>2</v>
      </c>
      <c r="C73" s="54">
        <v>0.24426870156571215</v>
      </c>
      <c r="D73" s="55">
        <v>123.21397343033399</v>
      </c>
      <c r="E73" s="54">
        <v>0.23928792672772617</v>
      </c>
      <c r="F73" s="56">
        <f t="shared" si="5"/>
        <v>3.0069807708022291</v>
      </c>
      <c r="G73" s="55">
        <v>123.07237751873535</v>
      </c>
      <c r="H73" s="54">
        <v>0.23452938938558118</v>
      </c>
      <c r="I73" s="55">
        <v>117.65017804831669</v>
      </c>
    </row>
    <row r="74" spans="2:9">
      <c r="B74" s="88"/>
      <c r="C74" s="58"/>
      <c r="D74" s="58"/>
      <c r="E74" s="58"/>
      <c r="F74" s="58"/>
      <c r="G74" s="58"/>
      <c r="H74" s="58"/>
      <c r="I74" s="58"/>
    </row>
    <row r="75" spans="2:9" s="1" customFormat="1">
      <c r="C75" s="266" t="s">
        <v>38</v>
      </c>
      <c r="D75" s="266"/>
      <c r="E75" s="266"/>
      <c r="F75" s="266"/>
    </row>
    <row r="76" spans="2:9" ht="15.75" thickBot="1"/>
    <row r="77" spans="2:9">
      <c r="B77" s="62" t="s">
        <v>28</v>
      </c>
      <c r="C77" s="93" t="s">
        <v>3</v>
      </c>
      <c r="D77" s="89" t="s">
        <v>30</v>
      </c>
      <c r="E77" s="90" t="s">
        <v>4</v>
      </c>
    </row>
    <row r="78" spans="2:9">
      <c r="B78" s="12">
        <v>0.2</v>
      </c>
      <c r="C78" s="94">
        <v>5.4549435028249424E-2</v>
      </c>
      <c r="D78" s="53">
        <f>C78*(2*PI()*B78)</f>
        <v>6.8548841736888841E-2</v>
      </c>
      <c r="E78" s="91">
        <v>76.09850596359081</v>
      </c>
    </row>
    <row r="79" spans="2:9">
      <c r="B79" s="12">
        <v>0.4</v>
      </c>
      <c r="C79" s="94">
        <v>5.9223813E-2</v>
      </c>
      <c r="D79" s="53">
        <f t="shared" ref="D79:D87" si="6">C79*(2*PI()*B79)</f>
        <v>0.14884567667070056</v>
      </c>
      <c r="E79" s="91">
        <v>69.257854949999995</v>
      </c>
    </row>
    <row r="80" spans="2:9">
      <c r="B80" s="12">
        <v>0.6</v>
      </c>
      <c r="C80" s="94">
        <v>6.1704147145584157E-2</v>
      </c>
      <c r="D80" s="53">
        <f t="shared" si="6"/>
        <v>0.23261915444230893</v>
      </c>
      <c r="E80" s="91">
        <v>65.644827173347437</v>
      </c>
    </row>
    <row r="81" spans="2:10">
      <c r="B81" s="12">
        <v>0.8</v>
      </c>
      <c r="C81" s="94">
        <v>6.2823147377184488E-2</v>
      </c>
      <c r="D81" s="53">
        <f t="shared" si="6"/>
        <v>0.31578358124088268</v>
      </c>
      <c r="E81" s="91">
        <v>70.566725895086776</v>
      </c>
    </row>
    <row r="82" spans="2:10">
      <c r="B82" s="12">
        <v>1</v>
      </c>
      <c r="C82" s="94">
        <v>6.4907219917009498E-2</v>
      </c>
      <c r="D82" s="53">
        <f t="shared" si="6"/>
        <v>0.40782409051242829</v>
      </c>
      <c r="E82" s="91">
        <v>77.728214771784749</v>
      </c>
    </row>
    <row r="83" spans="2:10">
      <c r="B83" s="12">
        <v>1.2</v>
      </c>
      <c r="C83" s="94">
        <v>6.6733620119123427E-2</v>
      </c>
      <c r="D83" s="53">
        <f t="shared" si="6"/>
        <v>0.50315964171285643</v>
      </c>
      <c r="E83" s="91">
        <v>85.100164295166593</v>
      </c>
    </row>
    <row r="84" spans="2:10">
      <c r="B84" s="12">
        <v>1.4</v>
      </c>
      <c r="C84" s="94">
        <v>6.8652376000000001E-2</v>
      </c>
      <c r="D84" s="53">
        <f t="shared" si="6"/>
        <v>0.60389784026063587</v>
      </c>
      <c r="E84" s="91">
        <v>93.243887670000007</v>
      </c>
    </row>
    <row r="85" spans="2:10">
      <c r="B85" s="12">
        <v>1.6</v>
      </c>
      <c r="C85" s="94">
        <v>6.8814069516046544E-2</v>
      </c>
      <c r="D85" s="53">
        <f t="shared" si="6"/>
        <v>0.69179448081673334</v>
      </c>
      <c r="E85" s="91">
        <v>102.0773956427732</v>
      </c>
    </row>
    <row r="86" spans="2:10">
      <c r="B86" s="12">
        <v>1.8</v>
      </c>
      <c r="C86" s="94">
        <v>6.6297666666663285E-2</v>
      </c>
      <c r="D86" s="53">
        <f t="shared" si="6"/>
        <v>0.74980894518048347</v>
      </c>
      <c r="E86" s="91">
        <v>111.42859183333321</v>
      </c>
    </row>
    <row r="87" spans="2:10" ht="15.75" thickBot="1">
      <c r="B87" s="13">
        <v>2</v>
      </c>
      <c r="C87" s="95">
        <v>6.9326456510973494E-2</v>
      </c>
      <c r="D87" s="56">
        <f t="shared" si="6"/>
        <v>0.87118194589714648</v>
      </c>
      <c r="E87" s="92">
        <v>121.49285855751783</v>
      </c>
    </row>
    <row r="89" spans="2:10" s="1" customFormat="1">
      <c r="C89" s="266" t="s">
        <v>93</v>
      </c>
      <c r="D89" s="266"/>
      <c r="E89" s="266"/>
      <c r="F89" s="266"/>
    </row>
    <row r="90" spans="2:10" ht="15.75" thickBot="1">
      <c r="C90" s="135"/>
    </row>
    <row r="91" spans="2:10" ht="15.75" thickBot="1">
      <c r="B91" s="180" t="s">
        <v>28</v>
      </c>
      <c r="C91" s="181">
        <v>0.2</v>
      </c>
      <c r="D91" s="182">
        <v>0.4</v>
      </c>
      <c r="E91" s="182">
        <v>0.6</v>
      </c>
      <c r="F91" s="182">
        <v>0.8</v>
      </c>
      <c r="G91" s="182">
        <v>1</v>
      </c>
      <c r="H91" s="182">
        <v>1.2</v>
      </c>
      <c r="I91" s="182">
        <v>1.4</v>
      </c>
      <c r="J91" s="183">
        <v>1.6</v>
      </c>
    </row>
    <row r="92" spans="2:10">
      <c r="B92" s="184" t="s">
        <v>38</v>
      </c>
      <c r="C92" s="185">
        <v>6.8548841736888841E-2</v>
      </c>
      <c r="D92" s="186">
        <v>0.14884567667070056</v>
      </c>
      <c r="E92" s="186">
        <v>0.23261915444230893</v>
      </c>
      <c r="F92" s="186">
        <v>0.31578358124088268</v>
      </c>
      <c r="G92" s="186">
        <v>0.40782409051242829</v>
      </c>
      <c r="H92" s="186">
        <v>0.50315964171285643</v>
      </c>
      <c r="I92" s="186">
        <v>0.60389784026063587</v>
      </c>
      <c r="J92" s="187">
        <v>0.69179448081673334</v>
      </c>
    </row>
    <row r="93" spans="2:10">
      <c r="B93" s="188" t="s">
        <v>78</v>
      </c>
      <c r="C93" s="10">
        <v>1.7177048557386647</v>
      </c>
      <c r="D93" s="189">
        <v>3.7403603819881992</v>
      </c>
      <c r="E93" s="189">
        <v>5.9812392739905551</v>
      </c>
      <c r="F93" s="189">
        <v>8.3357343073248664</v>
      </c>
      <c r="G93" s="189">
        <v>10.802397392410606</v>
      </c>
      <c r="H93" s="189">
        <v>13.394338211952798</v>
      </c>
      <c r="I93" s="189">
        <v>15.822812875094638</v>
      </c>
      <c r="J93" s="190">
        <v>18.267493090648426</v>
      </c>
    </row>
    <row r="94" spans="2:10">
      <c r="B94" s="188" t="s">
        <v>94</v>
      </c>
      <c r="C94" s="10">
        <v>1.5457235955244464</v>
      </c>
      <c r="D94" s="189">
        <v>1.9863049513410989</v>
      </c>
      <c r="E94" s="189">
        <v>2.289224691567135</v>
      </c>
      <c r="F94" s="189">
        <v>2.7323807414342483</v>
      </c>
      <c r="G94" s="189">
        <v>2.3592592670769648</v>
      </c>
      <c r="H94" s="189">
        <v>2.270145586334344</v>
      </c>
      <c r="I94" s="189">
        <v>1.8350613146447259</v>
      </c>
      <c r="J94" s="190">
        <v>1.6031724385348483</v>
      </c>
    </row>
    <row r="95" spans="2:10" ht="15.75" thickBot="1">
      <c r="B95" s="191" t="s">
        <v>95</v>
      </c>
      <c r="C95" s="192">
        <v>5.2119999999999997</v>
      </c>
      <c r="D95" s="193">
        <v>10.205</v>
      </c>
      <c r="E95" s="193">
        <v>14.887</v>
      </c>
      <c r="F95" s="193">
        <v>19.056000000000001</v>
      </c>
      <c r="G95" s="193">
        <v>23.337</v>
      </c>
      <c r="H95" s="193">
        <v>27.193000000000001</v>
      </c>
      <c r="I95" s="193">
        <v>31.146000000000001</v>
      </c>
      <c r="J95" s="194">
        <v>34.713999999999999</v>
      </c>
    </row>
    <row r="96" spans="2:10" ht="15.75" thickBot="1">
      <c r="B96" s="180" t="s">
        <v>96</v>
      </c>
      <c r="C96" s="195">
        <v>8.5439772929999993</v>
      </c>
      <c r="D96" s="196">
        <v>16.080511009999999</v>
      </c>
      <c r="E96" s="196">
        <v>23.39008312</v>
      </c>
      <c r="F96" s="196">
        <v>30.439898629999998</v>
      </c>
      <c r="G96" s="196">
        <v>36.90648075</v>
      </c>
      <c r="H96" s="196">
        <v>43.360643439999997</v>
      </c>
      <c r="I96" s="196">
        <v>49.407772029999997</v>
      </c>
      <c r="J96" s="197">
        <v>55.276460010000001</v>
      </c>
    </row>
    <row r="97" spans="3:10">
      <c r="C97" s="135"/>
    </row>
    <row r="98" spans="3:10">
      <c r="C98" s="198">
        <f>C95/C96</f>
        <v>0.6100203478150793</v>
      </c>
      <c r="D98" s="198">
        <f t="shared" ref="D98:J98" si="7">D95/D96</f>
        <v>0.63461913577583506</v>
      </c>
      <c r="E98" s="198">
        <f t="shared" si="7"/>
        <v>0.63646631453270353</v>
      </c>
      <c r="F98" s="198">
        <f t="shared" si="7"/>
        <v>0.62602048159317414</v>
      </c>
      <c r="G98" s="198">
        <f t="shared" si="7"/>
        <v>0.63232796857771378</v>
      </c>
      <c r="H98" s="198">
        <f t="shared" si="7"/>
        <v>0.6271355275810917</v>
      </c>
      <c r="I98" s="198">
        <f t="shared" si="7"/>
        <v>0.63038665214631417</v>
      </c>
      <c r="J98" s="198">
        <f t="shared" si="7"/>
        <v>0.62800693086568726</v>
      </c>
    </row>
    <row r="99" spans="3:10">
      <c r="C99" s="198">
        <f>C93/C96</f>
        <v>0.20104276929035897</v>
      </c>
      <c r="D99" s="198">
        <f t="shared" ref="D99:J99" si="8">D93/D96</f>
        <v>0.23260208457692536</v>
      </c>
      <c r="E99" s="198">
        <f t="shared" si="8"/>
        <v>0.25571688836266759</v>
      </c>
      <c r="F99" s="198">
        <f t="shared" si="8"/>
        <v>0.27384238064149119</v>
      </c>
      <c r="G99" s="198">
        <f t="shared" si="8"/>
        <v>0.29269649050487173</v>
      </c>
      <c r="H99" s="198">
        <f t="shared" si="8"/>
        <v>0.30890543011630178</v>
      </c>
      <c r="I99" s="198">
        <f t="shared" si="8"/>
        <v>0.32024947138857335</v>
      </c>
      <c r="J99" s="198">
        <f t="shared" si="8"/>
        <v>0.33047508989077223</v>
      </c>
    </row>
  </sheetData>
  <mergeCells count="28">
    <mergeCell ref="G3:H3"/>
    <mergeCell ref="C16:D16"/>
    <mergeCell ref="E16:F16"/>
    <mergeCell ref="C1:F1"/>
    <mergeCell ref="C3:D3"/>
    <mergeCell ref="E3:F3"/>
    <mergeCell ref="C14:F14"/>
    <mergeCell ref="G16:H16"/>
    <mergeCell ref="I16:J16"/>
    <mergeCell ref="K16:L16"/>
    <mergeCell ref="M16:O16"/>
    <mergeCell ref="P16:R16"/>
    <mergeCell ref="C29:F29"/>
    <mergeCell ref="E32:F32"/>
    <mergeCell ref="G32:I32"/>
    <mergeCell ref="J31:K31"/>
    <mergeCell ref="C45:F45"/>
    <mergeCell ref="C31:I31"/>
    <mergeCell ref="J32:K32"/>
    <mergeCell ref="C89:F89"/>
    <mergeCell ref="C47:D47"/>
    <mergeCell ref="H47:I47"/>
    <mergeCell ref="E47:G47"/>
    <mergeCell ref="C75:F75"/>
    <mergeCell ref="C60:F60"/>
    <mergeCell ref="C62:D62"/>
    <mergeCell ref="E62:G62"/>
    <mergeCell ref="H62:I6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G18"/>
  <sheetViews>
    <sheetView workbookViewId="0">
      <selection activeCell="A3" sqref="A3:A5"/>
    </sheetView>
  </sheetViews>
  <sheetFormatPr defaultColWidth="8.85546875" defaultRowHeight="15"/>
  <cols>
    <col min="2" max="7" width="12.7109375" customWidth="1"/>
  </cols>
  <sheetData>
    <row r="1" spans="1:7" ht="15.75" thickBot="1">
      <c r="A1" s="42" t="s">
        <v>9</v>
      </c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9" t="s">
        <v>15</v>
      </c>
    </row>
    <row r="2" spans="1:7" ht="15.75" thickBot="1">
      <c r="A2" s="293" t="s">
        <v>16</v>
      </c>
      <c r="B2" s="294"/>
      <c r="C2" s="294"/>
      <c r="D2" s="294"/>
      <c r="E2" s="294"/>
      <c r="F2" s="294"/>
      <c r="G2" s="295"/>
    </row>
    <row r="3" spans="1:7">
      <c r="A3" s="296" t="s">
        <v>17</v>
      </c>
      <c r="B3" s="31">
        <v>48.28443179271639</v>
      </c>
      <c r="C3" s="31">
        <v>0.40000000000000141</v>
      </c>
      <c r="D3" s="31">
        <v>99.229644993285333</v>
      </c>
      <c r="E3" s="31">
        <v>295.64880643083114</v>
      </c>
      <c r="F3" s="31">
        <v>8.259522752564612</v>
      </c>
      <c r="G3" s="32">
        <f t="shared" ref="G3:G8" si="0">(D3/C3)*0.00187374</f>
        <v>0.4648263875242945</v>
      </c>
    </row>
    <row r="4" spans="1:7">
      <c r="A4" s="291"/>
      <c r="B4" s="33">
        <v>59.649288782080866</v>
      </c>
      <c r="C4" s="33">
        <v>0.40000000000000113</v>
      </c>
      <c r="D4" s="33">
        <v>124.0766567447874</v>
      </c>
      <c r="E4" s="33">
        <v>295.76268558229077</v>
      </c>
      <c r="F4" s="33">
        <v>13.688450304443313</v>
      </c>
      <c r="G4" s="34">
        <f t="shared" si="0"/>
        <v>0.58121848702244328</v>
      </c>
    </row>
    <row r="5" spans="1:7" ht="15.75" thickBot="1">
      <c r="A5" s="292"/>
      <c r="B5" s="35">
        <v>72.351717388224714</v>
      </c>
      <c r="C5" s="35">
        <v>0.40000000000000102</v>
      </c>
      <c r="D5" s="35">
        <v>150.23961920923753</v>
      </c>
      <c r="E5" s="35">
        <v>295.86884170720674</v>
      </c>
      <c r="F5" s="35">
        <v>19.077354356867346</v>
      </c>
      <c r="G5" s="36">
        <f t="shared" si="0"/>
        <v>0.70377496024278996</v>
      </c>
    </row>
    <row r="6" spans="1:7">
      <c r="A6" s="290" t="s">
        <v>18</v>
      </c>
      <c r="B6" s="37">
        <v>22.601542751514792</v>
      </c>
      <c r="C6" s="37">
        <v>0.40000000000000191</v>
      </c>
      <c r="D6" s="37">
        <v>98.819533186359024</v>
      </c>
      <c r="E6" s="37">
        <v>295.64030010002682</v>
      </c>
      <c r="F6" s="37">
        <v>8.2194753271292225</v>
      </c>
      <c r="G6" s="38">
        <f t="shared" si="0"/>
        <v>0.46290528028151873</v>
      </c>
    </row>
    <row r="7" spans="1:7">
      <c r="A7" s="291"/>
      <c r="B7" s="39">
        <v>36.291023274168992</v>
      </c>
      <c r="C7" s="39">
        <v>0.40000000000000202</v>
      </c>
      <c r="D7" s="39">
        <v>124.52686634859801</v>
      </c>
      <c r="E7" s="39">
        <v>295.73238764727893</v>
      </c>
      <c r="F7" s="39">
        <v>13.814821930013318</v>
      </c>
      <c r="G7" s="34">
        <f t="shared" si="0"/>
        <v>0.58332742638005208</v>
      </c>
    </row>
    <row r="8" spans="1:7" ht="15.75" thickBot="1">
      <c r="A8" s="297"/>
      <c r="B8" s="40">
        <v>53.160238857488118</v>
      </c>
      <c r="C8" s="40">
        <v>0.40000000000000102</v>
      </c>
      <c r="D8" s="40">
        <v>150.09157779972833</v>
      </c>
      <c r="E8" s="40">
        <v>295.8246480114808</v>
      </c>
      <c r="F8" s="40">
        <v>19.547128736456639</v>
      </c>
      <c r="G8" s="41">
        <f t="shared" si="0"/>
        <v>0.70308148246615565</v>
      </c>
    </row>
    <row r="9" spans="1:7" ht="15.75" thickBot="1">
      <c r="A9" s="298" t="s">
        <v>19</v>
      </c>
      <c r="B9" s="299"/>
      <c r="C9" s="299"/>
      <c r="D9" s="299"/>
      <c r="E9" s="299"/>
      <c r="F9" s="299"/>
      <c r="G9" s="300"/>
    </row>
    <row r="10" spans="1:7">
      <c r="A10" s="296" t="s">
        <v>17</v>
      </c>
      <c r="B10" s="20">
        <v>80.245420988583987</v>
      </c>
      <c r="C10" s="20">
        <v>0.80000000000000304</v>
      </c>
      <c r="D10" s="20">
        <v>151.6540317787674</v>
      </c>
      <c r="E10" s="20">
        <v>294.0405286747303</v>
      </c>
      <c r="F10" s="20">
        <v>20.967401882817168</v>
      </c>
      <c r="G10" s="21">
        <f t="shared" ref="G10:G18" si="1">(D10/C10)*0.00187374</f>
        <v>0.35520028188143321</v>
      </c>
    </row>
    <row r="11" spans="1:7">
      <c r="A11" s="291"/>
      <c r="B11" s="22">
        <v>93.594454375245263</v>
      </c>
      <c r="C11" s="22">
        <v>0.80000000000000304</v>
      </c>
      <c r="D11" s="22">
        <v>175.97831040396576</v>
      </c>
      <c r="E11" s="22">
        <v>294.1582447301019</v>
      </c>
      <c r="F11" s="22">
        <v>30.855979026051489</v>
      </c>
      <c r="G11" s="23">
        <f t="shared" si="1"/>
        <v>0.41217199917040692</v>
      </c>
    </row>
    <row r="12" spans="1:7" ht="15.75" thickBot="1">
      <c r="A12" s="292"/>
      <c r="B12" s="24">
        <v>104.45531880551916</v>
      </c>
      <c r="C12" s="24">
        <v>0.8000000000000026</v>
      </c>
      <c r="D12" s="24">
        <v>200.85546781714027</v>
      </c>
      <c r="E12" s="24">
        <v>294.27056970114194</v>
      </c>
      <c r="F12" s="24">
        <v>43.293314757220408</v>
      </c>
      <c r="G12" s="25">
        <f t="shared" si="1"/>
        <v>0.47043865533460899</v>
      </c>
    </row>
    <row r="13" spans="1:7">
      <c r="A13" s="296" t="s">
        <v>18</v>
      </c>
      <c r="B13" s="26">
        <v>59.474976975530787</v>
      </c>
      <c r="C13" s="26">
        <v>0.80000000000000404</v>
      </c>
      <c r="D13" s="26">
        <v>150.57633423566051</v>
      </c>
      <c r="E13" s="26">
        <v>294.02763924048412</v>
      </c>
      <c r="F13" s="26">
        <v>21.091075302533209</v>
      </c>
      <c r="G13" s="21">
        <f t="shared" si="1"/>
        <v>0.35267612563840639</v>
      </c>
    </row>
    <row r="14" spans="1:7">
      <c r="A14" s="291"/>
      <c r="B14" s="27">
        <v>73.210865542783267</v>
      </c>
      <c r="C14" s="27">
        <v>0.80000000000000304</v>
      </c>
      <c r="D14" s="27">
        <v>176.47274664529832</v>
      </c>
      <c r="E14" s="27">
        <v>294.12339874389329</v>
      </c>
      <c r="F14" s="27">
        <v>31.529231599333951</v>
      </c>
      <c r="G14" s="23">
        <f t="shared" si="1"/>
        <v>0.41333005537395001</v>
      </c>
    </row>
    <row r="15" spans="1:7" ht="15.75" thickBot="1">
      <c r="A15" s="292"/>
      <c r="B15" s="28">
        <v>83.187226412322104</v>
      </c>
      <c r="C15" s="28">
        <v>0.80000000000000215</v>
      </c>
      <c r="D15" s="28">
        <v>201.43499608265137</v>
      </c>
      <c r="E15" s="28">
        <v>294.21451284988831</v>
      </c>
      <c r="F15" s="28">
        <v>44.169143856264888</v>
      </c>
      <c r="G15" s="25">
        <f t="shared" si="1"/>
        <v>0.47179601194988274</v>
      </c>
    </row>
    <row r="16" spans="1:7">
      <c r="A16" s="290" t="s">
        <v>20</v>
      </c>
      <c r="B16" s="29">
        <v>33.10581798335825</v>
      </c>
      <c r="C16" s="29">
        <v>0.80000000000000471</v>
      </c>
      <c r="D16" s="29">
        <v>150.86599805547576</v>
      </c>
      <c r="E16" s="29">
        <v>293.97688514818839</v>
      </c>
      <c r="F16" s="29">
        <v>21.468957540762034</v>
      </c>
      <c r="G16" s="30">
        <f t="shared" si="1"/>
        <v>0.35335456899558187</v>
      </c>
    </row>
    <row r="17" spans="1:7">
      <c r="A17" s="291"/>
      <c r="B17" s="22">
        <v>40.924147783283644</v>
      </c>
      <c r="C17" s="22">
        <v>0.80000000000000304</v>
      </c>
      <c r="D17" s="22">
        <v>175.75079310214019</v>
      </c>
      <c r="E17" s="22">
        <v>294.07333745265731</v>
      </c>
      <c r="F17" s="22">
        <v>31.748992071522348</v>
      </c>
      <c r="G17" s="23">
        <f t="shared" si="1"/>
        <v>0.41163911383400364</v>
      </c>
    </row>
    <row r="18" spans="1:7" ht="15.75" thickBot="1">
      <c r="A18" s="292"/>
      <c r="B18" s="24">
        <v>48.717203173276452</v>
      </c>
      <c r="C18" s="24">
        <v>0.80000000000000204</v>
      </c>
      <c r="D18" s="24">
        <v>200.41468695455919</v>
      </c>
      <c r="E18" s="24">
        <v>294.15480526917156</v>
      </c>
      <c r="F18" s="24">
        <v>44.370644688252703</v>
      </c>
      <c r="G18" s="25">
        <f t="shared" si="1"/>
        <v>0.46940626941779345</v>
      </c>
    </row>
  </sheetData>
  <mergeCells count="7">
    <mergeCell ref="A16:A18"/>
    <mergeCell ref="A2:G2"/>
    <mergeCell ref="A3:A5"/>
    <mergeCell ref="A6:A8"/>
    <mergeCell ref="A9:G9"/>
    <mergeCell ref="A10:A12"/>
    <mergeCell ref="A13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V170"/>
  <sheetViews>
    <sheetView tabSelected="1" workbookViewId="0">
      <selection activeCell="R4" sqref="R4"/>
    </sheetView>
  </sheetViews>
  <sheetFormatPr defaultColWidth="8.85546875" defaultRowHeight="15"/>
  <cols>
    <col min="3" max="18" width="12.7109375" customWidth="1"/>
    <col min="22" max="22" width="12" bestFit="1" customWidth="1"/>
  </cols>
  <sheetData>
    <row r="1" spans="1:17" s="1" customFormat="1">
      <c r="B1" s="266" t="s">
        <v>39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</row>
    <row r="2" spans="1:17" s="96" customFormat="1" ht="15.75" thickBot="1">
      <c r="B2" s="306" t="s">
        <v>16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109"/>
    </row>
    <row r="3" spans="1:17" ht="15" customHeight="1" thickBot="1">
      <c r="A3" s="97"/>
      <c r="B3" s="103" t="s">
        <v>41</v>
      </c>
      <c r="C3" s="104" t="s">
        <v>42</v>
      </c>
      <c r="D3" s="104" t="s">
        <v>43</v>
      </c>
      <c r="E3" s="104" t="s">
        <v>44</v>
      </c>
      <c r="F3" s="104" t="s">
        <v>45</v>
      </c>
      <c r="G3" s="104" t="s">
        <v>67</v>
      </c>
      <c r="H3" s="104" t="s">
        <v>46</v>
      </c>
      <c r="I3" s="104" t="s">
        <v>47</v>
      </c>
      <c r="J3" s="104" t="s">
        <v>48</v>
      </c>
      <c r="K3" s="104" t="s">
        <v>49</v>
      </c>
      <c r="L3" s="104" t="s">
        <v>50</v>
      </c>
      <c r="M3" s="104" t="s">
        <v>51</v>
      </c>
      <c r="N3" s="104" t="s">
        <v>52</v>
      </c>
      <c r="O3" s="104" t="s">
        <v>53</v>
      </c>
      <c r="P3" s="105" t="s">
        <v>54</v>
      </c>
    </row>
    <row r="4" spans="1:17" ht="15" customHeight="1">
      <c r="A4" s="307" t="s">
        <v>40</v>
      </c>
      <c r="B4" s="106" t="s">
        <v>55</v>
      </c>
      <c r="C4" s="98">
        <v>0.89700000000000002</v>
      </c>
      <c r="D4" s="98">
        <v>0.89700000000000002</v>
      </c>
      <c r="E4" s="98">
        <v>20.530667050000002</v>
      </c>
      <c r="F4" s="98">
        <v>-20.530667050000002</v>
      </c>
      <c r="G4" s="98">
        <v>0.1</v>
      </c>
      <c r="H4" s="98">
        <v>1.01415666</v>
      </c>
      <c r="I4" s="98">
        <v>115.39272047999999</v>
      </c>
      <c r="J4" s="98">
        <v>118.60628665</v>
      </c>
      <c r="K4" s="98">
        <v>0</v>
      </c>
      <c r="L4" s="99">
        <v>1.242E-5</v>
      </c>
      <c r="M4" s="99">
        <v>4.3000000000000001E-7</v>
      </c>
      <c r="N4" s="99">
        <v>2.08E-6</v>
      </c>
      <c r="O4" s="98">
        <v>1.3864700000000001E-3</v>
      </c>
      <c r="P4" s="100">
        <v>1.4013999999999999E-3</v>
      </c>
      <c r="Q4">
        <f>150/3600*E4</f>
        <v>0.85544446041666666</v>
      </c>
    </row>
    <row r="5" spans="1:17">
      <c r="A5" s="304"/>
      <c r="B5" s="107" t="s">
        <v>56</v>
      </c>
      <c r="C5" s="88">
        <v>0.89690000000000003</v>
      </c>
      <c r="D5" s="88">
        <v>0.89690000000000003</v>
      </c>
      <c r="E5" s="88">
        <v>20.724852980000001</v>
      </c>
      <c r="F5" s="88">
        <v>-20.724852980000001</v>
      </c>
      <c r="G5" s="88">
        <v>1</v>
      </c>
      <c r="H5" s="88">
        <v>1.8578917100000001</v>
      </c>
      <c r="I5" s="88">
        <v>112.11610573999999</v>
      </c>
      <c r="J5" s="88">
        <v>115.05993525</v>
      </c>
      <c r="K5" s="88">
        <v>0</v>
      </c>
      <c r="L5" s="101">
        <v>1.789E-5</v>
      </c>
      <c r="M5" s="101">
        <v>1.3400000000000001E-6</v>
      </c>
      <c r="N5" s="101">
        <v>7.3699999999999997E-6</v>
      </c>
      <c r="O5" s="88">
        <v>1.4012499999999999E-3</v>
      </c>
      <c r="P5" s="59">
        <v>1.4278400000000001E-3</v>
      </c>
      <c r="Q5">
        <f t="shared" ref="Q5:Q13" si="0">150/3600*E5</f>
        <v>0.86353554083333339</v>
      </c>
    </row>
    <row r="6" spans="1:17">
      <c r="A6" s="304"/>
      <c r="B6" s="107" t="s">
        <v>57</v>
      </c>
      <c r="C6" s="88">
        <v>0.89639999999999997</v>
      </c>
      <c r="D6" s="88">
        <v>0.89639999999999997</v>
      </c>
      <c r="E6" s="88">
        <v>21.40490325</v>
      </c>
      <c r="F6" s="88">
        <v>-21.40490325</v>
      </c>
      <c r="G6" s="88">
        <v>4</v>
      </c>
      <c r="H6" s="88">
        <v>4.6739399400000003</v>
      </c>
      <c r="I6" s="88">
        <v>101.38627046000001</v>
      </c>
      <c r="J6" s="88">
        <v>103.2934595</v>
      </c>
      <c r="K6" s="88">
        <v>0</v>
      </c>
      <c r="L6" s="101">
        <v>7.0489999999999998E-5</v>
      </c>
      <c r="M6" s="101">
        <v>1.028E-5</v>
      </c>
      <c r="N6" s="101">
        <v>5.9129999999999998E-5</v>
      </c>
      <c r="O6" s="88">
        <v>1.45301E-3</v>
      </c>
      <c r="P6" s="59">
        <v>1.5929E-3</v>
      </c>
      <c r="Q6">
        <f t="shared" si="0"/>
        <v>0.89187096874999994</v>
      </c>
    </row>
    <row r="7" spans="1:17">
      <c r="A7" s="304"/>
      <c r="B7" s="107" t="s">
        <v>58</v>
      </c>
      <c r="C7" s="88">
        <v>0.89600000000000002</v>
      </c>
      <c r="D7" s="88">
        <v>0.89600000000000002</v>
      </c>
      <c r="E7" s="88">
        <v>22.139281709999999</v>
      </c>
      <c r="F7" s="88">
        <v>-22.139281709999999</v>
      </c>
      <c r="G7" s="88">
        <v>7</v>
      </c>
      <c r="H7" s="88">
        <v>7.52147305</v>
      </c>
      <c r="I7" s="88">
        <v>89.177639260000007</v>
      </c>
      <c r="J7" s="88">
        <v>90.228820060000004</v>
      </c>
      <c r="K7" s="88">
        <v>0</v>
      </c>
      <c r="L7" s="88">
        <v>1.7946999999999999E-4</v>
      </c>
      <c r="M7" s="101">
        <v>2.828E-5</v>
      </c>
      <c r="N7" s="88">
        <v>1.6003E-4</v>
      </c>
      <c r="O7" s="88">
        <v>1.5095499999999999E-3</v>
      </c>
      <c r="P7" s="59">
        <v>1.87733E-3</v>
      </c>
      <c r="Q7">
        <f t="shared" si="0"/>
        <v>0.92247007124999991</v>
      </c>
    </row>
    <row r="8" spans="1:17">
      <c r="A8" s="304"/>
      <c r="B8" s="107" t="s">
        <v>59</v>
      </c>
      <c r="C8" s="88">
        <v>0.89559999999999995</v>
      </c>
      <c r="D8" s="88">
        <v>0.89559999999999995</v>
      </c>
      <c r="E8" s="88">
        <v>22.933492489999999</v>
      </c>
      <c r="F8" s="88">
        <v>-22.933492489999999</v>
      </c>
      <c r="G8" s="88">
        <v>10</v>
      </c>
      <c r="H8" s="88">
        <v>10.30121084</v>
      </c>
      <c r="I8" s="88">
        <v>64.197438469999994</v>
      </c>
      <c r="J8" s="88">
        <v>66.989701749999995</v>
      </c>
      <c r="K8" s="88">
        <v>0</v>
      </c>
      <c r="L8" s="88">
        <v>3.5505999999999998E-4</v>
      </c>
      <c r="M8" s="101">
        <v>5.6669999999999998E-5</v>
      </c>
      <c r="N8" s="88">
        <v>3.1534E-4</v>
      </c>
      <c r="O8" s="88">
        <v>1.5739899999999999E-3</v>
      </c>
      <c r="P8" s="59">
        <v>2.3010600000000002E-3</v>
      </c>
      <c r="Q8">
        <f t="shared" si="0"/>
        <v>0.95556218708333329</v>
      </c>
    </row>
    <row r="9" spans="1:17">
      <c r="A9" s="304"/>
      <c r="B9" s="107" t="s">
        <v>60</v>
      </c>
      <c r="C9" s="88">
        <v>0.89510000000000001</v>
      </c>
      <c r="D9" s="88">
        <v>0.89510000000000001</v>
      </c>
      <c r="E9" s="88">
        <v>23.793551619999999</v>
      </c>
      <c r="F9" s="88">
        <v>-23.793551619999999</v>
      </c>
      <c r="G9" s="88">
        <v>13</v>
      </c>
      <c r="H9" s="88">
        <v>12.918883470000001</v>
      </c>
      <c r="I9" s="88">
        <v>29.127490439999999</v>
      </c>
      <c r="J9" s="88">
        <v>33.225410230000001</v>
      </c>
      <c r="K9" s="88">
        <v>0</v>
      </c>
      <c r="L9" s="88">
        <v>6.2449999999999995E-4</v>
      </c>
      <c r="M9" s="101">
        <v>9.7200000000000004E-5</v>
      </c>
      <c r="N9" s="88">
        <v>5.5093000000000004E-4</v>
      </c>
      <c r="O9" s="88">
        <v>1.6444000000000001E-3</v>
      </c>
      <c r="P9" s="59">
        <v>2.9170300000000001E-3</v>
      </c>
      <c r="Q9">
        <f t="shared" si="0"/>
        <v>0.99139798416666658</v>
      </c>
    </row>
    <row r="10" spans="1:17">
      <c r="A10" s="304"/>
      <c r="B10" s="107" t="s">
        <v>61</v>
      </c>
      <c r="C10" s="88">
        <v>0.89439999999999997</v>
      </c>
      <c r="D10" s="88">
        <v>0.89439999999999997</v>
      </c>
      <c r="E10" s="88">
        <v>24.726041550000001</v>
      </c>
      <c r="F10" s="88">
        <v>-24.726041550000001</v>
      </c>
      <c r="G10" s="88">
        <v>16</v>
      </c>
      <c r="H10" s="88">
        <v>15.54180223</v>
      </c>
      <c r="I10" s="88">
        <v>-3.12968504</v>
      </c>
      <c r="J10" s="88">
        <v>1.23375945</v>
      </c>
      <c r="K10" s="88">
        <v>0</v>
      </c>
      <c r="L10" s="88">
        <v>9.4707999999999999E-4</v>
      </c>
      <c r="M10" s="88">
        <v>1.4359999999999999E-4</v>
      </c>
      <c r="N10" s="88">
        <v>8.2501999999999999E-4</v>
      </c>
      <c r="O10" s="88">
        <v>1.71922E-3</v>
      </c>
      <c r="P10" s="59">
        <v>3.6349199999999998E-3</v>
      </c>
      <c r="Q10">
        <f t="shared" si="0"/>
        <v>1.0302517312499999</v>
      </c>
    </row>
    <row r="11" spans="1:17">
      <c r="A11" s="304"/>
      <c r="B11" s="107" t="s">
        <v>62</v>
      </c>
      <c r="C11" s="88">
        <v>0.89359999999999995</v>
      </c>
      <c r="D11" s="88">
        <v>0.89359999999999995</v>
      </c>
      <c r="E11" s="88">
        <v>25.73817347</v>
      </c>
      <c r="F11" s="88">
        <v>-25.73817347</v>
      </c>
      <c r="G11" s="88">
        <v>19</v>
      </c>
      <c r="H11" s="88">
        <v>18.19687017</v>
      </c>
      <c r="I11" s="88">
        <v>-31.395684769999999</v>
      </c>
      <c r="J11" s="88">
        <v>-27.519101620000001</v>
      </c>
      <c r="K11" s="88">
        <v>0</v>
      </c>
      <c r="L11" s="88">
        <v>1.31817E-3</v>
      </c>
      <c r="M11" s="88">
        <v>1.9562E-4</v>
      </c>
      <c r="N11" s="88">
        <v>1.1328E-3</v>
      </c>
      <c r="O11" s="88">
        <v>1.7997499999999999E-3</v>
      </c>
      <c r="P11" s="59">
        <v>4.44634E-3</v>
      </c>
      <c r="Q11">
        <f t="shared" si="0"/>
        <v>1.0724238945833333</v>
      </c>
    </row>
    <row r="12" spans="1:17">
      <c r="A12" s="304"/>
      <c r="B12" s="107" t="s">
        <v>63</v>
      </c>
      <c r="C12" s="88">
        <v>0.89280000000000004</v>
      </c>
      <c r="D12" s="88">
        <v>0.89280000000000004</v>
      </c>
      <c r="E12" s="88">
        <v>26.837858489999999</v>
      </c>
      <c r="F12" s="88">
        <v>-26.837858489999999</v>
      </c>
      <c r="G12" s="88">
        <v>22</v>
      </c>
      <c r="H12" s="88">
        <v>20.87724235</v>
      </c>
      <c r="I12" s="88">
        <v>-56.713565299999999</v>
      </c>
      <c r="J12" s="88">
        <v>-53.835158020000001</v>
      </c>
      <c r="K12" s="88">
        <v>0</v>
      </c>
      <c r="L12" s="88">
        <v>1.7450499999999999E-3</v>
      </c>
      <c r="M12" s="88">
        <v>2.5454999999999998E-4</v>
      </c>
      <c r="N12" s="88">
        <v>1.48055E-3</v>
      </c>
      <c r="O12" s="88">
        <v>1.8870499999999999E-3</v>
      </c>
      <c r="P12" s="59">
        <v>5.3671999999999999E-3</v>
      </c>
      <c r="Q12">
        <f t="shared" si="0"/>
        <v>1.1182441037499999</v>
      </c>
    </row>
    <row r="13" spans="1:17" ht="15.75" thickBot="1">
      <c r="A13" s="305"/>
      <c r="B13" s="108" t="s">
        <v>64</v>
      </c>
      <c r="C13" s="102">
        <v>0.89190000000000003</v>
      </c>
      <c r="D13" s="102">
        <v>0.89190000000000003</v>
      </c>
      <c r="E13" s="102">
        <v>28.033789089999999</v>
      </c>
      <c r="F13" s="102">
        <v>-28.033789089999999</v>
      </c>
      <c r="G13" s="102">
        <v>25</v>
      </c>
      <c r="H13" s="102">
        <v>23.575779019999999</v>
      </c>
      <c r="I13" s="102">
        <v>-79.906145260000002</v>
      </c>
      <c r="J13" s="102">
        <v>-78.402391320000007</v>
      </c>
      <c r="K13" s="102">
        <v>0</v>
      </c>
      <c r="L13" s="102">
        <v>2.2344000000000001E-3</v>
      </c>
      <c r="M13" s="102">
        <v>3.2139000000000001E-4</v>
      </c>
      <c r="N13" s="102">
        <v>1.87385E-3</v>
      </c>
      <c r="O13" s="102">
        <v>1.98204E-3</v>
      </c>
      <c r="P13" s="61">
        <v>6.4116900000000003E-3</v>
      </c>
      <c r="Q13">
        <f t="shared" si="0"/>
        <v>1.1680745454166666</v>
      </c>
    </row>
    <row r="14" spans="1:17" ht="15" customHeight="1">
      <c r="A14" s="307" t="s">
        <v>65</v>
      </c>
      <c r="B14" s="106" t="s">
        <v>55</v>
      </c>
      <c r="C14" s="98">
        <v>0.74750000000000005</v>
      </c>
      <c r="D14" s="98">
        <v>0.74750000000000005</v>
      </c>
      <c r="E14" s="98">
        <v>16.531100670000001</v>
      </c>
      <c r="F14" s="98">
        <v>-16.531100670000001</v>
      </c>
      <c r="G14" s="98">
        <v>0.1</v>
      </c>
      <c r="H14" s="98">
        <v>1.0201889900000001</v>
      </c>
      <c r="I14" s="98">
        <v>96.770996679999996</v>
      </c>
      <c r="J14" s="98">
        <v>99.063361839999999</v>
      </c>
      <c r="K14" s="98">
        <v>0</v>
      </c>
      <c r="L14" s="99">
        <v>1.2320000000000001E-5</v>
      </c>
      <c r="M14" s="99">
        <v>4.7E-7</v>
      </c>
      <c r="N14" s="99">
        <v>1.9E-6</v>
      </c>
      <c r="O14" s="98">
        <v>9.3179000000000005E-4</v>
      </c>
      <c r="P14" s="100">
        <v>9.4649000000000003E-4</v>
      </c>
      <c r="Q14">
        <f>125/3600*E14</f>
        <v>0.57399655104166669</v>
      </c>
    </row>
    <row r="15" spans="1:17">
      <c r="A15" s="304"/>
      <c r="B15" s="107" t="s">
        <v>56</v>
      </c>
      <c r="C15" s="88">
        <v>0.74739999999999995</v>
      </c>
      <c r="D15" s="88">
        <v>0.74739999999999995</v>
      </c>
      <c r="E15" s="88">
        <v>16.692899109999999</v>
      </c>
      <c r="F15" s="88">
        <v>-16.692899109999999</v>
      </c>
      <c r="G15" s="88">
        <v>1</v>
      </c>
      <c r="H15" s="88">
        <v>1.87329458</v>
      </c>
      <c r="I15" s="88">
        <v>94.672365139999997</v>
      </c>
      <c r="J15" s="88">
        <v>96.62042563</v>
      </c>
      <c r="K15" s="88">
        <v>0</v>
      </c>
      <c r="L15" s="101">
        <v>1.6229999999999999E-5</v>
      </c>
      <c r="M15" s="101">
        <v>1.37E-6</v>
      </c>
      <c r="N15" s="101">
        <v>6.2099999999999998E-6</v>
      </c>
      <c r="O15" s="88">
        <v>9.4196000000000004E-4</v>
      </c>
      <c r="P15" s="59">
        <v>9.6577000000000002E-4</v>
      </c>
      <c r="Q15">
        <f t="shared" ref="Q15:Q23" si="1">125/3600*E15</f>
        <v>0.5796145524305556</v>
      </c>
    </row>
    <row r="16" spans="1:17">
      <c r="A16" s="304"/>
      <c r="B16" s="107" t="s">
        <v>57</v>
      </c>
      <c r="C16" s="88">
        <v>0.747</v>
      </c>
      <c r="D16" s="88">
        <v>0.747</v>
      </c>
      <c r="E16" s="88">
        <v>17.259505440000002</v>
      </c>
      <c r="F16" s="88">
        <v>-17.259505440000002</v>
      </c>
      <c r="G16" s="88">
        <v>4</v>
      </c>
      <c r="H16" s="88">
        <v>4.7205057300000002</v>
      </c>
      <c r="I16" s="88">
        <v>87.819011680000003</v>
      </c>
      <c r="J16" s="88">
        <v>88.49290431</v>
      </c>
      <c r="K16" s="88">
        <v>0</v>
      </c>
      <c r="L16" s="101">
        <v>5.3019999999999997E-5</v>
      </c>
      <c r="M16" s="101">
        <v>1.0030000000000001E-5</v>
      </c>
      <c r="N16" s="101">
        <v>4.7660000000000001E-5</v>
      </c>
      <c r="O16" s="88">
        <v>9.7762000000000001E-4</v>
      </c>
      <c r="P16" s="59">
        <v>1.08832E-3</v>
      </c>
      <c r="Q16">
        <f t="shared" si="1"/>
        <v>0.59928838333333345</v>
      </c>
    </row>
    <row r="17" spans="1:17">
      <c r="A17" s="304"/>
      <c r="B17" s="107" t="s">
        <v>58</v>
      </c>
      <c r="C17" s="88">
        <v>0.74670000000000003</v>
      </c>
      <c r="D17" s="88">
        <v>0.74670000000000003</v>
      </c>
      <c r="E17" s="88">
        <v>17.871346370000001</v>
      </c>
      <c r="F17" s="88">
        <v>-17.871346370000001</v>
      </c>
      <c r="G17" s="88">
        <v>7</v>
      </c>
      <c r="H17" s="88">
        <v>7.6028420700000003</v>
      </c>
      <c r="I17" s="88">
        <v>79.866411229999997</v>
      </c>
      <c r="J17" s="88">
        <v>79.451879230000003</v>
      </c>
      <c r="K17" s="88">
        <v>0</v>
      </c>
      <c r="L17" s="88">
        <v>1.2687000000000001E-4</v>
      </c>
      <c r="M17" s="101">
        <v>2.707E-5</v>
      </c>
      <c r="N17" s="88">
        <v>1.2601999999999999E-4</v>
      </c>
      <c r="O17" s="88">
        <v>1.01669E-3</v>
      </c>
      <c r="P17" s="59">
        <v>1.29666E-3</v>
      </c>
      <c r="Q17">
        <f t="shared" si="1"/>
        <v>0.62053286006944453</v>
      </c>
    </row>
    <row r="18" spans="1:17">
      <c r="A18" s="304"/>
      <c r="B18" s="107" t="s">
        <v>59</v>
      </c>
      <c r="C18" s="88">
        <v>0.74629999999999996</v>
      </c>
      <c r="D18" s="88">
        <v>0.74629999999999996</v>
      </c>
      <c r="E18" s="88">
        <v>18.533008219999999</v>
      </c>
      <c r="F18" s="88">
        <v>-18.533008219999999</v>
      </c>
      <c r="G18" s="88">
        <v>10</v>
      </c>
      <c r="H18" s="88">
        <v>10.408324</v>
      </c>
      <c r="I18" s="88">
        <v>60.997031610000001</v>
      </c>
      <c r="J18" s="88">
        <v>61.777973670000002</v>
      </c>
      <c r="K18" s="88">
        <v>0</v>
      </c>
      <c r="L18" s="88">
        <v>2.4857999999999998E-4</v>
      </c>
      <c r="M18" s="101">
        <v>5.4700000000000001E-5</v>
      </c>
      <c r="N18" s="88">
        <v>2.5149999999999999E-4</v>
      </c>
      <c r="O18" s="88">
        <v>1.0621999999999999E-3</v>
      </c>
      <c r="P18" s="59">
        <v>1.6169800000000001E-3</v>
      </c>
      <c r="Q18">
        <f t="shared" si="1"/>
        <v>0.64350722986111109</v>
      </c>
    </row>
    <row r="19" spans="1:17">
      <c r="A19" s="304"/>
      <c r="B19" s="107" t="s">
        <v>60</v>
      </c>
      <c r="C19" s="88">
        <v>0.74590000000000001</v>
      </c>
      <c r="D19" s="88">
        <v>0.74590000000000001</v>
      </c>
      <c r="E19" s="88">
        <v>19.249504120000001</v>
      </c>
      <c r="F19" s="88">
        <v>-19.249504120000001</v>
      </c>
      <c r="G19" s="88">
        <v>13</v>
      </c>
      <c r="H19" s="88">
        <v>13.042040500000001</v>
      </c>
      <c r="I19" s="88">
        <v>32.904690289999998</v>
      </c>
      <c r="J19" s="88">
        <v>34.56258811</v>
      </c>
      <c r="K19" s="88">
        <v>0</v>
      </c>
      <c r="L19" s="88">
        <v>4.4736E-4</v>
      </c>
      <c r="M19" s="101">
        <v>9.6630000000000001E-5</v>
      </c>
      <c r="N19" s="88">
        <v>4.5393000000000001E-4</v>
      </c>
      <c r="O19" s="88">
        <v>1.11173E-3</v>
      </c>
      <c r="P19" s="59">
        <v>2.1096499999999998E-3</v>
      </c>
      <c r="Q19">
        <f t="shared" si="1"/>
        <v>0.66838555972222224</v>
      </c>
    </row>
    <row r="20" spans="1:17">
      <c r="A20" s="304"/>
      <c r="B20" s="107" t="s">
        <v>61</v>
      </c>
      <c r="C20" s="88">
        <v>0.74529999999999996</v>
      </c>
      <c r="D20" s="88">
        <v>0.74529999999999996</v>
      </c>
      <c r="E20" s="88">
        <v>20.026319390000001</v>
      </c>
      <c r="F20" s="88">
        <v>-20.026319390000001</v>
      </c>
      <c r="G20" s="88">
        <v>16</v>
      </c>
      <c r="H20" s="88">
        <v>15.69571831</v>
      </c>
      <c r="I20" s="88">
        <v>8.1557536200000005</v>
      </c>
      <c r="J20" s="88">
        <v>9.7218997900000002</v>
      </c>
      <c r="K20" s="88">
        <v>0</v>
      </c>
      <c r="L20" s="88">
        <v>6.7455E-4</v>
      </c>
      <c r="M20" s="88">
        <v>1.4240999999999999E-4</v>
      </c>
      <c r="N20" s="88">
        <v>6.7834999999999998E-4</v>
      </c>
      <c r="O20" s="88">
        <v>1.16384E-3</v>
      </c>
      <c r="P20" s="59">
        <v>2.6591499999999999E-3</v>
      </c>
      <c r="Q20">
        <f t="shared" si="1"/>
        <v>0.69535831215277788</v>
      </c>
    </row>
    <row r="21" spans="1:17">
      <c r="A21" s="304"/>
      <c r="B21" s="107" t="s">
        <v>62</v>
      </c>
      <c r="C21" s="88">
        <v>0.74470000000000003</v>
      </c>
      <c r="D21" s="88">
        <v>0.74470000000000003</v>
      </c>
      <c r="E21" s="88">
        <v>20.86946343</v>
      </c>
      <c r="F21" s="88">
        <v>-20.86946343</v>
      </c>
      <c r="G21" s="88">
        <v>19</v>
      </c>
      <c r="H21" s="88">
        <v>18.386269710000001</v>
      </c>
      <c r="I21" s="88">
        <v>-12.914658510000001</v>
      </c>
      <c r="J21" s="88">
        <v>-12.09951366</v>
      </c>
      <c r="K21" s="88">
        <v>0</v>
      </c>
      <c r="L21" s="88">
        <v>9.2827999999999997E-4</v>
      </c>
      <c r="M21" s="88">
        <v>1.9227E-4</v>
      </c>
      <c r="N21" s="88">
        <v>9.2290000000000004E-4</v>
      </c>
      <c r="O21" s="88">
        <v>1.21978E-3</v>
      </c>
      <c r="P21" s="59">
        <v>3.2632199999999998E-3</v>
      </c>
      <c r="Q21">
        <f t="shared" si="1"/>
        <v>0.72463414687500005</v>
      </c>
    </row>
    <row r="22" spans="1:17">
      <c r="A22" s="304"/>
      <c r="B22" s="107" t="s">
        <v>63</v>
      </c>
      <c r="C22" s="88">
        <v>0.74399999999999999</v>
      </c>
      <c r="D22" s="88">
        <v>0.74399999999999999</v>
      </c>
      <c r="E22" s="88">
        <v>21.785529069999999</v>
      </c>
      <c r="F22" s="88">
        <v>-21.785529069999999</v>
      </c>
      <c r="G22" s="88">
        <v>22</v>
      </c>
      <c r="H22" s="88">
        <v>21.103304619999999</v>
      </c>
      <c r="I22" s="88">
        <v>-31.439482630000001</v>
      </c>
      <c r="J22" s="88">
        <v>-31.796846330000001</v>
      </c>
      <c r="K22" s="88">
        <v>0</v>
      </c>
      <c r="L22" s="88">
        <v>1.21557E-3</v>
      </c>
      <c r="M22" s="88">
        <v>2.4784999999999998E-4</v>
      </c>
      <c r="N22" s="88">
        <v>1.1947500000000001E-3</v>
      </c>
      <c r="O22" s="88">
        <v>1.28034E-3</v>
      </c>
      <c r="P22" s="59">
        <v>3.93852E-3</v>
      </c>
      <c r="Q22">
        <f t="shared" si="1"/>
        <v>0.7564419815972222</v>
      </c>
    </row>
    <row r="23" spans="1:17" ht="15.75" thickBot="1">
      <c r="A23" s="305"/>
      <c r="B23" s="108" t="s">
        <v>64</v>
      </c>
      <c r="C23" s="102">
        <v>0.74329999999999996</v>
      </c>
      <c r="D23" s="102">
        <v>0.74329999999999996</v>
      </c>
      <c r="E23" s="102">
        <v>22.78176041</v>
      </c>
      <c r="F23" s="102">
        <v>-22.78176041</v>
      </c>
      <c r="G23" s="102">
        <v>25</v>
      </c>
      <c r="H23" s="102">
        <v>23.838714100000001</v>
      </c>
      <c r="I23" s="102">
        <v>-48.175429819999998</v>
      </c>
      <c r="J23" s="102">
        <v>-49.997765680000001</v>
      </c>
      <c r="K23" s="102">
        <v>0</v>
      </c>
      <c r="L23" s="102">
        <v>1.5419800000000001E-3</v>
      </c>
      <c r="M23" s="102">
        <v>3.1034999999999998E-4</v>
      </c>
      <c r="N23" s="102">
        <v>1.4993999999999999E-3</v>
      </c>
      <c r="O23" s="102">
        <v>1.3462000000000001E-3</v>
      </c>
      <c r="P23" s="61">
        <v>4.6979300000000003E-3</v>
      </c>
      <c r="Q23">
        <f t="shared" si="1"/>
        <v>0.79103334756944454</v>
      </c>
    </row>
    <row r="24" spans="1:17" ht="15" customHeight="1">
      <c r="A24" s="307" t="s">
        <v>66</v>
      </c>
      <c r="B24" s="106" t="s">
        <v>55</v>
      </c>
      <c r="C24" s="98">
        <v>0.59799999999999998</v>
      </c>
      <c r="D24" s="98">
        <v>0.59799999999999998</v>
      </c>
      <c r="E24" s="98">
        <v>12.76033455</v>
      </c>
      <c r="F24" s="98">
        <v>-12.76033455</v>
      </c>
      <c r="G24" s="98">
        <v>0.1</v>
      </c>
      <c r="H24" s="98">
        <v>1.02595405</v>
      </c>
      <c r="I24" s="98">
        <v>77.835549990000004</v>
      </c>
      <c r="J24" s="98">
        <v>79.398646990000003</v>
      </c>
      <c r="K24" s="98">
        <v>0</v>
      </c>
      <c r="L24" s="99">
        <v>1.2310000000000001E-5</v>
      </c>
      <c r="M24" s="99">
        <v>5.3000000000000001E-7</v>
      </c>
      <c r="N24" s="99">
        <v>1.7E-6</v>
      </c>
      <c r="O24" s="98">
        <v>5.7638000000000003E-4</v>
      </c>
      <c r="P24" s="100">
        <v>5.9093000000000004E-4</v>
      </c>
      <c r="Q24">
        <f>100/3600*E24</f>
        <v>0.35445373749999998</v>
      </c>
    </row>
    <row r="25" spans="1:17">
      <c r="A25" s="304"/>
      <c r="B25" s="107" t="s">
        <v>56</v>
      </c>
      <c r="C25" s="88">
        <v>0.59789999999999999</v>
      </c>
      <c r="D25" s="88">
        <v>0.59789999999999999</v>
      </c>
      <c r="E25" s="88">
        <v>12.88976512</v>
      </c>
      <c r="F25" s="88">
        <v>-12.88976512</v>
      </c>
      <c r="G25" s="88">
        <v>1</v>
      </c>
      <c r="H25" s="88">
        <v>1.8860311599999999</v>
      </c>
      <c r="I25" s="88">
        <v>76.555162699999997</v>
      </c>
      <c r="J25" s="88">
        <v>77.705212220000007</v>
      </c>
      <c r="K25" s="88">
        <v>0</v>
      </c>
      <c r="L25" s="101">
        <v>1.4960000000000001E-5</v>
      </c>
      <c r="M25" s="101">
        <v>1.4300000000000001E-6</v>
      </c>
      <c r="N25" s="101">
        <v>5.1499999999999998E-6</v>
      </c>
      <c r="O25" s="88">
        <v>5.8283E-4</v>
      </c>
      <c r="P25" s="59">
        <v>6.0437999999999996E-4</v>
      </c>
      <c r="Q25">
        <f t="shared" ref="Q25:Q33" si="2">100/3600*E25</f>
        <v>0.35804903111111108</v>
      </c>
    </row>
    <row r="26" spans="1:17">
      <c r="A26" s="304"/>
      <c r="B26" s="107" t="s">
        <v>57</v>
      </c>
      <c r="C26" s="88">
        <v>0.59760000000000002</v>
      </c>
      <c r="D26" s="88">
        <v>0.59760000000000002</v>
      </c>
      <c r="E26" s="88">
        <v>13.34300438</v>
      </c>
      <c r="F26" s="88">
        <v>-13.34300438</v>
      </c>
      <c r="G26" s="88">
        <v>4</v>
      </c>
      <c r="H26" s="88">
        <v>4.7565049300000002</v>
      </c>
      <c r="I26" s="88">
        <v>72.389314369999994</v>
      </c>
      <c r="J26" s="88">
        <v>72.059672090000007</v>
      </c>
      <c r="K26" s="88">
        <v>0</v>
      </c>
      <c r="L26" s="101">
        <v>3.93E-5</v>
      </c>
      <c r="M26" s="101">
        <v>9.9499999999999996E-6</v>
      </c>
      <c r="N26" s="101">
        <v>3.765E-5</v>
      </c>
      <c r="O26" s="88">
        <v>6.0546000000000005E-4</v>
      </c>
      <c r="P26" s="59">
        <v>6.9236000000000005E-4</v>
      </c>
      <c r="Q26">
        <f t="shared" si="2"/>
        <v>0.37063901055555554</v>
      </c>
    </row>
    <row r="27" spans="1:17">
      <c r="A27" s="304"/>
      <c r="B27" s="107" t="s">
        <v>58</v>
      </c>
      <c r="C27" s="88">
        <v>0.59730000000000005</v>
      </c>
      <c r="D27" s="88">
        <v>0.59730000000000005</v>
      </c>
      <c r="E27" s="88">
        <v>13.832402500000001</v>
      </c>
      <c r="F27" s="88">
        <v>-13.832402500000001</v>
      </c>
      <c r="G27" s="88">
        <v>7</v>
      </c>
      <c r="H27" s="88">
        <v>7.66430904</v>
      </c>
      <c r="I27" s="88">
        <v>67.439727820000002</v>
      </c>
      <c r="J27" s="88">
        <v>65.85350622</v>
      </c>
      <c r="K27" s="88">
        <v>0</v>
      </c>
      <c r="L27" s="101">
        <v>8.6110000000000001E-5</v>
      </c>
      <c r="M27" s="101">
        <v>2.6190000000000002E-5</v>
      </c>
      <c r="N27" s="101">
        <v>9.6689999999999998E-5</v>
      </c>
      <c r="O27" s="88">
        <v>6.3033999999999996E-4</v>
      </c>
      <c r="P27" s="59">
        <v>8.3933E-4</v>
      </c>
      <c r="Q27">
        <f t="shared" si="2"/>
        <v>0.38423340277777779</v>
      </c>
    </row>
    <row r="28" spans="1:17">
      <c r="A28" s="304"/>
      <c r="B28" s="107" t="s">
        <v>59</v>
      </c>
      <c r="C28" s="88">
        <v>0.59709999999999996</v>
      </c>
      <c r="D28" s="88">
        <v>0.59709999999999996</v>
      </c>
      <c r="E28" s="88">
        <v>14.36162826</v>
      </c>
      <c r="F28" s="88">
        <v>-14.36162826</v>
      </c>
      <c r="G28" s="88">
        <v>10</v>
      </c>
      <c r="H28" s="88">
        <v>10.48437732</v>
      </c>
      <c r="I28" s="88">
        <v>53.376862719999998</v>
      </c>
      <c r="J28" s="88">
        <v>52.51967389</v>
      </c>
      <c r="K28" s="88">
        <v>0</v>
      </c>
      <c r="L28" s="88">
        <v>1.6835999999999999E-4</v>
      </c>
      <c r="M28" s="101">
        <v>5.4410000000000003E-5</v>
      </c>
      <c r="N28" s="88">
        <v>1.9953000000000001E-4</v>
      </c>
      <c r="O28" s="88">
        <v>6.602E-4</v>
      </c>
      <c r="P28" s="59">
        <v>1.0824999999999999E-3</v>
      </c>
      <c r="Q28">
        <f t="shared" si="2"/>
        <v>0.39893411833333331</v>
      </c>
    </row>
    <row r="29" spans="1:17">
      <c r="A29" s="304"/>
      <c r="B29" s="107" t="s">
        <v>60</v>
      </c>
      <c r="C29" s="88">
        <v>0.59670000000000001</v>
      </c>
      <c r="D29" s="88">
        <v>0.59670000000000001</v>
      </c>
      <c r="E29" s="88">
        <v>14.93469198</v>
      </c>
      <c r="F29" s="88">
        <v>-14.93469198</v>
      </c>
      <c r="G29" s="88">
        <v>13</v>
      </c>
      <c r="H29" s="88">
        <v>13.12525396</v>
      </c>
      <c r="I29" s="88">
        <v>31.325593619999999</v>
      </c>
      <c r="J29" s="88">
        <v>30.944057560000001</v>
      </c>
      <c r="K29" s="88">
        <v>0</v>
      </c>
      <c r="L29" s="88">
        <v>3.1045999999999998E-4</v>
      </c>
      <c r="M29" s="101">
        <v>9.9679999999999994E-5</v>
      </c>
      <c r="N29" s="88">
        <v>3.7439999999999999E-4</v>
      </c>
      <c r="O29" s="88">
        <v>6.9235E-4</v>
      </c>
      <c r="P29" s="59">
        <v>1.47689E-3</v>
      </c>
      <c r="Q29">
        <f t="shared" si="2"/>
        <v>0.41485255499999996</v>
      </c>
    </row>
    <row r="30" spans="1:17">
      <c r="A30" s="304"/>
      <c r="B30" s="107" t="s">
        <v>61</v>
      </c>
      <c r="C30" s="88">
        <v>0.59630000000000005</v>
      </c>
      <c r="D30" s="88">
        <v>0.59630000000000005</v>
      </c>
      <c r="E30" s="88">
        <v>15.555981879999999</v>
      </c>
      <c r="F30" s="88">
        <v>-15.555981879999999</v>
      </c>
      <c r="G30" s="88">
        <v>16</v>
      </c>
      <c r="H30" s="88">
        <v>15.80558048</v>
      </c>
      <c r="I30" s="88">
        <v>13.02028292</v>
      </c>
      <c r="J30" s="88">
        <v>12.227196960000001</v>
      </c>
      <c r="K30" s="88">
        <v>0</v>
      </c>
      <c r="L30" s="88">
        <v>4.6198000000000002E-4</v>
      </c>
      <c r="M30" s="88">
        <v>1.4577000000000001E-4</v>
      </c>
      <c r="N30" s="88">
        <v>5.5497000000000001E-4</v>
      </c>
      <c r="O30" s="88">
        <v>7.2579000000000003E-4</v>
      </c>
      <c r="P30" s="59">
        <v>1.8885099999999999E-3</v>
      </c>
      <c r="Q30">
        <f t="shared" si="2"/>
        <v>0.43211060777777771</v>
      </c>
    </row>
    <row r="31" spans="1:17">
      <c r="A31" s="304"/>
      <c r="B31" s="107" t="s">
        <v>62</v>
      </c>
      <c r="C31" s="88">
        <v>0.5958</v>
      </c>
      <c r="D31" s="88">
        <v>0.5958</v>
      </c>
      <c r="E31" s="88">
        <v>16.23030554</v>
      </c>
      <c r="F31" s="88">
        <v>-16.23030554</v>
      </c>
      <c r="G31" s="88">
        <v>19</v>
      </c>
      <c r="H31" s="88">
        <v>18.527029089999999</v>
      </c>
      <c r="I31" s="88">
        <v>-2.0764170200000001</v>
      </c>
      <c r="J31" s="88">
        <v>-3.8419570699999999</v>
      </c>
      <c r="K31" s="88">
        <v>0</v>
      </c>
      <c r="L31" s="88">
        <v>6.2502E-4</v>
      </c>
      <c r="M31" s="88">
        <v>1.9415E-4</v>
      </c>
      <c r="N31" s="88">
        <v>7.4452999999999997E-4</v>
      </c>
      <c r="O31" s="88">
        <v>7.6161000000000002E-4</v>
      </c>
      <c r="P31" s="59">
        <v>2.3253100000000001E-3</v>
      </c>
      <c r="Q31">
        <f t="shared" si="2"/>
        <v>0.45084182055555555</v>
      </c>
    </row>
    <row r="32" spans="1:17">
      <c r="A32" s="304"/>
      <c r="B32" s="107" t="s">
        <v>63</v>
      </c>
      <c r="C32" s="88">
        <v>0.59519999999999995</v>
      </c>
      <c r="D32" s="88">
        <v>0.59519999999999995</v>
      </c>
      <c r="E32" s="88">
        <v>16.962937360000002</v>
      </c>
      <c r="F32" s="88">
        <v>-16.962937360000002</v>
      </c>
      <c r="G32" s="88">
        <v>22</v>
      </c>
      <c r="H32" s="88">
        <v>21.275562399999998</v>
      </c>
      <c r="I32" s="88">
        <v>-15.08082211</v>
      </c>
      <c r="J32" s="88">
        <v>-18.170748</v>
      </c>
      <c r="K32" s="88">
        <v>0</v>
      </c>
      <c r="L32" s="88">
        <v>8.0586000000000004E-4</v>
      </c>
      <c r="M32" s="88">
        <v>2.4700999999999998E-4</v>
      </c>
      <c r="N32" s="88">
        <v>9.5094000000000005E-4</v>
      </c>
      <c r="O32" s="88">
        <v>8.0035999999999996E-4</v>
      </c>
      <c r="P32" s="59">
        <v>2.8041699999999999E-3</v>
      </c>
      <c r="Q32">
        <f t="shared" si="2"/>
        <v>0.47119270444444444</v>
      </c>
    </row>
    <row r="33" spans="1:19" ht="15.75" thickBot="1">
      <c r="A33" s="305"/>
      <c r="B33" s="108" t="s">
        <v>64</v>
      </c>
      <c r="C33" s="102">
        <v>0.59460000000000002</v>
      </c>
      <c r="D33" s="102">
        <v>0.59460000000000002</v>
      </c>
      <c r="E33" s="102">
        <v>17.759672819999999</v>
      </c>
      <c r="F33" s="102">
        <v>-17.759672819999999</v>
      </c>
      <c r="G33" s="102">
        <v>25</v>
      </c>
      <c r="H33" s="102">
        <v>24.04234396</v>
      </c>
      <c r="I33" s="102">
        <v>-26.644092919999999</v>
      </c>
      <c r="J33" s="102">
        <v>-31.295653720000001</v>
      </c>
      <c r="K33" s="102">
        <v>0</v>
      </c>
      <c r="L33" s="102">
        <v>1.0088899999999999E-3</v>
      </c>
      <c r="M33" s="102">
        <v>3.0577000000000002E-4</v>
      </c>
      <c r="N33" s="102">
        <v>1.17946E-3</v>
      </c>
      <c r="O33" s="102">
        <v>8.4245999999999995E-4</v>
      </c>
      <c r="P33" s="61">
        <v>3.33658E-3</v>
      </c>
      <c r="Q33">
        <f t="shared" si="2"/>
        <v>0.49332424499999994</v>
      </c>
    </row>
    <row r="34" spans="1:19" s="96" customFormat="1" ht="15.75" thickBot="1">
      <c r="B34" s="310" t="s">
        <v>19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/>
      <c r="R34"/>
    </row>
    <row r="35" spans="1:19" ht="15.75" thickBot="1">
      <c r="A35" s="97"/>
      <c r="B35" s="103" t="s">
        <v>41</v>
      </c>
      <c r="C35" s="104" t="s">
        <v>42</v>
      </c>
      <c r="D35" s="104" t="s">
        <v>43</v>
      </c>
      <c r="E35" s="104" t="s">
        <v>44</v>
      </c>
      <c r="F35" s="104" t="s">
        <v>45</v>
      </c>
      <c r="G35" s="104" t="s">
        <v>67</v>
      </c>
      <c r="H35" s="104" t="s">
        <v>46</v>
      </c>
      <c r="I35" s="104" t="s">
        <v>47</v>
      </c>
      <c r="J35" s="104" t="s">
        <v>48</v>
      </c>
      <c r="K35" s="104" t="s">
        <v>49</v>
      </c>
      <c r="L35" s="104" t="s">
        <v>50</v>
      </c>
      <c r="M35" s="104" t="s">
        <v>51</v>
      </c>
      <c r="N35" s="104" t="s">
        <v>52</v>
      </c>
      <c r="O35" s="104" t="s">
        <v>53</v>
      </c>
      <c r="P35" s="105" t="s">
        <v>54</v>
      </c>
    </row>
    <row r="36" spans="1:19">
      <c r="A36" s="307" t="s">
        <v>68</v>
      </c>
      <c r="B36" s="106" t="s">
        <v>55</v>
      </c>
      <c r="C36" s="98">
        <v>0.59770000000000001</v>
      </c>
      <c r="D36" s="98">
        <v>0.59770000000000001</v>
      </c>
      <c r="E36" s="98">
        <v>30.160210840000001</v>
      </c>
      <c r="F36" s="98">
        <v>-30.160210840000001</v>
      </c>
      <c r="G36" s="98">
        <v>0.1</v>
      </c>
      <c r="H36" s="98">
        <v>1.09516408</v>
      </c>
      <c r="I36" s="98">
        <v>163.64189185000001</v>
      </c>
      <c r="J36" s="98">
        <v>169.72131250999999</v>
      </c>
      <c r="K36" s="98">
        <v>0</v>
      </c>
      <c r="L36" s="99">
        <v>2.317E-5</v>
      </c>
      <c r="M36" s="99">
        <v>2.8999999999999998E-7</v>
      </c>
      <c r="N36" s="99">
        <v>1.8500000000000001E-6</v>
      </c>
      <c r="O36" s="98">
        <v>1.3602200000000001E-3</v>
      </c>
      <c r="P36" s="100">
        <v>1.3855300000000001E-3</v>
      </c>
      <c r="Q36">
        <f>200/3600*E36</f>
        <v>1.675567268888889</v>
      </c>
    </row>
    <row r="37" spans="1:19">
      <c r="A37" s="304"/>
      <c r="B37" s="107" t="s">
        <v>56</v>
      </c>
      <c r="C37" s="88">
        <v>0.59760000000000002</v>
      </c>
      <c r="D37" s="88">
        <v>0.59760000000000002</v>
      </c>
      <c r="E37" s="88">
        <v>30.441101249999999</v>
      </c>
      <c r="F37" s="88">
        <v>-30.441101249999999</v>
      </c>
      <c r="G37" s="88">
        <v>1</v>
      </c>
      <c r="H37" s="88">
        <v>1.9573246500000001</v>
      </c>
      <c r="I37" s="88">
        <v>160.61894924000001</v>
      </c>
      <c r="J37" s="88">
        <v>166.39723257</v>
      </c>
      <c r="K37" s="88">
        <v>0</v>
      </c>
      <c r="L37" s="101">
        <v>2.7970000000000002E-5</v>
      </c>
      <c r="M37" s="101">
        <v>7.4000000000000001E-7</v>
      </c>
      <c r="N37" s="101">
        <v>5.3399999999999997E-6</v>
      </c>
      <c r="O37" s="88">
        <v>1.37444E-3</v>
      </c>
      <c r="P37" s="59">
        <v>1.4084900000000001E-3</v>
      </c>
      <c r="Q37">
        <f t="shared" ref="Q37:Q45" si="3">200/3600*E37</f>
        <v>1.6911722916666665</v>
      </c>
    </row>
    <row r="38" spans="1:19">
      <c r="A38" s="304"/>
      <c r="B38" s="107" t="s">
        <v>57</v>
      </c>
      <c r="C38" s="88">
        <v>0.59730000000000005</v>
      </c>
      <c r="D38" s="88">
        <v>0.59730000000000005</v>
      </c>
      <c r="E38" s="88">
        <v>31.42594545</v>
      </c>
      <c r="F38" s="88">
        <v>-31.42594545</v>
      </c>
      <c r="G38" s="88">
        <v>4</v>
      </c>
      <c r="H38" s="88">
        <v>4.8440564999999998</v>
      </c>
      <c r="I38" s="88">
        <v>150.49235361999999</v>
      </c>
      <c r="J38" s="88">
        <v>154.67092889</v>
      </c>
      <c r="K38" s="88">
        <v>0</v>
      </c>
      <c r="L38" s="101">
        <v>6.8170000000000006E-5</v>
      </c>
      <c r="M38" s="101">
        <v>4.69E-6</v>
      </c>
      <c r="N38" s="101">
        <v>3.5179999999999999E-5</v>
      </c>
      <c r="O38" s="88">
        <v>1.42472E-3</v>
      </c>
      <c r="P38" s="59">
        <v>1.53276E-3</v>
      </c>
      <c r="Q38">
        <f t="shared" si="3"/>
        <v>1.7458858583333332</v>
      </c>
    </row>
    <row r="39" spans="1:19">
      <c r="A39" s="304"/>
      <c r="B39" s="107" t="s">
        <v>58</v>
      </c>
      <c r="C39" s="88">
        <v>0.59699999999999998</v>
      </c>
      <c r="D39" s="88">
        <v>0.59699999999999998</v>
      </c>
      <c r="E39" s="88">
        <v>32.491218269999997</v>
      </c>
      <c r="F39" s="88">
        <v>-32.491218269999997</v>
      </c>
      <c r="G39" s="88">
        <v>7</v>
      </c>
      <c r="H39" s="88">
        <v>7.6954780899999999</v>
      </c>
      <c r="I39" s="88">
        <v>127.33201003000001</v>
      </c>
      <c r="J39" s="88">
        <v>132.56665611</v>
      </c>
      <c r="K39" s="88">
        <v>0</v>
      </c>
      <c r="L39" s="88">
        <v>1.4715999999999999E-4</v>
      </c>
      <c r="M39" s="101">
        <v>1.253E-5</v>
      </c>
      <c r="N39" s="88">
        <v>9.2520000000000002E-5</v>
      </c>
      <c r="O39" s="88">
        <v>1.4833100000000001E-3</v>
      </c>
      <c r="P39" s="59">
        <v>1.7355199999999999E-3</v>
      </c>
      <c r="Q39">
        <f t="shared" si="3"/>
        <v>1.8050676816666664</v>
      </c>
    </row>
    <row r="40" spans="1:19">
      <c r="A40" s="304"/>
      <c r="B40" s="107" t="s">
        <v>59</v>
      </c>
      <c r="C40" s="88">
        <v>0.59670000000000001</v>
      </c>
      <c r="D40" s="88">
        <v>0.59670000000000001</v>
      </c>
      <c r="E40" s="88">
        <v>33.644990249999999</v>
      </c>
      <c r="F40" s="88">
        <v>-33.644990249999999</v>
      </c>
      <c r="G40" s="88">
        <v>10</v>
      </c>
      <c r="H40" s="88">
        <v>10.321045059999999</v>
      </c>
      <c r="I40" s="88">
        <v>78.159255040000005</v>
      </c>
      <c r="J40" s="88">
        <v>86.042886350000003</v>
      </c>
      <c r="K40" s="88">
        <v>0</v>
      </c>
      <c r="L40" s="88">
        <v>3.1652999999999998E-4</v>
      </c>
      <c r="M40" s="101">
        <v>2.8209999999999999E-5</v>
      </c>
      <c r="N40" s="88">
        <v>2.1425E-4</v>
      </c>
      <c r="O40" s="88">
        <v>1.5490899999999999E-3</v>
      </c>
      <c r="P40" s="59">
        <v>2.10808E-3</v>
      </c>
      <c r="Q40">
        <f t="shared" si="3"/>
        <v>1.8691661249999998</v>
      </c>
    </row>
    <row r="41" spans="1:19">
      <c r="A41" s="304"/>
      <c r="B41" s="107" t="s">
        <v>60</v>
      </c>
      <c r="C41" s="88">
        <v>0.59619999999999995</v>
      </c>
      <c r="D41" s="88">
        <v>0.59619999999999995</v>
      </c>
      <c r="E41" s="88">
        <v>34.896091699999999</v>
      </c>
      <c r="F41" s="88">
        <v>-34.896091699999999</v>
      </c>
      <c r="G41" s="88">
        <v>13</v>
      </c>
      <c r="H41" s="88">
        <v>12.97008797</v>
      </c>
      <c r="I41" s="88">
        <v>34.711478659999997</v>
      </c>
      <c r="J41" s="88">
        <v>43.675296230000001</v>
      </c>
      <c r="K41" s="88">
        <v>0</v>
      </c>
      <c r="L41" s="88">
        <v>5.1975000000000003E-4</v>
      </c>
      <c r="M41" s="101">
        <v>4.5840000000000002E-5</v>
      </c>
      <c r="N41" s="88">
        <v>3.5416000000000001E-4</v>
      </c>
      <c r="O41" s="88">
        <v>1.61729E-3</v>
      </c>
      <c r="P41" s="59">
        <v>2.5370499999999999E-3</v>
      </c>
      <c r="Q41">
        <f t="shared" si="3"/>
        <v>1.9386717611111111</v>
      </c>
    </row>
    <row r="42" spans="1:19" ht="15.75" thickBot="1">
      <c r="A42" s="304"/>
      <c r="B42" s="107" t="s">
        <v>61</v>
      </c>
      <c r="C42" s="88">
        <v>0.59570000000000001</v>
      </c>
      <c r="D42" s="88">
        <v>0.59570000000000001</v>
      </c>
      <c r="E42" s="88">
        <v>36.254196520000001</v>
      </c>
      <c r="F42" s="88">
        <v>-36.254196520000001</v>
      </c>
      <c r="G42" s="88">
        <v>16</v>
      </c>
      <c r="H42" s="88">
        <v>15.670123780000001</v>
      </c>
      <c r="I42" s="88">
        <v>-0.88338262000000001</v>
      </c>
      <c r="J42" s="88">
        <v>7.9653865000000001</v>
      </c>
      <c r="K42" s="88">
        <v>0</v>
      </c>
      <c r="L42" s="88">
        <v>7.4773999999999999E-4</v>
      </c>
      <c r="M42" s="88">
        <v>6.4980000000000005E-5</v>
      </c>
      <c r="N42" s="88">
        <v>5.0620999999999999E-4</v>
      </c>
      <c r="O42" s="88">
        <v>1.6901500000000001E-3</v>
      </c>
      <c r="P42" s="59">
        <v>3.00907E-3</v>
      </c>
      <c r="Q42">
        <f t="shared" si="3"/>
        <v>2.014122028888889</v>
      </c>
    </row>
    <row r="43" spans="1:19">
      <c r="A43" s="304"/>
      <c r="B43" s="107" t="s">
        <v>62</v>
      </c>
      <c r="C43" s="88">
        <v>0.59519999999999995</v>
      </c>
      <c r="D43" s="88">
        <v>0.59519999999999995</v>
      </c>
      <c r="E43" s="88">
        <v>37.729918069999997</v>
      </c>
      <c r="F43" s="88">
        <v>-37.729918069999997</v>
      </c>
      <c r="G43" s="88">
        <v>19</v>
      </c>
      <c r="H43" s="88">
        <v>18.403175969999999</v>
      </c>
      <c r="I43" s="88">
        <v>-31.413389460000001</v>
      </c>
      <c r="J43" s="88">
        <v>-23.436509180000002</v>
      </c>
      <c r="K43" s="88">
        <v>0</v>
      </c>
      <c r="L43" s="88">
        <v>1.0084200000000001E-3</v>
      </c>
      <c r="M43" s="88">
        <v>8.6470000000000004E-5</v>
      </c>
      <c r="N43" s="88">
        <v>6.7626999999999997E-4</v>
      </c>
      <c r="O43" s="88">
        <v>1.76888E-3</v>
      </c>
      <c r="P43" s="59">
        <v>3.5400399999999999E-3</v>
      </c>
      <c r="Q43">
        <f t="shared" si="3"/>
        <v>2.0961065594444444</v>
      </c>
      <c r="R43" s="98"/>
      <c r="S43" s="160"/>
    </row>
    <row r="44" spans="1:19">
      <c r="A44" s="304"/>
      <c r="B44" s="107" t="s">
        <v>63</v>
      </c>
      <c r="C44" s="88">
        <v>0.59460000000000002</v>
      </c>
      <c r="D44" s="88">
        <v>0.59460000000000002</v>
      </c>
      <c r="E44" s="88">
        <v>39.334918780000002</v>
      </c>
      <c r="F44" s="88">
        <v>-39.334918780000002</v>
      </c>
      <c r="G44" s="88">
        <v>22</v>
      </c>
      <c r="H44" s="88">
        <v>21.157694070000002</v>
      </c>
      <c r="I44" s="88">
        <v>-58.581989870000001</v>
      </c>
      <c r="J44" s="88">
        <v>-51.961527410000002</v>
      </c>
      <c r="K44" s="88">
        <v>0</v>
      </c>
      <c r="L44" s="88">
        <v>1.30828E-3</v>
      </c>
      <c r="M44" s="88">
        <v>1.1093E-4</v>
      </c>
      <c r="N44" s="88">
        <v>8.6877999999999999E-4</v>
      </c>
      <c r="O44" s="88">
        <v>1.8543699999999999E-3</v>
      </c>
      <c r="P44" s="59">
        <v>4.1423500000000004E-3</v>
      </c>
      <c r="Q44">
        <f t="shared" si="3"/>
        <v>2.1852732655555558</v>
      </c>
      <c r="R44" s="88"/>
      <c r="S44" s="160"/>
    </row>
    <row r="45" spans="1:19" ht="15.75" thickBot="1">
      <c r="A45" s="305"/>
      <c r="B45" s="108" t="s">
        <v>64</v>
      </c>
      <c r="C45" s="102">
        <v>0.59399999999999997</v>
      </c>
      <c r="D45" s="102">
        <v>0.59399999999999997</v>
      </c>
      <c r="E45" s="102">
        <v>41.08203572</v>
      </c>
      <c r="F45" s="102">
        <v>-41.08203572</v>
      </c>
      <c r="G45" s="102">
        <v>25</v>
      </c>
      <c r="H45" s="102">
        <v>23.927201839999999</v>
      </c>
      <c r="I45" s="102">
        <v>-83.391620259999996</v>
      </c>
      <c r="J45" s="102">
        <v>-78.443092390000004</v>
      </c>
      <c r="K45" s="102">
        <v>0</v>
      </c>
      <c r="L45" s="102">
        <v>1.65252E-3</v>
      </c>
      <c r="M45" s="102">
        <v>1.3876000000000001E-4</v>
      </c>
      <c r="N45" s="102">
        <v>1.08708E-3</v>
      </c>
      <c r="O45" s="102">
        <v>1.94746E-3</v>
      </c>
      <c r="P45" s="61">
        <v>4.8258099999999998E-3</v>
      </c>
      <c r="Q45">
        <f t="shared" si="3"/>
        <v>2.2823353177777777</v>
      </c>
      <c r="R45" s="88"/>
      <c r="S45" s="160"/>
    </row>
    <row r="46" spans="1:19">
      <c r="A46" s="307" t="s">
        <v>69</v>
      </c>
      <c r="B46" s="106" t="s">
        <v>55</v>
      </c>
      <c r="C46" s="98">
        <v>0.52300000000000002</v>
      </c>
      <c r="D46" s="98">
        <v>0.52300000000000002</v>
      </c>
      <c r="E46" s="98">
        <v>25.587773349999999</v>
      </c>
      <c r="F46" s="98">
        <v>-25.587773349999999</v>
      </c>
      <c r="G46" s="98">
        <v>0.1</v>
      </c>
      <c r="H46" s="98">
        <v>1.0986159099999999</v>
      </c>
      <c r="I46" s="98">
        <v>143.84591778999999</v>
      </c>
      <c r="J46" s="98">
        <v>148.55480635999999</v>
      </c>
      <c r="K46" s="98">
        <v>0</v>
      </c>
      <c r="L46" s="99">
        <v>2.334E-5</v>
      </c>
      <c r="M46" s="99">
        <v>3.1E-7</v>
      </c>
      <c r="N46" s="99">
        <v>1.73E-6</v>
      </c>
      <c r="O46" s="98">
        <v>1.01114E-3</v>
      </c>
      <c r="P46" s="100">
        <v>1.03652E-3</v>
      </c>
      <c r="Q46" s="58">
        <f>175/3600*E46</f>
        <v>1.2438500934027779</v>
      </c>
      <c r="R46" s="88"/>
      <c r="S46" s="160"/>
    </row>
    <row r="47" spans="1:19">
      <c r="A47" s="304"/>
      <c r="B47" s="107" t="s">
        <v>56</v>
      </c>
      <c r="C47" s="88">
        <v>0.52290000000000003</v>
      </c>
      <c r="D47" s="88">
        <v>0.52290000000000003</v>
      </c>
      <c r="E47" s="88">
        <v>25.833481389999999</v>
      </c>
      <c r="F47" s="88">
        <v>-25.833481389999999</v>
      </c>
      <c r="G47" s="88">
        <v>1</v>
      </c>
      <c r="H47" s="88">
        <v>1.9642936099999999</v>
      </c>
      <c r="I47" s="88">
        <v>141.56545102999999</v>
      </c>
      <c r="J47" s="88">
        <v>145.90467914999999</v>
      </c>
      <c r="K47" s="88">
        <v>0</v>
      </c>
      <c r="L47" s="101">
        <v>2.722E-5</v>
      </c>
      <c r="M47" s="101">
        <v>7.7000000000000004E-7</v>
      </c>
      <c r="N47" s="101">
        <v>4.8099999999999997E-6</v>
      </c>
      <c r="O47" s="88">
        <v>1.0219599999999999E-3</v>
      </c>
      <c r="P47" s="59">
        <v>1.0547600000000001E-3</v>
      </c>
      <c r="Q47" s="58">
        <f t="shared" ref="Q47:Q55" si="4">175/3600*E47</f>
        <v>1.255794234236111</v>
      </c>
      <c r="R47" s="88"/>
      <c r="S47" s="160"/>
    </row>
    <row r="48" spans="1:19">
      <c r="A48" s="304"/>
      <c r="B48" s="107" t="s">
        <v>57</v>
      </c>
      <c r="C48" s="88">
        <v>0.52259999999999995</v>
      </c>
      <c r="D48" s="88">
        <v>0.52259999999999995</v>
      </c>
      <c r="E48" s="88">
        <v>26.694942869999998</v>
      </c>
      <c r="F48" s="88">
        <v>-26.694942869999998</v>
      </c>
      <c r="G48" s="88">
        <v>4</v>
      </c>
      <c r="H48" s="88">
        <v>4.8634717500000004</v>
      </c>
      <c r="I48" s="88">
        <v>133.97781952</v>
      </c>
      <c r="J48" s="88">
        <v>136.59447369</v>
      </c>
      <c r="K48" s="88">
        <v>0</v>
      </c>
      <c r="L48" s="101">
        <v>5.8850000000000001E-5</v>
      </c>
      <c r="M48" s="101">
        <v>4.6800000000000001E-6</v>
      </c>
      <c r="N48" s="101">
        <v>3.0599999999999998E-5</v>
      </c>
      <c r="O48" s="88">
        <v>1.0602299999999999E-3</v>
      </c>
      <c r="P48" s="59">
        <v>1.15437E-3</v>
      </c>
      <c r="Q48" s="58">
        <f t="shared" si="4"/>
        <v>1.2976708339583334</v>
      </c>
      <c r="R48" s="88"/>
      <c r="S48" s="160"/>
    </row>
    <row r="49" spans="1:19">
      <c r="A49" s="304"/>
      <c r="B49" s="107" t="s">
        <v>58</v>
      </c>
      <c r="C49" s="88">
        <v>0.52239999999999998</v>
      </c>
      <c r="D49" s="88">
        <v>0.52239999999999998</v>
      </c>
      <c r="E49" s="88">
        <v>27.626716699999999</v>
      </c>
      <c r="F49" s="88">
        <v>-27.626716699999999</v>
      </c>
      <c r="G49" s="88">
        <v>7</v>
      </c>
      <c r="H49" s="88">
        <v>7.7259745000000004</v>
      </c>
      <c r="I49" s="88">
        <v>114.93295664999999</v>
      </c>
      <c r="J49" s="88">
        <v>118.32142671</v>
      </c>
      <c r="K49" s="88">
        <v>0</v>
      </c>
      <c r="L49" s="88">
        <v>1.2091000000000001E-4</v>
      </c>
      <c r="M49" s="101">
        <v>1.252E-5</v>
      </c>
      <c r="N49" s="88">
        <v>8.0749999999999998E-5</v>
      </c>
      <c r="O49" s="88">
        <v>1.10542E-3</v>
      </c>
      <c r="P49" s="59">
        <v>1.3196E-3</v>
      </c>
      <c r="Q49" s="58">
        <f t="shared" si="4"/>
        <v>1.3429653951388889</v>
      </c>
      <c r="R49" s="88"/>
      <c r="S49" s="160"/>
    </row>
    <row r="50" spans="1:19">
      <c r="A50" s="304"/>
      <c r="B50" s="107" t="s">
        <v>59</v>
      </c>
      <c r="C50" s="88">
        <v>0.52210000000000001</v>
      </c>
      <c r="D50" s="88">
        <v>0.52210000000000001</v>
      </c>
      <c r="E50" s="88">
        <v>28.63586403</v>
      </c>
      <c r="F50" s="88">
        <v>-28.63586403</v>
      </c>
      <c r="G50" s="88">
        <v>10</v>
      </c>
      <c r="H50" s="88">
        <v>10.351629109999999</v>
      </c>
      <c r="I50" s="88">
        <v>71.906058909999999</v>
      </c>
      <c r="J50" s="88">
        <v>77.509665799999993</v>
      </c>
      <c r="K50" s="88">
        <v>0</v>
      </c>
      <c r="L50" s="88">
        <v>2.6248999999999999E-4</v>
      </c>
      <c r="M50" s="101">
        <v>2.9269999999999999E-5</v>
      </c>
      <c r="N50" s="88">
        <v>1.9437999999999999E-4</v>
      </c>
      <c r="O50" s="88">
        <v>1.1561500000000001E-3</v>
      </c>
      <c r="P50" s="59">
        <v>1.6422800000000001E-3</v>
      </c>
      <c r="Q50" s="58">
        <f t="shared" si="4"/>
        <v>1.3920211681250001</v>
      </c>
      <c r="R50" s="88"/>
      <c r="S50" s="160"/>
    </row>
    <row r="51" spans="1:19">
      <c r="A51" s="304"/>
      <c r="B51" s="107" t="s">
        <v>60</v>
      </c>
      <c r="C51" s="88">
        <v>0.52170000000000005</v>
      </c>
      <c r="D51" s="88">
        <v>0.52170000000000005</v>
      </c>
      <c r="E51" s="88">
        <v>29.730111090000001</v>
      </c>
      <c r="F51" s="88">
        <v>-29.730111090000001</v>
      </c>
      <c r="G51" s="88">
        <v>13</v>
      </c>
      <c r="H51" s="88">
        <v>13.014584920000001</v>
      </c>
      <c r="I51" s="88">
        <v>35.277569309999997</v>
      </c>
      <c r="J51" s="88">
        <v>41.615306439999998</v>
      </c>
      <c r="K51" s="88">
        <v>0</v>
      </c>
      <c r="L51" s="88">
        <v>4.2559999999999999E-4</v>
      </c>
      <c r="M51" s="101">
        <v>4.7280000000000001E-5</v>
      </c>
      <c r="N51" s="88">
        <v>3.1935999999999998E-4</v>
      </c>
      <c r="O51" s="88">
        <v>1.2083599999999999E-3</v>
      </c>
      <c r="P51" s="59">
        <v>2.00059E-3</v>
      </c>
      <c r="Q51" s="58">
        <f t="shared" si="4"/>
        <v>1.4452137335416668</v>
      </c>
      <c r="R51" s="88"/>
      <c r="S51" s="160"/>
    </row>
    <row r="52" spans="1:19" ht="15.75" thickBot="1">
      <c r="A52" s="304"/>
      <c r="B52" s="107" t="s">
        <v>61</v>
      </c>
      <c r="C52" s="88">
        <v>0.52129999999999999</v>
      </c>
      <c r="D52" s="88">
        <v>0.52129999999999999</v>
      </c>
      <c r="E52" s="88">
        <v>30.917922529999998</v>
      </c>
      <c r="F52" s="88">
        <v>-30.917922529999998</v>
      </c>
      <c r="G52" s="88">
        <v>16</v>
      </c>
      <c r="H52" s="88">
        <v>15.731420310000001</v>
      </c>
      <c r="I52" s="88">
        <v>5.8507605299999996</v>
      </c>
      <c r="J52" s="88">
        <v>11.839443019999999</v>
      </c>
      <c r="K52" s="88">
        <v>0</v>
      </c>
      <c r="L52" s="88">
        <v>6.0439999999999995E-4</v>
      </c>
      <c r="M52" s="88">
        <v>6.6359999999999995E-5</v>
      </c>
      <c r="N52" s="88">
        <v>4.5193000000000002E-4</v>
      </c>
      <c r="O52" s="88">
        <v>1.2640800000000001E-3</v>
      </c>
      <c r="P52" s="59">
        <v>2.3867799999999998E-3</v>
      </c>
      <c r="Q52" s="58">
        <f t="shared" si="4"/>
        <v>1.5029545674305556</v>
      </c>
      <c r="R52" s="102">
        <v>-42.800693160000002</v>
      </c>
    </row>
    <row r="53" spans="1:19">
      <c r="A53" s="304"/>
      <c r="B53" s="107" t="s">
        <v>62</v>
      </c>
      <c r="C53" s="88">
        <v>0.52080000000000004</v>
      </c>
      <c r="D53" s="88">
        <v>0.52080000000000004</v>
      </c>
      <c r="E53" s="88">
        <v>32.208585329999998</v>
      </c>
      <c r="F53" s="88">
        <v>-32.208585329999998</v>
      </c>
      <c r="G53" s="88">
        <v>19</v>
      </c>
      <c r="H53" s="88">
        <v>18.481700589999999</v>
      </c>
      <c r="I53" s="88">
        <v>-19.082739660000001</v>
      </c>
      <c r="J53" s="88">
        <v>-14.11283888</v>
      </c>
      <c r="K53" s="88">
        <v>0</v>
      </c>
      <c r="L53" s="88">
        <v>8.0617000000000004E-4</v>
      </c>
      <c r="M53" s="88">
        <v>8.7509999999999994E-5</v>
      </c>
      <c r="N53" s="88">
        <v>5.9818999999999996E-4</v>
      </c>
      <c r="O53" s="88">
        <v>1.3242600000000001E-3</v>
      </c>
      <c r="P53" s="59">
        <v>2.81613E-3</v>
      </c>
      <c r="Q53" s="58">
        <f t="shared" si="4"/>
        <v>1.5656951202083333</v>
      </c>
      <c r="R53">
        <f>R60/Q60</f>
        <v>30.127524070097206</v>
      </c>
    </row>
    <row r="54" spans="1:19">
      <c r="A54" s="304"/>
      <c r="B54" s="107" t="s">
        <v>63</v>
      </c>
      <c r="C54" s="88">
        <v>0.52029999999999998</v>
      </c>
      <c r="D54" s="88">
        <v>0.52029999999999998</v>
      </c>
      <c r="E54" s="88">
        <v>33.61230466</v>
      </c>
      <c r="F54" s="88">
        <v>-33.61230466</v>
      </c>
      <c r="G54" s="88">
        <v>22</v>
      </c>
      <c r="H54" s="88">
        <v>21.253366159999999</v>
      </c>
      <c r="I54" s="88">
        <v>-41.0635744</v>
      </c>
      <c r="J54" s="88">
        <v>-37.551201409999997</v>
      </c>
      <c r="K54" s="88">
        <v>0</v>
      </c>
      <c r="L54" s="88">
        <v>1.03648E-3</v>
      </c>
      <c r="M54" s="88">
        <v>1.1137999999999999E-4</v>
      </c>
      <c r="N54" s="88">
        <v>7.6245000000000002E-4</v>
      </c>
      <c r="O54" s="88">
        <v>1.38959E-3</v>
      </c>
      <c r="P54" s="59">
        <v>3.2999000000000001E-3</v>
      </c>
      <c r="Q54" s="58">
        <f t="shared" si="4"/>
        <v>1.6339314765277777</v>
      </c>
      <c r="R54">
        <f>1-R53</f>
        <v>-29.127524070097206</v>
      </c>
    </row>
    <row r="55" spans="1:19" ht="15.75" thickBot="1">
      <c r="A55" s="305"/>
      <c r="B55" s="108" t="s">
        <v>64</v>
      </c>
      <c r="C55" s="102">
        <v>0.51970000000000005</v>
      </c>
      <c r="D55" s="102">
        <v>0.51970000000000005</v>
      </c>
      <c r="E55" s="102">
        <v>35.140313659999997</v>
      </c>
      <c r="F55" s="102">
        <v>-35.140313659999997</v>
      </c>
      <c r="G55" s="102">
        <v>25</v>
      </c>
      <c r="H55" s="102">
        <v>24.03994479</v>
      </c>
      <c r="I55" s="102">
        <v>-60.977258560000003</v>
      </c>
      <c r="J55" s="102">
        <v>-59.219711009999997</v>
      </c>
      <c r="K55" s="102">
        <v>0</v>
      </c>
      <c r="L55" s="102">
        <v>1.2997499999999999E-3</v>
      </c>
      <c r="M55" s="102">
        <v>1.3844000000000001E-4</v>
      </c>
      <c r="N55" s="102">
        <v>9.4786999999999996E-4</v>
      </c>
      <c r="O55" s="102">
        <v>1.46072E-3</v>
      </c>
      <c r="P55" s="61">
        <v>3.8467800000000002E-3</v>
      </c>
      <c r="Q55" s="58">
        <f t="shared" si="4"/>
        <v>1.7082096918055554</v>
      </c>
    </row>
    <row r="56" spans="1:19" ht="15.75" thickBot="1">
      <c r="A56" s="307" t="s">
        <v>40</v>
      </c>
      <c r="B56" s="106" t="s">
        <v>55</v>
      </c>
      <c r="C56" s="98">
        <v>0.44829999999999998</v>
      </c>
      <c r="D56" s="98">
        <v>0.44829999999999998</v>
      </c>
      <c r="E56" s="98">
        <v>21.24191764</v>
      </c>
      <c r="F56" s="98">
        <v>-21.24191764</v>
      </c>
      <c r="G56" s="98">
        <v>0.1</v>
      </c>
      <c r="H56" s="98">
        <v>1.1023410199999999</v>
      </c>
      <c r="I56" s="98">
        <v>123.83162062</v>
      </c>
      <c r="J56" s="98">
        <v>127.39109929999999</v>
      </c>
      <c r="K56" s="98">
        <v>0</v>
      </c>
      <c r="L56" s="99">
        <v>2.3589999999999999E-5</v>
      </c>
      <c r="M56" s="99">
        <v>3.3000000000000002E-7</v>
      </c>
      <c r="N56" s="99">
        <v>1.59E-6</v>
      </c>
      <c r="O56" s="98">
        <v>7.2053999999999998E-4</v>
      </c>
      <c r="P56" s="100">
        <v>7.4606E-4</v>
      </c>
      <c r="Q56" s="98">
        <f>150*E56/3600</f>
        <v>0.88507990166666672</v>
      </c>
      <c r="R56" s="98">
        <v>80.907550569999998</v>
      </c>
      <c r="S56">
        <f>R56-Q56</f>
        <v>80.022470668333327</v>
      </c>
    </row>
    <row r="57" spans="1:19" ht="15.75" thickBot="1">
      <c r="A57" s="304"/>
      <c r="B57" s="107" t="s">
        <v>56</v>
      </c>
      <c r="C57" s="88">
        <v>0.44819999999999999</v>
      </c>
      <c r="D57" s="88">
        <v>0.44819999999999999</v>
      </c>
      <c r="E57" s="88">
        <v>21.45247092</v>
      </c>
      <c r="F57" s="88">
        <v>-21.45247092</v>
      </c>
      <c r="G57" s="88">
        <v>1</v>
      </c>
      <c r="H57" s="88">
        <v>1.97109935</v>
      </c>
      <c r="I57" s="88">
        <v>122.16265606</v>
      </c>
      <c r="J57" s="88">
        <v>125.28821519</v>
      </c>
      <c r="K57" s="88">
        <v>0</v>
      </c>
      <c r="L57" s="101">
        <v>2.6639999999999999E-5</v>
      </c>
      <c r="M57" s="101">
        <v>7.9999999999999996E-7</v>
      </c>
      <c r="N57" s="101">
        <v>4.2699999999999998E-6</v>
      </c>
      <c r="O57" s="88">
        <v>7.2844000000000001E-4</v>
      </c>
      <c r="P57" s="59">
        <v>7.6015999999999996E-4</v>
      </c>
      <c r="Q57" s="98">
        <f t="shared" ref="Q57:Q65" si="5">150*E57/3600</f>
        <v>0.89385295499999995</v>
      </c>
      <c r="R57" s="88">
        <v>77.179614729999997</v>
      </c>
      <c r="S57">
        <f t="shared" ref="S57:S65" si="6">R57-Q57</f>
        <v>76.285761774999997</v>
      </c>
    </row>
    <row r="58" spans="1:19" ht="15.75" thickBot="1">
      <c r="A58" s="304"/>
      <c r="B58" s="107" t="s">
        <v>57</v>
      </c>
      <c r="C58" s="88">
        <v>0.44800000000000001</v>
      </c>
      <c r="D58" s="88">
        <v>0.44800000000000001</v>
      </c>
      <c r="E58" s="88">
        <v>22.190655140000001</v>
      </c>
      <c r="F58" s="88">
        <v>-22.190655140000001</v>
      </c>
      <c r="G58" s="88">
        <v>4</v>
      </c>
      <c r="H58" s="88">
        <v>4.8810024900000002</v>
      </c>
      <c r="I58" s="88">
        <v>116.64852337000001</v>
      </c>
      <c r="J58" s="88">
        <v>117.94639728</v>
      </c>
      <c r="K58" s="88">
        <v>0</v>
      </c>
      <c r="L58" s="101">
        <v>5.0760000000000002E-5</v>
      </c>
      <c r="M58" s="101">
        <v>4.6999999999999999E-6</v>
      </c>
      <c r="N58" s="101">
        <v>2.622E-5</v>
      </c>
      <c r="O58" s="88">
        <v>7.5639999999999995E-4</v>
      </c>
      <c r="P58" s="59">
        <v>8.3808000000000005E-4</v>
      </c>
      <c r="Q58" s="98">
        <f t="shared" si="5"/>
        <v>0.92461063083333339</v>
      </c>
      <c r="R58" s="88">
        <v>65.300805030000006</v>
      </c>
      <c r="S58">
        <f t="shared" si="6"/>
        <v>64.376194399166678</v>
      </c>
    </row>
    <row r="59" spans="1:19" ht="15.75" thickBot="1">
      <c r="A59" s="304"/>
      <c r="B59" s="107" t="s">
        <v>58</v>
      </c>
      <c r="C59" s="88">
        <v>0.44779999999999998</v>
      </c>
      <c r="D59" s="88">
        <v>0.44779999999999998</v>
      </c>
      <c r="E59" s="88">
        <v>22.98905645</v>
      </c>
      <c r="F59" s="88">
        <v>-22.98905645</v>
      </c>
      <c r="G59" s="88">
        <v>7</v>
      </c>
      <c r="H59" s="88">
        <v>7.7514629599999996</v>
      </c>
      <c r="I59" s="88">
        <v>101.15738886</v>
      </c>
      <c r="J59" s="88">
        <v>102.96464881999999</v>
      </c>
      <c r="K59" s="88">
        <v>0</v>
      </c>
      <c r="L59" s="101">
        <v>9.8519999999999999E-5</v>
      </c>
      <c r="M59" s="101">
        <v>1.2680000000000001E-5</v>
      </c>
      <c r="N59" s="101">
        <v>7.0069999999999998E-5</v>
      </c>
      <c r="O59" s="88">
        <v>7.8992000000000005E-4</v>
      </c>
      <c r="P59" s="59">
        <v>9.7119999999999997E-4</v>
      </c>
      <c r="Q59" s="98">
        <f t="shared" si="5"/>
        <v>0.95787735208333324</v>
      </c>
      <c r="R59" s="88">
        <v>52.341788569999999</v>
      </c>
      <c r="S59">
        <f t="shared" si="6"/>
        <v>51.383911217916662</v>
      </c>
    </row>
    <row r="60" spans="1:19" ht="15.75" thickBot="1">
      <c r="A60" s="304"/>
      <c r="B60" s="107" t="s">
        <v>59</v>
      </c>
      <c r="C60" s="88">
        <v>0.44750000000000001</v>
      </c>
      <c r="D60" s="88">
        <v>0.44750000000000001</v>
      </c>
      <c r="E60" s="88">
        <v>23.853726890000001</v>
      </c>
      <c r="F60" s="88">
        <v>-23.853726890000001</v>
      </c>
      <c r="G60" s="88">
        <v>10</v>
      </c>
      <c r="H60" s="88">
        <v>10.37507813</v>
      </c>
      <c r="I60" s="88">
        <v>64.079274080000005</v>
      </c>
      <c r="J60" s="88">
        <v>67.663790559999995</v>
      </c>
      <c r="K60" s="88">
        <v>0</v>
      </c>
      <c r="L60" s="88">
        <v>2.1399E-4</v>
      </c>
      <c r="M60" s="101">
        <v>3.0849999999999998E-5</v>
      </c>
      <c r="N60" s="88">
        <v>1.7572E-4</v>
      </c>
      <c r="O60" s="88">
        <v>8.2746000000000002E-4</v>
      </c>
      <c r="P60" s="59">
        <v>1.24803E-3</v>
      </c>
      <c r="Q60" s="98">
        <f t="shared" si="5"/>
        <v>0.99390528708333337</v>
      </c>
      <c r="R60" s="88">
        <v>29.94390546</v>
      </c>
      <c r="S60">
        <f t="shared" si="6"/>
        <v>28.950000172916667</v>
      </c>
    </row>
    <row r="61" spans="1:19" ht="15.75" thickBot="1">
      <c r="A61" s="304"/>
      <c r="B61" s="107" t="s">
        <v>60</v>
      </c>
      <c r="C61" s="88">
        <v>0.44719999999999999</v>
      </c>
      <c r="D61" s="88">
        <v>0.44719999999999999</v>
      </c>
      <c r="E61" s="88">
        <v>24.791288810000001</v>
      </c>
      <c r="F61" s="88">
        <v>-24.791288810000001</v>
      </c>
      <c r="G61" s="88">
        <v>13</v>
      </c>
      <c r="H61" s="88">
        <v>13.05157371</v>
      </c>
      <c r="I61" s="88">
        <v>33.845310130000001</v>
      </c>
      <c r="J61" s="88">
        <v>37.836880710000003</v>
      </c>
      <c r="K61" s="88">
        <v>0</v>
      </c>
      <c r="L61" s="88">
        <v>3.4092999999999998E-4</v>
      </c>
      <c r="M61" s="101">
        <v>4.9419999999999998E-5</v>
      </c>
      <c r="N61" s="88">
        <v>2.8612E-4</v>
      </c>
      <c r="O61" s="88">
        <v>8.6580999999999995E-4</v>
      </c>
      <c r="P61" s="59">
        <v>1.5422700000000001E-3</v>
      </c>
      <c r="Q61" s="98">
        <f t="shared" si="5"/>
        <v>1.0329703670833335</v>
      </c>
      <c r="R61" s="88">
        <v>2.52329216</v>
      </c>
      <c r="S61">
        <f t="shared" si="6"/>
        <v>1.4903217929166666</v>
      </c>
    </row>
    <row r="62" spans="1:19" ht="15.75" thickBot="1">
      <c r="A62" s="304"/>
      <c r="B62" s="107" t="s">
        <v>61</v>
      </c>
      <c r="C62" s="88">
        <v>0.44679999999999997</v>
      </c>
      <c r="D62" s="88">
        <v>0.44679999999999997</v>
      </c>
      <c r="E62" s="88">
        <v>25.808997739999999</v>
      </c>
      <c r="F62" s="88">
        <v>-25.808997739999999</v>
      </c>
      <c r="G62" s="88">
        <v>16</v>
      </c>
      <c r="H62" s="88">
        <v>15.78445709</v>
      </c>
      <c r="I62" s="88">
        <v>10.050963919999999</v>
      </c>
      <c r="J62" s="88">
        <v>13.46772374</v>
      </c>
      <c r="K62" s="88">
        <v>0</v>
      </c>
      <c r="L62" s="88">
        <v>4.7668999999999999E-4</v>
      </c>
      <c r="M62" s="88">
        <v>6.8570000000000002E-5</v>
      </c>
      <c r="N62" s="88">
        <v>4.0017999999999998E-4</v>
      </c>
      <c r="O62" s="88">
        <v>9.0671000000000002E-4</v>
      </c>
      <c r="P62" s="59">
        <v>1.8521500000000001E-3</v>
      </c>
      <c r="Q62" s="98">
        <f t="shared" si="5"/>
        <v>1.0753749058333333</v>
      </c>
      <c r="R62" s="88">
        <v>-21.780345690000001</v>
      </c>
      <c r="S62">
        <f t="shared" si="6"/>
        <v>-22.855720595833333</v>
      </c>
    </row>
    <row r="63" spans="1:19" ht="15.75" thickBot="1">
      <c r="A63" s="304"/>
      <c r="B63" s="107" t="s">
        <v>62</v>
      </c>
      <c r="C63" s="88">
        <v>0.44640000000000002</v>
      </c>
      <c r="D63" s="88">
        <v>0.44640000000000002</v>
      </c>
      <c r="E63" s="88">
        <v>26.914814209999999</v>
      </c>
      <c r="F63" s="88">
        <v>-26.914814209999999</v>
      </c>
      <c r="G63" s="88">
        <v>19</v>
      </c>
      <c r="H63" s="88">
        <v>18.55106133</v>
      </c>
      <c r="I63" s="88">
        <v>-9.8440414900000004</v>
      </c>
      <c r="J63" s="88">
        <v>-7.5948295999999997</v>
      </c>
      <c r="K63" s="88">
        <v>0</v>
      </c>
      <c r="L63" s="88">
        <v>6.2757000000000004E-4</v>
      </c>
      <c r="M63" s="88">
        <v>8.9460000000000001E-5</v>
      </c>
      <c r="N63" s="88">
        <v>5.2402000000000004E-4</v>
      </c>
      <c r="O63" s="88">
        <v>9.5087000000000004E-4</v>
      </c>
      <c r="P63" s="59">
        <v>2.19192E-3</v>
      </c>
      <c r="Q63" s="98">
        <f t="shared" si="5"/>
        <v>1.1214505920833333</v>
      </c>
      <c r="R63" s="88">
        <v>-42.567551280000004</v>
      </c>
      <c r="S63">
        <f t="shared" si="6"/>
        <v>-43.689001872083338</v>
      </c>
    </row>
    <row r="64" spans="1:19" ht="15.75" thickBot="1">
      <c r="A64" s="304"/>
      <c r="B64" s="107" t="s">
        <v>63</v>
      </c>
      <c r="C64" s="88">
        <v>0.44590000000000002</v>
      </c>
      <c r="D64" s="88">
        <v>0.44590000000000002</v>
      </c>
      <c r="E64" s="88">
        <v>28.117486</v>
      </c>
      <c r="F64" s="88">
        <v>-28.117486</v>
      </c>
      <c r="G64" s="88">
        <v>22</v>
      </c>
      <c r="H64" s="88">
        <v>21.33890032</v>
      </c>
      <c r="I64" s="88">
        <v>-27.20279622</v>
      </c>
      <c r="J64" s="88">
        <v>-26.510175400000001</v>
      </c>
      <c r="K64" s="88">
        <v>0</v>
      </c>
      <c r="L64" s="88">
        <v>7.9821000000000004E-4</v>
      </c>
      <c r="M64" s="88">
        <v>1.1281E-4</v>
      </c>
      <c r="N64" s="88">
        <v>6.6175000000000001E-4</v>
      </c>
      <c r="O64" s="88">
        <v>9.9879000000000005E-4</v>
      </c>
      <c r="P64" s="59">
        <v>2.5715600000000001E-3</v>
      </c>
      <c r="Q64" s="98">
        <f t="shared" si="5"/>
        <v>1.1715619166666666</v>
      </c>
      <c r="R64" s="88">
        <v>-60.545579600000003</v>
      </c>
      <c r="S64">
        <f t="shared" si="6"/>
        <v>-61.717141516666672</v>
      </c>
    </row>
    <row r="65" spans="1:22" ht="15.75" thickBot="1">
      <c r="A65" s="305"/>
      <c r="B65" s="108" t="s">
        <v>64</v>
      </c>
      <c r="C65" s="102">
        <v>0.44550000000000001</v>
      </c>
      <c r="D65" s="102">
        <v>0.44550000000000001</v>
      </c>
      <c r="E65" s="102">
        <v>29.426642149999999</v>
      </c>
      <c r="F65" s="102">
        <v>-29.426642149999999</v>
      </c>
      <c r="G65" s="102">
        <v>25</v>
      </c>
      <c r="H65" s="102">
        <v>24.141613469999999</v>
      </c>
      <c r="I65" s="102">
        <v>-42.800693160000002</v>
      </c>
      <c r="J65" s="102">
        <v>-43.907795229999998</v>
      </c>
      <c r="K65" s="102">
        <v>0</v>
      </c>
      <c r="L65" s="102">
        <v>9.9215000000000002E-4</v>
      </c>
      <c r="M65" s="102">
        <v>1.3914E-4</v>
      </c>
      <c r="N65" s="102">
        <v>8.1632999999999999E-4</v>
      </c>
      <c r="O65" s="102">
        <v>1.0509499999999999E-3</v>
      </c>
      <c r="P65" s="61">
        <v>2.9985699999999999E-3</v>
      </c>
      <c r="Q65" s="98">
        <f t="shared" si="5"/>
        <v>1.2261100895833335</v>
      </c>
      <c r="R65" s="102">
        <v>-76.240126079999996</v>
      </c>
      <c r="S65">
        <f t="shared" si="6"/>
        <v>-77.466236169583325</v>
      </c>
    </row>
    <row r="67" spans="1:22" s="1" customFormat="1">
      <c r="B67" s="266" t="s">
        <v>70</v>
      </c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</row>
    <row r="68" spans="1:22" s="96" customFormat="1" ht="15.75" thickBot="1">
      <c r="B68" s="306" t="s">
        <v>16</v>
      </c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11"/>
    </row>
    <row r="69" spans="1:22" ht="15.75" thickBot="1">
      <c r="A69" s="97"/>
      <c r="B69" s="103" t="s">
        <v>41</v>
      </c>
      <c r="C69" s="104" t="s">
        <v>42</v>
      </c>
      <c r="D69" s="104" t="s">
        <v>43</v>
      </c>
      <c r="E69" s="104" t="s">
        <v>44</v>
      </c>
      <c r="F69" s="104" t="s">
        <v>45</v>
      </c>
      <c r="G69" s="104" t="s">
        <v>67</v>
      </c>
      <c r="H69" s="104" t="s">
        <v>46</v>
      </c>
      <c r="I69" s="104" t="s">
        <v>47</v>
      </c>
      <c r="J69" s="104" t="s">
        <v>48</v>
      </c>
      <c r="K69" s="104" t="s">
        <v>49</v>
      </c>
      <c r="L69" s="104" t="s">
        <v>50</v>
      </c>
      <c r="M69" s="104" t="s">
        <v>51</v>
      </c>
      <c r="N69" s="104" t="s">
        <v>52</v>
      </c>
      <c r="O69" s="104" t="s">
        <v>53</v>
      </c>
      <c r="P69" s="110" t="s">
        <v>54</v>
      </c>
      <c r="Q69" s="308" t="s">
        <v>72</v>
      </c>
      <c r="R69" s="309"/>
    </row>
    <row r="70" spans="1:22">
      <c r="A70" s="307" t="s">
        <v>40</v>
      </c>
      <c r="B70" s="106" t="s">
        <v>55</v>
      </c>
      <c r="C70" s="98">
        <v>0.89700000000000002</v>
      </c>
      <c r="D70" s="98">
        <v>0.89700000000000002</v>
      </c>
      <c r="E70" s="98">
        <v>20.530667050000002</v>
      </c>
      <c r="F70" s="98">
        <v>-20.530667050000002</v>
      </c>
      <c r="G70" s="98">
        <v>0.1</v>
      </c>
      <c r="H70" s="98">
        <v>0.99577176000000001</v>
      </c>
      <c r="I70" s="98">
        <v>117.38089748</v>
      </c>
      <c r="J70" s="98">
        <v>111.91808467</v>
      </c>
      <c r="K70" s="98">
        <v>0</v>
      </c>
      <c r="L70" s="99">
        <v>1.236E-5</v>
      </c>
      <c r="M70" s="99">
        <v>3.7E-7</v>
      </c>
      <c r="N70" s="99">
        <v>1.7E-6</v>
      </c>
      <c r="O70" s="98">
        <v>1.3867899999999999E-3</v>
      </c>
      <c r="P70" s="59">
        <v>1.4012199999999999E-3</v>
      </c>
      <c r="Q70" s="111">
        <v>-192.26266767999999</v>
      </c>
      <c r="R70" s="112">
        <v>-0.29983035000000002</v>
      </c>
    </row>
    <row r="71" spans="1:22">
      <c r="A71" s="304"/>
      <c r="B71" s="107" t="s">
        <v>56</v>
      </c>
      <c r="C71" s="88">
        <v>0.89690000000000003</v>
      </c>
      <c r="D71" s="88">
        <v>0.89690000000000003</v>
      </c>
      <c r="E71" s="88">
        <v>20.724852980000001</v>
      </c>
      <c r="F71" s="88">
        <v>-20.724852980000001</v>
      </c>
      <c r="G71" s="88">
        <v>1</v>
      </c>
      <c r="H71" s="88">
        <v>1.8072377500000001</v>
      </c>
      <c r="I71" s="88">
        <v>110.22163719</v>
      </c>
      <c r="J71" s="88">
        <v>104.74817543</v>
      </c>
      <c r="K71" s="88">
        <v>0</v>
      </c>
      <c r="L71" s="101">
        <v>1.719E-5</v>
      </c>
      <c r="M71" s="101">
        <v>1.13E-6</v>
      </c>
      <c r="N71" s="101">
        <v>6.2299999999999996E-6</v>
      </c>
      <c r="O71" s="88">
        <v>1.4016199999999999E-3</v>
      </c>
      <c r="P71" s="59">
        <v>1.42618E-3</v>
      </c>
      <c r="Q71" s="3">
        <v>-189.62016656</v>
      </c>
      <c r="R71" s="4">
        <v>-0.17124052000000001</v>
      </c>
    </row>
    <row r="72" spans="1:22">
      <c r="A72" s="304"/>
      <c r="B72" s="107" t="s">
        <v>57</v>
      </c>
      <c r="C72" s="88">
        <v>0.89639999999999997</v>
      </c>
      <c r="D72" s="88">
        <v>0.89639999999999997</v>
      </c>
      <c r="E72" s="88">
        <v>21.40490325</v>
      </c>
      <c r="F72" s="88">
        <v>-21.40490325</v>
      </c>
      <c r="G72" s="88">
        <v>4</v>
      </c>
      <c r="H72" s="88">
        <v>4.5185530600000003</v>
      </c>
      <c r="I72" s="88">
        <v>87.190610660000004</v>
      </c>
      <c r="J72" s="88">
        <v>81.101048809999995</v>
      </c>
      <c r="K72" s="88">
        <v>0</v>
      </c>
      <c r="L72" s="101">
        <v>6.3620000000000004E-5</v>
      </c>
      <c r="M72" s="101">
        <v>8.9500000000000007E-6</v>
      </c>
      <c r="N72" s="101">
        <v>5.2240000000000001E-5</v>
      </c>
      <c r="O72" s="88">
        <v>1.4536099999999999E-3</v>
      </c>
      <c r="P72" s="59">
        <v>1.5784200000000001E-3</v>
      </c>
      <c r="Q72" s="3">
        <v>-189.07013771000001</v>
      </c>
      <c r="R72" s="4">
        <v>0.21703510000000001</v>
      </c>
    </row>
    <row r="73" spans="1:22">
      <c r="A73" s="304"/>
      <c r="B73" s="107" t="s">
        <v>58</v>
      </c>
      <c r="C73" s="88">
        <v>0.89600000000000002</v>
      </c>
      <c r="D73" s="88">
        <v>0.89600000000000002</v>
      </c>
      <c r="E73" s="88">
        <v>22.139281709999999</v>
      </c>
      <c r="F73" s="88">
        <v>-22.139281709999999</v>
      </c>
      <c r="G73" s="88">
        <v>7</v>
      </c>
      <c r="H73" s="88">
        <v>7.2525326999999997</v>
      </c>
      <c r="I73" s="88">
        <v>62.860315909999997</v>
      </c>
      <c r="J73" s="88">
        <v>56.169898910000001</v>
      </c>
      <c r="K73" s="88">
        <v>0</v>
      </c>
      <c r="L73" s="88">
        <v>1.6045E-4</v>
      </c>
      <c r="M73" s="101">
        <v>2.4839999999999999E-5</v>
      </c>
      <c r="N73" s="88">
        <v>1.4364E-4</v>
      </c>
      <c r="O73" s="88">
        <v>1.51026E-3</v>
      </c>
      <c r="P73" s="59">
        <v>1.8391799999999999E-3</v>
      </c>
      <c r="Q73" s="3">
        <v>-187.05928768000001</v>
      </c>
      <c r="R73" s="4">
        <v>0.67294209999999999</v>
      </c>
    </row>
    <row r="74" spans="1:22">
      <c r="A74" s="304"/>
      <c r="B74" s="107" t="s">
        <v>59</v>
      </c>
      <c r="C74" s="88">
        <v>0.89559999999999995</v>
      </c>
      <c r="D74" s="88">
        <v>0.89559999999999995</v>
      </c>
      <c r="E74" s="88">
        <v>22.933492489999999</v>
      </c>
      <c r="F74" s="88">
        <v>-22.933492489999999</v>
      </c>
      <c r="G74" s="88">
        <v>10</v>
      </c>
      <c r="H74" s="88">
        <v>9.91954958</v>
      </c>
      <c r="I74" s="88">
        <v>26.054491769999998</v>
      </c>
      <c r="J74" s="88">
        <v>21.191945789999998</v>
      </c>
      <c r="K74" s="88">
        <v>0</v>
      </c>
      <c r="L74" s="88">
        <v>3.1203999999999997E-4</v>
      </c>
      <c r="M74" s="101">
        <v>4.9259999999999999E-5</v>
      </c>
      <c r="N74" s="88">
        <v>2.8023000000000002E-4</v>
      </c>
      <c r="O74" s="88">
        <v>1.5738600000000001E-3</v>
      </c>
      <c r="P74" s="59">
        <v>2.2153899999999998E-3</v>
      </c>
      <c r="Q74" s="3">
        <v>-180.06072663</v>
      </c>
      <c r="R74" s="4">
        <v>1.1564671500000001</v>
      </c>
    </row>
    <row r="75" spans="1:22">
      <c r="A75" s="304"/>
      <c r="B75" s="107" t="s">
        <v>60</v>
      </c>
      <c r="C75" s="88">
        <v>0.89510000000000001</v>
      </c>
      <c r="D75" s="88">
        <v>0.89510000000000001</v>
      </c>
      <c r="E75" s="88">
        <v>23.793551619999999</v>
      </c>
      <c r="F75" s="88">
        <v>-23.793551619999999</v>
      </c>
      <c r="G75" s="88">
        <v>13</v>
      </c>
      <c r="H75" s="88">
        <v>12.45994561</v>
      </c>
      <c r="I75" s="88">
        <v>-18.309325099999999</v>
      </c>
      <c r="J75" s="88">
        <v>-22.419089140000001</v>
      </c>
      <c r="K75" s="88">
        <v>0</v>
      </c>
      <c r="L75" s="88">
        <v>5.4100000000000003E-4</v>
      </c>
      <c r="M75" s="101">
        <v>8.4010000000000004E-5</v>
      </c>
      <c r="N75" s="88">
        <v>4.8456999999999998E-4</v>
      </c>
      <c r="O75" s="88">
        <v>1.64346E-3</v>
      </c>
      <c r="P75" s="59">
        <v>2.7530499999999999E-3</v>
      </c>
      <c r="Q75" s="3">
        <v>-190.54716352</v>
      </c>
      <c r="R75" s="4">
        <v>1.64450987</v>
      </c>
    </row>
    <row r="76" spans="1:22">
      <c r="A76" s="304"/>
      <c r="B76" s="107" t="s">
        <v>61</v>
      </c>
      <c r="C76" s="88">
        <v>0.89439999999999997</v>
      </c>
      <c r="D76" s="88">
        <v>0.89439999999999997</v>
      </c>
      <c r="E76" s="88">
        <v>24.726041550000001</v>
      </c>
      <c r="F76" s="88">
        <v>-24.726041550000001</v>
      </c>
      <c r="G76" s="88">
        <v>16</v>
      </c>
      <c r="H76" s="88">
        <v>15.002526599999999</v>
      </c>
      <c r="I76" s="88">
        <v>-59.452668410000001</v>
      </c>
      <c r="J76" s="88">
        <v>-64.757388640000002</v>
      </c>
      <c r="K76" s="88">
        <v>0</v>
      </c>
      <c r="L76" s="88">
        <v>8.3056999999999998E-4</v>
      </c>
      <c r="M76" s="88">
        <v>1.2595999999999999E-4</v>
      </c>
      <c r="N76" s="88">
        <v>7.3592999999999998E-4</v>
      </c>
      <c r="O76" s="88">
        <v>1.7179599999999999E-3</v>
      </c>
      <c r="P76" s="59">
        <v>3.4104199999999999E-3</v>
      </c>
      <c r="Q76" s="3">
        <v>-229.10903311000001</v>
      </c>
      <c r="R76" s="4">
        <v>2.1438361600000002</v>
      </c>
    </row>
    <row r="77" spans="1:22">
      <c r="A77" s="304"/>
      <c r="B77" s="107" t="s">
        <v>62</v>
      </c>
      <c r="C77" s="88">
        <v>0.89359999999999995</v>
      </c>
      <c r="D77" s="88">
        <v>0.89359999999999995</v>
      </c>
      <c r="E77" s="88">
        <v>25.73817347</v>
      </c>
      <c r="F77" s="88">
        <v>-25.73817347</v>
      </c>
      <c r="G77" s="88">
        <v>19</v>
      </c>
      <c r="H77" s="88">
        <v>17.576087659999999</v>
      </c>
      <c r="I77" s="88">
        <v>-95.911165319999995</v>
      </c>
      <c r="J77" s="88">
        <v>-104.26203072</v>
      </c>
      <c r="K77" s="88">
        <v>0</v>
      </c>
      <c r="L77" s="88">
        <v>1.1744500000000001E-3</v>
      </c>
      <c r="M77" s="88">
        <v>1.7432999999999999E-4</v>
      </c>
      <c r="N77" s="88">
        <v>1.0269000000000001E-3</v>
      </c>
      <c r="O77" s="88">
        <v>1.7983299999999999E-3</v>
      </c>
      <c r="P77" s="59">
        <v>4.1740099999999997E-3</v>
      </c>
      <c r="Q77" s="3">
        <v>-296.55941683999998</v>
      </c>
      <c r="R77" s="4">
        <v>2.6549877400000002</v>
      </c>
    </row>
    <row r="78" spans="1:22">
      <c r="A78" s="304"/>
      <c r="B78" s="107" t="s">
        <v>63</v>
      </c>
      <c r="C78" s="88">
        <v>0.89280000000000004</v>
      </c>
      <c r="D78" s="88">
        <v>0.89280000000000004</v>
      </c>
      <c r="E78" s="88">
        <v>26.837858489999999</v>
      </c>
      <c r="F78" s="88">
        <v>-26.837858489999999</v>
      </c>
      <c r="G78" s="88">
        <v>22</v>
      </c>
      <c r="H78" s="88">
        <v>20.178397109999999</v>
      </c>
      <c r="I78" s="88">
        <v>-128.35919487000001</v>
      </c>
      <c r="J78" s="88">
        <v>-141.44807338999999</v>
      </c>
      <c r="K78" s="88">
        <v>0</v>
      </c>
      <c r="L78" s="88">
        <v>1.5761900000000001E-3</v>
      </c>
      <c r="M78" s="88">
        <v>2.2981E-4</v>
      </c>
      <c r="N78" s="88">
        <v>1.36016E-3</v>
      </c>
      <c r="O78" s="88">
        <v>1.8855300000000001E-3</v>
      </c>
      <c r="P78" s="59">
        <v>5.0516900000000002E-3</v>
      </c>
      <c r="Q78" s="3">
        <v>-392.58187272999999</v>
      </c>
      <c r="R78" s="4">
        <v>3.17655924</v>
      </c>
      <c r="V78">
        <f>17.6*0.5*10^-3*V81/V80</f>
        <v>87.013134363208209</v>
      </c>
    </row>
    <row r="79" spans="1:22" ht="15.75" thickBot="1">
      <c r="A79" s="305"/>
      <c r="B79" s="108" t="s">
        <v>64</v>
      </c>
      <c r="C79" s="102">
        <v>0.89190000000000003</v>
      </c>
      <c r="D79" s="102">
        <v>0.89190000000000003</v>
      </c>
      <c r="E79" s="102">
        <v>28.033789089999999</v>
      </c>
      <c r="F79" s="102">
        <v>-28.033789089999999</v>
      </c>
      <c r="G79" s="102">
        <v>25</v>
      </c>
      <c r="H79" s="102">
        <v>22.804236540000002</v>
      </c>
      <c r="I79" s="102">
        <v>-157.46477995999999</v>
      </c>
      <c r="J79" s="102">
        <v>-176.88585535999999</v>
      </c>
      <c r="K79" s="102">
        <v>0</v>
      </c>
      <c r="L79" s="102">
        <v>2.04047E-3</v>
      </c>
      <c r="M79" s="102">
        <v>2.9315E-4</v>
      </c>
      <c r="N79" s="102">
        <v>1.73949E-3</v>
      </c>
      <c r="O79" s="102">
        <v>1.9804599999999999E-3</v>
      </c>
      <c r="P79" s="61">
        <v>6.0535700000000003E-3</v>
      </c>
      <c r="Q79" s="5">
        <v>-517.08368029999997</v>
      </c>
      <c r="R79" s="6">
        <v>3.7072256000000001</v>
      </c>
      <c r="U79" t="s">
        <v>113</v>
      </c>
      <c r="V79">
        <v>2.2499999999999998E-3</v>
      </c>
    </row>
    <row r="80" spans="1:22">
      <c r="A80" s="307" t="s">
        <v>65</v>
      </c>
      <c r="B80" s="106" t="s">
        <v>55</v>
      </c>
      <c r="C80" s="98">
        <v>0.74750000000000005</v>
      </c>
      <c r="D80" s="98">
        <v>0.74750000000000005</v>
      </c>
      <c r="E80" s="98">
        <v>16.531100670000001</v>
      </c>
      <c r="F80" s="98">
        <v>-16.531100670000001</v>
      </c>
      <c r="G80" s="98">
        <v>0.1</v>
      </c>
      <c r="H80" s="98">
        <v>1.0065389600000001</v>
      </c>
      <c r="I80" s="98">
        <v>99.385889329999998</v>
      </c>
      <c r="J80" s="98">
        <v>93.424443420000003</v>
      </c>
      <c r="K80" s="98">
        <v>0</v>
      </c>
      <c r="L80" s="99">
        <v>1.2310000000000001E-5</v>
      </c>
      <c r="M80" s="99">
        <v>3.9999999999999998E-7</v>
      </c>
      <c r="N80" s="99">
        <v>1.5099999999999999E-6</v>
      </c>
      <c r="O80" s="98">
        <v>9.3210000000000005E-4</v>
      </c>
      <c r="P80" s="100">
        <v>9.4633E-4</v>
      </c>
      <c r="Q80" s="111">
        <v>-183.49313527999999</v>
      </c>
      <c r="R80" s="112">
        <v>-0.29812765000000002</v>
      </c>
      <c r="V80">
        <f>V79/1027</f>
        <v>2.190847127555988E-6</v>
      </c>
    </row>
    <row r="81" spans="1:22">
      <c r="A81" s="304"/>
      <c r="B81" s="107" t="s">
        <v>56</v>
      </c>
      <c r="C81" s="88">
        <v>0.74739999999999995</v>
      </c>
      <c r="D81" s="88">
        <v>0.74739999999999995</v>
      </c>
      <c r="E81" s="88">
        <v>16.692899109999999</v>
      </c>
      <c r="F81" s="88">
        <v>-16.692899109999999</v>
      </c>
      <c r="G81" s="88">
        <v>1</v>
      </c>
      <c r="H81" s="88">
        <v>1.82816844</v>
      </c>
      <c r="I81" s="88">
        <v>94.147270289999994</v>
      </c>
      <c r="J81" s="88">
        <v>88.120009929999995</v>
      </c>
      <c r="K81" s="88">
        <v>0</v>
      </c>
      <c r="L81" s="101">
        <v>1.5670000000000001E-5</v>
      </c>
      <c r="M81" s="101">
        <v>1.1200000000000001E-6</v>
      </c>
      <c r="N81" s="101">
        <v>5.0300000000000001E-6</v>
      </c>
      <c r="O81" s="88">
        <v>9.4233999999999995E-4</v>
      </c>
      <c r="P81" s="59">
        <v>9.6416999999999998E-4</v>
      </c>
      <c r="Q81" s="3">
        <v>-180.53228307000001</v>
      </c>
      <c r="R81" s="4">
        <v>-0.16876604000000001</v>
      </c>
      <c r="V81">
        <v>2.1662781304463401E-2</v>
      </c>
    </row>
    <row r="82" spans="1:22">
      <c r="A82" s="304"/>
      <c r="B82" s="107" t="s">
        <v>57</v>
      </c>
      <c r="C82" s="88">
        <v>0.747</v>
      </c>
      <c r="D82" s="88">
        <v>0.747</v>
      </c>
      <c r="E82" s="88">
        <v>17.259505440000002</v>
      </c>
      <c r="F82" s="88">
        <v>-17.259505440000002</v>
      </c>
      <c r="G82" s="88">
        <v>4</v>
      </c>
      <c r="H82" s="88">
        <v>4.5732287600000001</v>
      </c>
      <c r="I82" s="88">
        <v>77.367517039999996</v>
      </c>
      <c r="J82" s="88">
        <v>70.597207710000006</v>
      </c>
      <c r="K82" s="88">
        <v>0</v>
      </c>
      <c r="L82" s="101">
        <v>4.7710000000000002E-5</v>
      </c>
      <c r="M82" s="101">
        <v>8.5199999999999997E-6</v>
      </c>
      <c r="N82" s="101">
        <v>4.1159999999999999E-5</v>
      </c>
      <c r="O82" s="88">
        <v>9.7823000000000007E-4</v>
      </c>
      <c r="P82" s="59">
        <v>1.07562E-3</v>
      </c>
      <c r="Q82" s="3">
        <v>-177.96057085999999</v>
      </c>
      <c r="R82" s="4">
        <v>0.22248926999999999</v>
      </c>
    </row>
    <row r="83" spans="1:22">
      <c r="A83" s="304"/>
      <c r="B83" s="107" t="s">
        <v>58</v>
      </c>
      <c r="C83" s="88">
        <v>0.74670000000000003</v>
      </c>
      <c r="D83" s="88">
        <v>0.74670000000000003</v>
      </c>
      <c r="E83" s="88">
        <v>17.871346370000001</v>
      </c>
      <c r="F83" s="88">
        <v>-17.871346370000001</v>
      </c>
      <c r="G83" s="88">
        <v>7</v>
      </c>
      <c r="H83" s="88">
        <v>7.34101246</v>
      </c>
      <c r="I83" s="88">
        <v>59.385745470000003</v>
      </c>
      <c r="J83" s="88">
        <v>51.865052159999998</v>
      </c>
      <c r="K83" s="88">
        <v>0</v>
      </c>
      <c r="L83" s="88">
        <v>1.1281E-4</v>
      </c>
      <c r="M83" s="101">
        <v>2.3349999999999998E-5</v>
      </c>
      <c r="N83" s="88">
        <v>1.1145E-4</v>
      </c>
      <c r="O83" s="88">
        <v>1.0174299999999999E-3</v>
      </c>
      <c r="P83" s="59">
        <v>1.2650300000000001E-3</v>
      </c>
      <c r="Q83" s="3">
        <v>-175.21081727999999</v>
      </c>
      <c r="R83" s="4">
        <v>0.68222576999999995</v>
      </c>
    </row>
    <row r="84" spans="1:22">
      <c r="A84" s="304"/>
      <c r="B84" s="107" t="s">
        <v>59</v>
      </c>
      <c r="C84" s="88">
        <v>0.74629999999999996</v>
      </c>
      <c r="D84" s="88">
        <v>0.74629999999999996</v>
      </c>
      <c r="E84" s="88">
        <v>18.533008219999999</v>
      </c>
      <c r="F84" s="88">
        <v>-18.533008219999999</v>
      </c>
      <c r="G84" s="88">
        <v>10</v>
      </c>
      <c r="H84" s="88">
        <v>10.02786753</v>
      </c>
      <c r="I84" s="88">
        <v>30.37732918</v>
      </c>
      <c r="J84" s="88">
        <v>24.17867957</v>
      </c>
      <c r="K84" s="88">
        <v>0</v>
      </c>
      <c r="L84" s="88">
        <v>2.1351000000000001E-4</v>
      </c>
      <c r="M84" s="101">
        <v>4.6119999999999999E-5</v>
      </c>
      <c r="N84" s="88">
        <v>2.1724E-4</v>
      </c>
      <c r="O84" s="88">
        <v>1.0619399999999999E-3</v>
      </c>
      <c r="P84" s="59">
        <v>1.53881E-3</v>
      </c>
      <c r="Q84" s="3">
        <v>-167.16435781000001</v>
      </c>
      <c r="R84" s="4">
        <v>1.16755912</v>
      </c>
    </row>
    <row r="85" spans="1:22">
      <c r="A85" s="304"/>
      <c r="B85" s="107" t="s">
        <v>60</v>
      </c>
      <c r="C85" s="88">
        <v>0.74590000000000001</v>
      </c>
      <c r="D85" s="88">
        <v>0.74590000000000001</v>
      </c>
      <c r="E85" s="88">
        <v>19.249504120000001</v>
      </c>
      <c r="F85" s="88">
        <v>-19.249504120000001</v>
      </c>
      <c r="G85" s="88">
        <v>13</v>
      </c>
      <c r="H85" s="88">
        <v>12.591354129999999</v>
      </c>
      <c r="I85" s="88">
        <v>-4.9721461099999997</v>
      </c>
      <c r="J85" s="88">
        <v>-10.587877779999999</v>
      </c>
      <c r="K85" s="88">
        <v>0</v>
      </c>
      <c r="L85" s="88">
        <v>3.7458000000000001E-4</v>
      </c>
      <c r="M85" s="101">
        <v>8.0469999999999994E-5</v>
      </c>
      <c r="N85" s="88">
        <v>3.8512000000000003E-4</v>
      </c>
      <c r="O85" s="88">
        <v>1.1105799999999999E-3</v>
      </c>
      <c r="P85" s="59">
        <v>1.9507400000000001E-3</v>
      </c>
      <c r="Q85" s="3">
        <v>-171.58794850999999</v>
      </c>
      <c r="R85" s="4">
        <v>1.65764914</v>
      </c>
    </row>
    <row r="86" spans="1:22">
      <c r="A86" s="304"/>
      <c r="B86" s="107" t="s">
        <v>61</v>
      </c>
      <c r="C86" s="88">
        <v>0.74529999999999996</v>
      </c>
      <c r="D86" s="88">
        <v>0.74529999999999996</v>
      </c>
      <c r="E86" s="88">
        <v>20.026319390000001</v>
      </c>
      <c r="F86" s="88">
        <v>-20.026319390000001</v>
      </c>
      <c r="G86" s="88">
        <v>16</v>
      </c>
      <c r="H86" s="88">
        <v>15.16497962</v>
      </c>
      <c r="I86" s="88">
        <v>-37.088548830000001</v>
      </c>
      <c r="J86" s="88">
        <v>-43.82013165</v>
      </c>
      <c r="K86" s="88">
        <v>0</v>
      </c>
      <c r="L86" s="88">
        <v>5.7700999999999998E-4</v>
      </c>
      <c r="M86" s="88">
        <v>1.2157E-4</v>
      </c>
      <c r="N86" s="88">
        <v>5.8978999999999998E-4</v>
      </c>
      <c r="O86" s="88">
        <v>1.16238E-3</v>
      </c>
      <c r="P86" s="59">
        <v>2.4507499999999998E-3</v>
      </c>
      <c r="Q86" s="3">
        <v>-200.89196999000001</v>
      </c>
      <c r="R86" s="4">
        <v>2.16007536</v>
      </c>
    </row>
    <row r="87" spans="1:22">
      <c r="A87" s="304"/>
      <c r="B87" s="107" t="s">
        <v>62</v>
      </c>
      <c r="C87" s="88">
        <v>0.74470000000000003</v>
      </c>
      <c r="D87" s="88">
        <v>0.74470000000000003</v>
      </c>
      <c r="E87" s="88">
        <v>20.86946343</v>
      </c>
      <c r="F87" s="88">
        <v>-20.86946343</v>
      </c>
      <c r="G87" s="88">
        <v>19</v>
      </c>
      <c r="H87" s="88">
        <v>17.772114720000001</v>
      </c>
      <c r="I87" s="88">
        <v>-65.065849279999995</v>
      </c>
      <c r="J87" s="88">
        <v>-74.517013930000005</v>
      </c>
      <c r="K87" s="88">
        <v>0</v>
      </c>
      <c r="L87" s="88">
        <v>8.1428000000000002E-4</v>
      </c>
      <c r="M87" s="88">
        <v>1.6825999999999999E-4</v>
      </c>
      <c r="N87" s="88">
        <v>8.2337999999999997E-4</v>
      </c>
      <c r="O87" s="88">
        <v>1.2181399999999999E-3</v>
      </c>
      <c r="P87" s="59">
        <v>3.0240499999999999E-3</v>
      </c>
      <c r="Q87" s="3">
        <v>-255.75320277</v>
      </c>
      <c r="R87" s="4">
        <v>2.6747924200000002</v>
      </c>
    </row>
    <row r="88" spans="1:22">
      <c r="A88" s="304"/>
      <c r="B88" s="107" t="s">
        <v>63</v>
      </c>
      <c r="C88" s="88">
        <v>0.74399999999999999</v>
      </c>
      <c r="D88" s="88">
        <v>0.74399999999999999</v>
      </c>
      <c r="E88" s="88">
        <v>21.785529069999999</v>
      </c>
      <c r="F88" s="88">
        <v>-21.785529069999999</v>
      </c>
      <c r="G88" s="88">
        <v>22</v>
      </c>
      <c r="H88" s="88">
        <v>20.408823099999999</v>
      </c>
      <c r="I88" s="88">
        <v>-89.620443929999993</v>
      </c>
      <c r="J88" s="88">
        <v>-103.22200007000001</v>
      </c>
      <c r="K88" s="88">
        <v>0</v>
      </c>
      <c r="L88" s="88">
        <v>1.08895E-3</v>
      </c>
      <c r="M88" s="88">
        <v>2.2125000000000001E-4</v>
      </c>
      <c r="N88" s="88">
        <v>1.08826E-3</v>
      </c>
      <c r="O88" s="88">
        <v>1.27859E-3</v>
      </c>
      <c r="P88" s="59">
        <v>3.6770499999999998E-3</v>
      </c>
      <c r="Q88" s="3">
        <v>-335.34506492999998</v>
      </c>
      <c r="R88" s="4">
        <v>3.2001552599999998</v>
      </c>
    </row>
    <row r="89" spans="1:22" ht="15.75" thickBot="1">
      <c r="A89" s="305"/>
      <c r="B89" s="108" t="s">
        <v>64</v>
      </c>
      <c r="C89" s="102">
        <v>0.74329999999999996</v>
      </c>
      <c r="D89" s="102">
        <v>0.74329999999999996</v>
      </c>
      <c r="E89" s="102">
        <v>22.78176041</v>
      </c>
      <c r="F89" s="102">
        <v>-22.78176041</v>
      </c>
      <c r="G89" s="102">
        <v>25</v>
      </c>
      <c r="H89" s="102">
        <v>23.06942484</v>
      </c>
      <c r="I89" s="102">
        <v>-111.36156226999999</v>
      </c>
      <c r="J89" s="102">
        <v>-130.42943615999999</v>
      </c>
      <c r="K89" s="102">
        <v>0</v>
      </c>
      <c r="L89" s="102">
        <v>1.4043700000000001E-3</v>
      </c>
      <c r="M89" s="102">
        <v>2.8132999999999999E-4</v>
      </c>
      <c r="N89" s="102">
        <v>1.3876800000000001E-3</v>
      </c>
      <c r="O89" s="102">
        <v>1.3443699999999999E-3</v>
      </c>
      <c r="P89" s="61">
        <v>4.4177499999999998E-3</v>
      </c>
      <c r="Q89" s="5">
        <v>-439.28109052000002</v>
      </c>
      <c r="R89" s="6">
        <v>3.7347362799999999</v>
      </c>
    </row>
    <row r="90" spans="1:22">
      <c r="A90" s="307" t="s">
        <v>66</v>
      </c>
      <c r="B90" s="106" t="s">
        <v>55</v>
      </c>
      <c r="C90" s="98">
        <v>0.59799999999999998</v>
      </c>
      <c r="D90" s="98">
        <v>0.59799999999999998</v>
      </c>
      <c r="E90" s="98">
        <v>12.76033455</v>
      </c>
      <c r="F90" s="98">
        <v>-12.76033455</v>
      </c>
      <c r="G90" s="98">
        <v>0.1</v>
      </c>
      <c r="H90" s="98">
        <v>1.0179744500000001</v>
      </c>
      <c r="I90" s="98">
        <v>80.907550569999998</v>
      </c>
      <c r="J90" s="98">
        <v>74.765816889999996</v>
      </c>
      <c r="K90" s="98">
        <v>0</v>
      </c>
      <c r="L90" s="99">
        <v>1.241E-5</v>
      </c>
      <c r="M90" s="99">
        <v>4.4000000000000002E-7</v>
      </c>
      <c r="N90" s="99">
        <v>1.35E-6</v>
      </c>
      <c r="O90" s="98">
        <v>5.7667000000000005E-4</v>
      </c>
      <c r="P90" s="100">
        <v>5.9086999999999996E-4</v>
      </c>
      <c r="Q90" s="111">
        <v>-171.91789736000001</v>
      </c>
      <c r="R90" s="112">
        <v>-0.29616084999999998</v>
      </c>
    </row>
    <row r="91" spans="1:22">
      <c r="A91" s="304"/>
      <c r="B91" s="107" t="s">
        <v>56</v>
      </c>
      <c r="C91" s="88">
        <v>0.59789999999999999</v>
      </c>
      <c r="D91" s="88">
        <v>0.59789999999999999</v>
      </c>
      <c r="E91" s="88">
        <v>12.88976512</v>
      </c>
      <c r="F91" s="88">
        <v>-12.88976512</v>
      </c>
      <c r="G91" s="88">
        <v>1</v>
      </c>
      <c r="H91" s="88">
        <v>1.84747288</v>
      </c>
      <c r="I91" s="88">
        <v>77.179614729999997</v>
      </c>
      <c r="J91" s="88">
        <v>70.914811920000005</v>
      </c>
      <c r="K91" s="88">
        <v>0</v>
      </c>
      <c r="L91" s="101">
        <v>1.4610000000000001E-5</v>
      </c>
      <c r="M91" s="101">
        <v>1.1200000000000001E-6</v>
      </c>
      <c r="N91" s="101">
        <v>3.9899999999999999E-6</v>
      </c>
      <c r="O91" s="88">
        <v>5.8317999999999998E-4</v>
      </c>
      <c r="P91" s="59">
        <v>6.0291000000000001E-4</v>
      </c>
      <c r="Q91" s="3">
        <v>-168.73873404</v>
      </c>
      <c r="R91" s="4">
        <v>-0.16618643</v>
      </c>
    </row>
    <row r="92" spans="1:22">
      <c r="A92" s="304"/>
      <c r="B92" s="107" t="s">
        <v>57</v>
      </c>
      <c r="C92" s="88">
        <v>0.59760000000000002</v>
      </c>
      <c r="D92" s="88">
        <v>0.59760000000000002</v>
      </c>
      <c r="E92" s="88">
        <v>13.34300438</v>
      </c>
      <c r="F92" s="88">
        <v>-13.34300438</v>
      </c>
      <c r="G92" s="88">
        <v>4</v>
      </c>
      <c r="H92" s="88">
        <v>4.6187680699999998</v>
      </c>
      <c r="I92" s="88">
        <v>65.300805030000006</v>
      </c>
      <c r="J92" s="88">
        <v>58.17246239</v>
      </c>
      <c r="K92" s="88">
        <v>0</v>
      </c>
      <c r="L92" s="101">
        <v>3.5460000000000003E-5</v>
      </c>
      <c r="M92" s="101">
        <v>8.1999999999999994E-6</v>
      </c>
      <c r="N92" s="101">
        <v>3.1600000000000002E-5</v>
      </c>
      <c r="O92" s="88">
        <v>6.0601999999999997E-4</v>
      </c>
      <c r="P92" s="59">
        <v>6.8128999999999998E-4</v>
      </c>
      <c r="Q92" s="3">
        <v>-164.53076518</v>
      </c>
      <c r="R92" s="4">
        <v>0.22757949</v>
      </c>
    </row>
    <row r="93" spans="1:22">
      <c r="A93" s="304"/>
      <c r="B93" s="107" t="s">
        <v>58</v>
      </c>
      <c r="C93" s="88">
        <v>0.59730000000000005</v>
      </c>
      <c r="D93" s="88">
        <v>0.59730000000000005</v>
      </c>
      <c r="E93" s="88">
        <v>13.832402500000001</v>
      </c>
      <c r="F93" s="88">
        <v>-13.832402500000001</v>
      </c>
      <c r="G93" s="88">
        <v>7</v>
      </c>
      <c r="H93" s="88">
        <v>7.4114125900000003</v>
      </c>
      <c r="I93" s="88">
        <v>52.341788569999999</v>
      </c>
      <c r="J93" s="88">
        <v>44.358298869999999</v>
      </c>
      <c r="K93" s="88">
        <v>0</v>
      </c>
      <c r="L93" s="101">
        <v>7.6290000000000003E-5</v>
      </c>
      <c r="M93" s="101">
        <v>2.2050000000000001E-5</v>
      </c>
      <c r="N93" s="101">
        <v>8.3809999999999999E-5</v>
      </c>
      <c r="O93" s="88">
        <v>6.3104000000000003E-4</v>
      </c>
      <c r="P93" s="59">
        <v>8.1318000000000004E-4</v>
      </c>
      <c r="Q93" s="3">
        <v>-161.20354746999999</v>
      </c>
      <c r="R93" s="4">
        <v>0.69033361000000004</v>
      </c>
    </row>
    <row r="94" spans="1:22">
      <c r="A94" s="304"/>
      <c r="B94" s="107" t="s">
        <v>59</v>
      </c>
      <c r="C94" s="88">
        <v>0.59709999999999996</v>
      </c>
      <c r="D94" s="88">
        <v>0.59709999999999996</v>
      </c>
      <c r="E94" s="88">
        <v>14.36162826</v>
      </c>
      <c r="F94" s="88">
        <v>-14.36162826</v>
      </c>
      <c r="G94" s="88">
        <v>10</v>
      </c>
      <c r="H94" s="88">
        <v>10.108172959999999</v>
      </c>
      <c r="I94" s="88">
        <v>29.94390546</v>
      </c>
      <c r="J94" s="88">
        <v>22.86694936</v>
      </c>
      <c r="K94" s="88">
        <v>0</v>
      </c>
      <c r="L94" s="88">
        <v>1.3898E-4</v>
      </c>
      <c r="M94" s="101">
        <v>4.3550000000000001E-5</v>
      </c>
      <c r="N94" s="88">
        <v>1.6396E-4</v>
      </c>
      <c r="O94" s="88">
        <v>6.5981000000000004E-4</v>
      </c>
      <c r="P94" s="59">
        <v>1.00629E-3</v>
      </c>
      <c r="Q94" s="3">
        <v>-151.84939668999999</v>
      </c>
      <c r="R94" s="4">
        <v>1.17651693</v>
      </c>
    </row>
    <row r="95" spans="1:22">
      <c r="A95" s="304"/>
      <c r="B95" s="107" t="s">
        <v>60</v>
      </c>
      <c r="C95" s="88">
        <v>0.59670000000000001</v>
      </c>
      <c r="D95" s="88">
        <v>0.59670000000000001</v>
      </c>
      <c r="E95" s="88">
        <v>14.93469198</v>
      </c>
      <c r="F95" s="88">
        <v>-14.93469198</v>
      </c>
      <c r="G95" s="88">
        <v>13</v>
      </c>
      <c r="H95" s="88">
        <v>12.687949529999999</v>
      </c>
      <c r="I95" s="88">
        <v>2.52329216</v>
      </c>
      <c r="J95" s="88">
        <v>-4.0804411700000003</v>
      </c>
      <c r="K95" s="88">
        <v>0</v>
      </c>
      <c r="L95" s="88">
        <v>2.4711999999999998E-4</v>
      </c>
      <c r="M95" s="101">
        <v>7.8549999999999998E-5</v>
      </c>
      <c r="N95" s="88">
        <v>3.0091999999999999E-4</v>
      </c>
      <c r="O95" s="88">
        <v>6.9114000000000003E-4</v>
      </c>
      <c r="P95" s="59">
        <v>1.31773E-3</v>
      </c>
      <c r="Q95" s="3">
        <v>-150.17091905000001</v>
      </c>
      <c r="R95" s="4">
        <v>1.6679994199999999</v>
      </c>
    </row>
    <row r="96" spans="1:22">
      <c r="A96" s="304"/>
      <c r="B96" s="107" t="s">
        <v>61</v>
      </c>
      <c r="C96" s="88">
        <v>0.59630000000000005</v>
      </c>
      <c r="D96" s="88">
        <v>0.59630000000000005</v>
      </c>
      <c r="E96" s="88">
        <v>15.555981879999999</v>
      </c>
      <c r="F96" s="88">
        <v>-15.555981879999999</v>
      </c>
      <c r="G96" s="88">
        <v>16</v>
      </c>
      <c r="H96" s="88">
        <v>15.28711564</v>
      </c>
      <c r="I96" s="88">
        <v>-21.780345690000001</v>
      </c>
      <c r="J96" s="88">
        <v>-29.372115900000001</v>
      </c>
      <c r="K96" s="88">
        <v>0</v>
      </c>
      <c r="L96" s="88">
        <v>3.8152999999999999E-4</v>
      </c>
      <c r="M96" s="88">
        <v>1.1979E-4</v>
      </c>
      <c r="N96" s="88">
        <v>4.6536E-4</v>
      </c>
      <c r="O96" s="88">
        <v>7.2431999999999998E-4</v>
      </c>
      <c r="P96" s="59">
        <v>1.691E-3</v>
      </c>
      <c r="Q96" s="3">
        <v>-170.43049758999999</v>
      </c>
      <c r="R96" s="4">
        <v>2.1729443100000001</v>
      </c>
    </row>
    <row r="97" spans="1:18">
      <c r="A97" s="304"/>
      <c r="B97" s="107" t="s">
        <v>62</v>
      </c>
      <c r="C97" s="88">
        <v>0.5958</v>
      </c>
      <c r="D97" s="88">
        <v>0.5958</v>
      </c>
      <c r="E97" s="88">
        <v>16.23030554</v>
      </c>
      <c r="F97" s="88">
        <v>-16.23030554</v>
      </c>
      <c r="G97" s="88">
        <v>19</v>
      </c>
      <c r="H97" s="88">
        <v>17.92229562</v>
      </c>
      <c r="I97" s="88">
        <v>-42.567551280000004</v>
      </c>
      <c r="J97" s="88">
        <v>-52.51981413</v>
      </c>
      <c r="K97" s="88">
        <v>0</v>
      </c>
      <c r="L97" s="88">
        <v>5.3651999999999997E-4</v>
      </c>
      <c r="M97" s="88">
        <v>1.6574999999999999E-4</v>
      </c>
      <c r="N97" s="88">
        <v>6.4970999999999996E-4</v>
      </c>
      <c r="O97" s="88">
        <v>7.5998999999999999E-4</v>
      </c>
      <c r="P97" s="59">
        <v>2.1119699999999999E-3</v>
      </c>
      <c r="Q97" s="3">
        <v>-212.82353451</v>
      </c>
      <c r="R97" s="4">
        <v>2.69065552</v>
      </c>
    </row>
    <row r="98" spans="1:18">
      <c r="A98" s="304"/>
      <c r="B98" s="107" t="s">
        <v>63</v>
      </c>
      <c r="C98" s="88">
        <v>0.59519999999999995</v>
      </c>
      <c r="D98" s="88">
        <v>0.59519999999999995</v>
      </c>
      <c r="E98" s="88">
        <v>16.962937360000002</v>
      </c>
      <c r="F98" s="88">
        <v>-16.962937360000002</v>
      </c>
      <c r="G98" s="88">
        <v>22</v>
      </c>
      <c r="H98" s="88">
        <v>20.587684660000001</v>
      </c>
      <c r="I98" s="88">
        <v>-60.545579600000003</v>
      </c>
      <c r="J98" s="88">
        <v>-74.045042129999999</v>
      </c>
      <c r="K98" s="88">
        <v>0</v>
      </c>
      <c r="L98" s="88">
        <v>7.1383999999999998E-4</v>
      </c>
      <c r="M98" s="88">
        <v>2.1724E-4</v>
      </c>
      <c r="N98" s="88">
        <v>8.5614999999999997E-4</v>
      </c>
      <c r="O98" s="88">
        <v>7.9861999999999999E-4</v>
      </c>
      <c r="P98" s="59">
        <v>2.5858399999999998E-3</v>
      </c>
      <c r="Q98" s="3">
        <v>-276.16193174</v>
      </c>
      <c r="R98" s="4">
        <v>3.2192359800000001</v>
      </c>
    </row>
    <row r="99" spans="1:18" ht="15.75" thickBot="1">
      <c r="A99" s="305"/>
      <c r="B99" s="108" t="s">
        <v>64</v>
      </c>
      <c r="C99" s="102">
        <v>0.59460000000000002</v>
      </c>
      <c r="D99" s="102">
        <v>0.59460000000000002</v>
      </c>
      <c r="E99" s="102">
        <v>17.759672819999999</v>
      </c>
      <c r="F99" s="102">
        <v>-17.759672819999999</v>
      </c>
      <c r="G99" s="102">
        <v>25</v>
      </c>
      <c r="H99" s="102">
        <v>23.277102530000001</v>
      </c>
      <c r="I99" s="102">
        <v>-76.240126079999996</v>
      </c>
      <c r="J99" s="102">
        <v>-94.369160170000001</v>
      </c>
      <c r="K99" s="102">
        <v>0</v>
      </c>
      <c r="L99" s="102">
        <v>9.1584000000000001E-4</v>
      </c>
      <c r="M99" s="102">
        <v>2.7509000000000002E-4</v>
      </c>
      <c r="N99" s="102">
        <v>1.08748E-3</v>
      </c>
      <c r="O99" s="102">
        <v>8.4062999999999998E-4</v>
      </c>
      <c r="P99" s="61">
        <v>3.1190499999999999E-3</v>
      </c>
      <c r="Q99" s="5">
        <v>-359.78068287000002</v>
      </c>
      <c r="R99" s="6">
        <v>3.75716246</v>
      </c>
    </row>
    <row r="100" spans="1:18" s="96" customFormat="1" ht="15.75" thickBot="1">
      <c r="B100" s="310" t="s">
        <v>19</v>
      </c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</row>
    <row r="101" spans="1:18" ht="15.75" thickBot="1">
      <c r="A101" s="97"/>
      <c r="B101" s="103" t="s">
        <v>41</v>
      </c>
      <c r="C101" s="104" t="s">
        <v>42</v>
      </c>
      <c r="D101" s="104" t="s">
        <v>43</v>
      </c>
      <c r="E101" s="104" t="s">
        <v>44</v>
      </c>
      <c r="F101" s="104" t="s">
        <v>45</v>
      </c>
      <c r="G101" s="104" t="s">
        <v>67</v>
      </c>
      <c r="H101" s="104" t="s">
        <v>46</v>
      </c>
      <c r="I101" s="104" t="s">
        <v>47</v>
      </c>
      <c r="J101" s="104" t="s">
        <v>48</v>
      </c>
      <c r="K101" s="104" t="s">
        <v>49</v>
      </c>
      <c r="L101" s="104" t="s">
        <v>50</v>
      </c>
      <c r="M101" s="104" t="s">
        <v>51</v>
      </c>
      <c r="N101" s="104" t="s">
        <v>52</v>
      </c>
      <c r="O101" s="104" t="s">
        <v>53</v>
      </c>
      <c r="P101" s="105" t="s">
        <v>54</v>
      </c>
      <c r="Q101" s="308" t="s">
        <v>72</v>
      </c>
      <c r="R101" s="309"/>
    </row>
    <row r="102" spans="1:18">
      <c r="A102" s="307" t="s">
        <v>68</v>
      </c>
      <c r="B102" s="106" t="s">
        <v>55</v>
      </c>
      <c r="C102" s="116">
        <v>0.59770000000000001</v>
      </c>
      <c r="D102" s="116">
        <v>0.59770000000000001</v>
      </c>
      <c r="E102" s="116">
        <v>30.160210840000001</v>
      </c>
      <c r="F102" s="116">
        <v>-30.160210840000001</v>
      </c>
      <c r="G102" s="98">
        <v>0.1</v>
      </c>
      <c r="H102" s="116">
        <v>1.0897752199999999</v>
      </c>
      <c r="I102" s="116">
        <v>167.09319117000001</v>
      </c>
      <c r="J102" s="116">
        <v>163.80384985000001</v>
      </c>
      <c r="K102" s="98">
        <v>0</v>
      </c>
      <c r="L102" s="99">
        <v>2.3059999999999999E-5</v>
      </c>
      <c r="M102" s="99">
        <v>2.2999999999999999E-7</v>
      </c>
      <c r="N102" s="99">
        <v>1.39E-6</v>
      </c>
      <c r="O102" s="98">
        <v>1.36068E-3</v>
      </c>
      <c r="P102" s="100">
        <v>1.38536E-3</v>
      </c>
      <c r="Q102" s="111">
        <v>-215.80388454000001</v>
      </c>
      <c r="R102" s="112">
        <v>-5.9611669999999999E-2</v>
      </c>
    </row>
    <row r="103" spans="1:18">
      <c r="A103" s="304"/>
      <c r="B103" s="107" t="s">
        <v>56</v>
      </c>
      <c r="C103" s="58">
        <v>0.59760000000000002</v>
      </c>
      <c r="D103" s="58">
        <v>0.59760000000000002</v>
      </c>
      <c r="E103" s="58">
        <v>30.441101249999999</v>
      </c>
      <c r="F103" s="58">
        <v>-30.441101249999999</v>
      </c>
      <c r="G103" s="88">
        <v>1</v>
      </c>
      <c r="H103" s="58">
        <v>1.93203565</v>
      </c>
      <c r="I103" s="58">
        <v>160.96635695000001</v>
      </c>
      <c r="J103" s="58">
        <v>157.62351756000001</v>
      </c>
      <c r="K103" s="88">
        <v>0</v>
      </c>
      <c r="L103" s="101">
        <v>2.73E-5</v>
      </c>
      <c r="M103" s="101">
        <v>6.0999999999999998E-7</v>
      </c>
      <c r="N103" s="101">
        <v>4.2899999999999996E-6</v>
      </c>
      <c r="O103" s="88">
        <v>1.3749999999999999E-3</v>
      </c>
      <c r="P103" s="59">
        <v>1.4072100000000001E-3</v>
      </c>
      <c r="Q103" s="3">
        <v>-213.16934114</v>
      </c>
      <c r="R103" s="4">
        <v>4.6832119999999998E-2</v>
      </c>
    </row>
    <row r="104" spans="1:18">
      <c r="A104" s="304"/>
      <c r="B104" s="107" t="s">
        <v>57</v>
      </c>
      <c r="C104" s="58">
        <v>0.59730000000000005</v>
      </c>
      <c r="D104" s="58">
        <v>0.59730000000000005</v>
      </c>
      <c r="E104" s="58">
        <v>31.42594545</v>
      </c>
      <c r="F104" s="58">
        <v>-31.42594545</v>
      </c>
      <c r="G104" s="88">
        <v>4</v>
      </c>
      <c r="H104" s="58">
        <v>4.7481367399999996</v>
      </c>
      <c r="I104" s="58">
        <v>140.26004349999999</v>
      </c>
      <c r="J104" s="58">
        <v>136.04311369000001</v>
      </c>
      <c r="K104" s="88">
        <v>0</v>
      </c>
      <c r="L104" s="101">
        <v>6.3730000000000001E-5</v>
      </c>
      <c r="M104" s="101">
        <v>4.1099999999999996E-6</v>
      </c>
      <c r="N104" s="101">
        <v>3.1180000000000003E-5</v>
      </c>
      <c r="O104" s="88">
        <v>1.4255699999999999E-3</v>
      </c>
      <c r="P104" s="59">
        <v>1.52458E-3</v>
      </c>
      <c r="Q104" s="3">
        <v>-206.12658997</v>
      </c>
      <c r="R104" s="4">
        <v>0.48437460999999998</v>
      </c>
    </row>
    <row r="105" spans="1:18">
      <c r="A105" s="304"/>
      <c r="B105" s="107" t="s">
        <v>58</v>
      </c>
      <c r="C105" s="58">
        <v>0.59699999999999998</v>
      </c>
      <c r="D105" s="58">
        <v>0.59699999999999998</v>
      </c>
      <c r="E105" s="58">
        <v>32.491218269999997</v>
      </c>
      <c r="F105" s="58">
        <v>-32.491218269999997</v>
      </c>
      <c r="G105" s="88">
        <v>7</v>
      </c>
      <c r="H105" s="58">
        <v>7.5111563400000003</v>
      </c>
      <c r="I105" s="58">
        <v>104.91502206</v>
      </c>
      <c r="J105" s="58">
        <v>102.71165391</v>
      </c>
      <c r="K105" s="88">
        <v>0</v>
      </c>
      <c r="L105" s="88">
        <v>1.3470999999999999E-4</v>
      </c>
      <c r="M105" s="101">
        <v>1.1090000000000001E-5</v>
      </c>
      <c r="N105" s="88">
        <v>8.3399999999999994E-5</v>
      </c>
      <c r="O105" s="88">
        <v>1.48332E-3</v>
      </c>
      <c r="P105" s="59">
        <v>1.7125199999999999E-3</v>
      </c>
      <c r="Q105" s="3">
        <v>-182.16452988</v>
      </c>
      <c r="R105" s="4">
        <v>0.96438866999999995</v>
      </c>
    </row>
    <row r="106" spans="1:18">
      <c r="A106" s="304"/>
      <c r="B106" s="107" t="s">
        <v>59</v>
      </c>
      <c r="C106" s="58">
        <v>0.59670000000000001</v>
      </c>
      <c r="D106" s="58">
        <v>0.59670000000000001</v>
      </c>
      <c r="E106" s="58">
        <v>33.644990249999999</v>
      </c>
      <c r="F106" s="58">
        <v>-33.644990249999999</v>
      </c>
      <c r="G106" s="88">
        <v>10</v>
      </c>
      <c r="H106" s="58">
        <v>10.09900549</v>
      </c>
      <c r="I106" s="58">
        <v>48.497597280000001</v>
      </c>
      <c r="J106" s="58">
        <v>49.966170120000001</v>
      </c>
      <c r="K106" s="88">
        <v>0</v>
      </c>
      <c r="L106" s="88">
        <v>2.7452999999999999E-4</v>
      </c>
      <c r="M106" s="101">
        <v>2.4150000000000001E-5</v>
      </c>
      <c r="N106" s="88">
        <v>1.8576000000000001E-4</v>
      </c>
      <c r="O106" s="88">
        <v>1.54769E-3</v>
      </c>
      <c r="P106" s="59">
        <v>2.03213E-3</v>
      </c>
      <c r="Q106" s="3">
        <v>-153.01711989</v>
      </c>
      <c r="R106" s="4">
        <v>1.4495507700000001</v>
      </c>
    </row>
    <row r="107" spans="1:18">
      <c r="A107" s="304"/>
      <c r="B107" s="107" t="s">
        <v>60</v>
      </c>
      <c r="C107" s="58">
        <v>0.59619999999999995</v>
      </c>
      <c r="D107" s="58">
        <v>0.59619999999999995</v>
      </c>
      <c r="E107" s="58">
        <v>34.896091699999999</v>
      </c>
      <c r="F107" s="58">
        <v>-34.896091699999999</v>
      </c>
      <c r="G107" s="88">
        <v>13</v>
      </c>
      <c r="H107" s="58">
        <v>12.69524491</v>
      </c>
      <c r="I107" s="58">
        <v>-3.35608123</v>
      </c>
      <c r="J107" s="58">
        <v>-0.58100372</v>
      </c>
      <c r="K107" s="88">
        <v>0</v>
      </c>
      <c r="L107" s="88">
        <v>4.5833000000000001E-4</v>
      </c>
      <c r="M107" s="101">
        <v>4.0210000000000003E-5</v>
      </c>
      <c r="N107" s="88">
        <v>3.1461999999999999E-4</v>
      </c>
      <c r="O107" s="88">
        <v>1.61549E-3</v>
      </c>
      <c r="P107" s="59">
        <v>2.4286500000000001E-3</v>
      </c>
      <c r="Q107" s="3">
        <v>-152.36797232999999</v>
      </c>
      <c r="R107" s="4">
        <v>1.94836433</v>
      </c>
    </row>
    <row r="108" spans="1:18">
      <c r="A108" s="304"/>
      <c r="B108" s="107" t="s">
        <v>61</v>
      </c>
      <c r="C108" s="58">
        <v>0.59570000000000001</v>
      </c>
      <c r="D108" s="58">
        <v>0.59570000000000001</v>
      </c>
      <c r="E108" s="58">
        <v>36.254196520000001</v>
      </c>
      <c r="F108" s="58">
        <v>-36.254196520000001</v>
      </c>
      <c r="G108" s="88">
        <v>16</v>
      </c>
      <c r="H108" s="58">
        <v>15.3361638</v>
      </c>
      <c r="I108" s="58">
        <v>-47.306307009999998</v>
      </c>
      <c r="J108" s="58">
        <v>-45.526471059999999</v>
      </c>
      <c r="K108" s="88">
        <v>0</v>
      </c>
      <c r="L108" s="88">
        <v>6.7478999999999998E-4</v>
      </c>
      <c r="M108" s="88">
        <v>5.8400000000000003E-5</v>
      </c>
      <c r="N108" s="88">
        <v>4.6129999999999999E-4</v>
      </c>
      <c r="O108" s="88">
        <v>1.68812E-3</v>
      </c>
      <c r="P108" s="59">
        <v>2.8826099999999999E-3</v>
      </c>
      <c r="Q108" s="3">
        <v>-181.59929432000001</v>
      </c>
      <c r="R108" s="4">
        <v>2.4611770900000001</v>
      </c>
    </row>
    <row r="109" spans="1:18">
      <c r="A109" s="304"/>
      <c r="B109" s="107" t="s">
        <v>62</v>
      </c>
      <c r="C109" s="58">
        <v>0.59519999999999995</v>
      </c>
      <c r="D109" s="58">
        <v>0.59519999999999995</v>
      </c>
      <c r="E109" s="58">
        <v>37.729918069999997</v>
      </c>
      <c r="F109" s="58">
        <v>-37.729918069999997</v>
      </c>
      <c r="G109" s="88">
        <v>19</v>
      </c>
      <c r="H109" s="58">
        <v>18.011370410000001</v>
      </c>
      <c r="I109" s="58">
        <v>-85.349508819999997</v>
      </c>
      <c r="J109" s="58">
        <v>-86.431733960000003</v>
      </c>
      <c r="K109" s="88">
        <v>0</v>
      </c>
      <c r="L109" s="88">
        <v>9.2783000000000004E-4</v>
      </c>
      <c r="M109" s="88">
        <v>7.9220000000000004E-5</v>
      </c>
      <c r="N109" s="88">
        <v>6.2869E-4</v>
      </c>
      <c r="O109" s="88">
        <v>1.76669E-3</v>
      </c>
      <c r="P109" s="59">
        <v>3.4024200000000002E-3</v>
      </c>
      <c r="Q109" s="3">
        <v>-238.23580659000001</v>
      </c>
      <c r="R109" s="4">
        <v>2.9855312399999998</v>
      </c>
    </row>
    <row r="110" spans="1:18">
      <c r="A110" s="304"/>
      <c r="B110" s="107" t="s">
        <v>63</v>
      </c>
      <c r="C110" s="58">
        <v>0.59460000000000002</v>
      </c>
      <c r="D110" s="58">
        <v>0.59460000000000002</v>
      </c>
      <c r="E110" s="58">
        <v>39.334918780000002</v>
      </c>
      <c r="F110" s="58">
        <v>-39.334918780000002</v>
      </c>
      <c r="G110" s="88">
        <v>22</v>
      </c>
      <c r="H110" s="58">
        <v>20.71156564</v>
      </c>
      <c r="I110" s="58">
        <v>-118.9582217</v>
      </c>
      <c r="J110" s="58">
        <v>-124.49941883</v>
      </c>
      <c r="K110" s="88">
        <v>0</v>
      </c>
      <c r="L110" s="88">
        <v>1.222E-3</v>
      </c>
      <c r="M110" s="88">
        <v>1.031E-4</v>
      </c>
      <c r="N110" s="88">
        <v>8.1990999999999997E-4</v>
      </c>
      <c r="O110" s="88">
        <v>1.85206E-3</v>
      </c>
      <c r="P110" s="59">
        <v>3.9970700000000001E-3</v>
      </c>
      <c r="Q110" s="3">
        <v>-321.19609185000002</v>
      </c>
      <c r="R110" s="4">
        <v>3.5195153800000001</v>
      </c>
    </row>
    <row r="111" spans="1:18" ht="15.75" thickBot="1">
      <c r="A111" s="305"/>
      <c r="B111" s="108" t="s">
        <v>64</v>
      </c>
      <c r="C111" s="60">
        <v>0.59399999999999997</v>
      </c>
      <c r="D111" s="60">
        <v>0.59399999999999997</v>
      </c>
      <c r="E111" s="60">
        <v>41.08203572</v>
      </c>
      <c r="F111" s="60">
        <v>-41.08203572</v>
      </c>
      <c r="G111" s="102">
        <v>25</v>
      </c>
      <c r="H111" s="60">
        <v>23.43093949</v>
      </c>
      <c r="I111" s="60">
        <v>-149.06812965</v>
      </c>
      <c r="J111" s="60">
        <v>-160.4935486</v>
      </c>
      <c r="K111" s="102">
        <v>0</v>
      </c>
      <c r="L111" s="102">
        <v>1.5615200000000001E-3</v>
      </c>
      <c r="M111" s="102">
        <v>1.3039E-4</v>
      </c>
      <c r="N111" s="102">
        <v>1.0376300000000001E-3</v>
      </c>
      <c r="O111" s="102">
        <v>1.9450800000000001E-3</v>
      </c>
      <c r="P111" s="61">
        <v>4.67462E-3</v>
      </c>
      <c r="Q111" s="5">
        <v>-429.94489623999999</v>
      </c>
      <c r="R111" s="6" t="s">
        <v>71</v>
      </c>
    </row>
    <row r="112" spans="1:18">
      <c r="A112" s="307" t="s">
        <v>69</v>
      </c>
      <c r="B112" s="106" t="s">
        <v>55</v>
      </c>
      <c r="C112" s="116">
        <v>0.52300000000000002</v>
      </c>
      <c r="D112" s="116">
        <v>0.52300000000000002</v>
      </c>
      <c r="E112" s="116">
        <v>25.587773349999999</v>
      </c>
      <c r="F112" s="116">
        <v>-25.587773349999999</v>
      </c>
      <c r="G112" s="98">
        <v>0.1</v>
      </c>
      <c r="H112" s="116">
        <v>1.0958020900000001</v>
      </c>
      <c r="I112" s="116">
        <v>147.58718593</v>
      </c>
      <c r="J112" s="116">
        <v>143.28917766999999</v>
      </c>
      <c r="K112" s="98">
        <v>0</v>
      </c>
      <c r="L112" s="99">
        <v>2.3329999999999999E-5</v>
      </c>
      <c r="M112" s="99">
        <v>2.3999999999999998E-7</v>
      </c>
      <c r="N112" s="99">
        <v>1.26E-6</v>
      </c>
      <c r="O112" s="98">
        <v>1.0115600000000001E-3</v>
      </c>
      <c r="P112" s="100">
        <v>1.0363900000000001E-3</v>
      </c>
      <c r="Q112" s="111">
        <v>-208.19575879999999</v>
      </c>
      <c r="R112" s="112">
        <v>-5.8652589999999998E-2</v>
      </c>
    </row>
    <row r="113" spans="1:18">
      <c r="A113" s="304"/>
      <c r="B113" s="107" t="s">
        <v>56</v>
      </c>
      <c r="C113" s="58">
        <v>0.52290000000000003</v>
      </c>
      <c r="D113" s="58">
        <v>0.52290000000000003</v>
      </c>
      <c r="E113" s="58">
        <v>25.833481389999999</v>
      </c>
      <c r="F113" s="58">
        <v>-25.833481389999999</v>
      </c>
      <c r="G113" s="88">
        <v>1</v>
      </c>
      <c r="H113" s="58">
        <v>1.9418534300000001</v>
      </c>
      <c r="I113" s="58">
        <v>142.62258786000001</v>
      </c>
      <c r="J113" s="58">
        <v>138.21127208999999</v>
      </c>
      <c r="K113" s="88">
        <v>0</v>
      </c>
      <c r="L113" s="101">
        <v>2.6699999999999998E-5</v>
      </c>
      <c r="M113" s="101">
        <v>6.0999999999999998E-7</v>
      </c>
      <c r="N113" s="101">
        <v>3.7400000000000002E-6</v>
      </c>
      <c r="O113" s="88">
        <v>1.0224699999999999E-3</v>
      </c>
      <c r="P113" s="59">
        <v>1.05353E-3</v>
      </c>
      <c r="Q113" s="3">
        <v>-205.37840251</v>
      </c>
      <c r="R113" s="4">
        <v>4.8080520000000002E-2</v>
      </c>
    </row>
    <row r="114" spans="1:18">
      <c r="A114" s="304"/>
      <c r="B114" s="107" t="s">
        <v>57</v>
      </c>
      <c r="C114" s="58">
        <v>0.52259999999999995</v>
      </c>
      <c r="D114" s="58">
        <v>0.52259999999999995</v>
      </c>
      <c r="E114" s="58">
        <v>26.694942869999998</v>
      </c>
      <c r="F114" s="58">
        <v>-26.694942869999998</v>
      </c>
      <c r="G114" s="88">
        <v>4</v>
      </c>
      <c r="H114" s="58">
        <v>4.7706803799999999</v>
      </c>
      <c r="I114" s="58">
        <v>125.81649618</v>
      </c>
      <c r="J114" s="58">
        <v>120.42722331</v>
      </c>
      <c r="K114" s="88">
        <v>0</v>
      </c>
      <c r="L114" s="101">
        <v>5.5109999999999999E-5</v>
      </c>
      <c r="M114" s="101">
        <v>4.0300000000000004E-6</v>
      </c>
      <c r="N114" s="101">
        <v>2.6650000000000001E-5</v>
      </c>
      <c r="O114" s="88">
        <v>1.0610299999999999E-3</v>
      </c>
      <c r="P114" s="59">
        <v>1.1468100000000001E-3</v>
      </c>
      <c r="Q114" s="3">
        <v>-198.04423385000001</v>
      </c>
      <c r="R114" s="4">
        <v>0.48712810000000001</v>
      </c>
    </row>
    <row r="115" spans="1:18">
      <c r="A115" s="304"/>
      <c r="B115" s="107" t="s">
        <v>58</v>
      </c>
      <c r="C115" s="58">
        <v>0.52239999999999998</v>
      </c>
      <c r="D115" s="58">
        <v>0.52239999999999998</v>
      </c>
      <c r="E115" s="58">
        <v>27.626716699999999</v>
      </c>
      <c r="F115" s="58">
        <v>-27.626716699999999</v>
      </c>
      <c r="G115" s="88">
        <v>7</v>
      </c>
      <c r="H115" s="58">
        <v>7.5413728600000001</v>
      </c>
      <c r="I115" s="58">
        <v>95.746729220000006</v>
      </c>
      <c r="J115" s="58">
        <v>92.073307549999996</v>
      </c>
      <c r="K115" s="88">
        <v>0</v>
      </c>
      <c r="L115" s="88">
        <v>1.0972E-4</v>
      </c>
      <c r="M115" s="101">
        <v>1.0859999999999999E-5</v>
      </c>
      <c r="N115" s="88">
        <v>7.1420000000000004E-5</v>
      </c>
      <c r="O115" s="88">
        <v>1.1053700000000001E-3</v>
      </c>
      <c r="P115" s="59">
        <v>1.2973699999999999E-3</v>
      </c>
      <c r="Q115" s="3">
        <v>-174.61241654</v>
      </c>
      <c r="R115" s="4">
        <v>0.96787548000000001</v>
      </c>
    </row>
    <row r="116" spans="1:18">
      <c r="A116" s="304"/>
      <c r="B116" s="107" t="s">
        <v>59</v>
      </c>
      <c r="C116" s="58">
        <v>0.52210000000000001</v>
      </c>
      <c r="D116" s="58">
        <v>0.52210000000000001</v>
      </c>
      <c r="E116" s="58">
        <v>28.63586403</v>
      </c>
      <c r="F116" s="58">
        <v>-28.63586403</v>
      </c>
      <c r="G116" s="88">
        <v>10</v>
      </c>
      <c r="H116" s="58">
        <v>10.134492760000001</v>
      </c>
      <c r="I116" s="58">
        <v>46.803370080000001</v>
      </c>
      <c r="J116" s="58">
        <v>46.45466098</v>
      </c>
      <c r="K116" s="88">
        <v>0</v>
      </c>
      <c r="L116" s="88">
        <v>2.2264999999999999E-4</v>
      </c>
      <c r="M116" s="101">
        <v>2.4369999999999999E-5</v>
      </c>
      <c r="N116" s="88">
        <v>1.6406E-4</v>
      </c>
      <c r="O116" s="88">
        <v>1.1548000000000001E-3</v>
      </c>
      <c r="P116" s="59">
        <v>1.56588E-3</v>
      </c>
      <c r="Q116" s="3">
        <v>-143.67061978000001</v>
      </c>
      <c r="R116" s="4">
        <v>1.45342696</v>
      </c>
    </row>
    <row r="117" spans="1:18">
      <c r="A117" s="304"/>
      <c r="B117" s="107" t="s">
        <v>60</v>
      </c>
      <c r="C117" s="58">
        <v>0.52170000000000005</v>
      </c>
      <c r="D117" s="58">
        <v>0.52170000000000005</v>
      </c>
      <c r="E117" s="58">
        <v>29.730111090000001</v>
      </c>
      <c r="F117" s="58">
        <v>-29.730111090000001</v>
      </c>
      <c r="G117" s="88">
        <v>13</v>
      </c>
      <c r="H117" s="58">
        <v>12.74361931</v>
      </c>
      <c r="I117" s="58">
        <v>2.6635052899999998</v>
      </c>
      <c r="J117" s="58">
        <v>3.4315919899999998</v>
      </c>
      <c r="K117" s="88">
        <v>0</v>
      </c>
      <c r="L117" s="88">
        <v>3.6912000000000002E-4</v>
      </c>
      <c r="M117" s="101">
        <v>4.0689999999999998E-5</v>
      </c>
      <c r="N117" s="88">
        <v>2.7858000000000001E-4</v>
      </c>
      <c r="O117" s="88">
        <v>1.20666E-3</v>
      </c>
      <c r="P117" s="59">
        <v>1.8950499999999999E-3</v>
      </c>
      <c r="Q117" s="3">
        <v>-140.26185713000001</v>
      </c>
      <c r="R117" s="4">
        <v>1.9534487199999999</v>
      </c>
    </row>
    <row r="118" spans="1:18">
      <c r="A118" s="304"/>
      <c r="B118" s="107" t="s">
        <v>61</v>
      </c>
      <c r="C118" s="58">
        <v>0.52129999999999999</v>
      </c>
      <c r="D118" s="58">
        <v>0.52129999999999999</v>
      </c>
      <c r="E118" s="58">
        <v>30.917922529999998</v>
      </c>
      <c r="F118" s="58">
        <v>-30.917922529999998</v>
      </c>
      <c r="G118" s="88">
        <v>16</v>
      </c>
      <c r="H118" s="58">
        <v>15.39957396</v>
      </c>
      <c r="I118" s="58">
        <v>-34.26351648</v>
      </c>
      <c r="J118" s="58">
        <v>-34.508401839999998</v>
      </c>
      <c r="K118" s="88">
        <v>0</v>
      </c>
      <c r="L118" s="88">
        <v>5.3938E-4</v>
      </c>
      <c r="M118" s="88">
        <v>5.8879999999999999E-5</v>
      </c>
      <c r="N118" s="88">
        <v>4.0694E-4</v>
      </c>
      <c r="O118" s="88">
        <v>1.26217E-3</v>
      </c>
      <c r="P118" s="59">
        <v>2.2673699999999999E-3</v>
      </c>
      <c r="Q118" s="3">
        <v>-164.88034938999999</v>
      </c>
      <c r="R118" s="4">
        <v>2.4677988399999999</v>
      </c>
    </row>
    <row r="119" spans="1:18">
      <c r="A119" s="304"/>
      <c r="B119" s="107" t="s">
        <v>62</v>
      </c>
      <c r="C119" s="58">
        <v>0.52080000000000004</v>
      </c>
      <c r="D119" s="58">
        <v>0.52080000000000004</v>
      </c>
      <c r="E119" s="58">
        <v>32.208585329999998</v>
      </c>
      <c r="F119" s="58">
        <v>-32.208585329999998</v>
      </c>
      <c r="G119" s="88">
        <v>19</v>
      </c>
      <c r="H119" s="58">
        <v>18.090363109999998</v>
      </c>
      <c r="I119" s="58">
        <v>-65.925292900000002</v>
      </c>
      <c r="J119" s="58">
        <v>-68.87040279</v>
      </c>
      <c r="K119" s="88">
        <v>0</v>
      </c>
      <c r="L119" s="88">
        <v>7.3678000000000003E-4</v>
      </c>
      <c r="M119" s="88">
        <v>7.949E-5</v>
      </c>
      <c r="N119" s="88">
        <v>5.5208000000000004E-4</v>
      </c>
      <c r="O119" s="88">
        <v>1.3221999999999999E-3</v>
      </c>
      <c r="P119" s="59">
        <v>2.6905399999999999E-3</v>
      </c>
      <c r="Q119" s="3">
        <v>-214.6576149</v>
      </c>
      <c r="R119" s="4">
        <v>2.9938321999999999</v>
      </c>
    </row>
    <row r="120" spans="1:18">
      <c r="A120" s="304"/>
      <c r="B120" s="107" t="s">
        <v>63</v>
      </c>
      <c r="C120" s="58">
        <v>0.52029999999999998</v>
      </c>
      <c r="D120" s="58">
        <v>0.52029999999999998</v>
      </c>
      <c r="E120" s="58">
        <v>33.61230466</v>
      </c>
      <c r="F120" s="58">
        <v>-33.61230466</v>
      </c>
      <c r="G120" s="88">
        <v>22</v>
      </c>
      <c r="H120" s="58">
        <v>20.80631584</v>
      </c>
      <c r="I120" s="58">
        <v>-93.657832150000004</v>
      </c>
      <c r="J120" s="58">
        <v>-100.74289611</v>
      </c>
      <c r="K120" s="88">
        <v>0</v>
      </c>
      <c r="L120" s="88">
        <v>9.6506000000000001E-4</v>
      </c>
      <c r="M120" s="88">
        <v>1.0299E-4</v>
      </c>
      <c r="N120" s="88">
        <v>7.1690999999999996E-4</v>
      </c>
      <c r="O120" s="88">
        <v>1.3874200000000001E-3</v>
      </c>
      <c r="P120" s="59">
        <v>3.1723799999999998E-3</v>
      </c>
      <c r="Q120" s="3">
        <v>-288.43768850999999</v>
      </c>
      <c r="R120" s="4">
        <v>3.5295791900000002</v>
      </c>
    </row>
    <row r="121" spans="1:18" ht="15.75" thickBot="1">
      <c r="A121" s="305"/>
      <c r="B121" s="108" t="s">
        <v>64</v>
      </c>
      <c r="C121" s="60">
        <v>0.51970000000000005</v>
      </c>
      <c r="D121" s="60">
        <v>0.51970000000000005</v>
      </c>
      <c r="E121" s="60">
        <v>35.140313659999997</v>
      </c>
      <c r="F121" s="60">
        <v>-35.140313659999997</v>
      </c>
      <c r="G121" s="102">
        <v>25</v>
      </c>
      <c r="H121" s="60">
        <v>23.541631670000001</v>
      </c>
      <c r="I121" s="60">
        <v>-118.29988367</v>
      </c>
      <c r="J121" s="60">
        <v>-130.79867859999999</v>
      </c>
      <c r="K121" s="102">
        <v>0</v>
      </c>
      <c r="L121" s="102">
        <v>1.22766E-3</v>
      </c>
      <c r="M121" s="102">
        <v>1.2977E-4</v>
      </c>
      <c r="N121" s="102">
        <v>9.0390999999999996E-4</v>
      </c>
      <c r="O121" s="102">
        <v>1.4584699999999999E-3</v>
      </c>
      <c r="P121" s="61">
        <v>3.71981E-3</v>
      </c>
      <c r="Q121" s="5">
        <v>-385.45939766999999</v>
      </c>
      <c r="R121" s="6">
        <v>4.0737236399999999</v>
      </c>
    </row>
    <row r="122" spans="1:18">
      <c r="A122" s="307" t="s">
        <v>40</v>
      </c>
      <c r="B122" s="106" t="s">
        <v>55</v>
      </c>
      <c r="C122" s="116">
        <v>0.44829999999999998</v>
      </c>
      <c r="D122" s="116">
        <v>0.44829999999999998</v>
      </c>
      <c r="E122" s="116">
        <v>21.24191764</v>
      </c>
      <c r="F122" s="116">
        <v>-21.24191764</v>
      </c>
      <c r="G122" s="98">
        <v>0.1</v>
      </c>
      <c r="H122" s="116">
        <v>1.1024615799999999</v>
      </c>
      <c r="I122" s="116">
        <v>127.77565259000001</v>
      </c>
      <c r="J122" s="116">
        <v>122.76314377999999</v>
      </c>
      <c r="K122" s="98">
        <v>0</v>
      </c>
      <c r="L122" s="99">
        <v>2.3710000000000002E-5</v>
      </c>
      <c r="M122" s="99">
        <v>2.6E-7</v>
      </c>
      <c r="N122" s="99">
        <v>1.1400000000000001E-6</v>
      </c>
      <c r="O122" s="98">
        <v>7.2092E-4</v>
      </c>
      <c r="P122" s="100">
        <v>7.4602000000000002E-4</v>
      </c>
      <c r="Q122" s="111">
        <v>-198.98577691</v>
      </c>
      <c r="R122" s="112">
        <v>-5.7582750000000002E-2</v>
      </c>
    </row>
    <row r="123" spans="1:18">
      <c r="A123" s="304"/>
      <c r="B123" s="107" t="s">
        <v>56</v>
      </c>
      <c r="C123" s="58">
        <v>0.44819999999999999</v>
      </c>
      <c r="D123" s="58">
        <v>0.44819999999999999</v>
      </c>
      <c r="E123" s="58">
        <v>21.45247092</v>
      </c>
      <c r="F123" s="58">
        <v>-21.45247092</v>
      </c>
      <c r="G123" s="88">
        <v>1</v>
      </c>
      <c r="H123" s="58">
        <v>1.9518146700000001</v>
      </c>
      <c r="I123" s="58">
        <v>123.82154423</v>
      </c>
      <c r="J123" s="58">
        <v>118.63677116</v>
      </c>
      <c r="K123" s="88">
        <v>0</v>
      </c>
      <c r="L123" s="101">
        <v>2.6319999999999999E-5</v>
      </c>
      <c r="M123" s="101">
        <v>6.1999999999999999E-7</v>
      </c>
      <c r="N123" s="101">
        <v>3.2100000000000002E-6</v>
      </c>
      <c r="O123" s="88">
        <v>7.2889999999999999E-4</v>
      </c>
      <c r="P123" s="59">
        <v>7.5904E-4</v>
      </c>
      <c r="Q123" s="3">
        <v>-196.02824237999999</v>
      </c>
      <c r="R123" s="4">
        <v>4.941972E-2</v>
      </c>
    </row>
    <row r="124" spans="1:18">
      <c r="A124" s="304"/>
      <c r="B124" s="107" t="s">
        <v>57</v>
      </c>
      <c r="C124" s="58">
        <v>0.44800000000000001</v>
      </c>
      <c r="D124" s="58">
        <v>0.44800000000000001</v>
      </c>
      <c r="E124" s="58">
        <v>22.190655140000001</v>
      </c>
      <c r="F124" s="58">
        <v>-22.190655140000001</v>
      </c>
      <c r="G124" s="88">
        <v>4</v>
      </c>
      <c r="H124" s="58">
        <v>4.7914822700000004</v>
      </c>
      <c r="I124" s="58">
        <v>110.39594905</v>
      </c>
      <c r="J124" s="58">
        <v>104.14242634</v>
      </c>
      <c r="K124" s="88">
        <v>0</v>
      </c>
      <c r="L124" s="101">
        <v>4.778E-5</v>
      </c>
      <c r="M124" s="101">
        <v>3.9500000000000003E-6</v>
      </c>
      <c r="N124" s="101">
        <v>2.2370000000000001E-5</v>
      </c>
      <c r="O124" s="88">
        <v>7.5710999999999997E-4</v>
      </c>
      <c r="P124" s="59">
        <v>8.3120999999999998E-4</v>
      </c>
      <c r="Q124" s="3">
        <v>-188.52270795000001</v>
      </c>
      <c r="R124" s="4">
        <v>0.48986046999999999</v>
      </c>
    </row>
    <row r="125" spans="1:18">
      <c r="A125" s="304"/>
      <c r="B125" s="107" t="s">
        <v>58</v>
      </c>
      <c r="C125" s="58">
        <v>0.44779999999999998</v>
      </c>
      <c r="D125" s="58">
        <v>0.44779999999999998</v>
      </c>
      <c r="E125" s="58">
        <v>22.98905645</v>
      </c>
      <c r="F125" s="58">
        <v>-22.98905645</v>
      </c>
      <c r="G125" s="88">
        <v>7</v>
      </c>
      <c r="H125" s="58">
        <v>7.5666554399999999</v>
      </c>
      <c r="I125" s="58">
        <v>85.095027459999997</v>
      </c>
      <c r="J125" s="58">
        <v>80.274328209999993</v>
      </c>
      <c r="K125" s="88">
        <v>0</v>
      </c>
      <c r="L125" s="101">
        <v>8.844E-5</v>
      </c>
      <c r="M125" s="101">
        <v>1.0699999999999999E-5</v>
      </c>
      <c r="N125" s="101">
        <v>6.033E-5</v>
      </c>
      <c r="O125" s="88">
        <v>7.8980999999999995E-4</v>
      </c>
      <c r="P125" s="59">
        <v>9.4927E-4</v>
      </c>
      <c r="Q125" s="3">
        <v>-165.64010977999999</v>
      </c>
      <c r="R125" s="4">
        <v>0.97103790000000001</v>
      </c>
    </row>
    <row r="126" spans="1:18">
      <c r="A126" s="304"/>
      <c r="B126" s="107" t="s">
        <v>59</v>
      </c>
      <c r="C126" s="58">
        <v>0.44750000000000001</v>
      </c>
      <c r="D126" s="58">
        <v>0.44750000000000001</v>
      </c>
      <c r="E126" s="58">
        <v>23.853726890000001</v>
      </c>
      <c r="F126" s="58">
        <v>-23.853726890000001</v>
      </c>
      <c r="G126" s="88">
        <v>10</v>
      </c>
      <c r="H126" s="58">
        <v>10.16345937</v>
      </c>
      <c r="I126" s="58">
        <v>43.314775130000001</v>
      </c>
      <c r="J126" s="58">
        <v>41.491485429999997</v>
      </c>
      <c r="K126" s="88">
        <v>0</v>
      </c>
      <c r="L126" s="88">
        <v>1.7699999999999999E-4</v>
      </c>
      <c r="M126" s="101">
        <v>2.4870000000000001E-5</v>
      </c>
      <c r="N126" s="88">
        <v>1.4362000000000001E-4</v>
      </c>
      <c r="O126" s="88">
        <v>8.2622999999999995E-4</v>
      </c>
      <c r="P126" s="59">
        <v>1.17172E-3</v>
      </c>
      <c r="Q126" s="3">
        <v>-133.12390285000001</v>
      </c>
      <c r="R126" s="4">
        <v>1.4567926099999999</v>
      </c>
    </row>
    <row r="127" spans="1:18">
      <c r="A127" s="304"/>
      <c r="B127" s="107" t="s">
        <v>60</v>
      </c>
      <c r="C127" s="58">
        <v>0.44719999999999999</v>
      </c>
      <c r="D127" s="58">
        <v>0.44719999999999999</v>
      </c>
      <c r="E127" s="58">
        <v>24.791288810000001</v>
      </c>
      <c r="F127" s="58">
        <v>-24.791288810000001</v>
      </c>
      <c r="G127" s="88">
        <v>13</v>
      </c>
      <c r="H127" s="58">
        <v>12.784396320000001</v>
      </c>
      <c r="I127" s="58">
        <v>6.4324407499999996</v>
      </c>
      <c r="J127" s="58">
        <v>5.5216801699999998</v>
      </c>
      <c r="K127" s="88">
        <v>0</v>
      </c>
      <c r="L127" s="88">
        <v>2.9020000000000001E-4</v>
      </c>
      <c r="M127" s="101">
        <v>4.159E-5</v>
      </c>
      <c r="N127" s="88">
        <v>2.4436E-4</v>
      </c>
      <c r="O127" s="88">
        <v>8.6428999999999998E-4</v>
      </c>
      <c r="P127" s="59">
        <v>1.44045E-3</v>
      </c>
      <c r="Q127" s="3">
        <v>-127.22817822</v>
      </c>
      <c r="R127" s="4">
        <v>1.95790313</v>
      </c>
    </row>
    <row r="128" spans="1:18">
      <c r="A128" s="304"/>
      <c r="B128" s="107" t="s">
        <v>61</v>
      </c>
      <c r="C128" s="58">
        <v>0.44679999999999997</v>
      </c>
      <c r="D128" s="58">
        <v>0.44679999999999997</v>
      </c>
      <c r="E128" s="58">
        <v>25.808997739999999</v>
      </c>
      <c r="F128" s="58">
        <v>-25.808997739999999</v>
      </c>
      <c r="G128" s="88">
        <v>16</v>
      </c>
      <c r="H128" s="58">
        <v>15.454251380000001</v>
      </c>
      <c r="I128" s="58">
        <v>-24.015461850000001</v>
      </c>
      <c r="J128" s="58">
        <v>-25.945586070000001</v>
      </c>
      <c r="K128" s="88">
        <v>0</v>
      </c>
      <c r="L128" s="88">
        <v>4.2001000000000001E-4</v>
      </c>
      <c r="M128" s="88">
        <v>5.9920000000000002E-5</v>
      </c>
      <c r="N128" s="88">
        <v>3.5539000000000002E-4</v>
      </c>
      <c r="O128" s="88">
        <v>9.0501000000000004E-4</v>
      </c>
      <c r="P128" s="59">
        <v>1.7403200000000001E-3</v>
      </c>
      <c r="Q128" s="3">
        <v>-147.39433765999999</v>
      </c>
      <c r="R128" s="4">
        <v>2.4736712999999999</v>
      </c>
    </row>
    <row r="129" spans="1:18">
      <c r="A129" s="304"/>
      <c r="B129" s="107" t="s">
        <v>62</v>
      </c>
      <c r="C129" s="58">
        <v>0.44640000000000002</v>
      </c>
      <c r="D129" s="58">
        <v>0.44640000000000002</v>
      </c>
      <c r="E129" s="58">
        <v>26.914814209999999</v>
      </c>
      <c r="F129" s="58">
        <v>-26.914814209999999</v>
      </c>
      <c r="G129" s="88">
        <v>19</v>
      </c>
      <c r="H129" s="58">
        <v>18.159369860000002</v>
      </c>
      <c r="I129" s="58">
        <v>-49.861719829999998</v>
      </c>
      <c r="J129" s="58">
        <v>-54.334047470000002</v>
      </c>
      <c r="K129" s="88">
        <v>0</v>
      </c>
      <c r="L129" s="88">
        <v>5.6917999999999997E-4</v>
      </c>
      <c r="M129" s="88">
        <v>8.0459999999999999E-5</v>
      </c>
      <c r="N129" s="88">
        <v>4.7962999999999999E-4</v>
      </c>
      <c r="O129" s="88">
        <v>9.4901999999999996E-4</v>
      </c>
      <c r="P129" s="59">
        <v>2.07829E-3</v>
      </c>
      <c r="Q129" s="3">
        <v>-190.53598398</v>
      </c>
      <c r="R129" s="4">
        <v>3.0012721600000001</v>
      </c>
    </row>
    <row r="130" spans="1:18" ht="15.75" thickBot="1">
      <c r="A130" s="305"/>
      <c r="B130" s="108" t="s">
        <v>63</v>
      </c>
      <c r="C130" s="60">
        <v>0.44590000000000002</v>
      </c>
      <c r="D130" s="60">
        <v>0.44590000000000002</v>
      </c>
      <c r="E130" s="60">
        <v>28.117486</v>
      </c>
      <c r="F130" s="60">
        <v>-28.117486</v>
      </c>
      <c r="G130" s="102">
        <v>22</v>
      </c>
      <c r="H130" s="60">
        <v>20.889807640000001</v>
      </c>
      <c r="I130" s="60">
        <v>-72.295397910000005</v>
      </c>
      <c r="J130" s="60">
        <v>-80.586392399999994</v>
      </c>
      <c r="K130" s="102">
        <v>0</v>
      </c>
      <c r="L130" s="102">
        <v>7.4067999999999996E-4</v>
      </c>
      <c r="M130" s="102">
        <v>1.0372E-4</v>
      </c>
      <c r="N130" s="102">
        <v>6.1976999999999996E-4</v>
      </c>
      <c r="O130" s="102">
        <v>9.9683999999999992E-4</v>
      </c>
      <c r="P130" s="61">
        <v>2.46101E-3</v>
      </c>
      <c r="Q130" s="5">
        <v>-255.14986554999999</v>
      </c>
      <c r="R130" s="6">
        <v>3.5386735699999998</v>
      </c>
    </row>
    <row r="132" spans="1:18" s="1" customFormat="1">
      <c r="B132" s="266" t="s">
        <v>73</v>
      </c>
      <c r="C132" s="266"/>
      <c r="D132" s="266"/>
      <c r="E132" s="266"/>
      <c r="F132" s="266"/>
      <c r="G132" s="266"/>
      <c r="H132" s="266"/>
      <c r="I132" s="266"/>
      <c r="J132" s="121"/>
      <c r="K132" s="121"/>
      <c r="L132" s="121"/>
      <c r="M132" s="121"/>
      <c r="N132" s="121"/>
      <c r="O132" s="121"/>
      <c r="P132" s="121"/>
    </row>
    <row r="133" spans="1:18" s="96" customFormat="1" ht="15.75" thickBot="1">
      <c r="B133" s="306" t="s">
        <v>16</v>
      </c>
      <c r="C133" s="306"/>
      <c r="D133" s="306"/>
      <c r="E133" s="120"/>
      <c r="G133" s="306" t="s">
        <v>19</v>
      </c>
      <c r="H133" s="306"/>
      <c r="I133" s="306"/>
      <c r="J133" s="120"/>
      <c r="K133" s="120"/>
      <c r="L133" s="120"/>
      <c r="M133" s="120"/>
      <c r="N133" s="120"/>
      <c r="O133" s="120"/>
      <c r="P133" s="120"/>
    </row>
    <row r="134" spans="1:18" ht="15.75" thickBot="1">
      <c r="A134" s="97"/>
      <c r="B134" s="103" t="s">
        <v>41</v>
      </c>
      <c r="C134" s="104" t="s">
        <v>47</v>
      </c>
      <c r="D134" s="105" t="s">
        <v>67</v>
      </c>
      <c r="F134" s="97"/>
      <c r="G134" s="103" t="s">
        <v>41</v>
      </c>
      <c r="H134" s="104" t="s">
        <v>47</v>
      </c>
      <c r="I134" s="105" t="s">
        <v>67</v>
      </c>
    </row>
    <row r="135" spans="1:18" ht="15" customHeight="1">
      <c r="A135" s="301" t="s">
        <v>40</v>
      </c>
      <c r="B135" s="115" t="s">
        <v>56</v>
      </c>
      <c r="C135" s="116">
        <v>1.0375798461538499</v>
      </c>
      <c r="D135" s="117">
        <v>8.9747141538461506</v>
      </c>
      <c r="F135" s="301" t="s">
        <v>68</v>
      </c>
      <c r="G135" s="115" t="s">
        <v>56</v>
      </c>
      <c r="H135" s="123">
        <v>1.1228956140350872</v>
      </c>
      <c r="I135" s="124">
        <v>10.613948026315768</v>
      </c>
    </row>
    <row r="136" spans="1:18">
      <c r="A136" s="302"/>
      <c r="B136" s="115" t="s">
        <v>57</v>
      </c>
      <c r="C136" s="58">
        <v>20.707287460317499</v>
      </c>
      <c r="D136" s="118">
        <v>8.1228828571428604</v>
      </c>
      <c r="F136" s="302"/>
      <c r="G136" s="115" t="s">
        <v>57</v>
      </c>
      <c r="H136" s="87">
        <v>41.60358408333331</v>
      </c>
      <c r="I136" s="125">
        <v>9.0017586250000932</v>
      </c>
      <c r="J136">
        <v>0.4</v>
      </c>
      <c r="K136">
        <v>150</v>
      </c>
      <c r="L136">
        <v>1.0375798461538499</v>
      </c>
      <c r="M136">
        <v>8.9747141538461506</v>
      </c>
      <c r="N136">
        <v>0.89700000000000002</v>
      </c>
      <c r="O136">
        <f>0.9*16</f>
        <v>14.4</v>
      </c>
    </row>
    <row r="137" spans="1:18">
      <c r="A137" s="302"/>
      <c r="B137" s="115" t="s">
        <v>58</v>
      </c>
      <c r="C137" s="58">
        <v>40.398959288537498</v>
      </c>
      <c r="D137" s="118">
        <v>6.8099597628458497</v>
      </c>
      <c r="F137" s="302"/>
      <c r="G137" s="115" t="s">
        <v>58</v>
      </c>
      <c r="H137" s="87">
        <v>80.407175213675217</v>
      </c>
      <c r="I137" s="125">
        <v>7.12198594017093</v>
      </c>
      <c r="J137">
        <v>0.4</v>
      </c>
      <c r="K137">
        <v>150</v>
      </c>
      <c r="L137">
        <v>20.707287460317499</v>
      </c>
      <c r="M137">
        <v>8.1228828571428604</v>
      </c>
      <c r="N137">
        <v>0.89700000000000002</v>
      </c>
      <c r="O137">
        <f t="shared" ref="O137:O141" si="7">0.9*16</f>
        <v>14.4</v>
      </c>
    </row>
    <row r="138" spans="1:18">
      <c r="A138" s="302"/>
      <c r="B138" s="115" t="s">
        <v>59</v>
      </c>
      <c r="C138" s="58">
        <v>62.4832626771653</v>
      </c>
      <c r="D138" s="118">
        <v>5.40826669291339</v>
      </c>
      <c r="F138" s="302"/>
      <c r="G138" s="115" t="s">
        <v>59</v>
      </c>
      <c r="H138" s="87">
        <v>120.41737139344255</v>
      </c>
      <c r="I138" s="125">
        <v>3.6826804098359958</v>
      </c>
      <c r="J138">
        <v>0.4</v>
      </c>
      <c r="K138">
        <v>150</v>
      </c>
      <c r="L138">
        <v>40.398959288537498</v>
      </c>
      <c r="M138">
        <v>6.8099597628458497</v>
      </c>
      <c r="N138">
        <v>0.89700000000000002</v>
      </c>
      <c r="O138">
        <f t="shared" si="7"/>
        <v>14.4</v>
      </c>
    </row>
    <row r="139" spans="1:18" ht="15.75" thickBot="1">
      <c r="A139" s="302"/>
      <c r="B139" s="115" t="s">
        <v>60</v>
      </c>
      <c r="C139" s="58">
        <v>80.778030404858399</v>
      </c>
      <c r="D139" s="118">
        <v>2.7975325101214499</v>
      </c>
      <c r="F139" s="302"/>
      <c r="G139" s="115" t="s">
        <v>60</v>
      </c>
      <c r="H139" s="87">
        <v>150.0357954935622</v>
      </c>
      <c r="I139" s="125">
        <v>3.6078583691164567E-2</v>
      </c>
      <c r="J139">
        <v>0.4</v>
      </c>
      <c r="K139">
        <v>150</v>
      </c>
      <c r="L139">
        <v>62.4832626771653</v>
      </c>
      <c r="M139">
        <v>5.40826669291339</v>
      </c>
      <c r="N139">
        <v>0.89700000000000002</v>
      </c>
      <c r="O139">
        <f t="shared" si="7"/>
        <v>14.4</v>
      </c>
    </row>
    <row r="140" spans="1:18" ht="15.75" thickBot="1">
      <c r="A140" s="302"/>
      <c r="B140" s="113" t="s">
        <v>61</v>
      </c>
      <c r="C140" s="58">
        <v>101.178135660377</v>
      </c>
      <c r="D140" s="118">
        <v>-0.16084018867924499</v>
      </c>
      <c r="F140" s="301" t="s">
        <v>69</v>
      </c>
      <c r="G140" s="114" t="s">
        <v>56</v>
      </c>
      <c r="H140" s="123">
        <v>1.0206788142292489</v>
      </c>
      <c r="I140" s="124">
        <v>10.424611897233149</v>
      </c>
      <c r="J140">
        <v>0.4</v>
      </c>
      <c r="K140">
        <v>150</v>
      </c>
      <c r="L140">
        <v>80.778030404858399</v>
      </c>
      <c r="M140">
        <v>2.7975325101214499</v>
      </c>
      <c r="N140">
        <v>0.89700000000000002</v>
      </c>
      <c r="O140">
        <f t="shared" si="7"/>
        <v>14.4</v>
      </c>
    </row>
    <row r="141" spans="1:18" ht="15" customHeight="1">
      <c r="A141" s="301" t="s">
        <v>65</v>
      </c>
      <c r="B141" s="115" t="s">
        <v>56</v>
      </c>
      <c r="C141" s="116">
        <v>0.97640361010830401</v>
      </c>
      <c r="D141" s="117">
        <v>8.5374763176895296</v>
      </c>
      <c r="F141" s="302"/>
      <c r="G141" s="115" t="s">
        <v>57</v>
      </c>
      <c r="H141" s="87">
        <v>39.936025624999971</v>
      </c>
      <c r="I141" s="125">
        <v>8.6661454687501305</v>
      </c>
      <c r="J141">
        <v>0.4</v>
      </c>
      <c r="K141">
        <v>150</v>
      </c>
      <c r="L141">
        <v>101.178135660377</v>
      </c>
      <c r="M141">
        <v>-0.16084018867924499</v>
      </c>
      <c r="N141">
        <v>0.89700000000000002</v>
      </c>
      <c r="O141">
        <f t="shared" si="7"/>
        <v>14.4</v>
      </c>
    </row>
    <row r="142" spans="1:18">
      <c r="A142" s="302"/>
      <c r="B142" s="115" t="s">
        <v>57</v>
      </c>
      <c r="C142" s="58">
        <v>20.519659111969101</v>
      </c>
      <c r="D142" s="118">
        <v>7.39211953667954</v>
      </c>
      <c r="F142" s="302"/>
      <c r="G142" s="115" t="s">
        <v>58</v>
      </c>
      <c r="H142" s="87">
        <v>80.985176956521769</v>
      </c>
      <c r="I142" s="125">
        <v>6.4575066798420835</v>
      </c>
      <c r="J142">
        <v>0.4</v>
      </c>
      <c r="K142">
        <v>125</v>
      </c>
      <c r="L142">
        <v>0.97640361010830401</v>
      </c>
      <c r="M142">
        <v>8.5374763176895296</v>
      </c>
      <c r="N142">
        <v>0.74750000000000005</v>
      </c>
      <c r="O142">
        <f>0.6*16</f>
        <v>9.6</v>
      </c>
    </row>
    <row r="143" spans="1:18">
      <c r="A143" s="302"/>
      <c r="B143" s="115" t="s">
        <v>58</v>
      </c>
      <c r="C143" s="58">
        <v>42.798722537313502</v>
      </c>
      <c r="D143" s="118">
        <v>5.42557313432836</v>
      </c>
      <c r="F143" s="302"/>
      <c r="G143" s="115" t="s">
        <v>59</v>
      </c>
      <c r="H143" s="87">
        <v>120.16741770161288</v>
      </c>
      <c r="I143" s="125">
        <v>2.0616127016128871</v>
      </c>
      <c r="J143">
        <v>0.4</v>
      </c>
      <c r="K143">
        <v>125</v>
      </c>
      <c r="L143">
        <v>20.519659111969101</v>
      </c>
      <c r="M143">
        <v>7.39211953667954</v>
      </c>
      <c r="N143">
        <v>0.74750000000000005</v>
      </c>
      <c r="O143">
        <f t="shared" ref="O143:O147" si="8">0.6*16</f>
        <v>9.6</v>
      </c>
    </row>
    <row r="144" spans="1:18" ht="15.75" thickBot="1">
      <c r="A144" s="302"/>
      <c r="B144" s="115" t="s">
        <v>59</v>
      </c>
      <c r="C144" s="58">
        <v>61.719679215686298</v>
      </c>
      <c r="D144" s="118">
        <v>3.8248430980392198</v>
      </c>
      <c r="F144" s="303"/>
      <c r="G144" s="113" t="s">
        <v>60</v>
      </c>
      <c r="H144" s="126">
        <v>135.10687945945946</v>
      </c>
      <c r="I144" s="127">
        <v>4.5274749035058903E-2</v>
      </c>
      <c r="J144">
        <v>0.4</v>
      </c>
      <c r="K144">
        <v>125</v>
      </c>
      <c r="L144">
        <v>42.798722537313502</v>
      </c>
      <c r="M144">
        <v>5.42557313432836</v>
      </c>
      <c r="N144">
        <v>0.74750000000000005</v>
      </c>
      <c r="O144">
        <f t="shared" si="8"/>
        <v>9.6</v>
      </c>
    </row>
    <row r="145" spans="1:15">
      <c r="A145" s="302"/>
      <c r="B145" s="115" t="s">
        <v>60</v>
      </c>
      <c r="C145" s="58">
        <v>82.858532829457403</v>
      </c>
      <c r="D145" s="118">
        <v>1.3396687984496101</v>
      </c>
      <c r="F145" s="304" t="s">
        <v>40</v>
      </c>
      <c r="G145" s="115" t="s">
        <v>56</v>
      </c>
      <c r="H145" s="58">
        <v>1.0374431481481501</v>
      </c>
      <c r="I145" s="118">
        <v>10.0338241111111</v>
      </c>
      <c r="J145">
        <v>0.4</v>
      </c>
      <c r="K145">
        <v>125</v>
      </c>
      <c r="L145">
        <v>61.719679215686298</v>
      </c>
      <c r="M145">
        <v>3.8248430980392198</v>
      </c>
      <c r="N145">
        <v>0.74750000000000005</v>
      </c>
      <c r="O145">
        <f t="shared" si="8"/>
        <v>9.6</v>
      </c>
    </row>
    <row r="146" spans="1:15" ht="15.75" thickBot="1">
      <c r="A146" s="302"/>
      <c r="B146" s="113" t="s">
        <v>61</v>
      </c>
      <c r="C146" s="60">
        <v>100.992924822134</v>
      </c>
      <c r="D146" s="119">
        <v>-0.444192964426875</v>
      </c>
      <c r="F146" s="304"/>
      <c r="G146" s="115" t="s">
        <v>57</v>
      </c>
      <c r="H146" s="58">
        <v>20.8033364919355</v>
      </c>
      <c r="I146" s="118">
        <v>8.9000419758064506</v>
      </c>
      <c r="J146">
        <v>0.4</v>
      </c>
      <c r="K146">
        <v>125</v>
      </c>
      <c r="L146">
        <v>82.858532829457403</v>
      </c>
      <c r="M146">
        <v>1.3396687984496101</v>
      </c>
      <c r="N146">
        <v>0.74750000000000005</v>
      </c>
      <c r="O146">
        <f t="shared" si="8"/>
        <v>9.6</v>
      </c>
    </row>
    <row r="147" spans="1:15" ht="15" customHeight="1">
      <c r="A147" s="301" t="s">
        <v>66</v>
      </c>
      <c r="B147" s="115" t="s">
        <v>56</v>
      </c>
      <c r="C147" s="58">
        <v>1.0491182889733801</v>
      </c>
      <c r="D147" s="118">
        <v>6.5900951330798501</v>
      </c>
      <c r="F147" s="304"/>
      <c r="G147" s="115" t="s">
        <v>58</v>
      </c>
      <c r="H147" s="58">
        <v>42.796822341920397</v>
      </c>
      <c r="I147" s="118">
        <v>7.2910120843091404</v>
      </c>
      <c r="J147">
        <v>0.4</v>
      </c>
      <c r="K147">
        <v>125</v>
      </c>
      <c r="L147">
        <v>100.992924822134</v>
      </c>
      <c r="M147">
        <v>-0.444192964426875</v>
      </c>
      <c r="N147">
        <v>0.74750000000000005</v>
      </c>
      <c r="O147">
        <f t="shared" si="8"/>
        <v>9.6</v>
      </c>
    </row>
    <row r="148" spans="1:15">
      <c r="A148" s="302"/>
      <c r="B148" s="115" t="s">
        <v>57</v>
      </c>
      <c r="C148" s="58">
        <v>19.784136655290101</v>
      </c>
      <c r="D148" s="118">
        <v>6.1881575085324299</v>
      </c>
      <c r="F148" s="304"/>
      <c r="G148" s="115" t="s">
        <v>59</v>
      </c>
      <c r="H148" s="58">
        <v>59.017295693430697</v>
      </c>
      <c r="I148" s="118">
        <v>6.0440704379562096</v>
      </c>
      <c r="J148">
        <v>0.4</v>
      </c>
      <c r="K148">
        <v>100</v>
      </c>
      <c r="L148">
        <v>1.0491182889733801</v>
      </c>
      <c r="M148">
        <v>6.5900951330798501</v>
      </c>
      <c r="N148">
        <v>0.59799999999999998</v>
      </c>
      <c r="O148">
        <f>0.37*16</f>
        <v>5.92</v>
      </c>
    </row>
    <row r="149" spans="1:15">
      <c r="A149" s="302"/>
      <c r="B149" s="115" t="s">
        <v>58</v>
      </c>
      <c r="C149" s="58">
        <v>40.1088174206349</v>
      </c>
      <c r="D149" s="118">
        <v>4.8307950396825401</v>
      </c>
      <c r="F149" s="304"/>
      <c r="G149" s="115" t="s">
        <v>60</v>
      </c>
      <c r="H149" s="58">
        <v>81.1664015510204</v>
      </c>
      <c r="I149" s="118">
        <v>3.9113181632653</v>
      </c>
      <c r="J149">
        <v>0.4</v>
      </c>
      <c r="K149">
        <v>100</v>
      </c>
      <c r="L149">
        <v>19.784136655290101</v>
      </c>
      <c r="M149">
        <v>6.1881575085324299</v>
      </c>
      <c r="N149">
        <v>0.59799999999999998</v>
      </c>
      <c r="O149">
        <f t="shared" ref="O149:O153" si="9">0.37*16</f>
        <v>5.92</v>
      </c>
    </row>
    <row r="150" spans="1:15">
      <c r="A150" s="302"/>
      <c r="B150" s="115" t="s">
        <v>59</v>
      </c>
      <c r="C150" s="58">
        <v>60.581330184615403</v>
      </c>
      <c r="D150" s="118">
        <v>2.7504055692307698</v>
      </c>
      <c r="F150" s="304"/>
      <c r="G150" s="115" t="s">
        <v>61</v>
      </c>
      <c r="H150" s="58">
        <v>99.183046734693903</v>
      </c>
      <c r="I150" s="118">
        <v>1.815564</v>
      </c>
      <c r="J150">
        <v>0.4</v>
      </c>
      <c r="K150">
        <v>100</v>
      </c>
      <c r="L150">
        <v>40.1088174206349</v>
      </c>
      <c r="M150">
        <v>4.8307950396825401</v>
      </c>
      <c r="N150">
        <v>0.59799999999999998</v>
      </c>
      <c r="O150">
        <f t="shared" si="9"/>
        <v>5.92</v>
      </c>
    </row>
    <row r="151" spans="1:15" ht="15.75" thickBot="1">
      <c r="A151" s="302"/>
      <c r="B151" s="115" t="s">
        <v>60</v>
      </c>
      <c r="C151" s="58">
        <v>80.3682073828124</v>
      </c>
      <c r="D151" s="118">
        <v>0.2685023828125</v>
      </c>
      <c r="F151" s="305"/>
      <c r="G151" s="113" t="s">
        <v>62</v>
      </c>
      <c r="H151" s="60">
        <v>120.069799844358</v>
      </c>
      <c r="I151" s="119">
        <v>-1.37076750972763</v>
      </c>
      <c r="J151">
        <v>0.4</v>
      </c>
      <c r="K151">
        <v>100</v>
      </c>
      <c r="L151">
        <v>60.581330184615403</v>
      </c>
      <c r="M151">
        <v>2.7504055692307698</v>
      </c>
      <c r="N151">
        <v>0.59799999999999998</v>
      </c>
      <c r="O151">
        <f t="shared" si="9"/>
        <v>5.92</v>
      </c>
    </row>
    <row r="152" spans="1:15" ht="15.75" thickBot="1">
      <c r="A152" s="303"/>
      <c r="B152" s="113" t="s">
        <v>61</v>
      </c>
      <c r="C152" s="60">
        <v>98.819013134920596</v>
      </c>
      <c r="D152" s="119">
        <v>-2.1065932539682501</v>
      </c>
      <c r="F152" s="122"/>
      <c r="J152">
        <v>0.4</v>
      </c>
      <c r="K152">
        <v>100</v>
      </c>
      <c r="L152">
        <v>80.3682073828124</v>
      </c>
      <c r="M152">
        <v>0.2685023828125</v>
      </c>
      <c r="N152">
        <v>0.59799999999999998</v>
      </c>
      <c r="O152">
        <f t="shared" si="9"/>
        <v>5.92</v>
      </c>
    </row>
    <row r="153" spans="1:15">
      <c r="F153" s="122"/>
      <c r="J153">
        <v>0.4</v>
      </c>
      <c r="K153">
        <v>100</v>
      </c>
      <c r="L153">
        <v>98.819013134920596</v>
      </c>
      <c r="M153">
        <v>-2.1065932539682501</v>
      </c>
      <c r="N153">
        <v>0.59799999999999998</v>
      </c>
      <c r="O153">
        <f t="shared" si="9"/>
        <v>5.92</v>
      </c>
    </row>
    <row r="154" spans="1:15">
      <c r="J154">
        <v>0.8</v>
      </c>
      <c r="K154">
        <v>200</v>
      </c>
      <c r="L154">
        <v>1.1228956140350872</v>
      </c>
      <c r="M154">
        <v>10.613948026315768</v>
      </c>
      <c r="N154">
        <v>0.59770000000000001</v>
      </c>
      <c r="O154">
        <f>1.75*16</f>
        <v>28</v>
      </c>
    </row>
    <row r="155" spans="1:15">
      <c r="J155">
        <v>0.8</v>
      </c>
      <c r="K155">
        <v>200</v>
      </c>
      <c r="L155">
        <v>41.60358408333331</v>
      </c>
      <c r="M155">
        <v>9.0017586250000932</v>
      </c>
      <c r="N155">
        <v>0.59770000000000001</v>
      </c>
      <c r="O155">
        <f t="shared" ref="O155:O159" si="10">1.75*16</f>
        <v>28</v>
      </c>
    </row>
    <row r="156" spans="1:15">
      <c r="J156">
        <v>0.8</v>
      </c>
      <c r="K156">
        <v>200</v>
      </c>
      <c r="L156">
        <v>80.407175213675217</v>
      </c>
      <c r="M156">
        <v>7.12198594017093</v>
      </c>
      <c r="N156">
        <v>0.59770000000000001</v>
      </c>
      <c r="O156">
        <f t="shared" si="10"/>
        <v>28</v>
      </c>
    </row>
    <row r="157" spans="1:15">
      <c r="J157">
        <v>0.8</v>
      </c>
      <c r="K157">
        <v>200</v>
      </c>
      <c r="L157">
        <v>120.41737139344255</v>
      </c>
      <c r="M157">
        <v>3.6826804098359958</v>
      </c>
      <c r="N157">
        <v>0.59770000000000001</v>
      </c>
      <c r="O157">
        <f t="shared" si="10"/>
        <v>28</v>
      </c>
    </row>
    <row r="158" spans="1:15">
      <c r="J158">
        <v>0.8</v>
      </c>
      <c r="K158">
        <v>200</v>
      </c>
      <c r="L158">
        <v>150.0357954935622</v>
      </c>
      <c r="M158">
        <v>3.6078583691164567E-2</v>
      </c>
      <c r="N158">
        <v>0.59770000000000001</v>
      </c>
      <c r="O158">
        <f t="shared" si="10"/>
        <v>28</v>
      </c>
    </row>
    <row r="159" spans="1:15">
      <c r="J159">
        <v>0.8</v>
      </c>
      <c r="K159">
        <v>200</v>
      </c>
      <c r="L159">
        <v>1.0206788142292489</v>
      </c>
      <c r="M159">
        <v>10.424611897233149</v>
      </c>
      <c r="N159">
        <v>0.59770000000000001</v>
      </c>
      <c r="O159">
        <f t="shared" si="10"/>
        <v>28</v>
      </c>
    </row>
    <row r="160" spans="1:15">
      <c r="J160">
        <v>0.8</v>
      </c>
      <c r="K160">
        <v>175</v>
      </c>
      <c r="L160">
        <v>39.936025624999971</v>
      </c>
      <c r="M160">
        <v>8.6661454687501305</v>
      </c>
      <c r="N160">
        <v>0.52300000000000002</v>
      </c>
      <c r="O160">
        <f>1.3*16</f>
        <v>20.8</v>
      </c>
    </row>
    <row r="161" spans="10:15">
      <c r="J161">
        <v>0.8</v>
      </c>
      <c r="K161">
        <v>175</v>
      </c>
      <c r="L161">
        <v>80.985176956521769</v>
      </c>
      <c r="M161">
        <v>6.4575066798420835</v>
      </c>
      <c r="N161">
        <v>0.52300000000000002</v>
      </c>
      <c r="O161">
        <f t="shared" ref="O161:O164" si="11">1.3*16</f>
        <v>20.8</v>
      </c>
    </row>
    <row r="162" spans="10:15">
      <c r="J162">
        <v>0.8</v>
      </c>
      <c r="K162">
        <v>175</v>
      </c>
      <c r="L162">
        <v>120.16741770161288</v>
      </c>
      <c r="M162">
        <v>2.0616127016128871</v>
      </c>
      <c r="N162">
        <v>0.52300000000000002</v>
      </c>
      <c r="O162">
        <f t="shared" si="11"/>
        <v>20.8</v>
      </c>
    </row>
    <row r="163" spans="10:15">
      <c r="J163">
        <v>0.8</v>
      </c>
      <c r="K163">
        <v>175</v>
      </c>
      <c r="L163">
        <v>135.10687945945946</v>
      </c>
      <c r="M163">
        <v>4.5274749035058903E-2</v>
      </c>
      <c r="N163">
        <v>0.52300000000000002</v>
      </c>
      <c r="O163">
        <f t="shared" si="11"/>
        <v>20.8</v>
      </c>
    </row>
    <row r="164" spans="10:15">
      <c r="J164">
        <v>0.8</v>
      </c>
      <c r="K164">
        <v>175</v>
      </c>
      <c r="L164">
        <v>1.0374431481481501</v>
      </c>
      <c r="M164">
        <v>10.0338241111111</v>
      </c>
      <c r="N164">
        <v>0.52300000000000002</v>
      </c>
      <c r="O164">
        <f t="shared" si="11"/>
        <v>20.8</v>
      </c>
    </row>
    <row r="165" spans="10:15">
      <c r="J165">
        <v>0.8</v>
      </c>
      <c r="K165">
        <v>150</v>
      </c>
      <c r="L165">
        <v>20.8033364919355</v>
      </c>
      <c r="M165">
        <v>8.9000419758064506</v>
      </c>
      <c r="N165">
        <v>0.44829999999999998</v>
      </c>
      <c r="O165">
        <f>0.92*16</f>
        <v>14.72</v>
      </c>
    </row>
    <row r="166" spans="10:15">
      <c r="J166">
        <v>0.8</v>
      </c>
      <c r="K166">
        <v>150</v>
      </c>
      <c r="L166">
        <v>42.796822341920397</v>
      </c>
      <c r="M166">
        <v>7.2910120843091404</v>
      </c>
      <c r="N166">
        <v>0.44829999999999998</v>
      </c>
      <c r="O166">
        <f t="shared" ref="O166:O170" si="12">0.92*16</f>
        <v>14.72</v>
      </c>
    </row>
    <row r="167" spans="10:15">
      <c r="J167">
        <v>0.8</v>
      </c>
      <c r="K167">
        <v>150</v>
      </c>
      <c r="L167">
        <v>59.017295693430697</v>
      </c>
      <c r="M167">
        <v>6.0440704379562096</v>
      </c>
      <c r="N167">
        <v>0.44829999999999998</v>
      </c>
      <c r="O167">
        <f t="shared" si="12"/>
        <v>14.72</v>
      </c>
    </row>
    <row r="168" spans="10:15">
      <c r="J168">
        <v>0.8</v>
      </c>
      <c r="K168">
        <v>150</v>
      </c>
      <c r="L168">
        <v>81.1664015510204</v>
      </c>
      <c r="M168">
        <v>3.9113181632653</v>
      </c>
      <c r="N168">
        <v>0.44829999999999998</v>
      </c>
      <c r="O168">
        <f t="shared" si="12"/>
        <v>14.72</v>
      </c>
    </row>
    <row r="169" spans="10:15">
      <c r="J169">
        <v>0.8</v>
      </c>
      <c r="K169">
        <v>150</v>
      </c>
      <c r="L169">
        <v>99.183046734693903</v>
      </c>
      <c r="M169">
        <v>1.815564</v>
      </c>
      <c r="N169">
        <v>0.44829999999999998</v>
      </c>
      <c r="O169">
        <f t="shared" si="12"/>
        <v>14.72</v>
      </c>
    </row>
    <row r="170" spans="10:15">
      <c r="J170">
        <v>0.8</v>
      </c>
      <c r="K170">
        <v>150</v>
      </c>
      <c r="L170">
        <v>120.069799844358</v>
      </c>
      <c r="M170">
        <v>-1.37076750972763</v>
      </c>
      <c r="N170">
        <v>0.44829999999999998</v>
      </c>
      <c r="O170">
        <f t="shared" si="12"/>
        <v>14.72</v>
      </c>
    </row>
  </sheetData>
  <mergeCells count="29">
    <mergeCell ref="B68:P68"/>
    <mergeCell ref="A24:A33"/>
    <mergeCell ref="A14:A23"/>
    <mergeCell ref="A4:A13"/>
    <mergeCell ref="B1:Q1"/>
    <mergeCell ref="B2:P2"/>
    <mergeCell ref="B34:P34"/>
    <mergeCell ref="A36:A45"/>
    <mergeCell ref="A46:A55"/>
    <mergeCell ref="A56:A65"/>
    <mergeCell ref="B67:Q67"/>
    <mergeCell ref="B133:D133"/>
    <mergeCell ref="G133:I133"/>
    <mergeCell ref="B132:I132"/>
    <mergeCell ref="A122:A130"/>
    <mergeCell ref="Q69:R69"/>
    <mergeCell ref="Q101:R101"/>
    <mergeCell ref="A70:A79"/>
    <mergeCell ref="A80:A89"/>
    <mergeCell ref="A90:A99"/>
    <mergeCell ref="B100:P100"/>
    <mergeCell ref="A102:A111"/>
    <mergeCell ref="A112:A121"/>
    <mergeCell ref="F135:F139"/>
    <mergeCell ref="F140:F144"/>
    <mergeCell ref="F145:F151"/>
    <mergeCell ref="A141:A146"/>
    <mergeCell ref="A147:A152"/>
    <mergeCell ref="A135:A14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M37"/>
  <sheetViews>
    <sheetView topLeftCell="N1" zoomScale="130" zoomScaleNormal="130" zoomScalePageLayoutView="130" workbookViewId="0">
      <selection activeCell="O23" sqref="O23"/>
    </sheetView>
  </sheetViews>
  <sheetFormatPr defaultColWidth="11.42578125" defaultRowHeight="15"/>
  <sheetData>
    <row r="1" spans="1:37" s="1" customFormat="1" ht="15.75" thickBot="1">
      <c r="B1" s="317" t="s">
        <v>87</v>
      </c>
      <c r="C1" s="317"/>
      <c r="D1" s="317"/>
      <c r="E1" s="317"/>
      <c r="F1" s="317"/>
      <c r="G1" s="317"/>
      <c r="H1" s="317"/>
      <c r="I1" s="317"/>
      <c r="J1" s="317"/>
      <c r="K1" s="318"/>
      <c r="L1" s="318"/>
      <c r="M1" s="318"/>
      <c r="N1" s="318"/>
      <c r="O1" s="318"/>
      <c r="P1" s="318"/>
      <c r="Q1" s="318"/>
      <c r="R1" s="318"/>
      <c r="S1" s="318"/>
      <c r="T1" s="318"/>
    </row>
    <row r="2" spans="1:37" ht="15.75" thickBot="1">
      <c r="B2" s="278" t="s">
        <v>77</v>
      </c>
      <c r="C2" s="322"/>
      <c r="D2" s="322"/>
      <c r="E2" s="322"/>
      <c r="F2" s="279"/>
      <c r="G2" s="278" t="s">
        <v>84</v>
      </c>
      <c r="H2" s="322"/>
      <c r="I2" s="322"/>
      <c r="J2" s="279"/>
      <c r="K2" s="323" t="s">
        <v>16</v>
      </c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5"/>
      <c r="W2" s="335" t="s">
        <v>19</v>
      </c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7"/>
    </row>
    <row r="3" spans="1:37" ht="15.75" thickBot="1">
      <c r="A3" s="149" t="s">
        <v>28</v>
      </c>
      <c r="B3" s="150" t="s">
        <v>0</v>
      </c>
      <c r="C3" s="151" t="s">
        <v>8</v>
      </c>
      <c r="D3" s="151" t="s">
        <v>78</v>
      </c>
      <c r="E3" s="151" t="s">
        <v>79</v>
      </c>
      <c r="F3" s="152" t="s">
        <v>38</v>
      </c>
      <c r="G3" s="153" t="s">
        <v>80</v>
      </c>
      <c r="H3" s="154" t="s">
        <v>81</v>
      </c>
      <c r="I3" s="154" t="s">
        <v>82</v>
      </c>
      <c r="J3" s="155" t="s">
        <v>83</v>
      </c>
      <c r="K3" s="134" t="s">
        <v>9</v>
      </c>
      <c r="L3" s="148" t="s">
        <v>10</v>
      </c>
      <c r="M3" s="148" t="s">
        <v>12</v>
      </c>
      <c r="N3" s="148" t="s">
        <v>89</v>
      </c>
      <c r="O3" s="148" t="s">
        <v>88</v>
      </c>
      <c r="P3" s="148" t="s">
        <v>14</v>
      </c>
      <c r="Q3" s="148" t="s">
        <v>74</v>
      </c>
      <c r="R3" s="148" t="s">
        <v>91</v>
      </c>
      <c r="S3" s="148" t="s">
        <v>90</v>
      </c>
      <c r="T3" s="148" t="s">
        <v>92</v>
      </c>
      <c r="U3" s="148" t="s">
        <v>15</v>
      </c>
      <c r="V3" s="212" t="s">
        <v>97</v>
      </c>
      <c r="W3" s="134" t="s">
        <v>9</v>
      </c>
      <c r="X3" s="148" t="s">
        <v>10</v>
      </c>
      <c r="Y3" s="148" t="s">
        <v>12</v>
      </c>
      <c r="Z3" s="148" t="s">
        <v>89</v>
      </c>
      <c r="AA3" s="148" t="s">
        <v>88</v>
      </c>
      <c r="AB3" s="148" t="s">
        <v>14</v>
      </c>
      <c r="AC3" s="148" t="s">
        <v>74</v>
      </c>
      <c r="AD3" s="148" t="s">
        <v>91</v>
      </c>
      <c r="AE3" s="148" t="s">
        <v>90</v>
      </c>
      <c r="AF3" s="148" t="s">
        <v>92</v>
      </c>
      <c r="AG3" s="148" t="s">
        <v>15</v>
      </c>
      <c r="AH3" s="212" t="s">
        <v>97</v>
      </c>
      <c r="AI3" s="332"/>
      <c r="AJ3" s="332"/>
      <c r="AK3" s="332"/>
    </row>
    <row r="4" spans="1:37">
      <c r="A4" s="137">
        <v>0.2</v>
      </c>
      <c r="B4" s="156">
        <v>8.5439772929999993</v>
      </c>
      <c r="C4" s="87">
        <v>5.2119999999999997</v>
      </c>
      <c r="D4" s="87">
        <v>1.7862536974755536</v>
      </c>
      <c r="E4" s="87">
        <f>B4-(C4+D4)</f>
        <v>1.5457235955244464</v>
      </c>
      <c r="F4" s="125">
        <v>6.8548841736888841E-2</v>
      </c>
      <c r="G4" s="158">
        <f>B4-F4</f>
        <v>8.4754284512631113</v>
      </c>
      <c r="H4" s="87">
        <f>C4</f>
        <v>5.2119999999999997</v>
      </c>
      <c r="I4" s="87">
        <f>D4-F4</f>
        <v>1.7177048557386647</v>
      </c>
      <c r="J4" s="125">
        <f>E4</f>
        <v>1.5457235955244464</v>
      </c>
      <c r="K4" s="319" t="s">
        <v>17</v>
      </c>
      <c r="L4" s="173">
        <v>48.28</v>
      </c>
      <c r="M4" s="161">
        <v>99.229644993285333</v>
      </c>
      <c r="N4" s="173">
        <v>295.64880643083114</v>
      </c>
      <c r="O4" s="167">
        <v>291.64880643083177</v>
      </c>
      <c r="P4" s="173">
        <v>8.26</v>
      </c>
      <c r="Q4" s="174">
        <f t="shared" ref="Q4:Q9" si="0">L4/(P4+B$5)</f>
        <v>1.983524502840748</v>
      </c>
      <c r="R4" s="174">
        <f>L4/(J$5+I$5+P4)</f>
        <v>3.4518592423136023</v>
      </c>
      <c r="S4" s="174">
        <f t="shared" ref="S4:S9" si="1">O4/(N4-O4)</f>
        <v>72.912201607719339</v>
      </c>
      <c r="T4" s="206">
        <f t="shared" ref="T4:T9" si="2">(Q4/S4)</f>
        <v>2.7204287610357234E-2</v>
      </c>
      <c r="U4" s="174">
        <v>0.4648263875242945</v>
      </c>
      <c r="V4" s="216">
        <f t="shared" ref="V4:V9" si="3">P4+B$5</f>
        <v>24.34051101</v>
      </c>
      <c r="W4" s="320" t="s">
        <v>17</v>
      </c>
      <c r="X4" s="142">
        <v>80.25</v>
      </c>
      <c r="Y4" s="20">
        <v>151.6540317787674</v>
      </c>
      <c r="Z4" s="20">
        <v>294.0405286747303</v>
      </c>
      <c r="AA4" s="20">
        <v>290.04052867472961</v>
      </c>
      <c r="AB4" s="20">
        <v>20.97</v>
      </c>
      <c r="AC4" s="20">
        <f t="shared" ref="AC4:AC12" si="4">X4/(AB4+B$7)</f>
        <v>1.5609834319566329</v>
      </c>
      <c r="AD4" s="20">
        <f t="shared" ref="AD4:AD12" si="5">X4/(AB4+J$7+I$7)</f>
        <v>2.504829010004701</v>
      </c>
      <c r="AE4" s="20">
        <f t="shared" ref="AE4:AE12" si="6">AA4/(Z4-AA4)</f>
        <v>72.51013216867004</v>
      </c>
      <c r="AF4" s="199">
        <f>(AC4/AE4)</f>
        <v>2.1527797361140352E-2</v>
      </c>
      <c r="AG4" s="20">
        <v>0.35520028188143321</v>
      </c>
      <c r="AH4" s="21">
        <f t="shared" ref="AH4:AH12" si="7">AB4+B$7</f>
        <v>51.409898630000001</v>
      </c>
      <c r="AI4" s="43"/>
      <c r="AJ4" s="43"/>
      <c r="AK4" s="43"/>
    </row>
    <row r="5" spans="1:37">
      <c r="A5" s="137">
        <v>0.4</v>
      </c>
      <c r="B5" s="156">
        <v>16.080511009999999</v>
      </c>
      <c r="C5" s="87">
        <v>10.205</v>
      </c>
      <c r="D5" s="87">
        <v>3.8892060586588997</v>
      </c>
      <c r="E5" s="87">
        <f t="shared" ref="E5:E11" si="8">B5-(C5+D5)</f>
        <v>1.9863049513410989</v>
      </c>
      <c r="F5" s="125">
        <v>0.14884567667070056</v>
      </c>
      <c r="G5" s="158">
        <f t="shared" ref="G5:G11" si="9">B5-F5</f>
        <v>15.931665333329297</v>
      </c>
      <c r="H5" s="87">
        <f t="shared" ref="H5:H11" si="10">C5</f>
        <v>10.205</v>
      </c>
      <c r="I5" s="87">
        <f t="shared" ref="I5:I11" si="11">D5-F5</f>
        <v>3.7403603819881992</v>
      </c>
      <c r="J5" s="125">
        <f t="shared" ref="J5:J11" si="12">E5</f>
        <v>1.9863049513410989</v>
      </c>
      <c r="K5" s="320"/>
      <c r="L5" s="139">
        <v>59.65</v>
      </c>
      <c r="M5" s="162">
        <v>124.0766567447874</v>
      </c>
      <c r="N5" s="139">
        <v>295.76268558229077</v>
      </c>
      <c r="O5" s="168">
        <v>291.76268558229094</v>
      </c>
      <c r="P5" s="139">
        <v>13.69</v>
      </c>
      <c r="Q5" s="175">
        <f t="shared" si="0"/>
        <v>2.0036606015920717</v>
      </c>
      <c r="R5" s="175">
        <f>L5/(J$5+I$5+P5)</f>
        <v>3.0721032152523611</v>
      </c>
      <c r="S5" s="175">
        <f t="shared" si="1"/>
        <v>72.940671395575848</v>
      </c>
      <c r="T5" s="207">
        <f t="shared" si="2"/>
        <v>2.7469730717526709E-2</v>
      </c>
      <c r="U5" s="175">
        <v>0.58121848702244328</v>
      </c>
      <c r="V5" s="217">
        <f t="shared" si="3"/>
        <v>29.77051101</v>
      </c>
      <c r="W5" s="320"/>
      <c r="X5" s="142">
        <v>93.59</v>
      </c>
      <c r="Y5" s="22">
        <v>175.97831040396576</v>
      </c>
      <c r="Z5" s="22">
        <v>294.1582447301019</v>
      </c>
      <c r="AA5" s="22">
        <v>290.15824473010213</v>
      </c>
      <c r="AB5" s="22">
        <v>30.86</v>
      </c>
      <c r="AC5" s="22">
        <f t="shared" si="4"/>
        <v>1.5267561952247228</v>
      </c>
      <c r="AD5" s="22">
        <f t="shared" si="5"/>
        <v>2.2321537682092831</v>
      </c>
      <c r="AE5" s="22">
        <f t="shared" si="6"/>
        <v>72.539561182529653</v>
      </c>
      <c r="AF5" s="200">
        <f t="shared" ref="AF5:AF12" si="13">(AC5/AE5)</f>
        <v>2.1047221272582291E-2</v>
      </c>
      <c r="AG5" s="22">
        <v>0.41217199917040692</v>
      </c>
      <c r="AH5" s="23">
        <f t="shared" si="7"/>
        <v>61.299898630000001</v>
      </c>
      <c r="AI5" s="43"/>
      <c r="AJ5" s="43"/>
      <c r="AK5" s="43"/>
    </row>
    <row r="6" spans="1:37" ht="15.75" thickBot="1">
      <c r="A6" s="137">
        <v>0.6</v>
      </c>
      <c r="B6" s="156">
        <v>23.39008312</v>
      </c>
      <c r="C6" s="87">
        <v>14.887</v>
      </c>
      <c r="D6" s="87">
        <v>6.2138584284328644</v>
      </c>
      <c r="E6" s="87">
        <f t="shared" si="8"/>
        <v>2.289224691567135</v>
      </c>
      <c r="F6" s="125">
        <v>0.23261915444230893</v>
      </c>
      <c r="G6" s="158">
        <f t="shared" si="9"/>
        <v>23.157463965557692</v>
      </c>
      <c r="H6" s="87">
        <f t="shared" si="10"/>
        <v>14.887</v>
      </c>
      <c r="I6" s="87">
        <f t="shared" si="11"/>
        <v>5.9812392739905551</v>
      </c>
      <c r="J6" s="125">
        <f t="shared" si="12"/>
        <v>2.289224691567135</v>
      </c>
      <c r="K6" s="321"/>
      <c r="L6" s="140">
        <v>72.349999999999994</v>
      </c>
      <c r="M6" s="163">
        <v>150.23961920923753</v>
      </c>
      <c r="N6" s="140">
        <v>295.86884170720674</v>
      </c>
      <c r="O6" s="169">
        <v>291.86884170720663</v>
      </c>
      <c r="P6" s="140">
        <v>19.079999999999998</v>
      </c>
      <c r="Q6" s="176">
        <f t="shared" si="0"/>
        <v>2.0577061573258404</v>
      </c>
      <c r="R6" s="176">
        <f>L6/(J$5+I$5+P6)</f>
        <v>2.9165548463619282</v>
      </c>
      <c r="S6" s="176">
        <f t="shared" si="1"/>
        <v>72.967210426799582</v>
      </c>
      <c r="T6" s="208">
        <f t="shared" si="2"/>
        <v>2.8200422426592875E-2</v>
      </c>
      <c r="U6" s="176">
        <v>0.70377496024278996</v>
      </c>
      <c r="V6" s="218">
        <f t="shared" si="3"/>
        <v>35.160511009999993</v>
      </c>
      <c r="W6" s="334"/>
      <c r="X6" s="143">
        <v>104.46</v>
      </c>
      <c r="Y6" s="24">
        <v>200.85546781714027</v>
      </c>
      <c r="Z6" s="24">
        <v>294.27056970114194</v>
      </c>
      <c r="AA6" s="24">
        <v>290.2705697011416</v>
      </c>
      <c r="AB6" s="24">
        <v>43.29</v>
      </c>
      <c r="AC6" s="24">
        <f t="shared" si="4"/>
        <v>1.4167929420900656</v>
      </c>
      <c r="AD6" s="24">
        <f t="shared" si="5"/>
        <v>1.9217001896828025</v>
      </c>
      <c r="AE6" s="24">
        <f t="shared" si="6"/>
        <v>72.567642425279217</v>
      </c>
      <c r="AF6" s="201">
        <f t="shared" si="13"/>
        <v>1.9523755970836394E-2</v>
      </c>
      <c r="AG6" s="24">
        <v>0.47043865533460899</v>
      </c>
      <c r="AH6" s="25">
        <f t="shared" si="7"/>
        <v>73.729898629999994</v>
      </c>
      <c r="AI6" s="43"/>
      <c r="AJ6" s="43"/>
      <c r="AK6" s="43"/>
    </row>
    <row r="7" spans="1:37">
      <c r="A7" s="137">
        <v>0.8</v>
      </c>
      <c r="B7" s="156">
        <v>30.439898629999998</v>
      </c>
      <c r="C7" s="87">
        <v>19.056000000000001</v>
      </c>
      <c r="D7" s="87">
        <v>8.6515178885657491</v>
      </c>
      <c r="E7" s="87">
        <f t="shared" si="8"/>
        <v>2.7323807414342483</v>
      </c>
      <c r="F7" s="125">
        <v>0.31578358124088268</v>
      </c>
      <c r="G7" s="158">
        <f t="shared" si="9"/>
        <v>30.124115048759116</v>
      </c>
      <c r="H7" s="87">
        <f t="shared" si="10"/>
        <v>19.056000000000001</v>
      </c>
      <c r="I7" s="87">
        <f>D7-F7</f>
        <v>8.3357343073248664</v>
      </c>
      <c r="J7" s="125">
        <f t="shared" si="12"/>
        <v>2.7323807414342483</v>
      </c>
      <c r="K7" s="319" t="s">
        <v>18</v>
      </c>
      <c r="L7" s="146">
        <v>22.6</v>
      </c>
      <c r="M7" s="164">
        <v>98.819533186359024</v>
      </c>
      <c r="N7" s="146">
        <v>295.64030010002682</v>
      </c>
      <c r="O7" s="170">
        <v>289.64030010002728</v>
      </c>
      <c r="P7" s="146">
        <v>8.2200000000000006</v>
      </c>
      <c r="Q7" s="177">
        <f t="shared" si="0"/>
        <v>0.93002159463641665</v>
      </c>
      <c r="R7" s="177">
        <f>L7/(P7+I$5+J$5)</f>
        <v>1.6204590459334562</v>
      </c>
      <c r="S7" s="177">
        <f t="shared" si="1"/>
        <v>48.273383350008203</v>
      </c>
      <c r="T7" s="209">
        <f t="shared" si="2"/>
        <v>1.9265722228194695E-2</v>
      </c>
      <c r="U7" s="177">
        <v>0.46290528028151873</v>
      </c>
      <c r="V7" s="219">
        <f t="shared" si="3"/>
        <v>24.300511010000001</v>
      </c>
      <c r="W7" s="333" t="s">
        <v>18</v>
      </c>
      <c r="X7" s="144">
        <v>59.47</v>
      </c>
      <c r="Y7" s="26">
        <v>150.57633423566051</v>
      </c>
      <c r="Z7" s="26">
        <v>294.02763924048412</v>
      </c>
      <c r="AA7" s="26">
        <v>288.02763924048429</v>
      </c>
      <c r="AB7" s="26">
        <v>21.09</v>
      </c>
      <c r="AC7" s="26">
        <f t="shared" si="4"/>
        <v>1.1540872693542887</v>
      </c>
      <c r="AD7" s="26">
        <f t="shared" si="5"/>
        <v>1.8492999328421387</v>
      </c>
      <c r="AE7" s="26">
        <f t="shared" si="6"/>
        <v>48.004606540082079</v>
      </c>
      <c r="AF7" s="202">
        <f t="shared" si="13"/>
        <v>2.404117755638031E-2</v>
      </c>
      <c r="AG7" s="26">
        <v>0.35267612563840639</v>
      </c>
      <c r="AH7" s="213">
        <f t="shared" si="7"/>
        <v>51.529898629999998</v>
      </c>
      <c r="AI7" s="43"/>
      <c r="AJ7" s="43"/>
      <c r="AK7" s="43"/>
    </row>
    <row r="8" spans="1:37">
      <c r="A8" s="137">
        <v>1</v>
      </c>
      <c r="B8" s="156">
        <v>36.90648075</v>
      </c>
      <c r="C8" s="87">
        <v>23.337</v>
      </c>
      <c r="D8" s="87">
        <v>11.210221482923034</v>
      </c>
      <c r="E8" s="87">
        <f t="shared" si="8"/>
        <v>2.3592592670769648</v>
      </c>
      <c r="F8" s="125">
        <v>0.40782409051242829</v>
      </c>
      <c r="G8" s="158">
        <f t="shared" si="9"/>
        <v>36.498656659487573</v>
      </c>
      <c r="H8" s="87">
        <f t="shared" si="10"/>
        <v>23.337</v>
      </c>
      <c r="I8" s="87">
        <f t="shared" si="11"/>
        <v>10.802397392410606</v>
      </c>
      <c r="J8" s="125">
        <f t="shared" si="12"/>
        <v>2.3592592670769648</v>
      </c>
      <c r="K8" s="320"/>
      <c r="L8" s="141">
        <v>36.29</v>
      </c>
      <c r="M8" s="165">
        <v>124.52686634859801</v>
      </c>
      <c r="N8" s="141">
        <v>295.73238764727893</v>
      </c>
      <c r="O8" s="171">
        <v>289.73238764727864</v>
      </c>
      <c r="P8" s="141">
        <v>13.81</v>
      </c>
      <c r="Q8" s="178">
        <f t="shared" si="0"/>
        <v>1.2140976776161179</v>
      </c>
      <c r="R8" s="178">
        <f>L8/(P8+I$5+J$5)</f>
        <v>1.8575329709973449</v>
      </c>
      <c r="S8" s="178">
        <f t="shared" si="1"/>
        <v>48.288731274544155</v>
      </c>
      <c r="T8" s="210">
        <f t="shared" si="2"/>
        <v>2.5142463791674324E-2</v>
      </c>
      <c r="U8" s="178">
        <v>0.58332742638005208</v>
      </c>
      <c r="V8" s="220">
        <f t="shared" si="3"/>
        <v>29.890511009999997</v>
      </c>
      <c r="W8" s="320"/>
      <c r="X8" s="144">
        <v>73.209999999999994</v>
      </c>
      <c r="Y8" s="27">
        <v>176.47274664529832</v>
      </c>
      <c r="Z8" s="27">
        <v>294.12339874389329</v>
      </c>
      <c r="AA8" s="27">
        <v>288.12339874389352</v>
      </c>
      <c r="AB8" s="27">
        <v>31.53</v>
      </c>
      <c r="AC8" s="27">
        <f t="shared" si="4"/>
        <v>1.1813800186621346</v>
      </c>
      <c r="AD8" s="27">
        <f t="shared" si="5"/>
        <v>1.7186206459182896</v>
      </c>
      <c r="AE8" s="27">
        <f t="shared" si="6"/>
        <v>48.020566457317408</v>
      </c>
      <c r="AF8" s="203">
        <f t="shared" si="13"/>
        <v>2.4601542751733096E-2</v>
      </c>
      <c r="AG8" s="27">
        <v>0.41333005537395001</v>
      </c>
      <c r="AH8" s="214">
        <f t="shared" si="7"/>
        <v>61.969898630000003</v>
      </c>
    </row>
    <row r="9" spans="1:37" ht="15.75" thickBot="1">
      <c r="A9" s="137">
        <v>1.2</v>
      </c>
      <c r="B9" s="156">
        <v>43.360643439999997</v>
      </c>
      <c r="C9" s="87">
        <v>27.193000000000001</v>
      </c>
      <c r="D9" s="87">
        <v>13.897497853665655</v>
      </c>
      <c r="E9" s="87">
        <f t="shared" si="8"/>
        <v>2.270145586334344</v>
      </c>
      <c r="F9" s="125">
        <v>0.50315964171285643</v>
      </c>
      <c r="G9" s="158">
        <f t="shared" si="9"/>
        <v>42.857483798287141</v>
      </c>
      <c r="H9" s="87">
        <f t="shared" si="10"/>
        <v>27.193000000000001</v>
      </c>
      <c r="I9" s="87">
        <f t="shared" si="11"/>
        <v>13.394338211952798</v>
      </c>
      <c r="J9" s="125">
        <f t="shared" si="12"/>
        <v>2.270145586334344</v>
      </c>
      <c r="K9" s="321"/>
      <c r="L9" s="147">
        <v>53.16</v>
      </c>
      <c r="M9" s="166">
        <v>150.09157779972833</v>
      </c>
      <c r="N9" s="147">
        <v>295.8246480114808</v>
      </c>
      <c r="O9" s="172">
        <v>289.82464801148097</v>
      </c>
      <c r="P9" s="147">
        <v>19.55</v>
      </c>
      <c r="Q9" s="179">
        <f t="shared" si="0"/>
        <v>1.491979724486135</v>
      </c>
      <c r="R9" s="179">
        <f>L9/(P9+I$5+J$5)</f>
        <v>2.1031255230453323</v>
      </c>
      <c r="S9" s="179">
        <f t="shared" si="1"/>
        <v>48.304108001914869</v>
      </c>
      <c r="T9" s="211">
        <f t="shared" si="2"/>
        <v>3.0887222354400789E-2</v>
      </c>
      <c r="U9" s="179">
        <v>0.70308148246615565</v>
      </c>
      <c r="V9" s="221">
        <f t="shared" si="3"/>
        <v>35.630511009999999</v>
      </c>
      <c r="W9" s="334"/>
      <c r="X9" s="145">
        <v>83.19</v>
      </c>
      <c r="Y9" s="28">
        <v>201.43499608265137</v>
      </c>
      <c r="Z9" s="28">
        <v>294.21451284988831</v>
      </c>
      <c r="AA9" s="28">
        <v>288.21451284988825</v>
      </c>
      <c r="AB9" s="28">
        <v>44.17</v>
      </c>
      <c r="AC9" s="28">
        <f t="shared" si="4"/>
        <v>1.114999504456504</v>
      </c>
      <c r="AD9" s="28">
        <f t="shared" si="5"/>
        <v>1.5060253219460429</v>
      </c>
      <c r="AE9" s="28">
        <f t="shared" si="6"/>
        <v>48.035752141647585</v>
      </c>
      <c r="AF9" s="204">
        <f t="shared" si="13"/>
        <v>2.3211867301850486E-2</v>
      </c>
      <c r="AG9" s="28">
        <v>0.47179601194988274</v>
      </c>
      <c r="AH9" s="215">
        <f t="shared" si="7"/>
        <v>74.609898630000004</v>
      </c>
    </row>
    <row r="10" spans="1:37">
      <c r="A10" s="137">
        <v>0.4</v>
      </c>
      <c r="B10" s="156">
        <v>49.407772029999997</v>
      </c>
      <c r="C10" s="87">
        <v>31.146000000000001</v>
      </c>
      <c r="D10" s="87">
        <v>16.426710715355274</v>
      </c>
      <c r="E10" s="87">
        <f t="shared" si="8"/>
        <v>1.8350613146447259</v>
      </c>
      <c r="F10" s="125">
        <v>0.60389784026063587</v>
      </c>
      <c r="G10" s="158">
        <f t="shared" si="9"/>
        <v>48.803874189739361</v>
      </c>
      <c r="H10" s="87">
        <f t="shared" si="10"/>
        <v>31.146000000000001</v>
      </c>
      <c r="I10" s="87">
        <f t="shared" si="11"/>
        <v>15.822812875094638</v>
      </c>
      <c r="J10" s="125">
        <f t="shared" si="12"/>
        <v>1.8350613146447259</v>
      </c>
      <c r="P10">
        <f>L7/(P7)</f>
        <v>2.7493917274939172</v>
      </c>
      <c r="Q10">
        <v>1.62</v>
      </c>
      <c r="W10" s="333" t="s">
        <v>20</v>
      </c>
      <c r="X10" s="142">
        <v>33.11</v>
      </c>
      <c r="Y10" s="29">
        <v>150.86599805547576</v>
      </c>
      <c r="Z10" s="29">
        <v>293.97688514818839</v>
      </c>
      <c r="AA10" s="29">
        <v>285.97688514818867</v>
      </c>
      <c r="AB10" s="29">
        <v>21.47</v>
      </c>
      <c r="AC10" s="29">
        <f t="shared" si="4"/>
        <v>0.63783595949588157</v>
      </c>
      <c r="AD10" s="29">
        <f t="shared" si="5"/>
        <v>1.0175758475985444</v>
      </c>
      <c r="AE10" s="29">
        <f t="shared" si="6"/>
        <v>35.747110643524856</v>
      </c>
      <c r="AF10" s="205">
        <f t="shared" si="13"/>
        <v>1.7843007393142069E-2</v>
      </c>
      <c r="AG10" s="29">
        <v>0.35335456899558187</v>
      </c>
      <c r="AH10" s="30">
        <f t="shared" si="7"/>
        <v>51.909898630000001</v>
      </c>
    </row>
    <row r="11" spans="1:37" ht="15.75" thickBot="1">
      <c r="A11" s="138">
        <v>1.6</v>
      </c>
      <c r="B11" s="157">
        <v>55.276460010000001</v>
      </c>
      <c r="C11" s="126">
        <v>34.713999999999999</v>
      </c>
      <c r="D11" s="126">
        <v>18.959287571465158</v>
      </c>
      <c r="E11" s="126">
        <f t="shared" si="8"/>
        <v>1.6031724385348483</v>
      </c>
      <c r="F11" s="127">
        <v>0.69179448081673334</v>
      </c>
      <c r="G11" s="159">
        <f t="shared" si="9"/>
        <v>54.584665529183269</v>
      </c>
      <c r="H11" s="126">
        <f t="shared" si="10"/>
        <v>34.713999999999999</v>
      </c>
      <c r="I11" s="126">
        <f t="shared" si="11"/>
        <v>18.267493090648426</v>
      </c>
      <c r="J11" s="127">
        <f t="shared" si="12"/>
        <v>1.6031724385348483</v>
      </c>
      <c r="L11" s="160"/>
      <c r="P11">
        <f>L8/(P8)</f>
        <v>2.627805937726285</v>
      </c>
      <c r="U11" s="16">
        <v>86.947262807716996</v>
      </c>
      <c r="W11" s="320"/>
      <c r="X11" s="142">
        <v>40.92</v>
      </c>
      <c r="Y11" s="22">
        <v>175.75079310214019</v>
      </c>
      <c r="Z11" s="22">
        <v>294.07333745265731</v>
      </c>
      <c r="AA11" s="22">
        <v>286.07333745265697</v>
      </c>
      <c r="AB11" s="22">
        <v>31.75</v>
      </c>
      <c r="AC11" s="22">
        <f t="shared" si="4"/>
        <v>0.6579846711674886</v>
      </c>
      <c r="AD11" s="22">
        <f t="shared" si="5"/>
        <v>0.95567028005325239</v>
      </c>
      <c r="AE11" s="22">
        <f t="shared" si="6"/>
        <v>35.759167181580594</v>
      </c>
      <c r="AF11" s="200">
        <f t="shared" si="13"/>
        <v>1.8400447298627633E-2</v>
      </c>
      <c r="AG11" s="22">
        <v>0.41163911383400364</v>
      </c>
      <c r="AH11" s="23">
        <f t="shared" si="7"/>
        <v>62.189898630000002</v>
      </c>
    </row>
    <row r="12" spans="1:37" ht="15.75" thickBot="1">
      <c r="K12" s="160"/>
      <c r="M12">
        <v>1.9957286666612311</v>
      </c>
      <c r="N12">
        <v>2.0137287802277557</v>
      </c>
      <c r="O12">
        <v>2.0664541178258817</v>
      </c>
      <c r="P12">
        <f>L9/P9</f>
        <v>2.7191815856777493</v>
      </c>
      <c r="U12" s="16">
        <v>104.54743881723796</v>
      </c>
      <c r="W12" s="321"/>
      <c r="X12" s="143">
        <v>48.72</v>
      </c>
      <c r="Y12" s="24">
        <v>200.41468695455919</v>
      </c>
      <c r="Z12" s="24">
        <v>294.15480526917156</v>
      </c>
      <c r="AA12" s="24">
        <v>286.1548052691715</v>
      </c>
      <c r="AB12" s="24">
        <v>44.37</v>
      </c>
      <c r="AC12" s="24">
        <f t="shared" si="4"/>
        <v>0.65125071537608636</v>
      </c>
      <c r="AD12" s="24">
        <f t="shared" si="5"/>
        <v>0.8788177584528194</v>
      </c>
      <c r="AE12" s="24">
        <f t="shared" si="6"/>
        <v>35.769350658646182</v>
      </c>
      <c r="AF12" s="201">
        <f t="shared" si="13"/>
        <v>1.8206948221987523E-2</v>
      </c>
      <c r="AG12" s="24">
        <v>0.46940626941779345</v>
      </c>
      <c r="AH12" s="25">
        <f t="shared" si="7"/>
        <v>74.809898629999992</v>
      </c>
    </row>
    <row r="13" spans="1:37" ht="15.75" thickBot="1"/>
    <row r="14" spans="1:37" ht="15.75" thickBot="1">
      <c r="A14" t="s">
        <v>85</v>
      </c>
      <c r="B14" s="16">
        <v>86.947262807716996</v>
      </c>
      <c r="D14" s="137">
        <v>0.2</v>
      </c>
      <c r="E14" s="87">
        <v>1.7862536974755536</v>
      </c>
      <c r="N14" s="222" t="s">
        <v>15</v>
      </c>
      <c r="O14" s="148" t="s">
        <v>97</v>
      </c>
      <c r="P14" s="148" t="s">
        <v>10</v>
      </c>
      <c r="Q14" s="148" t="s">
        <v>74</v>
      </c>
      <c r="R14" s="148" t="s">
        <v>92</v>
      </c>
      <c r="S14" s="148" t="s">
        <v>98</v>
      </c>
      <c r="T14" s="148" t="s">
        <v>91</v>
      </c>
      <c r="U14" s="148" t="s">
        <v>99</v>
      </c>
      <c r="V14" s="148" t="s">
        <v>14</v>
      </c>
      <c r="W14" s="148" t="s">
        <v>100</v>
      </c>
      <c r="X14" s="148" t="s">
        <v>102</v>
      </c>
      <c r="Y14" s="148" t="s">
        <v>101</v>
      </c>
      <c r="Z14" s="148" t="s">
        <v>74</v>
      </c>
      <c r="AA14" s="148" t="s">
        <v>103</v>
      </c>
      <c r="AB14" s="148" t="s">
        <v>104</v>
      </c>
      <c r="AC14" s="212" t="s">
        <v>91</v>
      </c>
      <c r="AD14" s="262" t="s">
        <v>105</v>
      </c>
      <c r="AE14" s="262" t="s">
        <v>99</v>
      </c>
      <c r="AF14" s="262" t="s">
        <v>106</v>
      </c>
      <c r="AG14" s="262" t="s">
        <v>105</v>
      </c>
      <c r="AH14" s="262" t="s">
        <v>99</v>
      </c>
    </row>
    <row r="15" spans="1:37" ht="15.75" thickBot="1">
      <c r="A15" t="s">
        <v>86</v>
      </c>
      <c r="B15" s="16">
        <v>104.54743881723796</v>
      </c>
      <c r="D15" s="137">
        <v>0.4</v>
      </c>
      <c r="E15" s="87">
        <v>3.8892060586588997</v>
      </c>
      <c r="L15" s="312" t="s">
        <v>85</v>
      </c>
      <c r="M15" s="326">
        <v>4</v>
      </c>
      <c r="N15" s="223">
        <v>0.4648263875242945</v>
      </c>
      <c r="O15" s="173">
        <v>24.34051101</v>
      </c>
      <c r="P15" s="173">
        <v>48.28</v>
      </c>
      <c r="Q15" s="173">
        <v>1.983524502840748</v>
      </c>
      <c r="R15" s="206">
        <v>2.7204287610357234E-2</v>
      </c>
      <c r="S15" s="173">
        <f>R15*100</f>
        <v>2.7204287610357234</v>
      </c>
      <c r="T15" s="174">
        <v>3.4518592423136023</v>
      </c>
      <c r="U15" s="173">
        <f>(T15/S4)*100</f>
        <v>4.7342682928232254</v>
      </c>
      <c r="V15" s="173">
        <v>8.26</v>
      </c>
      <c r="W15" s="173">
        <v>16.080511009999999</v>
      </c>
      <c r="X15" s="245">
        <f>W15/O15</f>
        <v>0.66064804487438733</v>
      </c>
      <c r="Y15" s="173">
        <v>86.947262807716996</v>
      </c>
      <c r="Z15" s="173">
        <v>1.983524502840748</v>
      </c>
      <c r="AA15" s="173">
        <f t="shared" ref="AA15:AA29" si="14">P15/(V15+Y15)</f>
        <v>0.50710417016722253</v>
      </c>
      <c r="AB15" s="173">
        <f t="shared" ref="AB15:AB20" si="15">P15/(G$5+V15)</f>
        <v>1.9957286666612311</v>
      </c>
      <c r="AC15" s="224">
        <v>3.4518592423136023</v>
      </c>
      <c r="AD15" s="173">
        <f t="shared" ref="AD15:AD20" si="16">AB15/S4*100</f>
        <v>2.7371669249525716</v>
      </c>
      <c r="AE15" s="224">
        <f t="shared" ref="AE15:AE20" si="17">AC15/S4*100</f>
        <v>4.7342682928232254</v>
      </c>
      <c r="AF15" s="224">
        <f t="shared" ref="AF15:AF20" si="18">AA15/S4*100</f>
        <v>0.69549973664974962</v>
      </c>
      <c r="AG15" s="173">
        <v>2.7371669249525716</v>
      </c>
      <c r="AH15" s="224">
        <v>4.7342682928232254</v>
      </c>
    </row>
    <row r="16" spans="1:37" ht="15" customHeight="1" thickBot="1">
      <c r="D16" s="137">
        <v>0.6</v>
      </c>
      <c r="E16" s="87">
        <v>6.2138584284328644</v>
      </c>
      <c r="L16" s="313"/>
      <c r="M16" s="327"/>
      <c r="N16" s="225">
        <v>0.58121848702244328</v>
      </c>
      <c r="O16" s="139">
        <v>29.77051101</v>
      </c>
      <c r="P16" s="139">
        <v>59.65</v>
      </c>
      <c r="Q16" s="139">
        <v>2.0036606015920717</v>
      </c>
      <c r="R16" s="207">
        <v>2.7469730717526709E-2</v>
      </c>
      <c r="S16" s="139">
        <f t="shared" ref="S16:S29" si="19">R16*100</f>
        <v>2.746973071752671</v>
      </c>
      <c r="T16" s="175">
        <v>3.0721032152523611</v>
      </c>
      <c r="U16" s="139">
        <f t="shared" ref="U16:U20" si="20">(T16/S5)*100</f>
        <v>4.211783572146687</v>
      </c>
      <c r="V16" s="139">
        <v>13.69</v>
      </c>
      <c r="W16" s="139">
        <v>16.080511009999999</v>
      </c>
      <c r="X16" s="246">
        <f t="shared" ref="X16:X29" si="21">W16/O16</f>
        <v>0.54014897509144233</v>
      </c>
      <c r="Y16" s="139">
        <v>86.947262807716996</v>
      </c>
      <c r="Z16" s="139">
        <v>2.0036606015920717</v>
      </c>
      <c r="AA16" s="139">
        <f t="shared" si="14"/>
        <v>0.59272279805513506</v>
      </c>
      <c r="AB16" s="139">
        <f t="shared" si="15"/>
        <v>2.0137287802277557</v>
      </c>
      <c r="AC16" s="226">
        <v>3.0721032152523611</v>
      </c>
      <c r="AD16" s="139">
        <f t="shared" si="16"/>
        <v>2.7607763154616323</v>
      </c>
      <c r="AE16" s="226">
        <f t="shared" si="17"/>
        <v>4.211783572146687</v>
      </c>
      <c r="AF16" s="224">
        <f t="shared" si="18"/>
        <v>0.81260946288888447</v>
      </c>
      <c r="AG16" s="139">
        <v>2.7607763154616323</v>
      </c>
      <c r="AH16" s="226">
        <v>4.211783572146687</v>
      </c>
    </row>
    <row r="17" spans="4:34" ht="15.75" thickBot="1">
      <c r="D17" s="137">
        <v>0.8</v>
      </c>
      <c r="E17" s="87">
        <v>8.6515178885657491</v>
      </c>
      <c r="L17" s="313"/>
      <c r="M17" s="328"/>
      <c r="N17" s="227">
        <v>0.70377496024278996</v>
      </c>
      <c r="O17" s="140">
        <v>35.160511009999993</v>
      </c>
      <c r="P17" s="140">
        <v>72.349999999999994</v>
      </c>
      <c r="Q17" s="140">
        <v>2.0577061573258404</v>
      </c>
      <c r="R17" s="208">
        <v>2.8200422426592875E-2</v>
      </c>
      <c r="S17" s="140">
        <f t="shared" si="19"/>
        <v>2.8200422426592873</v>
      </c>
      <c r="T17" s="176">
        <v>2.9165548463619282</v>
      </c>
      <c r="U17" s="140">
        <f t="shared" si="20"/>
        <v>3.9970759870117343</v>
      </c>
      <c r="V17" s="140">
        <v>19.079999999999998</v>
      </c>
      <c r="W17" s="140">
        <v>16.080511009999999</v>
      </c>
      <c r="X17" s="247">
        <f t="shared" si="21"/>
        <v>0.45734577081165129</v>
      </c>
      <c r="Y17" s="140">
        <v>86.947262807716996</v>
      </c>
      <c r="Z17" s="140">
        <v>2.0577061573258404</v>
      </c>
      <c r="AA17" s="140">
        <f t="shared" si="14"/>
        <v>0.68237166634404656</v>
      </c>
      <c r="AB17" s="140">
        <f t="shared" si="15"/>
        <v>2.0664541178258817</v>
      </c>
      <c r="AC17" s="228">
        <v>2.9165548463619282</v>
      </c>
      <c r="AD17" s="140">
        <f t="shared" si="16"/>
        <v>2.8320311352712877</v>
      </c>
      <c r="AE17" s="228">
        <f t="shared" si="17"/>
        <v>3.9970759870117343</v>
      </c>
      <c r="AF17" s="224">
        <f t="shared" si="18"/>
        <v>0.93517576230846744</v>
      </c>
      <c r="AG17" s="140">
        <v>2.8320311352712877</v>
      </c>
      <c r="AH17" s="228">
        <v>3.9970759870117343</v>
      </c>
    </row>
    <row r="18" spans="4:34" ht="15.75" thickBot="1">
      <c r="D18" s="137">
        <v>1</v>
      </c>
      <c r="E18" s="87">
        <v>11.210221482923034</v>
      </c>
      <c r="L18" s="313"/>
      <c r="M18" s="326">
        <v>6</v>
      </c>
      <c r="N18" s="229">
        <v>0.46290528028151873</v>
      </c>
      <c r="O18" s="146">
        <v>24.300511010000001</v>
      </c>
      <c r="P18" s="146">
        <v>22.6</v>
      </c>
      <c r="Q18" s="146">
        <v>0.93002159463641665</v>
      </c>
      <c r="R18" s="209">
        <v>1.9265722228194695E-2</v>
      </c>
      <c r="S18" s="146">
        <f t="shared" si="19"/>
        <v>1.9265722228194695</v>
      </c>
      <c r="T18" s="177">
        <v>1.6204590459334562</v>
      </c>
      <c r="U18" s="146">
        <f t="shared" si="20"/>
        <v>3.3568375230388336</v>
      </c>
      <c r="V18" s="146">
        <v>8.2200000000000006</v>
      </c>
      <c r="W18" s="146">
        <v>16.080511009999999</v>
      </c>
      <c r="X18" s="248">
        <f t="shared" si="21"/>
        <v>0.66173550849949792</v>
      </c>
      <c r="Y18" s="146">
        <v>86.947262807716996</v>
      </c>
      <c r="Z18" s="146">
        <v>0.93002159463641665</v>
      </c>
      <c r="AA18" s="146">
        <f t="shared" si="14"/>
        <v>0.23747662098533526</v>
      </c>
      <c r="AB18" s="146">
        <f t="shared" si="15"/>
        <v>0.93575327780035122</v>
      </c>
      <c r="AC18" s="230">
        <v>1.6204590459334562</v>
      </c>
      <c r="AD18" s="146">
        <f t="shared" si="16"/>
        <v>1.938445604725139</v>
      </c>
      <c r="AE18" s="230">
        <f t="shared" si="17"/>
        <v>3.3568375230388336</v>
      </c>
      <c r="AF18" s="224">
        <f t="shared" si="18"/>
        <v>0.49194111641916832</v>
      </c>
      <c r="AG18" s="146">
        <v>1.938445604725139</v>
      </c>
      <c r="AH18" s="230">
        <v>3.3568375230388336</v>
      </c>
    </row>
    <row r="19" spans="4:34" ht="15.75" thickBot="1">
      <c r="D19" s="137">
        <v>1.2</v>
      </c>
      <c r="E19" s="87">
        <v>13.897497853665655</v>
      </c>
      <c r="L19" s="313"/>
      <c r="M19" s="327"/>
      <c r="N19" s="231">
        <v>0.58332742638005208</v>
      </c>
      <c r="O19" s="141">
        <v>29.890511009999997</v>
      </c>
      <c r="P19" s="141">
        <v>36.29</v>
      </c>
      <c r="Q19" s="141">
        <v>1.2140976776161179</v>
      </c>
      <c r="R19" s="210">
        <v>2.5142463791674324E-2</v>
      </c>
      <c r="S19" s="141">
        <f t="shared" si="19"/>
        <v>2.5142463791674325</v>
      </c>
      <c r="T19" s="178">
        <v>1.8575329709973449</v>
      </c>
      <c r="U19" s="141">
        <f t="shared" si="20"/>
        <v>3.8467214233407709</v>
      </c>
      <c r="V19" s="141">
        <v>13.81</v>
      </c>
      <c r="W19" s="141">
        <v>16.080511009999999</v>
      </c>
      <c r="X19" s="249">
        <f t="shared" si="21"/>
        <v>0.53798046492481155</v>
      </c>
      <c r="Y19" s="141">
        <v>86.947262807716996</v>
      </c>
      <c r="Z19" s="141">
        <v>1.2140976776161179</v>
      </c>
      <c r="AA19" s="141">
        <f t="shared" si="14"/>
        <v>0.36017254725602321</v>
      </c>
      <c r="AB19" s="141">
        <f t="shared" si="15"/>
        <v>1.2201737728294746</v>
      </c>
      <c r="AC19" s="232">
        <v>1.8575329709973449</v>
      </c>
      <c r="AD19" s="141">
        <f t="shared" si="16"/>
        <v>2.5268292221061115</v>
      </c>
      <c r="AE19" s="232">
        <f t="shared" si="17"/>
        <v>3.8467214233407709</v>
      </c>
      <c r="AF19" s="224">
        <f t="shared" si="18"/>
        <v>0.74587287292406346</v>
      </c>
      <c r="AG19" s="141">
        <v>2.5268292221061115</v>
      </c>
      <c r="AH19" s="232">
        <v>3.8467214233407709</v>
      </c>
    </row>
    <row r="20" spans="4:34" ht="15.75" thickBot="1">
      <c r="D20" s="137">
        <v>1.4</v>
      </c>
      <c r="E20" s="87">
        <v>16.426710715355274</v>
      </c>
      <c r="L20" s="314"/>
      <c r="M20" s="328"/>
      <c r="N20" s="233">
        <v>0.70308148246615565</v>
      </c>
      <c r="O20" s="147">
        <v>35.630511009999999</v>
      </c>
      <c r="P20" s="147">
        <v>53.16</v>
      </c>
      <c r="Q20" s="147">
        <v>1.491979724486135</v>
      </c>
      <c r="R20" s="211">
        <v>3.0887222354400789E-2</v>
      </c>
      <c r="S20" s="147">
        <f t="shared" si="19"/>
        <v>3.0887222354400787</v>
      </c>
      <c r="T20" s="179">
        <v>2.1031255230453323</v>
      </c>
      <c r="U20" s="147">
        <f t="shared" si="20"/>
        <v>4.3539268398496462</v>
      </c>
      <c r="V20" s="147">
        <v>19.55</v>
      </c>
      <c r="W20" s="147">
        <v>16.080511009999999</v>
      </c>
      <c r="X20" s="250">
        <f t="shared" si="21"/>
        <v>0.4513129493283683</v>
      </c>
      <c r="Y20" s="147">
        <v>86.947262807716996</v>
      </c>
      <c r="Z20" s="147">
        <v>1.491979724486135</v>
      </c>
      <c r="AA20" s="147">
        <f t="shared" si="14"/>
        <v>0.49916775885575082</v>
      </c>
      <c r="AB20" s="147">
        <f t="shared" si="15"/>
        <v>1.4982385832399123</v>
      </c>
      <c r="AC20" s="234">
        <v>2.1031255230453323</v>
      </c>
      <c r="AD20" s="147">
        <f t="shared" si="16"/>
        <v>3.1016794331043629</v>
      </c>
      <c r="AE20" s="263">
        <f t="shared" si="17"/>
        <v>4.3539268398496462</v>
      </c>
      <c r="AF20" s="224">
        <f t="shared" si="18"/>
        <v>1.0333857295035089</v>
      </c>
      <c r="AG20" s="147">
        <v>3.1016794331043629</v>
      </c>
      <c r="AH20" s="263">
        <v>4.3539268398496462</v>
      </c>
    </row>
    <row r="21" spans="4:34" ht="15.75" thickBot="1">
      <c r="D21" s="138">
        <v>1.6</v>
      </c>
      <c r="E21" s="126">
        <v>18.959287571465158</v>
      </c>
      <c r="L21" s="315" t="s">
        <v>86</v>
      </c>
      <c r="M21" s="329">
        <v>4</v>
      </c>
      <c r="N21" s="244">
        <v>0.35520028188143321</v>
      </c>
      <c r="O21" s="142">
        <v>51.409898630000001</v>
      </c>
      <c r="P21" s="142">
        <v>80.25</v>
      </c>
      <c r="Q21" s="142">
        <v>1.5609834319566329</v>
      </c>
      <c r="R21" s="258">
        <v>2.1527797361140352E-2</v>
      </c>
      <c r="S21" s="142">
        <f t="shared" si="19"/>
        <v>2.1527797361140353</v>
      </c>
      <c r="T21" s="20">
        <v>2.504829010004701</v>
      </c>
      <c r="U21" s="142">
        <f>T21/AE4*100</f>
        <v>3.4544537916136639</v>
      </c>
      <c r="V21" s="142">
        <v>20.97</v>
      </c>
      <c r="W21" s="20">
        <v>30.439898629999998</v>
      </c>
      <c r="X21" s="251">
        <f t="shared" si="21"/>
        <v>0.5921018994625471</v>
      </c>
      <c r="Y21" s="142">
        <v>104.54743881723796</v>
      </c>
      <c r="Z21" s="142">
        <v>1.5609834319566329</v>
      </c>
      <c r="AA21" s="142">
        <f t="shared" si="14"/>
        <v>0.63935338990504365</v>
      </c>
      <c r="AB21" s="142">
        <f>P21/(V21+G$7)</f>
        <v>1.5706309801709537</v>
      </c>
      <c r="AC21" s="235">
        <v>2.504829010004701</v>
      </c>
      <c r="AD21" s="142">
        <f t="shared" ref="AD21:AD29" si="22">AB21/AE4*100</f>
        <v>2.166084839726147</v>
      </c>
      <c r="AE21" s="235">
        <f t="shared" ref="AE21:AE29" si="23">AC21/AE4*100</f>
        <v>3.4544537916136639</v>
      </c>
      <c r="AF21" s="264">
        <f>AA21/AE4*100</f>
        <v>0.8817435174684366</v>
      </c>
      <c r="AG21" s="142">
        <v>2.166084839726147</v>
      </c>
      <c r="AH21" s="235">
        <v>3.4544537916136639</v>
      </c>
    </row>
    <row r="22" spans="4:34" ht="15" customHeight="1" thickBot="1">
      <c r="L22" s="315"/>
      <c r="M22" s="330"/>
      <c r="N22" s="236">
        <v>0.41217199917040692</v>
      </c>
      <c r="O22" s="142">
        <v>61.299898630000001</v>
      </c>
      <c r="P22" s="142">
        <v>93.59</v>
      </c>
      <c r="Q22" s="142">
        <v>1.5267561952247228</v>
      </c>
      <c r="R22" s="258">
        <v>2.1047221272582291E-2</v>
      </c>
      <c r="S22" s="142">
        <f t="shared" si="19"/>
        <v>2.104722127258229</v>
      </c>
      <c r="T22" s="22">
        <v>2.2321537682092831</v>
      </c>
      <c r="U22" s="142">
        <f t="shared" ref="U22:U28" si="24">T22/AE5*100</f>
        <v>3.0771536687305914</v>
      </c>
      <c r="V22" s="142">
        <v>30.86</v>
      </c>
      <c r="W22" s="22">
        <v>30.439898629999998</v>
      </c>
      <c r="X22" s="252">
        <f t="shared" si="21"/>
        <v>0.4965733926206331</v>
      </c>
      <c r="Y22" s="142">
        <v>104.54743881723796</v>
      </c>
      <c r="Z22" s="142">
        <v>1.5267561952247228</v>
      </c>
      <c r="AA22" s="142">
        <f t="shared" si="14"/>
        <v>0.69117325323847412</v>
      </c>
      <c r="AB22" s="142">
        <f t="shared" ref="AB22:AB29" si="25">P22/(V22+G$7)</f>
        <v>1.5346619349181545</v>
      </c>
      <c r="AC22" s="235">
        <v>2.2321537682092831</v>
      </c>
      <c r="AD22" s="142">
        <f t="shared" si="22"/>
        <v>2.1156206487884859</v>
      </c>
      <c r="AE22" s="235">
        <f t="shared" si="23"/>
        <v>3.0771536687305914</v>
      </c>
      <c r="AF22" s="264">
        <f>AA22/AE5*100</f>
        <v>0.95282249019854226</v>
      </c>
      <c r="AG22" s="142">
        <v>2.1156206487884859</v>
      </c>
      <c r="AH22" s="235">
        <v>3.0771536687305914</v>
      </c>
    </row>
    <row r="23" spans="4:34" ht="15.75" thickBot="1">
      <c r="L23" s="315"/>
      <c r="M23" s="331"/>
      <c r="N23" s="237">
        <v>0.47043865533460899</v>
      </c>
      <c r="O23" s="143">
        <v>73.729898629999994</v>
      </c>
      <c r="P23" s="143">
        <v>104.46</v>
      </c>
      <c r="Q23" s="143">
        <v>1.4167929420900656</v>
      </c>
      <c r="R23" s="259">
        <v>1.9523755970836394E-2</v>
      </c>
      <c r="S23" s="143">
        <f t="shared" si="19"/>
        <v>1.9523755970836394</v>
      </c>
      <c r="T23" s="24">
        <v>1.9217001896828025</v>
      </c>
      <c r="U23" s="143">
        <f t="shared" si="24"/>
        <v>2.6481502298514399</v>
      </c>
      <c r="V23" s="143">
        <v>43.29</v>
      </c>
      <c r="W23" s="24">
        <v>30.439898629999998</v>
      </c>
      <c r="X23" s="253">
        <f t="shared" si="21"/>
        <v>0.41285691687651788</v>
      </c>
      <c r="Y23" s="143">
        <v>104.54743881723796</v>
      </c>
      <c r="Z23" s="143">
        <v>1.4167929420900656</v>
      </c>
      <c r="AA23" s="143">
        <f t="shared" si="14"/>
        <v>0.70658691624884851</v>
      </c>
      <c r="AB23" s="143">
        <f t="shared" si="25"/>
        <v>1.4228871373116911</v>
      </c>
      <c r="AC23" s="238">
        <v>1.9217001896828025</v>
      </c>
      <c r="AD23" s="143">
        <f t="shared" si="22"/>
        <v>1.9607735483163815</v>
      </c>
      <c r="AE23" s="238">
        <f t="shared" si="23"/>
        <v>2.6481502298514399</v>
      </c>
      <c r="AF23" s="264">
        <f t="shared" ref="AF23:AF29" si="26">AA23/AE6*100</f>
        <v>0.97369418742850911</v>
      </c>
      <c r="AG23" s="143">
        <v>1.9607735483163815</v>
      </c>
      <c r="AH23" s="238">
        <v>2.6481502298514399</v>
      </c>
    </row>
    <row r="24" spans="4:34" ht="15.75" thickBot="1">
      <c r="L24" s="315"/>
      <c r="M24" s="329">
        <v>6</v>
      </c>
      <c r="N24" s="239">
        <v>0.35267612563840639</v>
      </c>
      <c r="O24" s="144">
        <v>51.529898629999998</v>
      </c>
      <c r="P24" s="144">
        <v>59.47</v>
      </c>
      <c r="Q24" s="144">
        <v>1.1540872693542887</v>
      </c>
      <c r="R24" s="260">
        <v>2.404117755638031E-2</v>
      </c>
      <c r="S24" s="144">
        <f t="shared" si="19"/>
        <v>2.4041177556380311</v>
      </c>
      <c r="T24" s="26">
        <v>1.8492999328421387</v>
      </c>
      <c r="U24" s="144">
        <f t="shared" si="24"/>
        <v>3.852338486095165</v>
      </c>
      <c r="V24" s="144">
        <v>21.09</v>
      </c>
      <c r="W24" s="26">
        <v>30.439898629999998</v>
      </c>
      <c r="X24" s="254">
        <f t="shared" si="21"/>
        <v>0.59072304505327144</v>
      </c>
      <c r="Y24" s="144">
        <v>104.54743881723796</v>
      </c>
      <c r="Z24" s="144">
        <v>1.1540872693542887</v>
      </c>
      <c r="AA24" s="144">
        <f t="shared" si="14"/>
        <v>0.47334616623719711</v>
      </c>
      <c r="AB24" s="144">
        <f t="shared" si="25"/>
        <v>1.1612033116921137</v>
      </c>
      <c r="AC24" s="240">
        <v>1.8492999328421387</v>
      </c>
      <c r="AD24" s="144">
        <f t="shared" si="22"/>
        <v>2.418941421220798</v>
      </c>
      <c r="AE24" s="240">
        <f t="shared" si="23"/>
        <v>3.852338486095165</v>
      </c>
      <c r="AF24" s="264">
        <f t="shared" si="26"/>
        <v>0.98604321616920332</v>
      </c>
      <c r="AG24" s="144">
        <v>2.418941421220798</v>
      </c>
      <c r="AH24" s="240">
        <v>3.852338486095165</v>
      </c>
    </row>
    <row r="25" spans="4:34" ht="15.75" thickBot="1">
      <c r="L25" s="315"/>
      <c r="M25" s="330"/>
      <c r="N25" s="241">
        <v>0.41333005537395001</v>
      </c>
      <c r="O25" s="144">
        <v>61.969898630000003</v>
      </c>
      <c r="P25" s="144">
        <v>73.209999999999994</v>
      </c>
      <c r="Q25" s="144">
        <v>1.1813800186621346</v>
      </c>
      <c r="R25" s="260">
        <v>2.4601542751733096E-2</v>
      </c>
      <c r="S25" s="144">
        <f t="shared" si="19"/>
        <v>2.4601542751733096</v>
      </c>
      <c r="T25" s="27">
        <v>1.7186206459182896</v>
      </c>
      <c r="U25" s="144">
        <f t="shared" si="24"/>
        <v>3.5789262241332951</v>
      </c>
      <c r="V25" s="144">
        <v>31.53</v>
      </c>
      <c r="W25" s="27">
        <v>30.439898629999998</v>
      </c>
      <c r="X25" s="255">
        <f t="shared" si="21"/>
        <v>0.49120458969516306</v>
      </c>
      <c r="Y25" s="144">
        <v>104.54743881723796</v>
      </c>
      <c r="Z25" s="144">
        <v>1.1813800186621346</v>
      </c>
      <c r="AA25" s="144">
        <f t="shared" si="14"/>
        <v>0.53800248326488875</v>
      </c>
      <c r="AB25" s="144">
        <f t="shared" si="25"/>
        <v>1.1874308785731806</v>
      </c>
      <c r="AC25" s="240">
        <v>1.7186206459182896</v>
      </c>
      <c r="AD25" s="144">
        <f t="shared" si="22"/>
        <v>2.4727548343866714</v>
      </c>
      <c r="AE25" s="240">
        <f t="shared" si="23"/>
        <v>3.5789262241332951</v>
      </c>
      <c r="AF25" s="264">
        <f t="shared" si="26"/>
        <v>1.1203584692052453</v>
      </c>
      <c r="AG25" s="144">
        <v>2.4727548343866714</v>
      </c>
      <c r="AH25" s="240">
        <v>3.5789262241332951</v>
      </c>
    </row>
    <row r="26" spans="4:34" ht="15.75" thickBot="1">
      <c r="L26" s="315"/>
      <c r="M26" s="331"/>
      <c r="N26" s="242">
        <v>0.47179601194988274</v>
      </c>
      <c r="O26" s="145">
        <v>74.609898630000004</v>
      </c>
      <c r="P26" s="145">
        <v>83.19</v>
      </c>
      <c r="Q26" s="145">
        <v>1.114999504456504</v>
      </c>
      <c r="R26" s="261">
        <v>2.3211867301850486E-2</v>
      </c>
      <c r="S26" s="145">
        <f t="shared" si="19"/>
        <v>2.3211867301850484</v>
      </c>
      <c r="T26" s="28">
        <v>1.5060253219460429</v>
      </c>
      <c r="U26" s="145">
        <f>T26/AE9*100</f>
        <v>3.1352175302784535</v>
      </c>
      <c r="V26" s="145">
        <v>44.17</v>
      </c>
      <c r="W26" s="28">
        <v>30.439898629999998</v>
      </c>
      <c r="X26" s="256">
        <f t="shared" si="21"/>
        <v>0.40798740098757319</v>
      </c>
      <c r="Y26" s="145">
        <v>104.54743881723796</v>
      </c>
      <c r="Z26" s="145">
        <v>1.114999504456504</v>
      </c>
      <c r="AA26" s="145">
        <f t="shared" si="14"/>
        <v>0.55938295240704061</v>
      </c>
      <c r="AB26" s="145">
        <f t="shared" si="25"/>
        <v>1.1197387565004646</v>
      </c>
      <c r="AC26" s="243">
        <v>1.5060253219460429</v>
      </c>
      <c r="AD26" s="145">
        <f t="shared" si="22"/>
        <v>2.331052823319149</v>
      </c>
      <c r="AE26" s="243">
        <f t="shared" si="23"/>
        <v>3.1352175302784535</v>
      </c>
      <c r="AF26" s="264">
        <f t="shared" si="26"/>
        <v>1.1645137787320057</v>
      </c>
      <c r="AG26" s="145">
        <v>2.331052823319149</v>
      </c>
      <c r="AH26" s="243">
        <v>3.1352175302784535</v>
      </c>
    </row>
    <row r="27" spans="4:34" ht="15.75" thickBot="1">
      <c r="L27" s="315"/>
      <c r="M27" s="329">
        <v>8</v>
      </c>
      <c r="N27" s="244">
        <v>0.35335456899558187</v>
      </c>
      <c r="O27" s="142">
        <v>51.909898630000001</v>
      </c>
      <c r="P27" s="142">
        <v>33.11</v>
      </c>
      <c r="Q27" s="142">
        <v>0.63783595949588157</v>
      </c>
      <c r="R27" s="258">
        <v>1.7843007393142069E-2</v>
      </c>
      <c r="S27" s="142">
        <f t="shared" si="19"/>
        <v>1.7843007393142067</v>
      </c>
      <c r="T27" s="29">
        <v>1.0175758475985444</v>
      </c>
      <c r="U27" s="142">
        <f t="shared" si="24"/>
        <v>2.8465960724656934</v>
      </c>
      <c r="V27" s="142">
        <v>21.47</v>
      </c>
      <c r="W27" s="29">
        <v>30.439898629999998</v>
      </c>
      <c r="X27" s="257">
        <f t="shared" si="21"/>
        <v>0.58639872997956566</v>
      </c>
      <c r="Y27" s="142">
        <v>104.54743881723796</v>
      </c>
      <c r="Z27" s="142">
        <v>0.63783595949588157</v>
      </c>
      <c r="AA27" s="142">
        <f t="shared" si="14"/>
        <v>0.26274141349610475</v>
      </c>
      <c r="AB27" s="142">
        <f t="shared" si="25"/>
        <v>0.64173985673965595</v>
      </c>
      <c r="AC27" s="235">
        <v>1.0175758475985444</v>
      </c>
      <c r="AD27" s="142">
        <f t="shared" si="22"/>
        <v>1.7952216142422663</v>
      </c>
      <c r="AE27" s="235">
        <f t="shared" si="23"/>
        <v>2.8465960724656934</v>
      </c>
      <c r="AF27" s="264">
        <f t="shared" si="26"/>
        <v>0.73500042035900059</v>
      </c>
      <c r="AG27" s="142">
        <v>1.7952216142422663</v>
      </c>
      <c r="AH27" s="235">
        <v>2.8465960724656934</v>
      </c>
    </row>
    <row r="28" spans="4:34" ht="15.75" thickBot="1">
      <c r="L28" s="315"/>
      <c r="M28" s="330"/>
      <c r="N28" s="236">
        <v>0.41163911383400364</v>
      </c>
      <c r="O28" s="142">
        <v>62.189898630000002</v>
      </c>
      <c r="P28" s="142">
        <v>40.92</v>
      </c>
      <c r="Q28" s="142">
        <v>0.6579846711674886</v>
      </c>
      <c r="R28" s="258">
        <v>1.8400447298627633E-2</v>
      </c>
      <c r="S28" s="142">
        <f t="shared" si="19"/>
        <v>1.8400447298627634</v>
      </c>
      <c r="T28" s="22">
        <v>0.95567028005325239</v>
      </c>
      <c r="U28" s="142">
        <f t="shared" si="24"/>
        <v>2.6725182809780716</v>
      </c>
      <c r="V28" s="142">
        <v>31.75</v>
      </c>
      <c r="W28" s="22">
        <v>30.439898629999998</v>
      </c>
      <c r="X28" s="252">
        <f t="shared" si="21"/>
        <v>0.4894669279186763</v>
      </c>
      <c r="Y28" s="142">
        <v>104.54743881723796</v>
      </c>
      <c r="Z28" s="142">
        <v>0.6579846711674886</v>
      </c>
      <c r="AA28" s="142">
        <f t="shared" si="14"/>
        <v>0.30022574418929382</v>
      </c>
      <c r="AB28" s="142">
        <f t="shared" si="25"/>
        <v>0.66134279201817292</v>
      </c>
      <c r="AC28" s="235">
        <v>0.95567028005325239</v>
      </c>
      <c r="AD28" s="142">
        <f t="shared" si="22"/>
        <v>1.8494356668318273</v>
      </c>
      <c r="AE28" s="235">
        <f t="shared" si="23"/>
        <v>2.6725182809780716</v>
      </c>
      <c r="AF28" s="264">
        <f t="shared" si="26"/>
        <v>0.83957700319133521</v>
      </c>
      <c r="AG28" s="142">
        <v>1.8494356668318273</v>
      </c>
      <c r="AH28" s="235">
        <v>2.6725182809780716</v>
      </c>
    </row>
    <row r="29" spans="4:34" ht="15.75" thickBot="1">
      <c r="L29" s="316"/>
      <c r="M29" s="331"/>
      <c r="N29" s="237">
        <v>0.46940626941779345</v>
      </c>
      <c r="O29" s="143">
        <v>74.809898629999992</v>
      </c>
      <c r="P29" s="143">
        <v>48.72</v>
      </c>
      <c r="Q29" s="143">
        <v>0.65125071537608636</v>
      </c>
      <c r="R29" s="259">
        <v>1.8206948221987523E-2</v>
      </c>
      <c r="S29" s="143">
        <f t="shared" si="19"/>
        <v>1.8206948221987522</v>
      </c>
      <c r="T29" s="24">
        <v>0.8788177584528194</v>
      </c>
      <c r="U29" s="143">
        <f>T29/AE12*100</f>
        <v>2.4569016274283166</v>
      </c>
      <c r="V29" s="143">
        <v>44.37</v>
      </c>
      <c r="W29" s="24">
        <v>30.439898629999998</v>
      </c>
      <c r="X29" s="253">
        <f t="shared" si="21"/>
        <v>0.40689666992534995</v>
      </c>
      <c r="Y29" s="143">
        <v>104.54743881723796</v>
      </c>
      <c r="Z29" s="143">
        <v>0.65125071537608636</v>
      </c>
      <c r="AA29" s="143">
        <f t="shared" si="14"/>
        <v>0.32716114638388755</v>
      </c>
      <c r="AB29" s="143">
        <f t="shared" si="25"/>
        <v>0.65401139362634197</v>
      </c>
      <c r="AC29" s="238">
        <v>0.8788177584528194</v>
      </c>
      <c r="AD29" s="143">
        <f t="shared" si="22"/>
        <v>1.8284128215457389</v>
      </c>
      <c r="AE29" s="238">
        <f t="shared" si="23"/>
        <v>2.4569016274283166</v>
      </c>
      <c r="AF29" s="264">
        <f t="shared" si="26"/>
        <v>0.91464099951394007</v>
      </c>
      <c r="AG29" s="143">
        <v>1.8284128215457389</v>
      </c>
      <c r="AH29" s="238">
        <v>2.4569016274283166</v>
      </c>
    </row>
    <row r="35" spans="37:39" ht="16.5">
      <c r="AK35" s="265" t="s">
        <v>107</v>
      </c>
      <c r="AL35" s="265" t="s">
        <v>108</v>
      </c>
      <c r="AM35" s="265" t="s">
        <v>109</v>
      </c>
    </row>
    <row r="37" spans="37:39">
      <c r="AK37" t="s">
        <v>110</v>
      </c>
      <c r="AL37" t="s">
        <v>111</v>
      </c>
      <c r="AM37" t="s">
        <v>112</v>
      </c>
    </row>
  </sheetData>
  <mergeCells count="18">
    <mergeCell ref="AI3:AK3"/>
    <mergeCell ref="W10:W12"/>
    <mergeCell ref="W4:W6"/>
    <mergeCell ref="W7:W9"/>
    <mergeCell ref="W2:AH2"/>
    <mergeCell ref="L15:L20"/>
    <mergeCell ref="L21:L29"/>
    <mergeCell ref="B1:T1"/>
    <mergeCell ref="K4:K6"/>
    <mergeCell ref="K7:K9"/>
    <mergeCell ref="B2:F2"/>
    <mergeCell ref="G2:J2"/>
    <mergeCell ref="K2:V2"/>
    <mergeCell ref="M15:M17"/>
    <mergeCell ref="M18:M20"/>
    <mergeCell ref="M21:M23"/>
    <mergeCell ref="M24:M26"/>
    <mergeCell ref="M27:M29"/>
  </mergeCells>
  <phoneticPr fontId="14" type="noConversion"/>
  <pageMargins left="0.7" right="0.7" top="0.75" bottom="0.75" header="0.3" footer="0.3"/>
  <pageSetup paperSize="9" orientation="landscape" horizontalDpi="0" verticalDpi="0"/>
  <ignoredErrors>
    <ignoredError sqref="I4:I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Torque and Power</vt:lpstr>
      <vt:lpstr>Thermal load x Span</vt:lpstr>
      <vt:lpstr>Simulations</vt:lpstr>
      <vt:lpstr>Performance</vt:lpstr>
      <vt:lpstr>Performance!Area_de_impressao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Capovilla</dc:creator>
  <cp:lastModifiedBy>Usuario</cp:lastModifiedBy>
  <cp:lastPrinted>2015-07-28T03:10:17Z</cp:lastPrinted>
  <dcterms:created xsi:type="dcterms:W3CDTF">2015-07-20T14:01:21Z</dcterms:created>
  <dcterms:modified xsi:type="dcterms:W3CDTF">2018-10-26T21:28:41Z</dcterms:modified>
</cp:coreProperties>
</file>