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T:\giunta\utenti\ServiziSociali\SostegnoAllaFamigliaEallaComunita\INTESE_FondoFamiglia\Fondo Famiglia 2021\monitoraggio - TOTALE\"/>
    </mc:Choice>
  </mc:AlternateContent>
  <xr:revisionPtr revIDLastSave="0" documentId="13_ncr:1_{5EAC2212-7C82-4E92-B3A8-4A5404599BF0}" xr6:coauthVersionLast="47" xr6:coauthVersionMax="47" xr10:uidLastSave="{00000000-0000-0000-0000-000000000000}"/>
  <bookViews>
    <workbookView xWindow="-120" yWindow="-120" windowWidth="29040" windowHeight="15840" xr2:uid="{00000000-000D-0000-FFFF-FFFF00000000}"/>
  </bookViews>
  <sheets>
    <sheet name="nostro_ rendiconto FF2021 " sheetId="7" r:id="rId1"/>
    <sheet name="riparto FF2021_e_LR30_FNSP 2020" sheetId="1" r:id="rId2"/>
    <sheet name="Foglio1" sheetId="6" r:id="rId3"/>
    <sheet name="FF2021_intervento 1" sheetId="3" r:id="rId4"/>
    <sheet name="FF2021_intervento 2 " sheetId="4" r:id="rId5"/>
    <sheet name="FF2021_intervento 3" sheetId="2" r:id="rId6"/>
    <sheet name="ipotesi destinazione FF2022" sheetId="5" r:id="rId7"/>
  </sheets>
  <externalReferences>
    <externalReference r:id="rId8"/>
    <externalReference r:id="rId9"/>
  </externalReferences>
  <definedNames>
    <definedName name="_xlnm._FilterDatabase" localSheetId="0" hidden="1">'nostro_ rendiconto FF2021 '!$A$5:$E$29</definedName>
    <definedName name="_xlnm._FilterDatabase" localSheetId="1" hidden="1">'riparto FF2021_e_LR30_FNSP 2020'!$A$5:$E$29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46" i="1" l="1"/>
  <c r="E38" i="1"/>
  <c r="E33" i="1"/>
  <c r="E37" i="1"/>
  <c r="AG40" i="1"/>
  <c r="AG39" i="1"/>
  <c r="AB39" i="1"/>
  <c r="AB38" i="1"/>
  <c r="AB40" i="1"/>
  <c r="W38" i="1"/>
  <c r="W40" i="1"/>
  <c r="W39" i="1"/>
  <c r="AC45" i="1"/>
  <c r="AC44" i="1"/>
  <c r="AC46" i="1"/>
  <c r="AB46" i="1"/>
  <c r="AG41" i="1"/>
  <c r="AN29" i="1"/>
  <c r="L26" i="1"/>
  <c r="W26" i="1"/>
  <c r="AD26" i="1"/>
  <c r="AA26" i="1"/>
  <c r="Z26" i="1"/>
  <c r="Y26" i="1"/>
  <c r="X26" i="1"/>
  <c r="V26" i="1"/>
  <c r="Q26" i="1"/>
  <c r="S26" i="1"/>
  <c r="R26" i="1"/>
  <c r="AM29" i="7"/>
  <c r="AI29" i="7"/>
  <c r="AG29" i="7"/>
  <c r="Q29" i="7"/>
  <c r="F29" i="7"/>
  <c r="F34" i="7"/>
  <c r="AO28" i="7"/>
  <c r="AP28" i="7"/>
  <c r="AC28" i="7"/>
  <c r="N28" i="7"/>
  <c r="M28" i="7"/>
  <c r="G28" i="7"/>
  <c r="AO27" i="7"/>
  <c r="AF27" i="7"/>
  <c r="AC27" i="7"/>
  <c r="N27" i="7"/>
  <c r="M27" i="7"/>
  <c r="L27" i="7"/>
  <c r="G27" i="7"/>
  <c r="AP27" i="7"/>
  <c r="AD26" i="7"/>
  <c r="AC26" i="7"/>
  <c r="AA26" i="7"/>
  <c r="W26" i="7"/>
  <c r="V26" i="7"/>
  <c r="V29" i="7"/>
  <c r="L26" i="7"/>
  <c r="AO26" i="7"/>
  <c r="G26" i="7"/>
  <c r="AF25" i="7"/>
  <c r="AO25" i="7"/>
  <c r="AC25" i="7"/>
  <c r="W25" i="7"/>
  <c r="AB25" i="7"/>
  <c r="M25" i="7"/>
  <c r="N25" i="7"/>
  <c r="G25" i="7"/>
  <c r="H25" i="7"/>
  <c r="I25" i="7"/>
  <c r="AO24" i="7"/>
  <c r="K24" i="7"/>
  <c r="AF24" i="7"/>
  <c r="AC24" i="7"/>
  <c r="M24" i="7"/>
  <c r="L24" i="7"/>
  <c r="N24" i="7"/>
  <c r="J24" i="7"/>
  <c r="G24" i="7"/>
  <c r="AC23" i="7"/>
  <c r="M23" i="7"/>
  <c r="L23" i="7"/>
  <c r="AO23" i="7"/>
  <c r="G23" i="7"/>
  <c r="AO22" i="7"/>
  <c r="AC22" i="7"/>
  <c r="W22" i="7"/>
  <c r="M22" i="7"/>
  <c r="N22" i="7"/>
  <c r="G22" i="7"/>
  <c r="K22" i="7"/>
  <c r="AO21" i="7"/>
  <c r="K21" i="7"/>
  <c r="AC21" i="7"/>
  <c r="W21" i="7"/>
  <c r="M21" i="7"/>
  <c r="L21" i="7"/>
  <c r="N21" i="7"/>
  <c r="H21" i="7"/>
  <c r="G21" i="7"/>
  <c r="I21" i="7"/>
  <c r="AR21" i="7"/>
  <c r="AP39" i="7"/>
  <c r="AC20" i="7"/>
  <c r="M20" i="7"/>
  <c r="L20" i="7"/>
  <c r="AO20" i="7"/>
  <c r="H20" i="7"/>
  <c r="G20" i="7"/>
  <c r="I20" i="7"/>
  <c r="AF19" i="7"/>
  <c r="AC19" i="7"/>
  <c r="M19" i="7"/>
  <c r="L19" i="7"/>
  <c r="N19" i="7"/>
  <c r="H19" i="7"/>
  <c r="G19" i="7"/>
  <c r="I19" i="7"/>
  <c r="AF18" i="7"/>
  <c r="AD18" i="7"/>
  <c r="M18" i="7"/>
  <c r="Z18" i="7"/>
  <c r="AC18" i="7"/>
  <c r="W18" i="7"/>
  <c r="L18" i="7"/>
  <c r="N18" i="7"/>
  <c r="G18" i="7"/>
  <c r="I18" i="7"/>
  <c r="AC17" i="7"/>
  <c r="N17" i="7"/>
  <c r="M17" i="7"/>
  <c r="L17" i="7"/>
  <c r="AO17" i="7"/>
  <c r="G17" i="7"/>
  <c r="I17" i="7"/>
  <c r="AC16" i="7"/>
  <c r="W16" i="7"/>
  <c r="M16" i="7"/>
  <c r="N16" i="7"/>
  <c r="L16" i="7"/>
  <c r="AO16" i="7"/>
  <c r="J16" i="7"/>
  <c r="G16" i="7"/>
  <c r="AD15" i="7"/>
  <c r="M15" i="7"/>
  <c r="N15" i="7"/>
  <c r="AC15" i="7"/>
  <c r="L15" i="7"/>
  <c r="H15" i="7"/>
  <c r="I15" i="7"/>
  <c r="G15" i="7"/>
  <c r="AC14" i="7"/>
  <c r="M14" i="7"/>
  <c r="L14" i="7"/>
  <c r="N14" i="7"/>
  <c r="AO14" i="7"/>
  <c r="J14" i="7"/>
  <c r="G14" i="7"/>
  <c r="AD13" i="7"/>
  <c r="M13" i="7"/>
  <c r="N13" i="7"/>
  <c r="W13" i="7"/>
  <c r="L13" i="7"/>
  <c r="AO13" i="7"/>
  <c r="G13" i="7"/>
  <c r="AF12" i="7"/>
  <c r="Z12" i="7"/>
  <c r="Z29" i="7"/>
  <c r="N12" i="7"/>
  <c r="M12" i="7"/>
  <c r="L12" i="7"/>
  <c r="AO12" i="7"/>
  <c r="G12" i="7"/>
  <c r="H12" i="7"/>
  <c r="I12" i="7"/>
  <c r="AD11" i="7"/>
  <c r="M11" i="7"/>
  <c r="L11" i="7"/>
  <c r="AO11" i="7"/>
  <c r="K11" i="7"/>
  <c r="H11" i="7"/>
  <c r="G11" i="7"/>
  <c r="I11" i="7"/>
  <c r="AD10" i="7"/>
  <c r="AC10" i="7"/>
  <c r="H10" i="7"/>
  <c r="I10" i="7"/>
  <c r="AF10" i="7"/>
  <c r="G10" i="7"/>
  <c r="AO9" i="7"/>
  <c r="J9" i="7"/>
  <c r="AD9" i="7"/>
  <c r="AC9" i="7"/>
  <c r="AB9" i="7"/>
  <c r="W9" i="7"/>
  <c r="W29" i="7"/>
  <c r="L9" i="7"/>
  <c r="G9" i="7"/>
  <c r="H9" i="7"/>
  <c r="I9" i="7"/>
  <c r="AC8" i="7"/>
  <c r="N8" i="7"/>
  <c r="M8" i="7"/>
  <c r="L8" i="7"/>
  <c r="AO8" i="7"/>
  <c r="G8" i="7"/>
  <c r="H8" i="7"/>
  <c r="AC7" i="7"/>
  <c r="M7" i="7"/>
  <c r="L7" i="7"/>
  <c r="AO7" i="7"/>
  <c r="AP7" i="7"/>
  <c r="G7" i="7"/>
  <c r="I7" i="7"/>
  <c r="H7" i="7"/>
  <c r="AP6" i="7"/>
  <c r="AO6" i="7"/>
  <c r="AD6" i="7"/>
  <c r="AD29" i="7"/>
  <c r="AC6" i="7"/>
  <c r="M6" i="7"/>
  <c r="N6" i="7"/>
  <c r="G6" i="7"/>
  <c r="H6" i="7"/>
  <c r="AP14" i="7"/>
  <c r="J7" i="7"/>
  <c r="AP11" i="7"/>
  <c r="AP32" i="7"/>
  <c r="J11" i="7"/>
  <c r="AP16" i="7"/>
  <c r="K16" i="7"/>
  <c r="I6" i="7"/>
  <c r="K9" i="7"/>
  <c r="J6" i="7"/>
  <c r="AQ6" i="7"/>
  <c r="N7" i="7"/>
  <c r="N11" i="7"/>
  <c r="H14" i="7"/>
  <c r="I14" i="7"/>
  <c r="AO15" i="7"/>
  <c r="AP15" i="7"/>
  <c r="H16" i="7"/>
  <c r="I16" i="7"/>
  <c r="H17" i="7"/>
  <c r="H18" i="7"/>
  <c r="AO19" i="7"/>
  <c r="J19" i="7"/>
  <c r="AP21" i="7"/>
  <c r="N23" i="7"/>
  <c r="K28" i="7"/>
  <c r="K6" i="7"/>
  <c r="M9" i="7"/>
  <c r="N9" i="7"/>
  <c r="J22" i="7"/>
  <c r="H24" i="7"/>
  <c r="I24" i="7"/>
  <c r="H28" i="7"/>
  <c r="I28" i="7"/>
  <c r="AD15" i="1"/>
  <c r="M15" i="1"/>
  <c r="AD13" i="1"/>
  <c r="AC13" i="1"/>
  <c r="V29" i="1"/>
  <c r="AC28" i="1"/>
  <c r="AC27" i="1"/>
  <c r="AC26" i="1"/>
  <c r="M26" i="1"/>
  <c r="N26" i="1"/>
  <c r="AC25" i="1"/>
  <c r="AC24" i="1"/>
  <c r="AC23" i="1"/>
  <c r="AC22" i="1"/>
  <c r="AC21" i="1"/>
  <c r="AC20" i="1"/>
  <c r="AC19" i="1"/>
  <c r="L18" i="1"/>
  <c r="AD18" i="1"/>
  <c r="M18" i="1"/>
  <c r="N18" i="1"/>
  <c r="Z18" i="1"/>
  <c r="AC18" i="1"/>
  <c r="W18" i="1"/>
  <c r="AC17" i="1"/>
  <c r="AC16" i="1"/>
  <c r="AC15" i="1"/>
  <c r="AC14" i="1"/>
  <c r="Z12" i="1"/>
  <c r="Z29" i="1"/>
  <c r="AD11" i="1"/>
  <c r="M11" i="1"/>
  <c r="N11" i="1"/>
  <c r="M12" i="1"/>
  <c r="M13" i="1"/>
  <c r="M14" i="1"/>
  <c r="M16" i="1"/>
  <c r="M17" i="1"/>
  <c r="M19" i="1"/>
  <c r="M20" i="1"/>
  <c r="M21" i="1"/>
  <c r="M22" i="1"/>
  <c r="N22" i="1"/>
  <c r="M23" i="1"/>
  <c r="M24" i="1"/>
  <c r="M25" i="1"/>
  <c r="N25" i="1"/>
  <c r="M27" i="1"/>
  <c r="M28" i="1"/>
  <c r="N28" i="1"/>
  <c r="AD10" i="1"/>
  <c r="AC10" i="1"/>
  <c r="M8" i="1"/>
  <c r="M7" i="1"/>
  <c r="N7" i="1"/>
  <c r="AD9" i="1"/>
  <c r="AC9" i="1"/>
  <c r="AC8" i="1"/>
  <c r="AC7" i="1"/>
  <c r="AB9" i="1"/>
  <c r="AC6" i="1"/>
  <c r="AD6" i="1"/>
  <c r="M9" i="1"/>
  <c r="AC12" i="1"/>
  <c r="M10" i="1"/>
  <c r="N10" i="1"/>
  <c r="AP19" i="7"/>
  <c r="K15" i="7"/>
  <c r="J15" i="7"/>
  <c r="AG29" i="1"/>
  <c r="AM29" i="1"/>
  <c r="AF24" i="1"/>
  <c r="L14" i="1"/>
  <c r="N14" i="1"/>
  <c r="W13" i="1"/>
  <c r="Q29" i="1"/>
  <c r="W25" i="1"/>
  <c r="AB25" i="1"/>
  <c r="W22" i="1"/>
  <c r="W21" i="1"/>
  <c r="W16" i="1"/>
  <c r="W9" i="1"/>
  <c r="W29" i="1"/>
  <c r="AI29" i="1"/>
  <c r="AI31" i="1"/>
  <c r="AO28" i="1"/>
  <c r="AO22" i="1"/>
  <c r="AO12" i="1"/>
  <c r="AF25" i="1"/>
  <c r="AO25" i="1"/>
  <c r="AF12" i="1"/>
  <c r="AO17" i="1"/>
  <c r="L17" i="1"/>
  <c r="N17" i="1"/>
  <c r="L23" i="1"/>
  <c r="N23" i="1"/>
  <c r="AO26" i="1"/>
  <c r="L27" i="1"/>
  <c r="AO27" i="1"/>
  <c r="AO11" i="1"/>
  <c r="AP11" i="1"/>
  <c r="AP32" i="1"/>
  <c r="L11" i="1"/>
  <c r="L21" i="1"/>
  <c r="N21" i="1"/>
  <c r="L24" i="1"/>
  <c r="AO24" i="1"/>
  <c r="K24" i="1"/>
  <c r="N24" i="1"/>
  <c r="L13" i="1"/>
  <c r="N13" i="1"/>
  <c r="AF27" i="1"/>
  <c r="L15" i="1"/>
  <c r="N15" i="1"/>
  <c r="L8" i="1"/>
  <c r="N8" i="1"/>
  <c r="AO14" i="1"/>
  <c r="L16" i="1"/>
  <c r="N16" i="1"/>
  <c r="AF19" i="1"/>
  <c r="L19" i="1"/>
  <c r="N19" i="1"/>
  <c r="L12" i="1"/>
  <c r="N12" i="1"/>
  <c r="AO6" i="1"/>
  <c r="L20" i="1"/>
  <c r="AO20" i="1"/>
  <c r="AF18" i="1"/>
  <c r="AO18" i="1"/>
  <c r="L7" i="1"/>
  <c r="AO7" i="1"/>
  <c r="D12" i="5"/>
  <c r="D16" i="5"/>
  <c r="D25" i="5"/>
  <c r="D27" i="5"/>
  <c r="G6" i="1"/>
  <c r="G7" i="1"/>
  <c r="H7" i="1"/>
  <c r="G8" i="1"/>
  <c r="I8" i="1"/>
  <c r="H8" i="1"/>
  <c r="G9" i="1"/>
  <c r="H9" i="1"/>
  <c r="G10" i="1"/>
  <c r="G11" i="1"/>
  <c r="G12" i="1"/>
  <c r="H12" i="1"/>
  <c r="I12" i="1"/>
  <c r="G13" i="1"/>
  <c r="I13" i="1"/>
  <c r="G14" i="1"/>
  <c r="G15" i="1"/>
  <c r="G16" i="1"/>
  <c r="H16" i="1"/>
  <c r="I16" i="1"/>
  <c r="G17" i="1"/>
  <c r="H17" i="1"/>
  <c r="G18" i="1"/>
  <c r="I18" i="1"/>
  <c r="G19" i="1"/>
  <c r="I19" i="1"/>
  <c r="H19" i="1"/>
  <c r="G20" i="1"/>
  <c r="G21" i="1"/>
  <c r="H21" i="1"/>
  <c r="G22" i="1"/>
  <c r="G23" i="1"/>
  <c r="H23" i="1"/>
  <c r="I23" i="1"/>
  <c r="G24" i="1"/>
  <c r="H24" i="1"/>
  <c r="G25" i="1"/>
  <c r="G26" i="1"/>
  <c r="K26" i="1"/>
  <c r="G27" i="1"/>
  <c r="I27" i="1"/>
  <c r="H27" i="1"/>
  <c r="G28" i="1"/>
  <c r="H28" i="1"/>
  <c r="F29" i="1"/>
  <c r="G29" i="1"/>
  <c r="L9" i="1"/>
  <c r="N9" i="1"/>
  <c r="AO9" i="1"/>
  <c r="H11" i="1"/>
  <c r="H13" i="1"/>
  <c r="H26" i="1"/>
  <c r="H22" i="1"/>
  <c r="I22" i="1"/>
  <c r="H18" i="1"/>
  <c r="H14" i="1"/>
  <c r="I14" i="1"/>
  <c r="H10" i="1"/>
  <c r="I10" i="1"/>
  <c r="AF10" i="1"/>
  <c r="J27" i="1"/>
  <c r="J25" i="1"/>
  <c r="K25" i="1"/>
  <c r="AP25" i="1"/>
  <c r="K9" i="1"/>
  <c r="J7" i="1"/>
  <c r="K6" i="1"/>
  <c r="H15" i="1"/>
  <c r="H25" i="1"/>
  <c r="I25" i="1"/>
  <c r="H20" i="1"/>
  <c r="AO16" i="1"/>
  <c r="AO21" i="1"/>
  <c r="J28" i="1"/>
  <c r="K17" i="1"/>
  <c r="J17" i="1"/>
  <c r="K22" i="1"/>
  <c r="J22" i="1"/>
  <c r="AP6" i="1"/>
  <c r="I17" i="1"/>
  <c r="AO15" i="1"/>
  <c r="AO13" i="1"/>
  <c r="K13" i="1"/>
  <c r="AO19" i="1"/>
  <c r="AO23" i="1"/>
  <c r="J23" i="1"/>
  <c r="L29" i="1"/>
  <c r="J11" i="1"/>
  <c r="AO8" i="1"/>
  <c r="K12" i="1"/>
  <c r="J12" i="1"/>
  <c r="J20" i="1"/>
  <c r="AP22" i="1"/>
  <c r="AP17" i="1"/>
  <c r="AP34" i="1"/>
  <c r="AP12" i="1"/>
  <c r="J24" i="1"/>
  <c r="J18" i="1"/>
  <c r="J14" i="1"/>
  <c r="K14" i="1"/>
  <c r="AP14" i="1"/>
  <c r="J15" i="1"/>
  <c r="AP15" i="1"/>
  <c r="J21" i="1"/>
  <c r="AP21" i="1"/>
  <c r="AP23" i="1"/>
  <c r="K16" i="1"/>
  <c r="J16" i="1"/>
  <c r="AP16" i="1"/>
  <c r="J19" i="1"/>
  <c r="K19" i="1"/>
  <c r="AP19" i="1"/>
  <c r="K8" i="1"/>
  <c r="J8" i="1"/>
  <c r="AP8" i="1"/>
  <c r="AR13" i="1"/>
  <c r="AR15" i="1"/>
  <c r="AP38" i="1"/>
  <c r="AP37" i="1"/>
  <c r="AF29" i="1"/>
  <c r="AO10" i="1"/>
  <c r="AB49" i="1"/>
  <c r="AP13" i="1"/>
  <c r="K23" i="1"/>
  <c r="AP9" i="1"/>
  <c r="K21" i="1"/>
  <c r="AP28" i="1"/>
  <c r="I28" i="1"/>
  <c r="K28" i="1"/>
  <c r="I21" i="1"/>
  <c r="AR21" i="1"/>
  <c r="AP39" i="1"/>
  <c r="AS42" i="1"/>
  <c r="I15" i="1"/>
  <c r="K15" i="1"/>
  <c r="AP27" i="1"/>
  <c r="K27" i="1"/>
  <c r="K23" i="7"/>
  <c r="J23" i="7"/>
  <c r="AP23" i="7"/>
  <c r="J26" i="7"/>
  <c r="AP26" i="7"/>
  <c r="AP31" i="7"/>
  <c r="K26" i="7"/>
  <c r="AP12" i="7"/>
  <c r="J12" i="7"/>
  <c r="K12" i="7"/>
  <c r="J13" i="1"/>
  <c r="I24" i="1"/>
  <c r="J9" i="1"/>
  <c r="I9" i="1"/>
  <c r="I7" i="1"/>
  <c r="AP7" i="1"/>
  <c r="K7" i="1"/>
  <c r="K18" i="1"/>
  <c r="AP18" i="1"/>
  <c r="I8" i="7"/>
  <c r="K13" i="7"/>
  <c r="J13" i="7"/>
  <c r="AP13" i="7"/>
  <c r="J17" i="7"/>
  <c r="AP17" i="7"/>
  <c r="K17" i="7"/>
  <c r="AR17" i="7"/>
  <c r="AP34" i="7"/>
  <c r="M29" i="7"/>
  <c r="AP26" i="1"/>
  <c r="AP31" i="1"/>
  <c r="J26" i="1"/>
  <c r="I26" i="1"/>
  <c r="AP24" i="1"/>
  <c r="I20" i="1"/>
  <c r="K11" i="1"/>
  <c r="I11" i="1"/>
  <c r="J6" i="1"/>
  <c r="AQ6" i="1"/>
  <c r="H6" i="1"/>
  <c r="AP20" i="1"/>
  <c r="K20" i="1"/>
  <c r="M6" i="1"/>
  <c r="N6" i="1"/>
  <c r="AD29" i="1"/>
  <c r="AP8" i="7"/>
  <c r="J8" i="7"/>
  <c r="K8" i="7"/>
  <c r="AF29" i="7"/>
  <c r="AO10" i="7"/>
  <c r="J20" i="7"/>
  <c r="AP20" i="7"/>
  <c r="K20" i="7"/>
  <c r="J25" i="7"/>
  <c r="AP25" i="7"/>
  <c r="K25" i="7"/>
  <c r="N20" i="1"/>
  <c r="N27" i="1"/>
  <c r="AR15" i="7"/>
  <c r="AP38" i="7"/>
  <c r="K19" i="7"/>
  <c r="M29" i="1"/>
  <c r="N29" i="1"/>
  <c r="AC29" i="1"/>
  <c r="H27" i="7"/>
  <c r="I27" i="7"/>
  <c r="K27" i="7"/>
  <c r="AP22" i="7"/>
  <c r="AP9" i="7"/>
  <c r="K7" i="7"/>
  <c r="K14" i="7"/>
  <c r="M10" i="7"/>
  <c r="N10" i="7"/>
  <c r="AC12" i="7"/>
  <c r="AC29" i="7"/>
  <c r="AR13" i="7"/>
  <c r="AC13" i="7"/>
  <c r="AO18" i="7"/>
  <c r="N20" i="7"/>
  <c r="I22" i="7"/>
  <c r="AP24" i="7"/>
  <c r="H26" i="7"/>
  <c r="I26" i="7"/>
  <c r="J27" i="7"/>
  <c r="G29" i="7"/>
  <c r="V35" i="7"/>
  <c r="E36" i="1"/>
  <c r="AH46" i="1"/>
  <c r="AC49" i="1"/>
  <c r="M26" i="7"/>
  <c r="N26" i="7"/>
  <c r="J28" i="7"/>
  <c r="L29" i="7"/>
  <c r="J21" i="7"/>
  <c r="H13" i="7"/>
  <c r="I13" i="7"/>
  <c r="H22" i="7"/>
  <c r="H23" i="7"/>
  <c r="I23" i="7"/>
  <c r="I29" i="7"/>
  <c r="AC32" i="7"/>
  <c r="AC35" i="7"/>
  <c r="AR29" i="7"/>
  <c r="AR31" i="7"/>
  <c r="AP37" i="7"/>
  <c r="AP10" i="7"/>
  <c r="AP33" i="7"/>
  <c r="J10" i="7"/>
  <c r="K10" i="7"/>
  <c r="H29" i="7"/>
  <c r="AF32" i="7"/>
  <c r="AO30" i="7"/>
  <c r="AF35" i="7"/>
  <c r="AO29" i="1"/>
  <c r="J10" i="1"/>
  <c r="K10" i="1"/>
  <c r="AP10" i="1"/>
  <c r="AP33" i="1"/>
  <c r="AR29" i="1"/>
  <c r="N29" i="7"/>
  <c r="K18" i="7"/>
  <c r="J18" i="7"/>
  <c r="AP18" i="7"/>
  <c r="Z35" i="7"/>
  <c r="AG35" i="7"/>
  <c r="AO29" i="7"/>
  <c r="AF35" i="1"/>
  <c r="AO30" i="1"/>
  <c r="AF49" i="1"/>
  <c r="H29" i="1"/>
  <c r="I6" i="1"/>
  <c r="I29" i="1"/>
  <c r="J29" i="1"/>
  <c r="AP43" i="1"/>
  <c r="K29" i="1"/>
  <c r="AP29" i="1"/>
  <c r="AS29" i="1"/>
  <c r="V35" i="1"/>
  <c r="AR31" i="1"/>
  <c r="F30" i="1"/>
  <c r="AB35" i="1"/>
  <c r="AA35" i="1"/>
  <c r="AP29" i="7"/>
  <c r="AS29" i="7"/>
  <c r="J29" i="7"/>
  <c r="K29" i="7"/>
  <c r="AP43" i="7"/>
  <c r="Z32" i="7"/>
  <c r="AH32" i="7"/>
  <c r="V32" i="7"/>
  <c r="Z32" i="1"/>
  <c r="V32" i="1"/>
  <c r="AF32" i="1"/>
  <c r="AC32" i="1"/>
  <c r="AH32" i="1"/>
  <c r="AA32" i="1"/>
</calcChain>
</file>

<file path=xl/sharedStrings.xml><?xml version="1.0" encoding="utf-8"?>
<sst xmlns="http://schemas.openxmlformats.org/spreadsheetml/2006/main" count="532" uniqueCount="231">
  <si>
    <t>Totale complessivo</t>
  </si>
  <si>
    <t xml:space="preserve">Ats 04 - Urbino </t>
  </si>
  <si>
    <t xml:space="preserve">Ats 01 - Pesaro </t>
  </si>
  <si>
    <t>Ats 06 - Fano</t>
  </si>
  <si>
    <t xml:space="preserve">Ats 07 - Fossombrone </t>
  </si>
  <si>
    <t xml:space="preserve">Ats 11 - Ancona </t>
  </si>
  <si>
    <t xml:space="preserve">Ats 12 - Falconara Marittima </t>
  </si>
  <si>
    <t xml:space="preserve">Ats 13 - Osimo </t>
  </si>
  <si>
    <t>Ats 14 - Civitanova Marche</t>
  </si>
  <si>
    <t>Ats 15 - Macerata</t>
  </si>
  <si>
    <t xml:space="preserve">Ats 19 - Fermo </t>
  </si>
  <si>
    <t xml:space="preserve">Ats 20 - Porto Sant'Elpidio </t>
  </si>
  <si>
    <t xml:space="preserve">Ats 22 - Ascoli Piceno </t>
  </si>
  <si>
    <t>BENEFICIARI N. 23</t>
  </si>
  <si>
    <t xml:space="preserve">almeno 80% punti 1) e 2) </t>
  </si>
  <si>
    <t>massimo 20% punto 3)</t>
  </si>
  <si>
    <t>SPESA PUNTI 1 E 2</t>
  </si>
  <si>
    <t>PUNTO 1) NASCITA ADOZIONE</t>
  </si>
  <si>
    <t>PUNTO 2) DISAGIO SOCIALE ECONOMICO</t>
  </si>
  <si>
    <t>PUNTO 3) CENTRI FAMIGLIA SCUOLE PER GENITORI</t>
  </si>
  <si>
    <t>ok</t>
  </si>
  <si>
    <t>totale liquidato</t>
  </si>
  <si>
    <t>verifica (H maggiore o uguale a E)</t>
  </si>
  <si>
    <t xml:space="preserve">Ats 03 - Unione Montana Catria E Nerone </t>
  </si>
  <si>
    <t xml:space="preserve">Ats 05 - Unione Montana Montefeltro </t>
  </si>
  <si>
    <t xml:space="preserve">Ats 08 - Senigallia </t>
  </si>
  <si>
    <t xml:space="preserve">Ats 09 - Asp Ambito 9 Jesi </t>
  </si>
  <si>
    <t xml:space="preserve">Ats 10 - Unione Montana Esino-Frasassi </t>
  </si>
  <si>
    <t xml:space="preserve">Ats 16 - Unione Montana Monti Azzurri </t>
  </si>
  <si>
    <t xml:space="preserve">Ats 17 - Unione Montana Alte Valli Potenza-Esino </t>
  </si>
  <si>
    <t xml:space="preserve">Ats 18 - Unione Montana Marca Di Camerino </t>
  </si>
  <si>
    <t xml:space="preserve">Ats 23 - Unione Dei Comuni Vallata Del Tronto </t>
  </si>
  <si>
    <t xml:space="preserve">Ats 24 - Unione Montana Monti Sibillini </t>
  </si>
  <si>
    <t>TIPOLOGIA INTERVENTI :</t>
  </si>
  <si>
    <t>PREVENZIONE DELL'INTERRUZIONE DI  GRAVIDANZA MEDIANTE RIMOZIONE DEGLI OSTACOLI MATERIALI E/O PSICOLOGICI E/O AFFETTIVI.</t>
  </si>
  <si>
    <t>I BENEFICIARI SONO DONNE IN DIFFICOLTA' CHE SPESSO NON NUTRONO SUFFICIENTE FIDUCIA NEI SERVIZI  PER LA PREPARAZIONE ALLA  NASCITA E/O ALL'ADOZIONE.</t>
  </si>
  <si>
    <t>Precondizioni e criticità attuative:</t>
  </si>
  <si>
    <t xml:space="preserve">DA COMPILARE DA PARTE VOSTRA: </t>
  </si>
  <si>
    <t>Risultati attesi</t>
  </si>
  <si>
    <t>Indicatori di risultato</t>
  </si>
  <si>
    <t>Impatto atteso</t>
  </si>
  <si>
    <t>Indicatori di Impatto</t>
  </si>
  <si>
    <t>tempo di attuazione (in mesi da 1 a 18)</t>
  </si>
  <si>
    <t>GENITORI SEPARATI E LORO FIGLI, FAMIGLIE NUMEROSE, FIGLI MINORI ORFANI, FAMIGLIE CON ASPETTI MULTIPROBLEMATICI CON FIGLI MINORI.</t>
  </si>
  <si>
    <t>UNA CRITICITA' PUO' ESSERE RAPPRESENTATA DALLA DIFFICOLTA' A  REALIZZARE  UNA DAVVERO EQUA DISTRIBUZIONE DELLE RISORSE IN PROPORZIONE AI REDDITI PERCEPITI.</t>
  </si>
  <si>
    <t>Obiettivo specifico e destinatari (pre-indicati dalla Regione Marche):</t>
  </si>
  <si>
    <t>Precondizioni e criticità attuative (pre-indicati dalla Regione Marche):</t>
  </si>
  <si>
    <t>INNALZAMENTO DEL LIVELLO DI CONSAPEVOLEZZA DI CAPACITA' GENITORIALI ED AFFETTIVE</t>
  </si>
  <si>
    <t>CIRCOSTANZE AMBIENTALI DI STRESS QUOTIDIANO, SENSO DI INADEGUATEZZA, IMPOVERIMENTO DELLE AFFETTIVITA'.</t>
  </si>
  <si>
    <t>1 2 3</t>
  </si>
  <si>
    <t>abbiamo solo l'atto per la L.R30</t>
  </si>
  <si>
    <t>1 a b        - 2 d - 3</t>
  </si>
  <si>
    <t>2 d     - 3</t>
  </si>
  <si>
    <t>1 al 35% - 2 al 45% - 3</t>
  </si>
  <si>
    <t>2 b c d</t>
  </si>
  <si>
    <t>1)    Interventi di sostegno per la nascita e per l'adozione di figli</t>
  </si>
  <si>
    <t>b)    contributi economici per garantire solidarietà alle ragazze madri, in situazione di difficoltà, mediante sostegno psicologico e mediante aiuti di natura materiale;</t>
  </si>
  <si>
    <t xml:space="preserve">c)    contributi economici a favore di famiglie che affrontano il percorso adottivo o hanno adottato un bambino </t>
  </si>
  <si>
    <t>a)    contributi economici alle donne in stato di gravidanza in condizione di difficoltà, al fine di prevenire l’interruzione di gravidanza, quando essa dipenda da ostacoli rimovibili mediante sostegno psicologico e mediante aiuti di natura materiale durante e dopo la maternità, attraverso l’accompagnamento della donna e del bambino. Tale intervento sarà posto in essere nel rispetto di quanto previsto dalla Legge 194/1978.</t>
  </si>
  <si>
    <t>a)         sostegno abitativo per famiglie e genitori separati;</t>
  </si>
  <si>
    <t>b)        sostegno a famiglie con numero di figli pari o superiore a quattro che preveda la riduzione delle tariffe dei servizi comunali a pagamento o altri interventi economici;</t>
  </si>
  <si>
    <t>c)         sostegno economico alle famiglie con figli minori di età, rimasti orfani di uno o entrambi i genitori;</t>
  </si>
  <si>
    <t>d)        sostengo economico a nuclei familiari, con figli minori, già in carico ai servizi</t>
  </si>
  <si>
    <t>2)    Interventi per il superamento di situazioni di disagio sociale o economico:</t>
  </si>
  <si>
    <t xml:space="preserve">a)  mediazione familiare, realizzazione di servizi informativi per i genitori separati o divorziati e finalizzati a rendere effettivo l'esercizio del ruolo genitoriale; </t>
  </si>
  <si>
    <t>b)  realizzazione di percorsi di supporto psicologico diretti al superamento del disagio, al recupero della propria autonomia ed al mantenimento di un pieno ruolo genitoriale.</t>
  </si>
  <si>
    <t xml:space="preserve">3)    Rafforzamento dei Centri per la famiglia e scuole per genitori in collaborazione con le istituzioni pubbliche e del terzo settore per la realizzazione delle seguenti attività </t>
  </si>
  <si>
    <t>2 d</t>
  </si>
  <si>
    <t>2 a b c      - 3</t>
  </si>
  <si>
    <t>1 b    - 2  c d   - 3</t>
  </si>
  <si>
    <t xml:space="preserve">1   2  3 </t>
  </si>
  <si>
    <t>Attività (specificare i punti a , b e c di appartenenza)</t>
  </si>
  <si>
    <t>Attività (specificare i punti a , b , c e d di appartenenza)</t>
  </si>
  <si>
    <t>Attività (specificare i punti a e  b  di appartenenza)</t>
  </si>
  <si>
    <t>non ha trasmesso delibera *</t>
  </si>
  <si>
    <t>* quella trasmessa riguarda altri fondi</t>
  </si>
  <si>
    <t xml:space="preserve">Non conosciamo ancora l'entità delle risorse che ci verranno assegnate, ciò nonostante riteniamo utile una vostra indicazione preventiva </t>
  </si>
  <si>
    <t>di interventi su cui destinare il finanziamento del Fondo Famiglia 2022</t>
  </si>
  <si>
    <t>ipotesi 1:</t>
  </si>
  <si>
    <t>ipotesi 2:</t>
  </si>
  <si>
    <t>ipotesi 3:</t>
  </si>
  <si>
    <t>ecc…</t>
  </si>
  <si>
    <t>INTERVENTI PROGRAMMATI DA DELIBERA COMITATO SINDACI (numeri da 1 a 3 e lettere da A a D vedasi fogli successivi)</t>
  </si>
  <si>
    <t>scadenza attività e spese:</t>
  </si>
  <si>
    <t xml:space="preserve">scadenza invio rendiconti: </t>
  </si>
  <si>
    <t xml:space="preserve"> motivazioni degli eventuali scostamenti</t>
  </si>
  <si>
    <t>SCOSTAMENTI rispetto al programmato (riportare i diversi interventi con numeri e lettere)</t>
  </si>
  <si>
    <t>sostengo economico a nuclei familiari, con figli minori, già in carico ai servizi</t>
  </si>
  <si>
    <t>ATS 5</t>
  </si>
  <si>
    <t xml:space="preserve">mediazione familiare, realizzazione di servizi informativi per i genitori separati o divorziati e finalizzati a rendere effettivo l'esercizio del ruolo genitoriale; </t>
  </si>
  <si>
    <t>ATS 9</t>
  </si>
  <si>
    <t>sostengo economico a nuclei monogenitoriali, con figli minori in condizione di difficoltà</t>
  </si>
  <si>
    <t>privilegiare  le famiglie con minori, anche con numero di figli sotto a 4.</t>
  </si>
  <si>
    <t>ATS 16</t>
  </si>
  <si>
    <t>mantenenre come priorità d'intervento le famiglie in cqarico al servizio sociale e le famiglie con un numero di minori superiori a 2</t>
  </si>
  <si>
    <t>mantenere gli interventi previsti per l'annualità precedente</t>
  </si>
  <si>
    <t>ATS 18</t>
  </si>
  <si>
    <t>ATS 21</t>
  </si>
  <si>
    <t>Supportare le famiglie anche attraverso contributi economici finalizzati prioritariamente a specifiche tipologie di beneficiari (definiti a livello regionale), ma estendibili a tutte le famiglie con disagio economico (sulla base del reddito ISEE)</t>
  </si>
  <si>
    <t>ATS 3</t>
  </si>
  <si>
    <t>si ritiene utile privilegiare il finanziamento di servizi (Centro per le famiglie, scuole per genitori) piuttosto che il semplice trasferimento monetario di cui è sempre difficile valutare l'effettiva utilità e impatto.</t>
  </si>
  <si>
    <t>ATS12</t>
  </si>
  <si>
    <t xml:space="preserve"> ha trasmesso delibera data 27 giugno</t>
  </si>
  <si>
    <t>realizzazione di percorsi di supporto psicologico diretti al superamento del disagio, al recupero della propria autonomia ed al mantenimento di un pieno ruolo genitoriale.</t>
  </si>
  <si>
    <t>ATS 15</t>
  </si>
  <si>
    <t>Come per annualità 2022, il finanziamento può essere utilizzato quale integrazione delle risorse della Legge 30/99</t>
  </si>
  <si>
    <t>ats 1</t>
  </si>
  <si>
    <t>interventi di sostegno alle competenze genitoriali attraverso la Scuola per genitori</t>
  </si>
  <si>
    <t>ATS 22</t>
  </si>
  <si>
    <t>sostegno ai minori, in particolare agli adolescenti, nel periodo post Covid</t>
  </si>
  <si>
    <t>valorizzazione dei servizi ricreativi extrascolastici e/o attività di sostegno ai compiti</t>
  </si>
  <si>
    <t>ats 6</t>
  </si>
  <si>
    <t>ats 8</t>
  </si>
  <si>
    <t>L'emergenza sanitaria covid-19 ha portato all'aumeto della disoccupazione in nuclei familiari (singoli o con più componenti) di per sé già fragili, comportando minori entrate economiche ed impossibilità di pagre affitti/utenze/spese necessarie per il quotidiano menage familiare; si riterrebbe pertanto utile poter orientare i finanziamenti sulle conseguenze di crisi economica che tale evento pandemico a generato a cascata sulla popolazione.</t>
  </si>
  <si>
    <t>liquidato LR 30 DDS 144/2021 DGR 470</t>
  </si>
  <si>
    <t>liquidato FF 2021 DDS 315/2021 ff  dgr 1271</t>
  </si>
  <si>
    <t>hotl</t>
  </si>
  <si>
    <t>hotel</t>
  </si>
  <si>
    <t>Stesso utilizzo dell'attuale fondo, soprattutto per l'intervento 2</t>
  </si>
  <si>
    <t>ATS 17</t>
  </si>
  <si>
    <t>ok ma non rispetto %</t>
  </si>
  <si>
    <t>speso meno punti 1 e 2</t>
  </si>
  <si>
    <t>speso meno</t>
  </si>
  <si>
    <t>speso meno PUNTO 3</t>
  </si>
  <si>
    <t>OK</t>
  </si>
  <si>
    <t>SOMME DA RECUPERARE</t>
  </si>
  <si>
    <t>ATS 20</t>
  </si>
  <si>
    <t>conferme mail da ats chieste ven 16 sett</t>
  </si>
  <si>
    <t>SPESO MENO punto 3</t>
  </si>
  <si>
    <t>speso meno - non rispetto %</t>
  </si>
  <si>
    <t xml:space="preserve">Ats 21 - San Benedetto </t>
  </si>
  <si>
    <t>ok integrato</t>
  </si>
  <si>
    <t>vedi mail del 19 e integrazioni</t>
  </si>
  <si>
    <t>CHIESTO NON RECUPERO</t>
  </si>
  <si>
    <t>RICHIESTE ENTRO IL 10 OTTOBRE DI NON RECUPERARE</t>
  </si>
  <si>
    <t>DA SISTEMARE CON RIACCERTAMENTO</t>
  </si>
  <si>
    <t>PUNTI</t>
  </si>
  <si>
    <t>2 A B C D</t>
  </si>
  <si>
    <t>1 B  - 2 B D</t>
  </si>
  <si>
    <t>tutti tranne ats 9</t>
  </si>
  <si>
    <t>CF o SG</t>
  </si>
  <si>
    <t>SG</t>
  </si>
  <si>
    <t>CF</t>
  </si>
  <si>
    <t>CF E SG</t>
  </si>
  <si>
    <t>spesa fondo famiglia</t>
  </si>
  <si>
    <t>spesa legge 30</t>
  </si>
  <si>
    <t>n. CF</t>
  </si>
  <si>
    <t xml:space="preserve"> </t>
  </si>
  <si>
    <t>mediazione familiare</t>
  </si>
  <si>
    <t>NUMERO UTENTI intervento 1</t>
  </si>
  <si>
    <t>NUMERO UTENTI intervento 2</t>
  </si>
  <si>
    <t>tip A</t>
  </si>
  <si>
    <t>TIP B</t>
  </si>
  <si>
    <t>TIP C</t>
  </si>
  <si>
    <t>TIP D</t>
  </si>
  <si>
    <t>ATTI LIQUIDAZ</t>
  </si>
  <si>
    <t>INTERVENTO 2</t>
  </si>
  <si>
    <t>TIP A</t>
  </si>
  <si>
    <t>mancano</t>
  </si>
  <si>
    <t>utenti SG</t>
  </si>
  <si>
    <t>utenti CF</t>
  </si>
  <si>
    <t>non indicato</t>
  </si>
  <si>
    <t xml:space="preserve"> MINORE SPESA                                       CHI HA SPESO DI PIU' in verde</t>
  </si>
  <si>
    <t>ATS 7</t>
  </si>
  <si>
    <t>ATS 6</t>
  </si>
  <si>
    <t>spenderanno</t>
  </si>
  <si>
    <t>recupero</t>
  </si>
  <si>
    <t>ATS 11</t>
  </si>
  <si>
    <t>ATS 13</t>
  </si>
  <si>
    <t>CF non finanziati ma attivi</t>
  </si>
  <si>
    <t>SPESA CF FF 2020 periodo gennaio dicembre 2021</t>
  </si>
  <si>
    <t>note</t>
  </si>
  <si>
    <t>SG svolte all'interno CF</t>
  </si>
  <si>
    <t>INTERVENTO 1 - ALTRO PARI AD 1/3 DELL'80%</t>
  </si>
  <si>
    <t>TIP B FAMIGLIE NUMEROSE PARI AD 1/3 DELL'80%</t>
  </si>
  <si>
    <t>SPESA PUNTO 3 CF - periodo gennaio giugno 2022 PARI A 20%</t>
  </si>
  <si>
    <t>SPESA TIP B</t>
  </si>
  <si>
    <t>SPESA INTERV 1</t>
  </si>
  <si>
    <t>SPESA INT 2</t>
  </si>
  <si>
    <t>SPESA TIP A - C - D PARI AD 1/3 DELL'80%</t>
  </si>
  <si>
    <t>RISCONTRO</t>
  </si>
  <si>
    <t>totale spesa ATS</t>
  </si>
  <si>
    <t>contributo reale int 1 FF</t>
  </si>
  <si>
    <t>contributo reale B int 2 FF</t>
  </si>
  <si>
    <t>contributo reale A,C,D int 2 FF</t>
  </si>
  <si>
    <t>contributo reale int 3 FF</t>
  </si>
  <si>
    <t>contributo rispetto spesa ATS int 1 FF</t>
  </si>
  <si>
    <t>contributo rispetto spese ATS B int 2 FF</t>
  </si>
  <si>
    <t>contributo rispettop spesa ATS A,C,D int 2 FF</t>
  </si>
  <si>
    <t>contributo rispetto spese ATS int 3 FF</t>
  </si>
  <si>
    <t>speso da ATS in quota parte su FF</t>
  </si>
  <si>
    <t>MACRO AREA 3</t>
  </si>
  <si>
    <t>AZIONE D - FAM NUMEROSE</t>
  </si>
  <si>
    <t>20% DEL TOTALE</t>
  </si>
  <si>
    <t>AZIONE A - FAM DIFFICOLTA'</t>
  </si>
  <si>
    <t>MACRO AREA 4</t>
  </si>
  <si>
    <t>ALTRO</t>
  </si>
  <si>
    <t xml:space="preserve">MACRO     AREA 1 </t>
  </si>
  <si>
    <t>1/3 DEL 80%</t>
  </si>
  <si>
    <t>SOMMA SINORA RENDICONTATA DIVISA PER I 4 AMBITI DI INTERVENTO</t>
  </si>
  <si>
    <t>ok vedi excel</t>
  </si>
  <si>
    <t>ok incassato</t>
  </si>
  <si>
    <t>non incassato</t>
  </si>
  <si>
    <t>DI CUI</t>
  </si>
  <si>
    <t xml:space="preserve">nazionale </t>
  </si>
  <si>
    <t>regionale</t>
  </si>
  <si>
    <t>tot.</t>
  </si>
  <si>
    <t>TOTALE CONTRIBUTO INT 2</t>
  </si>
  <si>
    <t>nazionale</t>
  </si>
  <si>
    <t xml:space="preserve">tot. </t>
  </si>
  <si>
    <t>NAZIONALI</t>
  </si>
  <si>
    <t>REGIONALI</t>
  </si>
  <si>
    <t>TOT.</t>
  </si>
  <si>
    <t>RECUPERATO E INCASSATO</t>
  </si>
  <si>
    <t>RECUPERATO NON INCASSATO</t>
  </si>
  <si>
    <t>spenderanno *</t>
  </si>
  <si>
    <t>* con nota nostra del 21 febbr 2023 chiediamo termine per conclusione attività e spese Segnatura protocollo: 0196060|20/02/2023|R_MARCHE|GRM|CDI|P|520.40.10/2021/SPO/49</t>
  </si>
  <si>
    <t>int 1</t>
  </si>
  <si>
    <t>int2</t>
  </si>
  <si>
    <t>int3</t>
  </si>
  <si>
    <t>entro settembre (nota del 27_02_2023)</t>
  </si>
  <si>
    <t>mandata mail il 24 febbraio che restituisce</t>
  </si>
  <si>
    <t>chiamati il 01 marzo</t>
  </si>
  <si>
    <t>vedi nota del 02marzo prot 0248033</t>
  </si>
  <si>
    <t>PROGRAMMATO FAM E RESP GENIT</t>
  </si>
  <si>
    <t>PROGRAMMATO NATALITA</t>
  </si>
  <si>
    <t>PROGRAMMATO CENTRI FAMIGLIE</t>
  </si>
  <si>
    <t>naz</t>
  </si>
  <si>
    <t>reg</t>
  </si>
  <si>
    <t>totale</t>
  </si>
  <si>
    <t>incidenza finanz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</si>
</sst>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43" formatCode="_-* #,##0.00_-;\-* #,##0.00_-;_-* &quot;-&quot;??_-;_-@_-"/>
    <numFmt numFmtId="164" formatCode="_-* #,##0.00\ _€_-;\-* #,##0.00\ _€_-;_-* &quot;-&quot;??\ _€_-;_-@_-"/>
    <numFmt numFmtId="165" formatCode="_-* #,##0.00_-;\-* #,##0.00_-;_-* \-??_-;_-@_-"/>
    <numFmt numFmtId="166" formatCode="_-* #,##0.00&quot; €&quot;_-;\-* #,##0.00&quot; €&quot;_-;_-* \-??&quot; €&quot;_-;_-@_-"/>
  </numFmts>
  <fonts count="17" x14ac:knownFonts="1">
    <font>
      <sz val="10"/>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b/>
      <sz val="12"/>
      <name val="Arial"/>
      <family val="2"/>
    </font>
    <font>
      <b/>
      <sz val="14"/>
      <name val="Arial"/>
      <family val="2"/>
    </font>
    <font>
      <sz val="11"/>
      <name val="Arial"/>
      <family val="2"/>
    </font>
    <font>
      <sz val="11"/>
      <color rgb="FFFF0000"/>
      <name val="Arial"/>
      <family val="2"/>
    </font>
    <font>
      <sz val="10"/>
      <color rgb="FFFF0000"/>
      <name val="Arial"/>
      <family val="2"/>
    </font>
    <font>
      <sz val="14"/>
      <name val="Arial"/>
      <family val="2"/>
    </font>
    <font>
      <b/>
      <sz val="16"/>
      <name val="Arial"/>
      <family val="2"/>
    </font>
    <font>
      <b/>
      <i/>
      <sz val="12"/>
      <name val="Arial"/>
      <family val="2"/>
    </font>
    <font>
      <sz val="10"/>
      <name val="Arial"/>
      <family val="2"/>
      <charset val="1"/>
    </font>
    <font>
      <sz val="16"/>
      <name val="Arial"/>
      <family val="2"/>
    </font>
    <font>
      <sz val="9"/>
      <name val="Arial"/>
      <family val="2"/>
    </font>
  </fonts>
  <fills count="12">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C00000"/>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s>
  <cellStyleXfs count="8">
    <xf numFmtId="0" fontId="0" fillId="0" borderId="0"/>
    <xf numFmtId="43" fontId="2" fillId="0" borderId="0" applyFont="0" applyFill="0" applyBorder="0" applyAlignment="0" applyProtection="0"/>
    <xf numFmtId="44" fontId="3" fillId="0" borderId="0" applyFont="0" applyFill="0" applyBorder="0" applyAlignment="0" applyProtection="0"/>
    <xf numFmtId="43" fontId="1" fillId="0" borderId="0" applyFont="0" applyFill="0" applyBorder="0" applyAlignment="0" applyProtection="0"/>
    <xf numFmtId="44" fontId="3" fillId="0" borderId="0" applyFont="0" applyFill="0" applyBorder="0" applyAlignment="0" applyProtection="0"/>
    <xf numFmtId="0" fontId="14" fillId="0" borderId="0"/>
    <xf numFmtId="165" fontId="14" fillId="0" borderId="0" applyBorder="0" applyProtection="0"/>
    <xf numFmtId="166" fontId="14" fillId="0" borderId="0" applyBorder="0" applyProtection="0"/>
  </cellStyleXfs>
  <cellXfs count="176">
    <xf numFmtId="0" fontId="0" fillId="0" borderId="0" xfId="0"/>
    <xf numFmtId="0" fontId="0" fillId="0" borderId="0" xfId="0" applyFill="1"/>
    <xf numFmtId="0" fontId="4" fillId="0" borderId="1" xfId="0" applyFont="1" applyFill="1" applyBorder="1"/>
    <xf numFmtId="43" fontId="0" fillId="0" borderId="0" xfId="1" applyFont="1" applyFill="1"/>
    <xf numFmtId="0" fontId="0" fillId="3" borderId="0" xfId="0" applyFill="1"/>
    <xf numFmtId="164" fontId="0" fillId="0" borderId="0" xfId="0" applyNumberFormat="1" applyFill="1"/>
    <xf numFmtId="43" fontId="4" fillId="3" borderId="0" xfId="1" applyFont="1" applyFill="1"/>
    <xf numFmtId="0" fontId="4" fillId="3" borderId="0" xfId="0" applyFont="1" applyFill="1"/>
    <xf numFmtId="0" fontId="0" fillId="0" borderId="0" xfId="0" applyFill="1" applyAlignment="1">
      <alignment wrapText="1"/>
    </xf>
    <xf numFmtId="0" fontId="0" fillId="3" borderId="0" xfId="0" applyFill="1" applyAlignment="1">
      <alignment wrapText="1"/>
    </xf>
    <xf numFmtId="0" fontId="4" fillId="0" borderId="0" xfId="0" applyFont="1" applyFill="1" applyBorder="1" applyAlignment="1">
      <alignment wrapText="1"/>
    </xf>
    <xf numFmtId="0" fontId="4" fillId="0" borderId="0" xfId="0" applyFont="1" applyFill="1" applyBorder="1" applyAlignment="1">
      <alignment horizontal="center"/>
    </xf>
    <xf numFmtId="0" fontId="7" fillId="0" borderId="0" xfId="0" applyFont="1" applyFill="1"/>
    <xf numFmtId="0" fontId="8" fillId="0" borderId="0" xfId="0" applyFont="1"/>
    <xf numFmtId="0" fontId="9" fillId="0" borderId="0" xfId="0" applyFont="1"/>
    <xf numFmtId="0" fontId="10" fillId="0" borderId="0" xfId="0" applyFont="1"/>
    <xf numFmtId="0" fontId="4" fillId="0" borderId="0" xfId="0" applyFont="1"/>
    <xf numFmtId="0" fontId="11" fillId="0" borderId="0" xfId="0" applyFont="1"/>
    <xf numFmtId="0" fontId="7" fillId="0" borderId="0" xfId="0" applyFont="1"/>
    <xf numFmtId="0" fontId="12" fillId="0" borderId="0" xfId="0" applyFont="1"/>
    <xf numFmtId="0" fontId="0" fillId="2" borderId="0" xfId="0" applyFill="1"/>
    <xf numFmtId="0" fontId="4" fillId="2" borderId="0" xfId="0" applyFont="1" applyFill="1" applyBorder="1" applyAlignment="1">
      <alignment horizontal="center"/>
    </xf>
    <xf numFmtId="43" fontId="4" fillId="0" borderId="0" xfId="1" applyFont="1" applyFill="1"/>
    <xf numFmtId="0" fontId="0" fillId="2" borderId="1" xfId="0" applyFill="1" applyBorder="1" applyAlignment="1">
      <alignment wrapText="1"/>
    </xf>
    <xf numFmtId="0" fontId="0" fillId="2" borderId="1" xfId="0" applyFill="1" applyBorder="1"/>
    <xf numFmtId="0" fontId="4" fillId="0" borderId="0" xfId="0" applyFont="1" applyFill="1"/>
    <xf numFmtId="14" fontId="4" fillId="0" borderId="0" xfId="0" applyNumberFormat="1" applyFont="1" applyFill="1" applyAlignment="1">
      <alignment horizontal="center"/>
    </xf>
    <xf numFmtId="0" fontId="13" fillId="0" borderId="0" xfId="0" applyFont="1" applyFill="1"/>
    <xf numFmtId="0" fontId="4" fillId="0" borderId="0" xfId="0" applyFont="1" applyFill="1" applyBorder="1" applyAlignment="1">
      <alignment vertical="center" wrapText="1"/>
    </xf>
    <xf numFmtId="0" fontId="6" fillId="0" borderId="0" xfId="0" applyFont="1" applyFill="1"/>
    <xf numFmtId="0" fontId="6" fillId="0" borderId="0" xfId="0" applyFont="1"/>
    <xf numFmtId="0" fontId="0" fillId="2" borderId="0" xfId="0" applyFill="1"/>
    <xf numFmtId="0" fontId="0" fillId="2" borderId="0" xfId="0" applyFill="1"/>
    <xf numFmtId="0" fontId="0" fillId="0" borderId="0" xfId="0"/>
    <xf numFmtId="0" fontId="0" fillId="2" borderId="0" xfId="0" applyFill="1"/>
    <xf numFmtId="0" fontId="0" fillId="2" borderId="0" xfId="0" applyFill="1" applyAlignment="1">
      <alignment horizontal="left" vertical="top" wrapText="1"/>
    </xf>
    <xf numFmtId="43" fontId="0" fillId="3" borderId="0" xfId="1" applyFont="1" applyFill="1"/>
    <xf numFmtId="43" fontId="0" fillId="4" borderId="0" xfId="1" applyFont="1" applyFill="1"/>
    <xf numFmtId="0" fontId="0" fillId="4" borderId="0" xfId="0" applyFill="1"/>
    <xf numFmtId="0" fontId="0" fillId="4" borderId="0" xfId="0" applyFill="1" applyAlignment="1">
      <alignment wrapText="1"/>
    </xf>
    <xf numFmtId="0" fontId="0" fillId="5" borderId="0" xfId="0" applyFill="1"/>
    <xf numFmtId="0" fontId="10" fillId="5" borderId="0" xfId="0" applyFont="1" applyFill="1"/>
    <xf numFmtId="43" fontId="0" fillId="3" borderId="0" xfId="0" applyNumberFormat="1" applyFill="1"/>
    <xf numFmtId="44" fontId="0" fillId="3" borderId="0" xfId="0" applyNumberFormat="1" applyFill="1"/>
    <xf numFmtId="43" fontId="5" fillId="3" borderId="0" xfId="1" applyFont="1" applyFill="1"/>
    <xf numFmtId="0" fontId="0" fillId="2" borderId="0" xfId="0" applyFill="1" applyAlignment="1">
      <alignment wrapText="1"/>
    </xf>
    <xf numFmtId="0" fontId="4" fillId="2" borderId="0" xfId="0" applyFont="1" applyFill="1"/>
    <xf numFmtId="0" fontId="0" fillId="2" borderId="0" xfId="0" applyFill="1" applyAlignment="1">
      <alignment horizontal="left" vertical="top"/>
    </xf>
    <xf numFmtId="0" fontId="0" fillId="2" borderId="0" xfId="0" applyFill="1" applyAlignment="1"/>
    <xf numFmtId="44" fontId="0" fillId="2" borderId="0" xfId="0" applyNumberFormat="1" applyFill="1"/>
    <xf numFmtId="164" fontId="0" fillId="2" borderId="0" xfId="0" applyNumberFormat="1" applyFill="1"/>
    <xf numFmtId="43" fontId="0" fillId="3" borderId="0" xfId="1" applyFont="1" applyFill="1" applyAlignment="1">
      <alignment wrapText="1"/>
    </xf>
    <xf numFmtId="0" fontId="0" fillId="2" borderId="0" xfId="0" applyFill="1" applyAlignment="1">
      <alignment horizontal="center"/>
    </xf>
    <xf numFmtId="0" fontId="4" fillId="0" borderId="2" xfId="0" applyFont="1" applyFill="1" applyBorder="1" applyAlignment="1">
      <alignment horizontal="center" vertical="center" wrapText="1"/>
    </xf>
    <xf numFmtId="1" fontId="4" fillId="0" borderId="0" xfId="0" applyNumberFormat="1" applyFont="1" applyFill="1" applyAlignment="1">
      <alignment horizontal="center" vertical="center"/>
    </xf>
    <xf numFmtId="1" fontId="4" fillId="0" borderId="0" xfId="1" applyNumberFormat="1" applyFont="1" applyFill="1" applyAlignment="1">
      <alignment horizontal="center" vertical="center"/>
    </xf>
    <xf numFmtId="0" fontId="0" fillId="0" borderId="0" xfId="0" applyFill="1" applyBorder="1"/>
    <xf numFmtId="0" fontId="0" fillId="0" borderId="1" xfId="0" applyFont="1" applyFill="1" applyBorder="1"/>
    <xf numFmtId="0" fontId="0" fillId="0" borderId="0" xfId="0" applyFont="1" applyFill="1" applyBorder="1" applyAlignment="1">
      <alignment horizontal="center"/>
    </xf>
    <xf numFmtId="1" fontId="4" fillId="0" borderId="0" xfId="0" applyNumberFormat="1" applyFont="1" applyFill="1" applyBorder="1" applyAlignment="1">
      <alignment horizontal="center" vertical="center"/>
    </xf>
    <xf numFmtId="43" fontId="0" fillId="2" borderId="0" xfId="0" applyNumberFormat="1" applyFill="1"/>
    <xf numFmtId="43" fontId="0" fillId="0" borderId="0" xfId="0" applyNumberFormat="1" applyFill="1"/>
    <xf numFmtId="44" fontId="15" fillId="2" borderId="0" xfId="0" applyNumberFormat="1" applyFont="1" applyFill="1"/>
    <xf numFmtId="0" fontId="0" fillId="0" borderId="0" xfId="0"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43" fontId="4" fillId="2" borderId="0" xfId="0" applyNumberFormat="1" applyFont="1" applyFill="1"/>
    <xf numFmtId="0" fontId="0" fillId="6" borderId="0" xfId="0" applyFill="1" applyAlignment="1">
      <alignment wrapText="1"/>
    </xf>
    <xf numFmtId="44" fontId="0" fillId="6" borderId="0" xfId="2" applyFont="1" applyFill="1" applyAlignment="1" applyProtection="1">
      <alignment wrapText="1"/>
      <protection locked="0"/>
    </xf>
    <xf numFmtId="44" fontId="4" fillId="6" borderId="0" xfId="2" applyFont="1" applyFill="1" applyAlignment="1" applyProtection="1">
      <alignment wrapText="1"/>
      <protection locked="0"/>
    </xf>
    <xf numFmtId="0" fontId="4" fillId="6" borderId="0" xfId="0" applyFont="1" applyFill="1" applyAlignment="1">
      <alignment horizontal="center" vertical="center"/>
    </xf>
    <xf numFmtId="43" fontId="0" fillId="6" borderId="0" xfId="0" applyNumberFormat="1" applyFill="1"/>
    <xf numFmtId="164" fontId="0" fillId="6" borderId="0" xfId="0" applyNumberFormat="1" applyFill="1"/>
    <xf numFmtId="164" fontId="4" fillId="6" borderId="0" xfId="0" applyNumberFormat="1" applyFont="1" applyFill="1"/>
    <xf numFmtId="0" fontId="4" fillId="0" borderId="0" xfId="0" applyFont="1" applyFill="1" applyAlignment="1">
      <alignment horizontal="center"/>
    </xf>
    <xf numFmtId="0" fontId="0" fillId="3" borderId="0" xfId="0" applyFill="1" applyAlignment="1">
      <alignment horizontal="center" wrapText="1"/>
    </xf>
    <xf numFmtId="1" fontId="4" fillId="0" borderId="0" xfId="0" applyNumberFormat="1" applyFont="1" applyFill="1" applyBorder="1" applyAlignment="1">
      <alignment horizontal="center" vertical="center" wrapText="1"/>
    </xf>
    <xf numFmtId="0" fontId="4" fillId="3" borderId="0" xfId="0" applyFont="1" applyFill="1" applyBorder="1" applyAlignment="1">
      <alignment wrapText="1"/>
    </xf>
    <xf numFmtId="43" fontId="0" fillId="4" borderId="0" xfId="1" applyFont="1" applyFill="1" applyAlignment="1">
      <alignment horizontal="center"/>
    </xf>
    <xf numFmtId="43" fontId="0" fillId="0" borderId="0" xfId="1" applyFont="1" applyFill="1" applyAlignment="1">
      <alignment horizontal="center"/>
    </xf>
    <xf numFmtId="43" fontId="4" fillId="0" borderId="0" xfId="1" applyFont="1" applyFill="1" applyAlignment="1">
      <alignment horizontal="center"/>
    </xf>
    <xf numFmtId="43" fontId="4" fillId="6" borderId="0" xfId="0" applyNumberFormat="1" applyFont="1" applyFill="1"/>
    <xf numFmtId="0" fontId="4" fillId="0" borderId="0" xfId="0" applyFont="1" applyFill="1" applyAlignment="1">
      <alignment horizontal="center" wrapText="1"/>
    </xf>
    <xf numFmtId="0" fontId="0" fillId="0" borderId="6" xfId="0" applyFill="1" applyBorder="1"/>
    <xf numFmtId="0" fontId="0" fillId="0" borderId="7" xfId="0" applyFill="1" applyBorder="1"/>
    <xf numFmtId="43" fontId="0" fillId="0" borderId="8" xfId="0" applyNumberFormat="1" applyFill="1" applyBorder="1"/>
    <xf numFmtId="0" fontId="0" fillId="0" borderId="9" xfId="0" applyFill="1" applyBorder="1"/>
    <xf numFmtId="43" fontId="0" fillId="0" borderId="10" xfId="0" applyNumberFormat="1" applyFill="1" applyBorder="1"/>
    <xf numFmtId="0" fontId="0" fillId="0" borderId="11" xfId="0" applyFill="1" applyBorder="1"/>
    <xf numFmtId="0" fontId="0" fillId="0" borderId="7" xfId="0" applyBorder="1"/>
    <xf numFmtId="0" fontId="0" fillId="0" borderId="9" xfId="0" applyBorder="1"/>
    <xf numFmtId="0" fontId="0" fillId="0" borderId="11" xfId="0" applyBorder="1"/>
    <xf numFmtId="44" fontId="0" fillId="0" borderId="8" xfId="0" applyNumberFormat="1" applyFill="1" applyBorder="1"/>
    <xf numFmtId="164" fontId="0" fillId="0" borderId="10" xfId="0" applyNumberFormat="1" applyFill="1" applyBorder="1"/>
    <xf numFmtId="43" fontId="0" fillId="0" borderId="0" xfId="1" applyFont="1" applyFill="1" applyAlignment="1">
      <alignment wrapText="1"/>
    </xf>
    <xf numFmtId="0" fontId="0" fillId="0" borderId="0" xfId="0" applyFill="1" applyAlignment="1">
      <alignment horizontal="center" wrapText="1"/>
    </xf>
    <xf numFmtId="0" fontId="0" fillId="0" borderId="0" xfId="0" applyFill="1" applyBorder="1" applyAlignment="1">
      <alignment wrapText="1"/>
    </xf>
    <xf numFmtId="1" fontId="4" fillId="2" borderId="0" xfId="0" applyNumberFormat="1" applyFont="1" applyFill="1" applyBorder="1" applyAlignment="1">
      <alignment horizontal="center" vertical="center" wrapText="1"/>
    </xf>
    <xf numFmtId="1" fontId="4" fillId="7" borderId="0" xfId="0" applyNumberFormat="1" applyFont="1" applyFill="1" applyBorder="1" applyAlignment="1">
      <alignment horizontal="center" vertical="center" wrapText="1"/>
    </xf>
    <xf numFmtId="1" fontId="4" fillId="2" borderId="4" xfId="0" applyNumberFormat="1" applyFont="1" applyFill="1" applyBorder="1" applyAlignment="1">
      <alignment horizontal="center" vertical="center"/>
    </xf>
    <xf numFmtId="1" fontId="4" fillId="8" borderId="0" xfId="0" applyNumberFormat="1" applyFont="1" applyFill="1" applyBorder="1" applyAlignment="1">
      <alignment horizontal="center" vertical="center" wrapText="1"/>
    </xf>
    <xf numFmtId="1" fontId="4" fillId="9" borderId="0" xfId="0" applyNumberFormat="1" applyFont="1" applyFill="1" applyBorder="1" applyAlignment="1">
      <alignment horizontal="center" vertical="center" wrapText="1"/>
    </xf>
    <xf numFmtId="43" fontId="3" fillId="0" borderId="0" xfId="1" applyFont="1" applyFill="1" applyAlignment="1">
      <alignment horizontal="center"/>
    </xf>
    <xf numFmtId="0" fontId="3" fillId="0" borderId="0" xfId="0" applyFont="1" applyFill="1"/>
    <xf numFmtId="44" fontId="0" fillId="2" borderId="0" xfId="2" applyFont="1" applyFill="1" applyAlignment="1" applyProtection="1">
      <alignment wrapText="1"/>
      <protection locked="0"/>
    </xf>
    <xf numFmtId="44" fontId="0" fillId="2" borderId="0" xfId="2" applyFont="1" applyFill="1" applyAlignment="1" applyProtection="1">
      <protection locked="0"/>
    </xf>
    <xf numFmtId="44" fontId="4" fillId="2" borderId="0" xfId="0" applyNumberFormat="1" applyFont="1" applyFill="1"/>
    <xf numFmtId="43" fontId="4" fillId="2" borderId="0" xfId="1" applyFont="1" applyFill="1" applyAlignment="1">
      <alignment horizontal="center"/>
    </xf>
    <xf numFmtId="43" fontId="4" fillId="2" borderId="0" xfId="1" applyFont="1" applyFill="1" applyAlignment="1">
      <alignment horizontal="center" vertical="center"/>
    </xf>
    <xf numFmtId="43" fontId="4" fillId="8" borderId="0" xfId="1" applyFont="1" applyFill="1" applyAlignment="1">
      <alignment horizontal="center" vertical="center"/>
    </xf>
    <xf numFmtId="43" fontId="4" fillId="8" borderId="0" xfId="1" applyFont="1" applyFill="1"/>
    <xf numFmtId="1" fontId="4" fillId="10" borderId="0" xfId="0" applyNumberFormat="1" applyFont="1" applyFill="1" applyBorder="1" applyAlignment="1">
      <alignment horizontal="center" vertical="center" wrapText="1"/>
    </xf>
    <xf numFmtId="43" fontId="4" fillId="10" borderId="0" xfId="1" applyFont="1" applyFill="1" applyAlignment="1">
      <alignment horizontal="center" vertical="center"/>
    </xf>
    <xf numFmtId="43" fontId="4" fillId="10" borderId="0" xfId="1" applyNumberFormat="1" applyFont="1" applyFill="1" applyAlignment="1">
      <alignment horizontal="center" vertical="center"/>
    </xf>
    <xf numFmtId="1" fontId="4" fillId="10" borderId="0" xfId="0" applyNumberFormat="1" applyFont="1" applyFill="1" applyAlignment="1">
      <alignment horizontal="center" vertical="center"/>
    </xf>
    <xf numFmtId="43" fontId="4" fillId="10" borderId="12" xfId="1" applyFont="1" applyFill="1" applyBorder="1" applyAlignment="1">
      <alignment horizontal="center" vertical="center"/>
    </xf>
    <xf numFmtId="164" fontId="0" fillId="0" borderId="0" xfId="0" applyNumberFormat="1" applyFill="1" applyAlignment="1">
      <alignment horizontal="center"/>
    </xf>
    <xf numFmtId="43" fontId="4" fillId="2" borderId="12" xfId="1" applyFont="1" applyFill="1" applyBorder="1" applyAlignment="1">
      <alignment horizontal="center" vertical="center"/>
    </xf>
    <xf numFmtId="1" fontId="4" fillId="11" borderId="0" xfId="0" applyNumberFormat="1" applyFont="1" applyFill="1" applyBorder="1" applyAlignment="1">
      <alignment horizontal="center" vertical="center" wrapText="1"/>
    </xf>
    <xf numFmtId="43" fontId="4" fillId="11" borderId="0" xfId="1" applyFont="1" applyFill="1" applyAlignment="1">
      <alignment horizontal="center" vertical="center"/>
    </xf>
    <xf numFmtId="1" fontId="4" fillId="11" borderId="0" xfId="0" applyNumberFormat="1" applyFont="1" applyFill="1" applyAlignment="1">
      <alignment horizontal="center" vertical="center"/>
    </xf>
    <xf numFmtId="43" fontId="4" fillId="11" borderId="12" xfId="1" applyFont="1" applyFill="1" applyBorder="1" applyAlignment="1">
      <alignment horizontal="center" vertical="center"/>
    </xf>
    <xf numFmtId="164" fontId="4" fillId="3" borderId="12" xfId="0" applyNumberFormat="1" applyFont="1" applyFill="1" applyBorder="1"/>
    <xf numFmtId="1" fontId="4" fillId="2" borderId="13" xfId="0" applyNumberFormat="1" applyFont="1" applyFill="1" applyBorder="1" applyAlignment="1">
      <alignment horizontal="center" vertical="center" wrapText="1"/>
    </xf>
    <xf numFmtId="43" fontId="4" fillId="10" borderId="13" xfId="1" applyFont="1" applyFill="1" applyBorder="1" applyAlignment="1">
      <alignment horizontal="center" vertical="center" wrapText="1"/>
    </xf>
    <xf numFmtId="1" fontId="4" fillId="11" borderId="13" xfId="0" applyNumberFormat="1" applyFont="1" applyFill="1" applyBorder="1" applyAlignment="1">
      <alignment horizontal="center" vertical="center" wrapText="1"/>
    </xf>
    <xf numFmtId="0" fontId="4" fillId="3" borderId="13" xfId="0" applyFont="1" applyFill="1" applyBorder="1" applyAlignment="1">
      <alignment wrapText="1"/>
    </xf>
    <xf numFmtId="1" fontId="4" fillId="2" borderId="4" xfId="0" applyNumberFormat="1" applyFont="1" applyFill="1" applyBorder="1" applyAlignment="1">
      <alignment horizontal="center" vertical="center"/>
    </xf>
    <xf numFmtId="44" fontId="0" fillId="0" borderId="10" xfId="0" applyNumberFormat="1" applyFill="1" applyBorder="1"/>
    <xf numFmtId="1" fontId="4" fillId="11" borderId="0" xfId="0" applyNumberFormat="1" applyFont="1" applyFill="1" applyAlignment="1">
      <alignment horizontal="center" vertical="center" wrapText="1"/>
    </xf>
    <xf numFmtId="44" fontId="0" fillId="0" borderId="0" xfId="0" applyNumberFormat="1"/>
    <xf numFmtId="44" fontId="4" fillId="3" borderId="12" xfId="0" applyNumberFormat="1" applyFont="1" applyFill="1" applyBorder="1"/>
    <xf numFmtId="1" fontId="4" fillId="2" borderId="0" xfId="0" applyNumberFormat="1" applyFont="1" applyFill="1" applyAlignment="1">
      <alignment horizontal="center" vertical="center"/>
    </xf>
    <xf numFmtId="164" fontId="4" fillId="4" borderId="0" xfId="0" applyNumberFormat="1" applyFont="1" applyFill="1"/>
    <xf numFmtId="0" fontId="0" fillId="4" borderId="9" xfId="0" applyFill="1" applyBorder="1"/>
    <xf numFmtId="0" fontId="0" fillId="4" borderId="11" xfId="0" applyFill="1" applyBorder="1"/>
    <xf numFmtId="0" fontId="4" fillId="4" borderId="7" xfId="0" applyFont="1" applyFill="1" applyBorder="1"/>
    <xf numFmtId="0" fontId="13" fillId="0" borderId="0" xfId="0" applyFont="1" applyFill="1" applyAlignment="1">
      <alignment horizontal="center" wrapText="1"/>
    </xf>
    <xf numFmtId="43" fontId="0" fillId="0" borderId="0" xfId="1" applyFont="1"/>
    <xf numFmtId="2" fontId="4" fillId="0" borderId="0" xfId="0" applyNumberFormat="1" applyFont="1" applyFill="1" applyAlignment="1">
      <alignment horizontal="center" vertical="center"/>
    </xf>
    <xf numFmtId="2" fontId="4" fillId="0" borderId="2" xfId="0" applyNumberFormat="1" applyFont="1" applyFill="1" applyBorder="1" applyAlignment="1">
      <alignment horizontal="center" vertical="center"/>
    </xf>
    <xf numFmtId="2" fontId="4" fillId="0" borderId="2" xfId="0" applyNumberFormat="1" applyFont="1" applyBorder="1"/>
    <xf numFmtId="1" fontId="0" fillId="0" borderId="0" xfId="0" applyNumberFormat="1" applyFont="1" applyFill="1" applyAlignment="1">
      <alignment horizontal="center" vertical="center"/>
    </xf>
    <xf numFmtId="43" fontId="4" fillId="0" borderId="0" xfId="1" applyFont="1" applyFill="1" applyAlignment="1">
      <alignment horizontal="center" vertical="center"/>
    </xf>
    <xf numFmtId="43" fontId="4" fillId="0" borderId="0" xfId="1" applyNumberFormat="1" applyFont="1" applyFill="1" applyAlignment="1">
      <alignment horizontal="center" vertical="center"/>
    </xf>
    <xf numFmtId="1" fontId="16" fillId="0" borderId="0" xfId="0" applyNumberFormat="1" applyFont="1" applyFill="1" applyAlignment="1">
      <alignment horizontal="center" vertical="center"/>
    </xf>
    <xf numFmtId="43" fontId="0" fillId="0" borderId="0" xfId="1" applyNumberFormat="1" applyFont="1"/>
    <xf numFmtId="164" fontId="0" fillId="3" borderId="0" xfId="0" applyNumberFormat="1" applyFill="1"/>
    <xf numFmtId="44" fontId="0" fillId="0" borderId="0" xfId="0" applyNumberFormat="1" applyFill="1"/>
    <xf numFmtId="9" fontId="0" fillId="0" borderId="0" xfId="0" applyNumberFormat="1" applyFill="1"/>
    <xf numFmtId="9" fontId="0" fillId="0" borderId="0" xfId="0" applyNumberFormat="1"/>
    <xf numFmtId="43" fontId="0" fillId="0" borderId="0" xfId="1" applyFont="1" applyAlignment="1">
      <alignment vertical="center"/>
    </xf>
    <xf numFmtId="1" fontId="4" fillId="0" borderId="0" xfId="0" applyNumberFormat="1" applyFont="1" applyFill="1" applyAlignment="1">
      <alignment horizontal="center" vertical="center" wrapText="1"/>
    </xf>
    <xf numFmtId="0" fontId="0" fillId="4" borderId="16" xfId="0" applyFill="1" applyBorder="1"/>
    <xf numFmtId="0" fontId="0" fillId="2" borderId="15" xfId="0" applyFill="1" applyBorder="1"/>
    <xf numFmtId="0" fontId="0" fillId="0" borderId="15" xfId="0" applyFill="1" applyBorder="1"/>
    <xf numFmtId="164" fontId="0" fillId="0" borderId="0" xfId="0" applyNumberFormat="1" applyAlignment="1">
      <alignment horizontal="center"/>
    </xf>
    <xf numFmtId="1" fontId="4" fillId="0" borderId="0" xfId="0" applyNumberFormat="1" applyFont="1" applyFill="1" applyAlignment="1">
      <alignment horizontal="center" vertical="center"/>
    </xf>
    <xf numFmtId="0" fontId="4" fillId="0" borderId="0" xfId="0" applyFont="1" applyAlignment="1">
      <alignment wrapText="1"/>
    </xf>
    <xf numFmtId="43" fontId="4" fillId="0" borderId="0" xfId="1" applyFont="1"/>
    <xf numFmtId="1" fontId="4" fillId="0" borderId="0" xfId="0" applyNumberFormat="1" applyFont="1"/>
    <xf numFmtId="1"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1" fontId="4" fillId="8" borderId="3" xfId="0" applyNumberFormat="1" applyFont="1" applyFill="1" applyBorder="1" applyAlignment="1">
      <alignment horizontal="center" vertical="center"/>
    </xf>
    <xf numFmtId="1" fontId="4" fillId="8" borderId="4" xfId="0" applyNumberFormat="1" applyFont="1" applyFill="1" applyBorder="1" applyAlignment="1">
      <alignment horizontal="center" vertical="center"/>
    </xf>
    <xf numFmtId="1" fontId="4" fillId="8" borderId="5" xfId="0" applyNumberFormat="1" applyFont="1" applyFill="1" applyBorder="1" applyAlignment="1">
      <alignment horizontal="center" vertical="center"/>
    </xf>
    <xf numFmtId="0" fontId="4" fillId="4" borderId="0" xfId="0" applyFont="1" applyFill="1" applyAlignment="1">
      <alignment horizontal="center" vertical="center" wrapText="1"/>
    </xf>
    <xf numFmtId="164" fontId="0" fillId="0" borderId="0" xfId="0" applyNumberFormat="1" applyAlignment="1">
      <alignment horizontal="center"/>
    </xf>
    <xf numFmtId="43" fontId="4" fillId="0" borderId="3" xfId="1" applyNumberFormat="1" applyFont="1" applyFill="1" applyBorder="1" applyAlignment="1">
      <alignment vertical="center" wrapText="1"/>
    </xf>
    <xf numFmtId="43" fontId="4" fillId="0" borderId="5" xfId="1" applyNumberFormat="1" applyFont="1" applyFill="1" applyBorder="1" applyAlignment="1">
      <alignment vertical="center" wrapText="1"/>
    </xf>
    <xf numFmtId="1" fontId="4" fillId="0" borderId="14" xfId="0" applyNumberFormat="1" applyFont="1" applyFill="1" applyBorder="1" applyAlignment="1">
      <alignment horizontal="center" vertical="center"/>
    </xf>
    <xf numFmtId="1" fontId="4" fillId="0" borderId="0" xfId="0" applyNumberFormat="1" applyFont="1" applyFill="1" applyAlignment="1">
      <alignment horizontal="center" vertical="center"/>
    </xf>
    <xf numFmtId="0" fontId="0" fillId="2" borderId="0" xfId="0" applyFill="1" applyAlignment="1">
      <alignment horizontal="left" wrapText="1"/>
    </xf>
    <xf numFmtId="0" fontId="0" fillId="2" borderId="0" xfId="0" applyFill="1" applyAlignment="1">
      <alignment horizontal="left" vertical="center" wrapText="1"/>
    </xf>
  </cellXfs>
  <cellStyles count="8">
    <cellStyle name="Migliaia" xfId="1" builtinId="3"/>
    <cellStyle name="Migliaia 2" xfId="3" xr:uid="{00000000-0005-0000-0000-000001000000}"/>
    <cellStyle name="Migliaia 3" xfId="6" xr:uid="{00000000-0005-0000-0000-000002000000}"/>
    <cellStyle name="Normale" xfId="0" builtinId="0"/>
    <cellStyle name="Normale 2" xfId="5" xr:uid="{00000000-0005-0000-0000-000004000000}"/>
    <cellStyle name="Valuta" xfId="2" builtinId="4"/>
    <cellStyle name="Valuta 2" xfId="4" xr:uid="{00000000-0005-0000-0000-000006000000}"/>
    <cellStyle name="Valuta 3"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egionemarche.intra\ormadfs\Dati1\giunta\utenti\ServiziSociali\SostegnoAllaFamigliaEallaComunita\INTESE_FondoFamiglia\Fondo%20Famiglia%202021\monitoraggio\ats%2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ts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parto FF2021_e_LR30_FNSP 2020"/>
      <sheetName val="FF2021_intervento 1"/>
      <sheetName val="FF2021_intervento 2 "/>
      <sheetName val="FF2021_intervento 3"/>
      <sheetName val="ipotesi destinazione FF2022"/>
    </sheetNames>
    <sheetDataSet>
      <sheetData sheetId="0" refreshError="1"/>
      <sheetData sheetId="1" refreshError="1"/>
      <sheetData sheetId="2" refreshError="1"/>
      <sheetData sheetId="3" refreshError="1"/>
      <sheetData sheetId="4">
        <row r="8">
          <cell r="B8" t="str">
            <v xml:space="preserve">Circa il Fondo Statale per le Politiche della Famiglia si evidenzia la necessità che lo stesso  sia  maggiormente destinato, incrementandone la percentuale di utilizzo, al rafforzamento di azioni, interventi e servizi finalizzati a rendere effettivo l'esercizio del ruolo genitoriale, in un’ottica di  sostegno genitoriale, di benessere ed anche in un’ottica di prevenzione del disagio. Azioni che potranno essere realizzate sul territorio di tutto l’ATS, per raggiungere maggiormente l’utenza quindi incontri anche itineranti,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F2021_intervento 1"/>
      <sheetName val="FF2021_intervento 2 "/>
      <sheetName val="FF2021_intervento 3"/>
      <sheetName val="ipotesi destinazione FF2022"/>
    </sheetNames>
    <sheetDataSet>
      <sheetData sheetId="0" refreshError="1"/>
      <sheetData sheetId="1" refreshError="1"/>
      <sheetData sheetId="2" refreshError="1"/>
      <sheetData sheetId="3">
        <row r="7">
          <cell r="C7" t="str">
            <v xml:space="preserve">Azione a favore delle madri e dei padri in difficoltà - Sono beneficiari del seguente intervento, in ordine di priorità: 
Madri in condizione di monogenitorialità in stato di gravidanza dal quarto mese e fino al compimento dell'anno di vita del bambino; 
Padri in condizione di monogenitorialità fino al compimento dell'anno di vita del bambino.
(Per monogenitorialità si intende la condizione in cui l'altro genitore è deceduto o non ha riconosciuto il figlio o è stato dichiarato decaduto dalla responsabilità genitoriale (ex potestà genitoriale).
</v>
          </cell>
        </row>
        <row r="12">
          <cell r="C12" t="str">
            <v>Interventi per il superamento di situazioni di disagio sociale o economico:  
sostegno a famiglie con numero di figli pari o superiore a quattro, di cui almeno 1 minorenne;
sostegno alle famiglie con figli minori di età rimasti orfani di uno od entrambi i genitori.</v>
          </cell>
        </row>
        <row r="16">
          <cell r="C16" t="str">
            <v>Rafforzamento dei Centri per la famiglia e scuole per genitori in  collaborazione con le istituzioni pubbliche e del terzo settore per la realizzazione delle seguenti attività: 
mediazione familiare, realizzazione di servizi informativi per i genitori separati o divorziati e finalizzati a rendere effettivo l'esercizio del ruolo genitoriale; 
realizzazione di percorsi di supporto psicologico diretti al superamento del disagio, al recupero della propria autonomia ed al mantenimento di un pieno ruolo genitoriale.</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D030-35BD-4C37-B3A7-86F15A96322D}">
  <dimension ref="A1:BN43"/>
  <sheetViews>
    <sheetView tabSelected="1" topLeftCell="B4" zoomScaleNormal="100" workbookViewId="0">
      <selection activeCell="R6" sqref="R6"/>
    </sheetView>
  </sheetViews>
  <sheetFormatPr defaultRowHeight="12.75" x14ac:dyDescent="0.2"/>
  <cols>
    <col min="1" max="1" width="51.85546875" style="33" customWidth="1"/>
    <col min="2" max="2" width="1.140625" style="33" customWidth="1"/>
    <col min="3" max="3" width="7" style="33" customWidth="1"/>
    <col min="4" max="4" width="5.28515625" style="33" customWidth="1"/>
    <col min="5" max="5" width="17.5703125" style="33" customWidth="1"/>
    <col min="6" max="6" width="18.28515625" style="33" customWidth="1"/>
    <col min="7" max="7" width="15.42578125" style="33" customWidth="1"/>
    <col min="8" max="9" width="14.85546875" style="33" customWidth="1"/>
    <col min="10" max="11" width="13.5703125" style="33" customWidth="1"/>
    <col min="12" max="12" width="15.140625" style="33" customWidth="1"/>
    <col min="13" max="13" width="17.5703125" style="33" customWidth="1"/>
    <col min="14" max="14" width="14.140625" style="33" customWidth="1"/>
    <col min="15" max="15" width="15.140625" style="63" customWidth="1"/>
    <col min="16" max="16" width="8.140625" style="54" customWidth="1"/>
    <col min="17" max="17" width="17.7109375" style="54" customWidth="1"/>
    <col min="18" max="18" width="16.140625" style="54" customWidth="1"/>
    <col min="19" max="19" width="14.28515625" style="54" customWidth="1"/>
    <col min="20" max="20" width="15.5703125" style="54" customWidth="1"/>
    <col min="21" max="22" width="16.7109375" style="54" customWidth="1"/>
    <col min="23" max="23" width="23.85546875" style="54" customWidth="1"/>
    <col min="24" max="24" width="14.85546875" style="54" customWidth="1"/>
    <col min="25" max="25" width="12.5703125" style="54" customWidth="1"/>
    <col min="26" max="26" width="17.85546875" style="54" customWidth="1"/>
    <col min="27" max="27" width="14.5703125" style="54" customWidth="1"/>
    <col min="28" max="28" width="15.42578125" style="54" customWidth="1"/>
    <col min="29" max="29" width="21.5703125" style="54" customWidth="1"/>
    <col min="30" max="30" width="15.42578125" style="54" customWidth="1"/>
    <col min="31" max="31" width="9.28515625" style="1" customWidth="1"/>
    <col min="32" max="32" width="18" style="33" customWidth="1"/>
    <col min="33" max="33" width="19.7109375" style="1" customWidth="1"/>
    <col min="34" max="34" width="15.7109375" style="66" customWidth="1"/>
    <col min="35" max="35" width="11.5703125" style="66" customWidth="1"/>
    <col min="36" max="37" width="12.5703125" style="63" customWidth="1"/>
    <col min="38" max="40" width="11.5703125" style="66" customWidth="1"/>
    <col min="41" max="41" width="16.5703125" style="33" customWidth="1"/>
    <col min="42" max="42" width="16.5703125" style="1" customWidth="1"/>
    <col min="43" max="43" width="14" style="33" customWidth="1"/>
    <col min="44" max="44" width="20.7109375" style="34" customWidth="1"/>
    <col min="45" max="45" width="19.28515625" style="33" customWidth="1"/>
    <col min="46" max="46" width="20.140625" style="1" customWidth="1"/>
    <col min="47" max="66" width="9.140625" style="1"/>
    <col min="67" max="16384" width="9.140625" style="33"/>
  </cols>
  <sheetData>
    <row r="1" spans="1:66" s="1" customFormat="1" ht="19.5" customHeight="1" x14ac:dyDescent="0.25">
      <c r="A1" s="12" t="s">
        <v>33</v>
      </c>
      <c r="O1" s="63"/>
      <c r="P1" s="54"/>
      <c r="Q1" s="54"/>
      <c r="R1" s="54"/>
      <c r="S1" s="54"/>
      <c r="T1" s="54"/>
      <c r="U1" s="54"/>
      <c r="V1" s="54"/>
      <c r="W1" s="54"/>
      <c r="X1" s="54"/>
      <c r="Y1" s="54"/>
      <c r="Z1" s="54"/>
      <c r="AA1" s="54"/>
      <c r="AB1" s="54"/>
      <c r="AC1" s="54"/>
      <c r="AD1" s="54"/>
      <c r="AH1" s="63"/>
      <c r="AI1" s="63"/>
      <c r="AJ1" s="63"/>
      <c r="AK1" s="63"/>
      <c r="AL1" s="63"/>
      <c r="AM1" s="63"/>
      <c r="AN1" s="63"/>
      <c r="AR1" s="34"/>
    </row>
    <row r="2" spans="1:66" s="1" customFormat="1" ht="20.25" customHeight="1" x14ac:dyDescent="0.25">
      <c r="A2" s="29" t="s">
        <v>17</v>
      </c>
      <c r="O2" s="63"/>
      <c r="P2" s="54"/>
      <c r="Q2" s="54"/>
      <c r="R2" s="54"/>
      <c r="S2" s="54"/>
      <c r="T2" s="54"/>
      <c r="U2" s="54"/>
      <c r="V2" s="54"/>
      <c r="W2" s="54"/>
      <c r="X2" s="54"/>
      <c r="Y2" s="54"/>
      <c r="Z2" s="54"/>
      <c r="AA2" s="54"/>
      <c r="AB2" s="54"/>
      <c r="AC2" s="54"/>
      <c r="AD2" s="54"/>
      <c r="AF2" s="33"/>
      <c r="AH2" s="63"/>
      <c r="AI2" s="63"/>
      <c r="AJ2" s="63"/>
      <c r="AK2" s="63"/>
      <c r="AL2" s="63"/>
      <c r="AM2" s="63"/>
      <c r="AN2" s="63"/>
      <c r="AR2" s="34"/>
    </row>
    <row r="3" spans="1:66" s="1" customFormat="1" ht="18" customHeight="1" thickBot="1" x14ac:dyDescent="0.3">
      <c r="A3" s="29" t="s">
        <v>18</v>
      </c>
      <c r="B3" s="27" t="s">
        <v>83</v>
      </c>
      <c r="C3" s="26">
        <v>44742</v>
      </c>
      <c r="D3" s="26"/>
      <c r="O3" s="63"/>
      <c r="P3" s="54"/>
      <c r="Q3" s="54"/>
      <c r="R3" s="54"/>
      <c r="S3" s="54"/>
      <c r="T3" s="54"/>
      <c r="U3" s="54"/>
      <c r="V3" s="54"/>
      <c r="W3" s="54"/>
      <c r="X3" s="54"/>
      <c r="Y3" s="54"/>
      <c r="Z3" s="54"/>
      <c r="AA3" s="54"/>
      <c r="AB3" s="54"/>
      <c r="AC3" s="54"/>
      <c r="AD3" s="54"/>
      <c r="AF3" s="33"/>
      <c r="AH3" s="63"/>
      <c r="AI3" s="63"/>
      <c r="AJ3" s="63"/>
      <c r="AK3" s="63"/>
      <c r="AL3" s="63"/>
      <c r="AM3" s="63"/>
      <c r="AN3" s="63"/>
      <c r="AR3" s="34"/>
    </row>
    <row r="4" spans="1:66" s="1" customFormat="1" ht="30" customHeight="1" thickBot="1" x14ac:dyDescent="0.3">
      <c r="A4" s="29" t="s">
        <v>19</v>
      </c>
      <c r="B4" s="27" t="s">
        <v>84</v>
      </c>
      <c r="C4" s="26">
        <v>44771</v>
      </c>
      <c r="D4" s="26"/>
      <c r="E4" s="1" t="s">
        <v>147</v>
      </c>
      <c r="O4" s="63"/>
      <c r="P4" s="54"/>
      <c r="Q4" s="162" t="s">
        <v>173</v>
      </c>
      <c r="R4" s="163"/>
      <c r="S4" s="163"/>
      <c r="T4" s="163"/>
      <c r="U4" s="164"/>
      <c r="V4" s="128"/>
      <c r="W4" s="165" t="s">
        <v>156</v>
      </c>
      <c r="X4" s="166"/>
      <c r="Y4" s="166"/>
      <c r="Z4" s="166"/>
      <c r="AA4" s="166"/>
      <c r="AB4" s="167"/>
      <c r="AC4" s="59"/>
      <c r="AD4" s="59"/>
      <c r="AF4" s="33"/>
      <c r="AH4" s="63"/>
      <c r="AI4" s="63"/>
      <c r="AJ4" s="63"/>
      <c r="AK4" s="63"/>
      <c r="AL4" s="63"/>
      <c r="AM4" s="63"/>
      <c r="AN4" s="63"/>
      <c r="AR4" s="34"/>
    </row>
    <row r="5" spans="1:66" s="1" customFormat="1" ht="120" customHeight="1" thickBot="1" x14ac:dyDescent="0.25">
      <c r="A5" s="2" t="s">
        <v>13</v>
      </c>
      <c r="B5" s="10" t="s">
        <v>82</v>
      </c>
      <c r="C5" s="10" t="s">
        <v>86</v>
      </c>
      <c r="D5" s="28" t="s">
        <v>85</v>
      </c>
      <c r="E5" s="8" t="s">
        <v>114</v>
      </c>
      <c r="F5" s="45" t="s">
        <v>115</v>
      </c>
      <c r="G5" s="68" t="s">
        <v>21</v>
      </c>
      <c r="H5" s="8" t="s">
        <v>14</v>
      </c>
      <c r="I5" s="97" t="s">
        <v>15</v>
      </c>
      <c r="J5" s="97" t="s">
        <v>144</v>
      </c>
      <c r="K5" s="56" t="s">
        <v>145</v>
      </c>
      <c r="L5" s="78" t="s">
        <v>16</v>
      </c>
      <c r="M5" s="78" t="s">
        <v>180</v>
      </c>
      <c r="N5" s="78"/>
      <c r="O5" s="11" t="s">
        <v>155</v>
      </c>
      <c r="P5" s="59" t="s">
        <v>136</v>
      </c>
      <c r="Q5" s="77" t="s">
        <v>149</v>
      </c>
      <c r="R5" s="77" t="s">
        <v>151</v>
      </c>
      <c r="S5" s="77" t="s">
        <v>152</v>
      </c>
      <c r="T5" s="77" t="s">
        <v>153</v>
      </c>
      <c r="U5" s="77" t="s">
        <v>154</v>
      </c>
      <c r="V5" s="98" t="s">
        <v>177</v>
      </c>
      <c r="W5" s="77" t="s">
        <v>150</v>
      </c>
      <c r="X5" s="99" t="s">
        <v>157</v>
      </c>
      <c r="Y5" s="102" t="s">
        <v>174</v>
      </c>
      <c r="Z5" s="112" t="s">
        <v>176</v>
      </c>
      <c r="AA5" s="99" t="s">
        <v>153</v>
      </c>
      <c r="AB5" s="99" t="s">
        <v>154</v>
      </c>
      <c r="AC5" s="119" t="s">
        <v>179</v>
      </c>
      <c r="AD5" s="101" t="s">
        <v>178</v>
      </c>
      <c r="AE5" s="8" t="s">
        <v>22</v>
      </c>
      <c r="AF5" s="78" t="s">
        <v>175</v>
      </c>
      <c r="AG5" s="10" t="s">
        <v>170</v>
      </c>
      <c r="AH5" s="64" t="s">
        <v>140</v>
      </c>
      <c r="AI5" s="64" t="s">
        <v>146</v>
      </c>
      <c r="AJ5" s="83" t="s">
        <v>169</v>
      </c>
      <c r="AK5" s="83" t="s">
        <v>171</v>
      </c>
      <c r="AL5" s="64" t="s">
        <v>160</v>
      </c>
      <c r="AM5" s="64" t="s">
        <v>141</v>
      </c>
      <c r="AN5" s="64" t="s">
        <v>159</v>
      </c>
      <c r="AO5" s="71" t="s">
        <v>181</v>
      </c>
      <c r="AP5" s="83" t="s">
        <v>162</v>
      </c>
      <c r="AR5" s="45" t="s">
        <v>125</v>
      </c>
      <c r="AS5" s="8" t="s">
        <v>127</v>
      </c>
      <c r="AT5" s="53" t="s">
        <v>134</v>
      </c>
    </row>
    <row r="6" spans="1:66" s="4" customFormat="1" x14ac:dyDescent="0.2">
      <c r="A6" s="57" t="s">
        <v>2</v>
      </c>
      <c r="B6" s="58">
        <v>2</v>
      </c>
      <c r="C6" s="58"/>
      <c r="D6" s="58"/>
      <c r="E6" s="3">
        <v>94345.303811951744</v>
      </c>
      <c r="F6" s="105">
        <v>71677.600000000006</v>
      </c>
      <c r="G6" s="69">
        <f>E6+F6</f>
        <v>166022.90381195175</v>
      </c>
      <c r="H6" s="5">
        <f>G6*80%</f>
        <v>132818.32304956141</v>
      </c>
      <c r="I6" s="5">
        <f>G6-H6</f>
        <v>33204.580762390338</v>
      </c>
      <c r="J6" s="5">
        <f>AO6*F6/G6</f>
        <v>71677.205477039315</v>
      </c>
      <c r="K6" s="5">
        <f>AO6*E6/G6</f>
        <v>94344.784522960676</v>
      </c>
      <c r="L6" s="36">
        <v>166021.99</v>
      </c>
      <c r="M6" s="36">
        <f>V6+AD6</f>
        <v>166021.99</v>
      </c>
      <c r="N6" s="36">
        <f>L6-M6</f>
        <v>0</v>
      </c>
      <c r="O6" s="79" t="s">
        <v>158</v>
      </c>
      <c r="P6" s="55" t="s">
        <v>137</v>
      </c>
      <c r="Q6" s="55">
        <v>0</v>
      </c>
      <c r="R6" s="1"/>
      <c r="S6" s="1"/>
      <c r="T6" s="1"/>
      <c r="U6" s="1"/>
      <c r="V6" s="108">
        <v>0</v>
      </c>
      <c r="W6" s="55">
        <v>191</v>
      </c>
      <c r="X6" s="55">
        <v>72</v>
      </c>
      <c r="Y6" s="55">
        <v>52</v>
      </c>
      <c r="Z6" s="113">
        <v>48470.75</v>
      </c>
      <c r="AA6" s="55">
        <v>16</v>
      </c>
      <c r="AB6" s="55">
        <v>51</v>
      </c>
      <c r="AC6" s="120">
        <f>166021.99-Z6</f>
        <v>117551.23999999999</v>
      </c>
      <c r="AD6" s="110">
        <f>AC6+Z6</f>
        <v>166021.99</v>
      </c>
      <c r="AE6" s="1"/>
      <c r="AF6" s="3"/>
      <c r="AG6" s="3">
        <v>28887.23</v>
      </c>
      <c r="AH6" s="65"/>
      <c r="AI6" s="65"/>
      <c r="AJ6" s="63">
        <v>4</v>
      </c>
      <c r="AK6" s="63"/>
      <c r="AL6" s="65"/>
      <c r="AM6" s="65"/>
      <c r="AN6" s="65"/>
      <c r="AO6" s="72">
        <f>L6</f>
        <v>166021.99</v>
      </c>
      <c r="AP6" s="60">
        <f>AO6-G6</f>
        <v>-0.91381195175927132</v>
      </c>
      <c r="AQ6" s="43">
        <f>G6-AO6</f>
        <v>0.91381195175927132</v>
      </c>
      <c r="AR6" s="67"/>
      <c r="AS6" s="34"/>
      <c r="AT6" s="46" t="s">
        <v>135</v>
      </c>
      <c r="AU6" s="1"/>
      <c r="AV6" s="1"/>
      <c r="AW6" s="1"/>
      <c r="AX6" s="1"/>
      <c r="AY6" s="1"/>
      <c r="AZ6" s="1"/>
      <c r="BA6" s="1"/>
      <c r="BB6" s="1"/>
      <c r="BC6" s="1"/>
      <c r="BD6" s="1"/>
      <c r="BE6" s="1"/>
      <c r="BF6" s="1"/>
      <c r="BG6" s="1"/>
      <c r="BH6" s="1"/>
      <c r="BI6" s="1"/>
      <c r="BJ6" s="1"/>
      <c r="BK6" s="1"/>
      <c r="BL6" s="1"/>
      <c r="BM6" s="1"/>
      <c r="BN6" s="1"/>
    </row>
    <row r="7" spans="1:66" s="4" customFormat="1" x14ac:dyDescent="0.2">
      <c r="A7" s="57" t="s">
        <v>23</v>
      </c>
      <c r="B7" s="58" t="s">
        <v>49</v>
      </c>
      <c r="C7" s="58"/>
      <c r="D7" s="58"/>
      <c r="E7" s="3">
        <v>12776.762952405805</v>
      </c>
      <c r="F7" s="106">
        <v>9706.98</v>
      </c>
      <c r="G7" s="69">
        <f t="shared" ref="G7:G29" si="0">E7+F7</f>
        <v>22483.742952405802</v>
      </c>
      <c r="H7" s="5">
        <f t="shared" ref="H7:H28" si="1">G7*80%</f>
        <v>17986.994361924644</v>
      </c>
      <c r="I7" s="5">
        <f t="shared" ref="I7:I28" si="2">G7-H7</f>
        <v>4496.7485904811583</v>
      </c>
      <c r="J7" s="5">
        <f t="shared" ref="J7:J29" si="3">AO7*F7/G7</f>
        <v>9706.9787253481718</v>
      </c>
      <c r="K7" s="5">
        <f t="shared" ref="K7:K29" si="4">AO7*E7/G7</f>
        <v>12776.761274651833</v>
      </c>
      <c r="L7" s="36">
        <f>3263.07+13753.22+3526.05</f>
        <v>20542.34</v>
      </c>
      <c r="M7" s="36">
        <f>V7+AD7</f>
        <v>20542.34</v>
      </c>
      <c r="N7" s="36">
        <f t="shared" ref="N7:N29" si="5">L7-M7</f>
        <v>0</v>
      </c>
      <c r="O7" s="80" t="s">
        <v>20</v>
      </c>
      <c r="P7" s="55" t="s">
        <v>138</v>
      </c>
      <c r="Q7" s="55">
        <v>5</v>
      </c>
      <c r="R7" s="55"/>
      <c r="S7" s="55">
        <v>5</v>
      </c>
      <c r="T7" s="55"/>
      <c r="U7" s="55"/>
      <c r="V7" s="109">
        <v>3263.07</v>
      </c>
      <c r="W7" s="55">
        <v>16</v>
      </c>
      <c r="X7" s="55"/>
      <c r="Y7" s="55">
        <v>10</v>
      </c>
      <c r="Z7" s="114">
        <v>13753.22</v>
      </c>
      <c r="AA7" s="55"/>
      <c r="AB7" s="55">
        <v>6</v>
      </c>
      <c r="AC7" s="120">
        <f>AD7-Z7</f>
        <v>3526.0500000000011</v>
      </c>
      <c r="AD7" s="110">
        <v>17279.27</v>
      </c>
      <c r="AE7" s="1"/>
      <c r="AF7" s="36">
        <v>1941.4</v>
      </c>
      <c r="AG7" s="3">
        <v>7653.39</v>
      </c>
      <c r="AH7" s="65" t="s">
        <v>142</v>
      </c>
      <c r="AI7" s="65">
        <v>1</v>
      </c>
      <c r="AJ7" s="63"/>
      <c r="AK7" s="63"/>
      <c r="AL7" s="65"/>
      <c r="AM7" s="65"/>
      <c r="AN7" s="65"/>
      <c r="AO7" s="73">
        <f t="shared" ref="AO7:AO28" si="6">L7+AF7</f>
        <v>22483.74</v>
      </c>
      <c r="AP7" s="61">
        <f t="shared" ref="AP7:AP29" si="7">AO7-G7</f>
        <v>-2.9524058008973952E-3</v>
      </c>
      <c r="AQ7" s="4" t="s">
        <v>20</v>
      </c>
      <c r="AR7" s="34"/>
      <c r="AS7" s="34"/>
      <c r="AT7" s="1"/>
      <c r="AU7" s="1"/>
      <c r="AV7" s="1"/>
      <c r="AW7" s="1"/>
      <c r="AX7" s="1"/>
      <c r="AY7" s="1"/>
      <c r="AZ7" s="1"/>
      <c r="BA7" s="1"/>
      <c r="BB7" s="1"/>
      <c r="BC7" s="1"/>
      <c r="BD7" s="1"/>
      <c r="BE7" s="1"/>
      <c r="BF7" s="1"/>
      <c r="BG7" s="1"/>
      <c r="BH7" s="1"/>
      <c r="BI7" s="1"/>
      <c r="BJ7" s="1"/>
      <c r="BK7" s="1"/>
      <c r="BL7" s="1"/>
      <c r="BM7" s="1"/>
      <c r="BN7" s="1"/>
    </row>
    <row r="8" spans="1:66" s="4" customFormat="1" ht="25.5" x14ac:dyDescent="0.2">
      <c r="A8" s="57" t="s">
        <v>1</v>
      </c>
      <c r="B8" s="58" t="s">
        <v>67</v>
      </c>
      <c r="C8" s="58"/>
      <c r="D8" s="58"/>
      <c r="E8" s="3">
        <v>27694.695920402002</v>
      </c>
      <c r="F8" s="106">
        <v>21040.68</v>
      </c>
      <c r="G8" s="69">
        <f t="shared" si="0"/>
        <v>48735.375920402003</v>
      </c>
      <c r="H8" s="5">
        <f t="shared" si="1"/>
        <v>38988.300736321602</v>
      </c>
      <c r="I8" s="5">
        <f t="shared" si="2"/>
        <v>9747.0751840804005</v>
      </c>
      <c r="J8" s="5">
        <f t="shared" si="3"/>
        <v>21040.681761297918</v>
      </c>
      <c r="K8" s="5">
        <f t="shared" si="4"/>
        <v>27694.698238702087</v>
      </c>
      <c r="L8" s="37">
        <f>1633.8+46101.58</f>
        <v>47735.380000000005</v>
      </c>
      <c r="M8" s="37">
        <f>V8+AD8</f>
        <v>47735.380000000005</v>
      </c>
      <c r="N8" s="36">
        <f t="shared" si="5"/>
        <v>0</v>
      </c>
      <c r="O8" s="80" t="s">
        <v>20</v>
      </c>
      <c r="P8" s="55"/>
      <c r="Q8" s="55">
        <v>3</v>
      </c>
      <c r="R8" s="55"/>
      <c r="S8" s="55">
        <v>3</v>
      </c>
      <c r="T8" s="55"/>
      <c r="U8" s="55"/>
      <c r="V8" s="109">
        <v>1633.8</v>
      </c>
      <c r="W8" s="55">
        <v>140</v>
      </c>
      <c r="X8" s="55"/>
      <c r="Y8" s="55">
        <v>30</v>
      </c>
      <c r="Z8" s="114">
        <v>22338</v>
      </c>
      <c r="AA8" s="55">
        <v>5</v>
      </c>
      <c r="AB8" s="55">
        <v>105</v>
      </c>
      <c r="AC8" s="120">
        <f>AD8-Z8</f>
        <v>23763.58</v>
      </c>
      <c r="AD8" s="110">
        <v>46101.58</v>
      </c>
      <c r="AE8" s="1"/>
      <c r="AF8" s="36">
        <v>1000</v>
      </c>
      <c r="AG8" s="3"/>
      <c r="AH8" s="65" t="s">
        <v>141</v>
      </c>
      <c r="AI8" s="65"/>
      <c r="AJ8" s="63">
        <v>4</v>
      </c>
      <c r="AK8" s="96" t="s">
        <v>172</v>
      </c>
      <c r="AL8" s="65"/>
      <c r="AM8" s="65">
        <v>1</v>
      </c>
      <c r="AN8" s="65"/>
      <c r="AO8" s="73">
        <f t="shared" si="6"/>
        <v>48735.380000000005</v>
      </c>
      <c r="AP8" s="61">
        <f t="shared" si="7"/>
        <v>4.0795980021357536E-3</v>
      </c>
      <c r="AQ8" s="38" t="s">
        <v>131</v>
      </c>
      <c r="AR8" s="49"/>
      <c r="AS8" s="45" t="s">
        <v>132</v>
      </c>
      <c r="AT8" s="1"/>
      <c r="AU8" s="1"/>
      <c r="AV8" s="1"/>
      <c r="AW8" s="1"/>
      <c r="AX8" s="1"/>
      <c r="AY8" s="1"/>
      <c r="AZ8" s="1"/>
      <c r="BA8" s="1"/>
      <c r="BB8" s="1"/>
      <c r="BC8" s="1"/>
      <c r="BD8" s="1"/>
      <c r="BE8" s="1"/>
      <c r="BF8" s="1"/>
      <c r="BG8" s="1"/>
      <c r="BH8" s="1"/>
      <c r="BI8" s="1"/>
      <c r="BJ8" s="1"/>
      <c r="BK8" s="1"/>
      <c r="BL8" s="1"/>
      <c r="BM8" s="1"/>
      <c r="BN8" s="1"/>
    </row>
    <row r="9" spans="1:66" s="7" customFormat="1" x14ac:dyDescent="0.2">
      <c r="A9" s="57" t="s">
        <v>24</v>
      </c>
      <c r="B9" s="11" t="s">
        <v>67</v>
      </c>
      <c r="C9" s="11"/>
      <c r="D9" s="11"/>
      <c r="E9" s="22">
        <v>12686.432342373086</v>
      </c>
      <c r="F9" s="106">
        <v>9638.35</v>
      </c>
      <c r="G9" s="69">
        <f t="shared" si="0"/>
        <v>22324.782342373088</v>
      </c>
      <c r="H9" s="5">
        <f t="shared" si="1"/>
        <v>17859.82587389847</v>
      </c>
      <c r="I9" s="5">
        <f t="shared" si="2"/>
        <v>4464.9564684746183</v>
      </c>
      <c r="J9" s="5">
        <f t="shared" si="3"/>
        <v>9638.3489887197411</v>
      </c>
      <c r="K9" s="5">
        <f t="shared" si="4"/>
        <v>12686.431011280256</v>
      </c>
      <c r="L9" s="6">
        <f>12686.43+9638.35</f>
        <v>22324.78</v>
      </c>
      <c r="M9" s="6">
        <f>V9+AD9</f>
        <v>22324.78</v>
      </c>
      <c r="N9" s="36">
        <f t="shared" si="5"/>
        <v>0</v>
      </c>
      <c r="O9" s="81" t="s">
        <v>20</v>
      </c>
      <c r="P9" s="55"/>
      <c r="Q9" s="55">
        <v>0</v>
      </c>
      <c r="R9" s="55"/>
      <c r="S9" s="55"/>
      <c r="T9" s="55"/>
      <c r="U9" s="55"/>
      <c r="V9" s="109">
        <v>0</v>
      </c>
      <c r="W9" s="55">
        <f>48+35</f>
        <v>83</v>
      </c>
      <c r="X9" s="55"/>
      <c r="Y9" s="55"/>
      <c r="Z9" s="114">
        <v>0</v>
      </c>
      <c r="AA9" s="55"/>
      <c r="AB9" s="55">
        <f>35+48</f>
        <v>83</v>
      </c>
      <c r="AC9" s="120">
        <f>AD9</f>
        <v>22324.78</v>
      </c>
      <c r="AD9" s="110">
        <f>12686.43+9638.35</f>
        <v>22324.78</v>
      </c>
      <c r="AE9" s="25" t="s">
        <v>20</v>
      </c>
      <c r="AF9" s="22">
        <v>0</v>
      </c>
      <c r="AG9" s="22"/>
      <c r="AH9" s="64">
        <v>0</v>
      </c>
      <c r="AI9" s="64"/>
      <c r="AJ9" s="75">
        <v>1</v>
      </c>
      <c r="AK9" s="75"/>
      <c r="AL9" s="64"/>
      <c r="AM9" s="64"/>
      <c r="AN9" s="64"/>
      <c r="AO9" s="74">
        <f t="shared" si="6"/>
        <v>22324.78</v>
      </c>
      <c r="AP9" s="61">
        <f t="shared" si="7"/>
        <v>-2.3423730890499428E-3</v>
      </c>
      <c r="AQ9" s="7" t="s">
        <v>20</v>
      </c>
      <c r="AR9" s="46"/>
      <c r="AS9" s="46"/>
      <c r="AT9" s="25"/>
      <c r="AU9" s="25"/>
      <c r="AV9" s="25"/>
      <c r="AW9" s="25"/>
      <c r="AX9" s="25"/>
      <c r="AY9" s="25"/>
      <c r="AZ9" s="25"/>
      <c r="BA9" s="25"/>
      <c r="BB9" s="25"/>
      <c r="BC9" s="25"/>
      <c r="BD9" s="25"/>
      <c r="BE9" s="25"/>
      <c r="BF9" s="25"/>
      <c r="BG9" s="25"/>
      <c r="BH9" s="25"/>
      <c r="BI9" s="25"/>
      <c r="BJ9" s="25"/>
      <c r="BK9" s="25"/>
      <c r="BL9" s="25"/>
      <c r="BM9" s="25"/>
      <c r="BN9" s="25"/>
    </row>
    <row r="10" spans="1:66" s="4" customFormat="1" ht="25.5" customHeight="1" x14ac:dyDescent="0.2">
      <c r="A10" s="57" t="s">
        <v>3</v>
      </c>
      <c r="B10" s="58" t="s">
        <v>68</v>
      </c>
      <c r="C10" s="58"/>
      <c r="D10" s="58"/>
      <c r="E10" s="3">
        <v>66469.9466714843</v>
      </c>
      <c r="F10" s="106">
        <v>50499.66</v>
      </c>
      <c r="G10" s="69">
        <f t="shared" si="0"/>
        <v>116969.6066714843</v>
      </c>
      <c r="H10" s="5">
        <f t="shared" si="1"/>
        <v>93575.685337187446</v>
      </c>
      <c r="I10" s="5">
        <f t="shared" si="2"/>
        <v>23393.921334296858</v>
      </c>
      <c r="J10" s="5">
        <f t="shared" si="3"/>
        <v>36867.389026623423</v>
      </c>
      <c r="K10" s="5">
        <f t="shared" si="4"/>
        <v>48526.532307673435</v>
      </c>
      <c r="L10" s="37">
        <v>62000</v>
      </c>
      <c r="M10" s="6">
        <f t="shared" ref="M10:M29" si="8">V10+AD10</f>
        <v>62000</v>
      </c>
      <c r="N10" s="36">
        <f t="shared" si="5"/>
        <v>0</v>
      </c>
      <c r="O10" s="80" t="s">
        <v>20</v>
      </c>
      <c r="P10" s="55"/>
      <c r="Q10" s="55">
        <v>0</v>
      </c>
      <c r="R10" s="55"/>
      <c r="S10" s="55"/>
      <c r="T10" s="55"/>
      <c r="U10" s="55"/>
      <c r="V10" s="109">
        <v>0</v>
      </c>
      <c r="W10" s="55">
        <v>124</v>
      </c>
      <c r="X10" s="55">
        <v>30</v>
      </c>
      <c r="Y10" s="55">
        <v>76</v>
      </c>
      <c r="Z10" s="114">
        <v>38000</v>
      </c>
      <c r="AA10" s="55">
        <v>18</v>
      </c>
      <c r="AB10" s="55"/>
      <c r="AC10" s="120">
        <f>AD10-Z10</f>
        <v>24000</v>
      </c>
      <c r="AD10" s="110">
        <f>62000</f>
        <v>62000</v>
      </c>
      <c r="AE10" s="1"/>
      <c r="AF10" s="36">
        <f>I10</f>
        <v>23393.921334296858</v>
      </c>
      <c r="AG10" s="3"/>
      <c r="AH10" s="65" t="s">
        <v>142</v>
      </c>
      <c r="AI10" s="65">
        <v>1</v>
      </c>
      <c r="AJ10" s="63"/>
      <c r="AK10" s="63"/>
      <c r="AL10" s="65"/>
      <c r="AM10" s="65"/>
      <c r="AN10" s="65"/>
      <c r="AO10" s="73">
        <f t="shared" si="6"/>
        <v>85393.921334296858</v>
      </c>
      <c r="AP10" s="60">
        <f t="shared" si="7"/>
        <v>-31575.685337187446</v>
      </c>
      <c r="AQ10" s="39" t="s">
        <v>121</v>
      </c>
      <c r="AR10" s="50"/>
      <c r="AS10" s="34" t="s">
        <v>20</v>
      </c>
      <c r="AT10" s="46" t="s">
        <v>133</v>
      </c>
      <c r="AU10" s="1"/>
      <c r="AV10" s="1"/>
      <c r="AW10" s="1"/>
      <c r="AX10" s="1"/>
      <c r="AY10" s="1"/>
      <c r="AZ10" s="1"/>
      <c r="BA10" s="1"/>
      <c r="BB10" s="1"/>
      <c r="BC10" s="1"/>
      <c r="BD10" s="1"/>
      <c r="BE10" s="1"/>
      <c r="BF10" s="1"/>
      <c r="BG10" s="1"/>
      <c r="BH10" s="1"/>
      <c r="BI10" s="1"/>
      <c r="BJ10" s="1"/>
      <c r="BK10" s="1"/>
      <c r="BL10" s="1"/>
      <c r="BM10" s="1"/>
      <c r="BN10" s="1"/>
    </row>
    <row r="11" spans="1:66" s="38" customFormat="1" ht="37.5" customHeight="1" x14ac:dyDescent="0.2">
      <c r="A11" s="57" t="s">
        <v>4</v>
      </c>
      <c r="B11" s="58" t="s">
        <v>69</v>
      </c>
      <c r="C11" s="58"/>
      <c r="D11" s="58"/>
      <c r="E11" s="3">
        <v>23653.237515975135</v>
      </c>
      <c r="F11" s="106">
        <v>17970.240000000002</v>
      </c>
      <c r="G11" s="69">
        <f t="shared" si="0"/>
        <v>41623.477515975137</v>
      </c>
      <c r="H11" s="5">
        <f t="shared" si="1"/>
        <v>33298.78201278011</v>
      </c>
      <c r="I11" s="5">
        <f t="shared" si="2"/>
        <v>8324.6955031950274</v>
      </c>
      <c r="J11" s="5">
        <f t="shared" si="3"/>
        <v>16966.40509753082</v>
      </c>
      <c r="K11" s="5">
        <f t="shared" si="4"/>
        <v>22331.944902469178</v>
      </c>
      <c r="L11" s="36">
        <f>3732.69+29566.09</f>
        <v>33298.78</v>
      </c>
      <c r="M11" s="6">
        <f t="shared" si="8"/>
        <v>33298.78</v>
      </c>
      <c r="N11" s="36">
        <f t="shared" si="5"/>
        <v>0</v>
      </c>
      <c r="O11" s="80" t="s">
        <v>20</v>
      </c>
      <c r="P11" s="55"/>
      <c r="Q11" s="55">
        <v>5</v>
      </c>
      <c r="R11" s="55"/>
      <c r="S11" s="55">
        <v>5</v>
      </c>
      <c r="T11" s="55"/>
      <c r="U11" s="55"/>
      <c r="V11" s="109">
        <v>3732.69</v>
      </c>
      <c r="W11" s="55">
        <v>53</v>
      </c>
      <c r="X11" s="55"/>
      <c r="Y11" s="55">
        <v>0</v>
      </c>
      <c r="Z11" s="114">
        <v>0</v>
      </c>
      <c r="AA11" s="55">
        <v>3</v>
      </c>
      <c r="AB11" s="55">
        <v>50</v>
      </c>
      <c r="AC11" s="120">
        <v>29566.09</v>
      </c>
      <c r="AD11" s="110">
        <f>AC11</f>
        <v>29566.09</v>
      </c>
      <c r="AE11" s="1"/>
      <c r="AF11" s="51">
        <v>5999.57</v>
      </c>
      <c r="AG11" s="95">
        <v>7151.19</v>
      </c>
      <c r="AH11" s="65" t="s">
        <v>142</v>
      </c>
      <c r="AI11" s="65">
        <v>1</v>
      </c>
      <c r="AJ11" s="63"/>
      <c r="AK11" s="63"/>
      <c r="AL11" s="65"/>
      <c r="AM11" s="65"/>
      <c r="AN11" s="65"/>
      <c r="AO11" s="73">
        <f t="shared" si="6"/>
        <v>39298.35</v>
      </c>
      <c r="AP11" s="60">
        <f t="shared" si="7"/>
        <v>-2325.1275159751385</v>
      </c>
      <c r="AQ11" s="9" t="s">
        <v>128</v>
      </c>
      <c r="AR11" s="49"/>
      <c r="AS11" s="34" t="s">
        <v>20</v>
      </c>
      <c r="AT11" s="46" t="s">
        <v>133</v>
      </c>
      <c r="AU11" s="1"/>
      <c r="AV11" s="1"/>
      <c r="AW11" s="1"/>
      <c r="AX11" s="1"/>
      <c r="AY11" s="1"/>
      <c r="AZ11" s="1"/>
      <c r="BA11" s="1"/>
      <c r="BB11" s="1"/>
      <c r="BC11" s="1"/>
      <c r="BD11" s="1"/>
      <c r="BE11" s="1"/>
      <c r="BF11" s="1"/>
      <c r="BG11" s="1"/>
      <c r="BH11" s="1"/>
      <c r="BI11" s="1"/>
      <c r="BJ11" s="1"/>
      <c r="BK11" s="1"/>
      <c r="BL11" s="1"/>
      <c r="BM11" s="1"/>
      <c r="BN11" s="1"/>
    </row>
    <row r="12" spans="1:66" s="4" customFormat="1" ht="21" customHeight="1" x14ac:dyDescent="0.2">
      <c r="A12" s="57" t="s">
        <v>25</v>
      </c>
      <c r="B12" s="58" t="s">
        <v>49</v>
      </c>
      <c r="C12" s="58"/>
      <c r="D12" s="58"/>
      <c r="E12" s="3">
        <v>50324.186522672979</v>
      </c>
      <c r="F12" s="106">
        <v>38233.129999999997</v>
      </c>
      <c r="G12" s="69">
        <f t="shared" si="0"/>
        <v>88557.316522672976</v>
      </c>
      <c r="H12" s="5">
        <f t="shared" si="1"/>
        <v>70845.853218138378</v>
      </c>
      <c r="I12" s="5">
        <f t="shared" si="2"/>
        <v>17711.463304534598</v>
      </c>
      <c r="J12" s="5">
        <f t="shared" si="3"/>
        <v>38233.131501277378</v>
      </c>
      <c r="K12" s="5">
        <f t="shared" si="4"/>
        <v>50324.188498722622</v>
      </c>
      <c r="L12" s="44">
        <f>1500+69345.86</f>
        <v>70845.86</v>
      </c>
      <c r="M12" s="6">
        <f t="shared" si="8"/>
        <v>70845.86</v>
      </c>
      <c r="N12" s="36">
        <f t="shared" si="5"/>
        <v>0</v>
      </c>
      <c r="O12" s="103" t="s">
        <v>20</v>
      </c>
      <c r="P12" s="55"/>
      <c r="Q12" s="55">
        <v>3</v>
      </c>
      <c r="R12" s="55"/>
      <c r="S12" s="55">
        <v>3</v>
      </c>
      <c r="T12" s="55"/>
      <c r="U12" s="55"/>
      <c r="V12" s="109">
        <v>1500</v>
      </c>
      <c r="W12" s="55">
        <v>139</v>
      </c>
      <c r="X12" s="55">
        <v>88</v>
      </c>
      <c r="Y12" s="55">
        <v>10</v>
      </c>
      <c r="Z12" s="114">
        <f>AD12/139*10</f>
        <v>4988.9107913669068</v>
      </c>
      <c r="AA12" s="55">
        <v>5</v>
      </c>
      <c r="AB12" s="55">
        <v>36</v>
      </c>
      <c r="AC12" s="120">
        <f>AD12-Z12</f>
        <v>64356.949208633094</v>
      </c>
      <c r="AD12" s="110">
        <v>69345.86</v>
      </c>
      <c r="AE12" s="104"/>
      <c r="AF12" s="36">
        <f>5000+12711.46</f>
        <v>17711.46</v>
      </c>
      <c r="AG12" s="3"/>
      <c r="AH12" s="65" t="s">
        <v>142</v>
      </c>
      <c r="AI12" s="65">
        <v>2</v>
      </c>
      <c r="AJ12" s="63"/>
      <c r="AK12" s="63"/>
      <c r="AL12" s="65"/>
      <c r="AM12" s="65"/>
      <c r="AN12" s="65"/>
      <c r="AO12" s="73">
        <f t="shared" si="6"/>
        <v>88557.32</v>
      </c>
      <c r="AP12" s="61">
        <f t="shared" si="7"/>
        <v>3.4773270308505744E-3</v>
      </c>
      <c r="AQ12" s="4" t="s">
        <v>20</v>
      </c>
      <c r="AR12" s="34"/>
      <c r="AS12" s="34"/>
      <c r="AT12" s="1"/>
      <c r="AU12" s="1"/>
      <c r="AV12" s="1"/>
      <c r="AW12" s="1"/>
      <c r="AX12" s="1"/>
      <c r="AY12" s="1"/>
      <c r="AZ12" s="1"/>
      <c r="BA12" s="1"/>
      <c r="BB12" s="1"/>
      <c r="BC12" s="1"/>
      <c r="BD12" s="1"/>
      <c r="BE12" s="1"/>
      <c r="BF12" s="1"/>
      <c r="BG12" s="1"/>
      <c r="BH12" s="1"/>
      <c r="BI12" s="1"/>
      <c r="BJ12" s="1"/>
      <c r="BK12" s="1"/>
      <c r="BL12" s="1"/>
      <c r="BM12" s="1"/>
      <c r="BN12" s="1"/>
    </row>
    <row r="13" spans="1:66" s="4" customFormat="1" ht="24" customHeight="1" x14ac:dyDescent="0.2">
      <c r="A13" s="57" t="s">
        <v>26</v>
      </c>
      <c r="B13" s="58" t="s">
        <v>70</v>
      </c>
      <c r="C13" s="58"/>
      <c r="D13" s="58"/>
      <c r="E13" s="3">
        <v>69608.098975583969</v>
      </c>
      <c r="F13" s="106">
        <v>52883.83</v>
      </c>
      <c r="G13" s="69">
        <f t="shared" si="0"/>
        <v>122491.92897558397</v>
      </c>
      <c r="H13" s="5">
        <f t="shared" si="1"/>
        <v>97993.543180467183</v>
      </c>
      <c r="I13" s="5">
        <f t="shared" si="2"/>
        <v>24498.385795116788</v>
      </c>
      <c r="J13" s="5">
        <f t="shared" si="3"/>
        <v>52844.141211052724</v>
      </c>
      <c r="K13" s="5">
        <f t="shared" si="4"/>
        <v>69555.858788947269</v>
      </c>
      <c r="L13" s="36">
        <f>89400+32400</f>
        <v>121800</v>
      </c>
      <c r="M13" s="6">
        <f t="shared" si="8"/>
        <v>121800</v>
      </c>
      <c r="N13" s="36">
        <f t="shared" si="5"/>
        <v>0</v>
      </c>
      <c r="O13" s="80" t="s">
        <v>20</v>
      </c>
      <c r="P13" s="55"/>
      <c r="Q13" s="55">
        <v>0</v>
      </c>
      <c r="R13" s="55"/>
      <c r="S13" s="55"/>
      <c r="T13" s="55"/>
      <c r="U13" s="55"/>
      <c r="V13" s="109">
        <v>0</v>
      </c>
      <c r="W13" s="55">
        <f>98+108</f>
        <v>206</v>
      </c>
      <c r="X13" s="55">
        <v>98</v>
      </c>
      <c r="Y13" s="55"/>
      <c r="Z13" s="114">
        <v>0</v>
      </c>
      <c r="AA13" s="55"/>
      <c r="AB13" s="55">
        <v>108</v>
      </c>
      <c r="AC13" s="120">
        <f>AD13</f>
        <v>121800</v>
      </c>
      <c r="AD13" s="110">
        <f>32400+89400</f>
        <v>121800</v>
      </c>
      <c r="AE13" s="1"/>
      <c r="AF13" s="36">
        <v>600</v>
      </c>
      <c r="AG13" s="3"/>
      <c r="AH13" s="76" t="s">
        <v>148</v>
      </c>
      <c r="AI13" s="65"/>
      <c r="AJ13" s="63">
        <v>3</v>
      </c>
      <c r="AK13" s="63"/>
      <c r="AL13" s="65"/>
      <c r="AM13" s="65"/>
      <c r="AN13" s="65"/>
      <c r="AO13" s="73">
        <f t="shared" si="6"/>
        <v>122400</v>
      </c>
      <c r="AP13" s="61">
        <f t="shared" si="7"/>
        <v>-91.928975583970896</v>
      </c>
      <c r="AQ13" s="38" t="s">
        <v>122</v>
      </c>
      <c r="AR13" s="49">
        <f>G13-AO13</f>
        <v>91.928975583970896</v>
      </c>
      <c r="AS13" s="52" t="s">
        <v>20</v>
      </c>
      <c r="AT13" s="1"/>
      <c r="AU13" s="1"/>
      <c r="AV13" s="1"/>
      <c r="AW13" s="1"/>
      <c r="AX13" s="1"/>
      <c r="AY13" s="1"/>
      <c r="AZ13" s="1"/>
      <c r="BA13" s="1"/>
      <c r="BB13" s="1"/>
      <c r="BC13" s="1"/>
      <c r="BD13" s="1"/>
      <c r="BE13" s="1"/>
      <c r="BF13" s="1"/>
      <c r="BG13" s="1"/>
      <c r="BH13" s="1"/>
      <c r="BI13" s="1"/>
      <c r="BJ13" s="1"/>
      <c r="BK13" s="1"/>
      <c r="BL13" s="1"/>
      <c r="BM13" s="1"/>
      <c r="BN13" s="1"/>
    </row>
    <row r="14" spans="1:66" s="4" customFormat="1" ht="25.5" customHeight="1" x14ac:dyDescent="0.2">
      <c r="A14" s="57" t="s">
        <v>27</v>
      </c>
      <c r="B14" s="58" t="s">
        <v>49</v>
      </c>
      <c r="C14" s="58"/>
      <c r="D14" s="58"/>
      <c r="E14" s="3">
        <v>29648.513559628238</v>
      </c>
      <c r="F14" s="106">
        <v>22525.07</v>
      </c>
      <c r="G14" s="69">
        <f t="shared" si="0"/>
        <v>52173.583559628241</v>
      </c>
      <c r="H14" s="5">
        <f t="shared" si="1"/>
        <v>41738.866847702593</v>
      </c>
      <c r="I14" s="5">
        <f t="shared" si="2"/>
        <v>10434.716711925648</v>
      </c>
      <c r="J14" s="5">
        <f t="shared" si="3"/>
        <v>22525.068463190182</v>
      </c>
      <c r="K14" s="5">
        <f t="shared" si="4"/>
        <v>29648.511536809812</v>
      </c>
      <c r="L14" s="36">
        <f>2500+39000</f>
        <v>41500</v>
      </c>
      <c r="M14" s="6">
        <f t="shared" si="8"/>
        <v>41500</v>
      </c>
      <c r="N14" s="36">
        <f t="shared" si="5"/>
        <v>0</v>
      </c>
      <c r="O14" s="80" t="s">
        <v>20</v>
      </c>
      <c r="P14" s="55"/>
      <c r="Q14" s="55">
        <v>5</v>
      </c>
      <c r="R14" s="55">
        <v>2</v>
      </c>
      <c r="S14" s="55">
        <v>3</v>
      </c>
      <c r="T14" s="55"/>
      <c r="U14" s="55"/>
      <c r="V14" s="109">
        <v>2500</v>
      </c>
      <c r="W14" s="55">
        <v>84</v>
      </c>
      <c r="X14" s="55">
        <v>14</v>
      </c>
      <c r="Y14" s="55">
        <v>1</v>
      </c>
      <c r="Z14" s="114">
        <v>300</v>
      </c>
      <c r="AA14" s="55"/>
      <c r="AB14" s="55">
        <v>69</v>
      </c>
      <c r="AC14" s="120">
        <f>AD14-300</f>
        <v>38700</v>
      </c>
      <c r="AD14" s="110">
        <v>39000</v>
      </c>
      <c r="AE14" s="1"/>
      <c r="AF14" s="36">
        <v>10673.58</v>
      </c>
      <c r="AG14" s="3">
        <v>6000</v>
      </c>
      <c r="AH14" s="65" t="s">
        <v>142</v>
      </c>
      <c r="AI14" s="65">
        <v>2</v>
      </c>
      <c r="AJ14" s="63"/>
      <c r="AK14" s="63"/>
      <c r="AL14" s="65"/>
      <c r="AM14" s="65"/>
      <c r="AN14" s="65"/>
      <c r="AO14" s="73">
        <f t="shared" si="6"/>
        <v>52173.58</v>
      </c>
      <c r="AP14" s="61">
        <f t="shared" si="7"/>
        <v>-3.5596282395999879E-3</v>
      </c>
      <c r="AQ14" s="39" t="s">
        <v>120</v>
      </c>
      <c r="AR14" s="34"/>
      <c r="AS14" s="34"/>
      <c r="AT14" s="1"/>
      <c r="AU14" s="1"/>
      <c r="AV14" s="1"/>
      <c r="AW14" s="1"/>
      <c r="AX14" s="1"/>
      <c r="AY14" s="1"/>
      <c r="AZ14" s="1"/>
      <c r="BA14" s="1"/>
      <c r="BB14" s="1"/>
      <c r="BC14" s="1"/>
      <c r="BD14" s="1"/>
      <c r="BE14" s="1"/>
      <c r="BF14" s="1"/>
      <c r="BG14" s="1"/>
      <c r="BH14" s="1"/>
      <c r="BI14" s="1"/>
      <c r="BJ14" s="1"/>
      <c r="BK14" s="1"/>
      <c r="BL14" s="1"/>
      <c r="BM14" s="1"/>
      <c r="BN14" s="1"/>
    </row>
    <row r="15" spans="1:66" s="4" customFormat="1" x14ac:dyDescent="0.2">
      <c r="A15" s="57" t="s">
        <v>5</v>
      </c>
      <c r="B15" s="58" t="s">
        <v>49</v>
      </c>
      <c r="C15" s="58"/>
      <c r="D15" s="58"/>
      <c r="E15" s="3">
        <v>63997.564419107264</v>
      </c>
      <c r="F15" s="106">
        <v>48621.3</v>
      </c>
      <c r="G15" s="69">
        <f t="shared" si="0"/>
        <v>112618.86441910727</v>
      </c>
      <c r="H15" s="5">
        <f t="shared" si="1"/>
        <v>90095.091535285814</v>
      </c>
      <c r="I15" s="5">
        <f t="shared" si="2"/>
        <v>22523.772883821453</v>
      </c>
      <c r="J15" s="5">
        <f t="shared" si="3"/>
        <v>38896.275169444874</v>
      </c>
      <c r="K15" s="5">
        <f t="shared" si="4"/>
        <v>51197.044830555133</v>
      </c>
      <c r="L15" s="37">
        <f>66935.53+23157.79</f>
        <v>90093.32</v>
      </c>
      <c r="M15" s="6">
        <f t="shared" si="8"/>
        <v>90093.32</v>
      </c>
      <c r="N15" s="36">
        <f t="shared" si="5"/>
        <v>0</v>
      </c>
      <c r="O15" s="80" t="s">
        <v>20</v>
      </c>
      <c r="P15" s="55"/>
      <c r="Q15" s="55">
        <v>211</v>
      </c>
      <c r="R15" s="55">
        <v>95</v>
      </c>
      <c r="S15" s="55">
        <v>116</v>
      </c>
      <c r="T15" s="55"/>
      <c r="U15" s="55"/>
      <c r="V15" s="109">
        <v>66935.53</v>
      </c>
      <c r="W15" s="55">
        <v>73</v>
      </c>
      <c r="X15" s="55">
        <v>12</v>
      </c>
      <c r="Y15" s="55">
        <v>30</v>
      </c>
      <c r="Z15" s="114">
        <v>9516.9</v>
      </c>
      <c r="AA15" s="55">
        <v>31</v>
      </c>
      <c r="AB15" s="55"/>
      <c r="AC15" s="120">
        <f>23157.79-Z15</f>
        <v>13640.890000000001</v>
      </c>
      <c r="AD15" s="110">
        <f>23157.79</f>
        <v>23157.79</v>
      </c>
      <c r="AE15" s="1"/>
      <c r="AF15" s="3">
        <v>0</v>
      </c>
      <c r="AG15" s="3"/>
      <c r="AH15" s="65"/>
      <c r="AI15" s="65"/>
      <c r="AJ15" s="63">
        <v>1</v>
      </c>
      <c r="AK15" s="63"/>
      <c r="AL15" s="65"/>
      <c r="AM15" s="65"/>
      <c r="AN15" s="65"/>
      <c r="AO15" s="73">
        <f t="shared" si="6"/>
        <v>90093.32</v>
      </c>
      <c r="AP15" s="61">
        <f t="shared" si="7"/>
        <v>-22525.54441910726</v>
      </c>
      <c r="AQ15" s="38" t="s">
        <v>122</v>
      </c>
      <c r="AR15" s="49">
        <f>G15-AO15</f>
        <v>22525.54441910726</v>
      </c>
      <c r="AS15" s="34"/>
      <c r="AT15" s="1"/>
      <c r="AU15" s="1"/>
      <c r="AV15" s="1"/>
      <c r="AW15" s="1"/>
      <c r="AX15" s="1"/>
      <c r="AY15" s="1"/>
      <c r="AZ15" s="1"/>
      <c r="BA15" s="1"/>
      <c r="BB15" s="1"/>
      <c r="BC15" s="1"/>
      <c r="BD15" s="1"/>
      <c r="BE15" s="1"/>
      <c r="BF15" s="1"/>
      <c r="BG15" s="1"/>
      <c r="BH15" s="1"/>
      <c r="BI15" s="1"/>
      <c r="BJ15" s="1"/>
      <c r="BK15" s="1"/>
      <c r="BL15" s="1"/>
      <c r="BM15" s="1"/>
      <c r="BN15" s="1"/>
    </row>
    <row r="16" spans="1:66" s="4" customFormat="1" x14ac:dyDescent="0.2">
      <c r="A16" s="57" t="s">
        <v>6</v>
      </c>
      <c r="B16" s="58" t="s">
        <v>49</v>
      </c>
      <c r="C16" s="58"/>
      <c r="D16" s="58"/>
      <c r="E16" s="3">
        <v>46085.339007433875</v>
      </c>
      <c r="F16" s="106">
        <v>35012.730000000003</v>
      </c>
      <c r="G16" s="69">
        <f t="shared" si="0"/>
        <v>81098.069007433878</v>
      </c>
      <c r="H16" s="5">
        <f t="shared" si="1"/>
        <v>64878.455205947103</v>
      </c>
      <c r="I16" s="5">
        <f t="shared" si="2"/>
        <v>16219.613801486776</v>
      </c>
      <c r="J16" s="5">
        <f t="shared" si="3"/>
        <v>35012.73042852377</v>
      </c>
      <c r="K16" s="5">
        <f t="shared" si="4"/>
        <v>46085.339571476237</v>
      </c>
      <c r="L16" s="36">
        <f>15178.07+61000</f>
        <v>76178.070000000007</v>
      </c>
      <c r="M16" s="6">
        <f t="shared" si="8"/>
        <v>76178.070000000007</v>
      </c>
      <c r="N16" s="36">
        <f t="shared" si="5"/>
        <v>0</v>
      </c>
      <c r="O16" s="80" t="s">
        <v>20</v>
      </c>
      <c r="P16" s="55"/>
      <c r="Q16" s="55">
        <v>31</v>
      </c>
      <c r="R16" s="55">
        <v>14</v>
      </c>
      <c r="S16" s="55">
        <v>15</v>
      </c>
      <c r="T16" s="55">
        <v>2</v>
      </c>
      <c r="U16" s="55"/>
      <c r="V16" s="109">
        <v>15178.07</v>
      </c>
      <c r="W16" s="55">
        <f>82+13+7+20</f>
        <v>122</v>
      </c>
      <c r="X16" s="55">
        <v>82</v>
      </c>
      <c r="Y16" s="55">
        <v>13</v>
      </c>
      <c r="Z16" s="114">
        <v>6500</v>
      </c>
      <c r="AA16" s="55">
        <v>7</v>
      </c>
      <c r="AB16" s="55">
        <v>20</v>
      </c>
      <c r="AC16" s="120">
        <f>AD16-Z16</f>
        <v>54500</v>
      </c>
      <c r="AD16" s="110">
        <v>61000</v>
      </c>
      <c r="AE16" s="1"/>
      <c r="AF16" s="36">
        <v>4920</v>
      </c>
      <c r="AG16" s="3"/>
      <c r="AH16" s="65" t="s">
        <v>141</v>
      </c>
      <c r="AI16" s="65"/>
      <c r="AJ16" s="63"/>
      <c r="AK16" s="63"/>
      <c r="AL16" s="65"/>
      <c r="AM16" s="65"/>
      <c r="AN16" s="65">
        <v>64</v>
      </c>
      <c r="AO16" s="73">
        <f t="shared" si="6"/>
        <v>81098.070000000007</v>
      </c>
      <c r="AP16" s="61">
        <f t="shared" si="7"/>
        <v>9.9256612884346396E-4</v>
      </c>
      <c r="AQ16" s="4" t="s">
        <v>20</v>
      </c>
      <c r="AR16" s="34"/>
      <c r="AS16" s="34"/>
      <c r="AT16" s="1"/>
      <c r="AU16" s="1"/>
      <c r="AV16" s="1"/>
      <c r="AW16" s="1"/>
      <c r="AX16" s="1"/>
      <c r="AY16" s="1"/>
      <c r="AZ16" s="1"/>
      <c r="BA16" s="1"/>
      <c r="BB16" s="1"/>
      <c r="BC16" s="1"/>
      <c r="BD16" s="1"/>
      <c r="BE16" s="1"/>
      <c r="BF16" s="1"/>
      <c r="BG16" s="1"/>
      <c r="BH16" s="1"/>
      <c r="BI16" s="1"/>
      <c r="BJ16" s="1"/>
      <c r="BK16" s="1"/>
      <c r="BL16" s="1"/>
      <c r="BM16" s="1"/>
      <c r="BN16" s="1"/>
    </row>
    <row r="17" spans="1:66" s="1" customFormat="1" x14ac:dyDescent="0.2">
      <c r="A17" s="57" t="s">
        <v>7</v>
      </c>
      <c r="B17" s="58" t="s">
        <v>50</v>
      </c>
      <c r="C17" s="58"/>
      <c r="D17" s="58"/>
      <c r="E17" s="3">
        <v>56854.755070223684</v>
      </c>
      <c r="F17" s="106">
        <v>43194.65</v>
      </c>
      <c r="G17" s="69">
        <f t="shared" si="0"/>
        <v>100049.40507022369</v>
      </c>
      <c r="H17" s="5">
        <f t="shared" si="1"/>
        <v>80039.524056178954</v>
      </c>
      <c r="I17" s="5">
        <f t="shared" si="2"/>
        <v>20009.881014044731</v>
      </c>
      <c r="J17" s="5">
        <f t="shared" si="3"/>
        <v>24973.175331190541</v>
      </c>
      <c r="K17" s="5">
        <f t="shared" si="4"/>
        <v>32870.824668809459</v>
      </c>
      <c r="L17" s="36">
        <f>25254+1500</f>
        <v>26754</v>
      </c>
      <c r="M17" s="6">
        <f t="shared" si="8"/>
        <v>26754</v>
      </c>
      <c r="N17" s="36">
        <f t="shared" si="5"/>
        <v>0</v>
      </c>
      <c r="O17" s="80" t="s">
        <v>20</v>
      </c>
      <c r="P17" s="55"/>
      <c r="Q17" s="55">
        <v>3</v>
      </c>
      <c r="R17" s="55"/>
      <c r="S17" s="55">
        <v>3</v>
      </c>
      <c r="T17" s="55"/>
      <c r="U17" s="55"/>
      <c r="V17" s="109">
        <v>1500</v>
      </c>
      <c r="W17" s="55">
        <v>55</v>
      </c>
      <c r="X17" s="55">
        <v>28</v>
      </c>
      <c r="Y17" s="55">
        <v>8</v>
      </c>
      <c r="Z17" s="114">
        <v>3629</v>
      </c>
      <c r="AA17" s="55">
        <v>3</v>
      </c>
      <c r="AB17" s="55">
        <v>16</v>
      </c>
      <c r="AC17" s="120">
        <f>AD17-Z17</f>
        <v>21625</v>
      </c>
      <c r="AD17" s="110">
        <v>25254</v>
      </c>
      <c r="AF17" s="36">
        <v>31090</v>
      </c>
      <c r="AG17" s="3">
        <v>9060</v>
      </c>
      <c r="AH17" s="65" t="s">
        <v>142</v>
      </c>
      <c r="AI17" s="65">
        <v>1</v>
      </c>
      <c r="AJ17" s="63"/>
      <c r="AK17" s="63"/>
      <c r="AL17" s="65" t="s">
        <v>161</v>
      </c>
      <c r="AM17" s="65"/>
      <c r="AN17" s="65"/>
      <c r="AO17" s="73">
        <f t="shared" si="6"/>
        <v>57844</v>
      </c>
      <c r="AP17" s="61">
        <f t="shared" si="7"/>
        <v>-42205.405070223685</v>
      </c>
      <c r="AQ17" s="38" t="s">
        <v>122</v>
      </c>
      <c r="AR17" s="49">
        <f>G17-AO17</f>
        <v>42205.405070223685</v>
      </c>
      <c r="AS17" s="34"/>
    </row>
    <row r="18" spans="1:66" s="4" customFormat="1" x14ac:dyDescent="0.2">
      <c r="A18" s="57" t="s">
        <v>8</v>
      </c>
      <c r="B18" s="58" t="s">
        <v>54</v>
      </c>
      <c r="C18" s="58"/>
      <c r="D18" s="58"/>
      <c r="E18" s="3">
        <v>84572.870037671208</v>
      </c>
      <c r="F18" s="106">
        <v>64253.13</v>
      </c>
      <c r="G18" s="69">
        <f t="shared" si="0"/>
        <v>148826.00003767121</v>
      </c>
      <c r="H18" s="5">
        <f t="shared" si="1"/>
        <v>119060.80003013698</v>
      </c>
      <c r="I18" s="5">
        <f t="shared" si="2"/>
        <v>29765.200007534237</v>
      </c>
      <c r="J18" s="5">
        <f t="shared" si="3"/>
        <v>64253.129983736078</v>
      </c>
      <c r="K18" s="5">
        <f t="shared" si="4"/>
        <v>84572.870016263914</v>
      </c>
      <c r="L18" s="36">
        <f>148826-9745</f>
        <v>139081</v>
      </c>
      <c r="M18" s="6">
        <f>V18+AD18</f>
        <v>139081</v>
      </c>
      <c r="N18" s="36">
        <f t="shared" si="5"/>
        <v>0</v>
      </c>
      <c r="O18" s="80" t="s">
        <v>20</v>
      </c>
      <c r="P18" s="55"/>
      <c r="Q18" s="55">
        <v>20</v>
      </c>
      <c r="R18" s="55"/>
      <c r="S18" s="55">
        <v>20</v>
      </c>
      <c r="T18" s="55"/>
      <c r="U18" s="55"/>
      <c r="V18" s="109">
        <v>16000</v>
      </c>
      <c r="W18" s="55">
        <f>192-20</f>
        <v>172</v>
      </c>
      <c r="X18" s="55">
        <v>0</v>
      </c>
      <c r="Y18" s="55">
        <v>68</v>
      </c>
      <c r="Z18" s="114">
        <f>54400+800</f>
        <v>55200</v>
      </c>
      <c r="AA18" s="55">
        <v>9</v>
      </c>
      <c r="AB18" s="55"/>
      <c r="AC18" s="120">
        <f>148826-(9745+16000)-Z18</f>
        <v>67881</v>
      </c>
      <c r="AD18" s="111">
        <f>54400+800+7200+681+60000</f>
        <v>123081</v>
      </c>
      <c r="AE18" s="1"/>
      <c r="AF18" s="36">
        <f>4495+3750+1500</f>
        <v>9745</v>
      </c>
      <c r="AG18" s="3"/>
      <c r="AH18" s="65" t="s">
        <v>142</v>
      </c>
      <c r="AI18" s="65">
        <v>2</v>
      </c>
      <c r="AJ18" s="63"/>
      <c r="AK18" s="63"/>
      <c r="AL18" s="65" t="s">
        <v>161</v>
      </c>
      <c r="AM18" s="65"/>
      <c r="AN18" s="65"/>
      <c r="AO18" s="73">
        <f t="shared" si="6"/>
        <v>148826</v>
      </c>
      <c r="AP18" s="61">
        <f t="shared" si="7"/>
        <v>-3.7671212339773774E-5</v>
      </c>
      <c r="AQ18" s="4" t="s">
        <v>20</v>
      </c>
      <c r="AR18" s="34"/>
      <c r="AS18" s="34"/>
      <c r="AT18" s="1"/>
      <c r="AU18" s="1"/>
      <c r="AV18" s="1"/>
      <c r="AW18" s="1"/>
      <c r="AX18" s="1"/>
      <c r="AY18" s="1"/>
      <c r="AZ18" s="1"/>
      <c r="BA18" s="1"/>
      <c r="BB18" s="1"/>
      <c r="BC18" s="1"/>
      <c r="BD18" s="1"/>
      <c r="BE18" s="1"/>
      <c r="BF18" s="1"/>
      <c r="BG18" s="1"/>
      <c r="BH18" s="1"/>
      <c r="BI18" s="1"/>
      <c r="BJ18" s="1"/>
      <c r="BK18" s="1"/>
      <c r="BL18" s="1"/>
      <c r="BM18" s="1"/>
      <c r="BN18" s="1"/>
    </row>
    <row r="19" spans="1:66" s="4" customFormat="1" x14ac:dyDescent="0.2">
      <c r="A19" s="57" t="s">
        <v>9</v>
      </c>
      <c r="B19" s="58" t="s">
        <v>49</v>
      </c>
      <c r="C19" s="58"/>
      <c r="D19" s="58"/>
      <c r="E19" s="3">
        <v>60193.642063284955</v>
      </c>
      <c r="F19" s="106">
        <v>45731.32</v>
      </c>
      <c r="G19" s="69">
        <f t="shared" si="0"/>
        <v>105924.96206328495</v>
      </c>
      <c r="H19" s="5">
        <f t="shared" si="1"/>
        <v>84739.969650627972</v>
      </c>
      <c r="I19" s="5">
        <f t="shared" si="2"/>
        <v>21184.992412656982</v>
      </c>
      <c r="J19" s="5">
        <f t="shared" si="3"/>
        <v>45731.319109211436</v>
      </c>
      <c r="K19" s="5">
        <f t="shared" si="4"/>
        <v>60193.640890788563</v>
      </c>
      <c r="L19" s="36">
        <f>3902.5+80837.44</f>
        <v>84739.94</v>
      </c>
      <c r="M19" s="6">
        <f t="shared" si="8"/>
        <v>84739.94</v>
      </c>
      <c r="N19" s="36">
        <f t="shared" si="5"/>
        <v>0</v>
      </c>
      <c r="O19" s="80" t="s">
        <v>20</v>
      </c>
      <c r="P19" s="55"/>
      <c r="Q19" s="55">
        <v>14</v>
      </c>
      <c r="R19" s="55">
        <v>12</v>
      </c>
      <c r="S19" s="55">
        <v>1</v>
      </c>
      <c r="T19" s="55">
        <v>1</v>
      </c>
      <c r="U19" s="55"/>
      <c r="V19" s="109">
        <v>3902.5</v>
      </c>
      <c r="W19" s="55">
        <v>290</v>
      </c>
      <c r="X19" s="55">
        <v>194</v>
      </c>
      <c r="Y19" s="55">
        <v>68</v>
      </c>
      <c r="Z19" s="114">
        <v>18954.98</v>
      </c>
      <c r="AA19" s="55">
        <v>5</v>
      </c>
      <c r="AB19" s="55">
        <v>23</v>
      </c>
      <c r="AC19" s="120">
        <f>AD19-Z19</f>
        <v>61882.460000000006</v>
      </c>
      <c r="AD19" s="110">
        <v>80837.440000000002</v>
      </c>
      <c r="AE19" s="1"/>
      <c r="AF19" s="36">
        <f>21185.02</f>
        <v>21185.02</v>
      </c>
      <c r="AG19" s="3">
        <v>21985.85</v>
      </c>
      <c r="AH19" s="65" t="s">
        <v>142</v>
      </c>
      <c r="AI19" s="65">
        <v>1</v>
      </c>
      <c r="AJ19" s="63"/>
      <c r="AK19" s="63"/>
      <c r="AL19" s="65">
        <v>40</v>
      </c>
      <c r="AM19" s="65"/>
      <c r="AN19" s="65"/>
      <c r="AO19" s="73">
        <f t="shared" si="6"/>
        <v>105924.96</v>
      </c>
      <c r="AP19" s="61">
        <f t="shared" si="7"/>
        <v>-2.0632849482353777E-3</v>
      </c>
      <c r="AQ19" s="4" t="s">
        <v>20</v>
      </c>
      <c r="AR19" s="34"/>
      <c r="AS19" s="34"/>
      <c r="AT19" s="1"/>
      <c r="AU19" s="1"/>
      <c r="AV19" s="1"/>
      <c r="AW19" s="1"/>
      <c r="AX19" s="1"/>
      <c r="AY19" s="1"/>
      <c r="AZ19" s="1"/>
      <c r="BA19" s="1"/>
      <c r="BB19" s="1"/>
      <c r="BC19" s="1"/>
      <c r="BD19" s="1"/>
      <c r="BE19" s="1"/>
      <c r="BF19" s="1"/>
      <c r="BG19" s="1"/>
      <c r="BH19" s="1"/>
      <c r="BI19" s="1"/>
      <c r="BJ19" s="1"/>
      <c r="BK19" s="1"/>
      <c r="BL19" s="1"/>
      <c r="BM19" s="1"/>
      <c r="BN19" s="1"/>
    </row>
    <row r="20" spans="1:66" s="4" customFormat="1" x14ac:dyDescent="0.2">
      <c r="A20" s="57" t="s">
        <v>28</v>
      </c>
      <c r="B20" s="58" t="s">
        <v>49</v>
      </c>
      <c r="C20" s="58"/>
      <c r="D20" s="58"/>
      <c r="E20" s="3">
        <v>24332.389880295214</v>
      </c>
      <c r="F20" s="106">
        <v>18486.21</v>
      </c>
      <c r="G20" s="69">
        <f t="shared" si="0"/>
        <v>42818.599880295209</v>
      </c>
      <c r="H20" s="5">
        <f t="shared" si="1"/>
        <v>34254.879904236172</v>
      </c>
      <c r="I20" s="5">
        <f t="shared" si="2"/>
        <v>8563.7199760590374</v>
      </c>
      <c r="J20" s="5">
        <f t="shared" si="3"/>
        <v>18486.205734348794</v>
      </c>
      <c r="K20" s="5">
        <f t="shared" si="4"/>
        <v>24332.384265651206</v>
      </c>
      <c r="L20" s="36">
        <f>2134+32120.87</f>
        <v>34254.869999999995</v>
      </c>
      <c r="M20" s="6">
        <f t="shared" si="8"/>
        <v>34254.870000000003</v>
      </c>
      <c r="N20" s="36">
        <f t="shared" si="5"/>
        <v>0</v>
      </c>
      <c r="O20" s="80" t="s">
        <v>20</v>
      </c>
      <c r="P20" s="55"/>
      <c r="Q20" s="55">
        <v>0</v>
      </c>
      <c r="R20" s="55"/>
      <c r="S20" s="55"/>
      <c r="T20" s="55"/>
      <c r="U20" s="55"/>
      <c r="V20" s="109">
        <v>0</v>
      </c>
      <c r="W20" s="55">
        <v>44</v>
      </c>
      <c r="X20" s="55"/>
      <c r="Y20" s="55">
        <v>0</v>
      </c>
      <c r="Z20" s="114">
        <v>0</v>
      </c>
      <c r="AA20" s="55">
        <v>11</v>
      </c>
      <c r="AB20" s="55">
        <v>33</v>
      </c>
      <c r="AC20" s="120">
        <f>AD20</f>
        <v>34254.870000000003</v>
      </c>
      <c r="AD20" s="110">
        <v>34254.870000000003</v>
      </c>
      <c r="AE20" s="1"/>
      <c r="AF20" s="36">
        <v>8563.7199999999993</v>
      </c>
      <c r="AG20" s="3">
        <v>5626</v>
      </c>
      <c r="AH20" s="65" t="s">
        <v>143</v>
      </c>
      <c r="AI20" s="65">
        <v>1</v>
      </c>
      <c r="AJ20" s="63"/>
      <c r="AK20" s="63"/>
      <c r="AL20" s="65">
        <v>7</v>
      </c>
      <c r="AM20" s="65"/>
      <c r="AN20" s="65"/>
      <c r="AO20" s="73">
        <f t="shared" si="6"/>
        <v>42818.59</v>
      </c>
      <c r="AP20" s="60">
        <f t="shared" si="7"/>
        <v>-9.8802952124970034E-3</v>
      </c>
      <c r="AQ20" s="4" t="s">
        <v>20</v>
      </c>
      <c r="AR20" s="34"/>
      <c r="AS20" s="34"/>
      <c r="AT20" s="46" t="s">
        <v>135</v>
      </c>
      <c r="AU20" s="1"/>
      <c r="AV20" s="1"/>
      <c r="AW20" s="1"/>
      <c r="AX20" s="1"/>
      <c r="AY20" s="1"/>
      <c r="AZ20" s="1"/>
      <c r="BA20" s="1"/>
      <c r="BB20" s="1"/>
      <c r="BC20" s="1"/>
      <c r="BD20" s="1"/>
      <c r="BE20" s="1"/>
      <c r="BF20" s="1"/>
      <c r="BG20" s="1"/>
      <c r="BH20" s="1"/>
      <c r="BI20" s="1"/>
      <c r="BJ20" s="1"/>
      <c r="BK20" s="1"/>
      <c r="BL20" s="1"/>
      <c r="BM20" s="1"/>
      <c r="BN20" s="1"/>
    </row>
    <row r="21" spans="1:66" s="4" customFormat="1" ht="25.5" x14ac:dyDescent="0.2">
      <c r="A21" s="57" t="s">
        <v>29</v>
      </c>
      <c r="B21" s="58" t="s">
        <v>74</v>
      </c>
      <c r="C21" s="58" t="s">
        <v>49</v>
      </c>
      <c r="D21" s="58"/>
      <c r="E21" s="3">
        <v>19815.859378659225</v>
      </c>
      <c r="F21" s="106">
        <v>15054.84</v>
      </c>
      <c r="G21" s="69">
        <f t="shared" si="0"/>
        <v>34870.699378659221</v>
      </c>
      <c r="H21" s="5">
        <f t="shared" si="1"/>
        <v>27896.559502927379</v>
      </c>
      <c r="I21" s="5">
        <f t="shared" si="2"/>
        <v>6974.139875731842</v>
      </c>
      <c r="J21" s="5">
        <f t="shared" si="3"/>
        <v>13770.805171871021</v>
      </c>
      <c r="K21" s="5">
        <f t="shared" si="4"/>
        <v>18125.754828128982</v>
      </c>
      <c r="L21" s="36">
        <f>26896.04+1000.52</f>
        <v>27896.560000000001</v>
      </c>
      <c r="M21" s="6">
        <f t="shared" si="8"/>
        <v>27896.560000000001</v>
      </c>
      <c r="N21" s="36">
        <f t="shared" si="5"/>
        <v>0</v>
      </c>
      <c r="O21" s="80" t="s">
        <v>20</v>
      </c>
      <c r="P21" s="55"/>
      <c r="Q21" s="55">
        <v>1</v>
      </c>
      <c r="R21" s="55"/>
      <c r="S21" s="55">
        <v>1</v>
      </c>
      <c r="T21" s="55"/>
      <c r="U21" s="55"/>
      <c r="V21" s="109">
        <v>1000.52</v>
      </c>
      <c r="W21" s="55">
        <f>16+52</f>
        <v>68</v>
      </c>
      <c r="X21" s="55"/>
      <c r="Y21" s="55">
        <v>16</v>
      </c>
      <c r="Z21" s="114">
        <v>6328.48</v>
      </c>
      <c r="AA21" s="55"/>
      <c r="AB21" s="55">
        <v>52</v>
      </c>
      <c r="AC21" s="120">
        <f>AD21-Z21</f>
        <v>20567.560000000001</v>
      </c>
      <c r="AD21" s="110">
        <v>26896.04</v>
      </c>
      <c r="AE21" s="1"/>
      <c r="AF21" s="36">
        <v>4000</v>
      </c>
      <c r="AG21" s="3"/>
      <c r="AH21" s="65" t="s">
        <v>141</v>
      </c>
      <c r="AI21" s="65"/>
      <c r="AJ21" s="63">
        <v>2</v>
      </c>
      <c r="AK21" s="63"/>
      <c r="AL21" s="65"/>
      <c r="AM21" s="65">
        <v>1</v>
      </c>
      <c r="AN21" s="65">
        <v>30</v>
      </c>
      <c r="AO21" s="73">
        <f t="shared" si="6"/>
        <v>31896.560000000001</v>
      </c>
      <c r="AP21" s="61">
        <f t="shared" si="7"/>
        <v>-2974.1393786592198</v>
      </c>
      <c r="AQ21" s="39" t="s">
        <v>123</v>
      </c>
      <c r="AR21" s="50">
        <f>I21-AF21</f>
        <v>2974.139875731842</v>
      </c>
      <c r="AS21" s="34"/>
      <c r="AT21" s="1"/>
      <c r="AU21" s="1"/>
      <c r="AV21" s="1"/>
      <c r="AW21" s="1"/>
      <c r="AX21" s="1"/>
      <c r="AY21" s="1"/>
      <c r="AZ21" s="1"/>
      <c r="BA21" s="1"/>
      <c r="BB21" s="1"/>
      <c r="BC21" s="1"/>
      <c r="BD21" s="1"/>
      <c r="BE21" s="1"/>
      <c r="BF21" s="1"/>
      <c r="BG21" s="1"/>
      <c r="BH21" s="1"/>
      <c r="BI21" s="1"/>
      <c r="BJ21" s="1"/>
      <c r="BK21" s="1"/>
      <c r="BL21" s="1"/>
      <c r="BM21" s="1"/>
      <c r="BN21" s="1"/>
    </row>
    <row r="22" spans="1:66" s="4" customFormat="1" x14ac:dyDescent="0.2">
      <c r="A22" s="57" t="s">
        <v>30</v>
      </c>
      <c r="B22" s="58" t="s">
        <v>49</v>
      </c>
      <c r="C22" s="58"/>
      <c r="D22" s="58"/>
      <c r="E22" s="3">
        <v>8270.2691852178978</v>
      </c>
      <c r="F22" s="106">
        <v>6283.23</v>
      </c>
      <c r="G22" s="69">
        <f t="shared" si="0"/>
        <v>14553.499185217897</v>
      </c>
      <c r="H22" s="5">
        <f t="shared" si="1"/>
        <v>11642.799348174318</v>
      </c>
      <c r="I22" s="5">
        <f t="shared" si="2"/>
        <v>2910.6998370435795</v>
      </c>
      <c r="J22" s="5">
        <f t="shared" si="3"/>
        <v>6283.1440051117106</v>
      </c>
      <c r="K22" s="5">
        <f t="shared" si="4"/>
        <v>8270.1559948882896</v>
      </c>
      <c r="L22" s="36">
        <v>11642.6</v>
      </c>
      <c r="M22" s="6">
        <f t="shared" si="8"/>
        <v>11642.6</v>
      </c>
      <c r="N22" s="36">
        <f t="shared" si="5"/>
        <v>0</v>
      </c>
      <c r="O22" s="80" t="s">
        <v>20</v>
      </c>
      <c r="P22" s="55"/>
      <c r="Q22" s="55">
        <v>0</v>
      </c>
      <c r="R22" s="55"/>
      <c r="S22" s="55"/>
      <c r="T22" s="55"/>
      <c r="U22" s="55"/>
      <c r="V22" s="109">
        <v>0</v>
      </c>
      <c r="W22" s="55">
        <f>4+19</f>
        <v>23</v>
      </c>
      <c r="X22" s="55"/>
      <c r="Y22" s="55">
        <v>4</v>
      </c>
      <c r="Z22" s="114">
        <v>2024.8</v>
      </c>
      <c r="AA22" s="55"/>
      <c r="AB22" s="55">
        <v>19</v>
      </c>
      <c r="AC22" s="120">
        <f>AD22-Z22</f>
        <v>9617.8000000000011</v>
      </c>
      <c r="AD22" s="110">
        <v>11642.6</v>
      </c>
      <c r="AE22" s="1"/>
      <c r="AF22" s="36">
        <v>2910.7</v>
      </c>
      <c r="AG22" s="3">
        <v>2745</v>
      </c>
      <c r="AH22" s="65" t="s">
        <v>142</v>
      </c>
      <c r="AI22" s="65">
        <v>1</v>
      </c>
      <c r="AJ22" s="63"/>
      <c r="AK22" s="63"/>
      <c r="AL22" s="65"/>
      <c r="AM22" s="65"/>
      <c r="AN22" s="65"/>
      <c r="AO22" s="73">
        <f t="shared" si="6"/>
        <v>14553.3</v>
      </c>
      <c r="AP22" s="61">
        <f t="shared" si="7"/>
        <v>-0.19918521789804799</v>
      </c>
      <c r="AQ22" s="4" t="s">
        <v>124</v>
      </c>
      <c r="AR22" s="34"/>
      <c r="AS22" s="34"/>
      <c r="AT22" s="1"/>
      <c r="AU22" s="1"/>
      <c r="AV22" s="1"/>
      <c r="AW22" s="1"/>
      <c r="AX22" s="1"/>
      <c r="AY22" s="1"/>
      <c r="AZ22" s="1"/>
      <c r="BA22" s="1"/>
      <c r="BB22" s="1"/>
      <c r="BC22" s="1"/>
      <c r="BD22" s="1"/>
      <c r="BE22" s="1"/>
      <c r="BF22" s="1"/>
      <c r="BG22" s="1"/>
      <c r="BH22" s="1"/>
      <c r="BI22" s="1"/>
      <c r="BJ22" s="1"/>
      <c r="BK22" s="1"/>
      <c r="BL22" s="1"/>
      <c r="BM22" s="1"/>
      <c r="BN22" s="1"/>
    </row>
    <row r="23" spans="1:66" s="1" customFormat="1" x14ac:dyDescent="0.2">
      <c r="A23" s="57" t="s">
        <v>10</v>
      </c>
      <c r="B23" s="58" t="s">
        <v>102</v>
      </c>
      <c r="C23" s="58"/>
      <c r="D23" s="58"/>
      <c r="E23" s="3">
        <v>73780.034927835877</v>
      </c>
      <c r="F23" s="106">
        <v>56053.41</v>
      </c>
      <c r="G23" s="69">
        <f t="shared" si="0"/>
        <v>129833.44492783588</v>
      </c>
      <c r="H23" s="5">
        <f t="shared" si="1"/>
        <v>103866.7559422687</v>
      </c>
      <c r="I23" s="5">
        <f t="shared" si="2"/>
        <v>25966.688985567176</v>
      </c>
      <c r="J23" s="5">
        <f t="shared" si="3"/>
        <v>56053.407872489595</v>
      </c>
      <c r="K23" s="5">
        <f t="shared" si="4"/>
        <v>73780.032127510392</v>
      </c>
      <c r="L23" s="36">
        <f>8000+121833.44</f>
        <v>129833.44</v>
      </c>
      <c r="M23" s="6">
        <f t="shared" si="8"/>
        <v>129833.44</v>
      </c>
      <c r="N23" s="36">
        <f t="shared" si="5"/>
        <v>0</v>
      </c>
      <c r="O23" s="80" t="s">
        <v>20</v>
      </c>
      <c r="P23" s="55"/>
      <c r="Q23" s="55">
        <v>16</v>
      </c>
      <c r="R23" s="55">
        <v>13</v>
      </c>
      <c r="S23" s="55">
        <v>3</v>
      </c>
      <c r="T23" s="55"/>
      <c r="U23" s="55"/>
      <c r="V23" s="109">
        <v>8000</v>
      </c>
      <c r="W23" s="55">
        <v>425</v>
      </c>
      <c r="X23" s="55">
        <v>403</v>
      </c>
      <c r="Y23" s="55">
        <v>20</v>
      </c>
      <c r="Z23" s="114">
        <v>3866.95</v>
      </c>
      <c r="AA23" s="55">
        <v>2</v>
      </c>
      <c r="AB23" s="55"/>
      <c r="AC23" s="120">
        <f>AD23-Z23</f>
        <v>117966.49</v>
      </c>
      <c r="AD23" s="110">
        <v>121833.44</v>
      </c>
      <c r="AF23" s="3">
        <v>0</v>
      </c>
      <c r="AG23" s="3">
        <v>14130.470000000001</v>
      </c>
      <c r="AH23" s="65"/>
      <c r="AI23" s="65"/>
      <c r="AJ23" s="63">
        <v>4</v>
      </c>
      <c r="AK23" s="63"/>
      <c r="AL23" s="65"/>
      <c r="AM23" s="65"/>
      <c r="AN23" s="65"/>
      <c r="AO23" s="73">
        <f t="shared" si="6"/>
        <v>129833.44</v>
      </c>
      <c r="AP23" s="61">
        <f t="shared" si="7"/>
        <v>-4.9278358783340082E-3</v>
      </c>
      <c r="AQ23" s="4" t="s">
        <v>20</v>
      </c>
      <c r="AR23" s="34"/>
      <c r="AS23" s="34"/>
    </row>
    <row r="24" spans="1:66" s="4" customFormat="1" x14ac:dyDescent="0.2">
      <c r="A24" s="57" t="s">
        <v>11</v>
      </c>
      <c r="B24" s="58" t="s">
        <v>51</v>
      </c>
      <c r="C24" s="58"/>
      <c r="D24" s="58"/>
      <c r="E24" s="3">
        <v>35369.452195033824</v>
      </c>
      <c r="F24" s="106">
        <v>26871.47</v>
      </c>
      <c r="G24" s="69">
        <f t="shared" si="0"/>
        <v>62240.922195033825</v>
      </c>
      <c r="H24" s="5">
        <f t="shared" si="1"/>
        <v>49792.737756027062</v>
      </c>
      <c r="I24" s="5">
        <f t="shared" si="2"/>
        <v>12448.184439006764</v>
      </c>
      <c r="J24" s="5">
        <f t="shared" si="3"/>
        <v>26871.469052331115</v>
      </c>
      <c r="K24" s="5">
        <f t="shared" si="4"/>
        <v>35369.450947668884</v>
      </c>
      <c r="L24" s="36">
        <f>2000+1000+50240.92</f>
        <v>53240.92</v>
      </c>
      <c r="M24" s="6">
        <f t="shared" si="8"/>
        <v>53240.92</v>
      </c>
      <c r="N24" s="36">
        <f t="shared" si="5"/>
        <v>0</v>
      </c>
      <c r="O24" s="80" t="s">
        <v>20</v>
      </c>
      <c r="P24" s="55"/>
      <c r="Q24" s="55">
        <v>105</v>
      </c>
      <c r="R24" s="55">
        <v>2</v>
      </c>
      <c r="S24" s="55">
        <v>2</v>
      </c>
      <c r="T24" s="55"/>
      <c r="U24" s="55"/>
      <c r="V24" s="109">
        <v>3000</v>
      </c>
      <c r="W24" s="55">
        <v>105</v>
      </c>
      <c r="X24" s="55"/>
      <c r="Y24" s="55">
        <v>0</v>
      </c>
      <c r="Z24" s="114">
        <v>0</v>
      </c>
      <c r="AA24" s="55"/>
      <c r="AB24" s="55"/>
      <c r="AC24" s="120">
        <f>50240.92</f>
        <v>50240.92</v>
      </c>
      <c r="AD24" s="110">
        <v>50240.92</v>
      </c>
      <c r="AE24" s="1"/>
      <c r="AF24" s="36">
        <f>9000</f>
        <v>9000</v>
      </c>
      <c r="AG24" s="3"/>
      <c r="AH24" s="65" t="s">
        <v>142</v>
      </c>
      <c r="AI24" s="65">
        <v>1</v>
      </c>
      <c r="AJ24" s="63"/>
      <c r="AK24" s="63"/>
      <c r="AL24" s="65"/>
      <c r="AM24" s="65"/>
      <c r="AN24" s="65"/>
      <c r="AO24" s="73">
        <f t="shared" si="6"/>
        <v>62240.92</v>
      </c>
      <c r="AP24" s="61">
        <f t="shared" si="7"/>
        <v>-2.1950338268652558E-3</v>
      </c>
      <c r="AQ24" s="4" t="s">
        <v>20</v>
      </c>
      <c r="AR24" s="34"/>
      <c r="AS24" s="34"/>
      <c r="AT24" s="1"/>
      <c r="AU24" s="1"/>
      <c r="AV24" s="1"/>
      <c r="AW24" s="1"/>
      <c r="AX24" s="1"/>
      <c r="AY24" s="1"/>
      <c r="AZ24" s="1"/>
      <c r="BA24" s="1"/>
      <c r="BB24" s="1"/>
      <c r="BC24" s="1"/>
      <c r="BD24" s="1"/>
      <c r="BE24" s="1"/>
      <c r="BF24" s="1"/>
      <c r="BG24" s="1"/>
      <c r="BH24" s="1"/>
      <c r="BI24" s="1"/>
      <c r="BJ24" s="1"/>
      <c r="BK24" s="1"/>
      <c r="BL24" s="1"/>
      <c r="BM24" s="1"/>
      <c r="BN24" s="1"/>
    </row>
    <row r="25" spans="1:66" s="4" customFormat="1" x14ac:dyDescent="0.2">
      <c r="A25" s="57" t="s">
        <v>130</v>
      </c>
      <c r="B25" s="58" t="s">
        <v>52</v>
      </c>
      <c r="C25" s="58"/>
      <c r="D25" s="58"/>
      <c r="E25" s="3">
        <v>68601.079952626606</v>
      </c>
      <c r="F25" s="106">
        <v>52118.76</v>
      </c>
      <c r="G25" s="69">
        <f t="shared" si="0"/>
        <v>120719.83995262661</v>
      </c>
      <c r="H25" s="5">
        <f t="shared" si="1"/>
        <v>96575.871962101301</v>
      </c>
      <c r="I25" s="5">
        <f t="shared" si="2"/>
        <v>24143.967990525314</v>
      </c>
      <c r="J25" s="5">
        <f t="shared" si="3"/>
        <v>74827.07892069449</v>
      </c>
      <c r="K25" s="5">
        <f t="shared" si="4"/>
        <v>98490.801079305485</v>
      </c>
      <c r="L25" s="36">
        <v>158455.35999999999</v>
      </c>
      <c r="M25" s="6">
        <f t="shared" si="8"/>
        <v>158455.35999999999</v>
      </c>
      <c r="N25" s="36">
        <f t="shared" si="5"/>
        <v>0</v>
      </c>
      <c r="O25" s="80" t="s">
        <v>20</v>
      </c>
      <c r="P25" s="55"/>
      <c r="Q25" s="55">
        <v>0</v>
      </c>
      <c r="R25" s="55"/>
      <c r="S25" s="55"/>
      <c r="T25" s="55"/>
      <c r="U25" s="55"/>
      <c r="V25" s="109">
        <v>0</v>
      </c>
      <c r="W25" s="55">
        <f>36+81+43+9+1+60+76+1+82</f>
        <v>389</v>
      </c>
      <c r="X25" s="55"/>
      <c r="Y25" s="55">
        <v>0</v>
      </c>
      <c r="Z25" s="114">
        <v>0</v>
      </c>
      <c r="AA25" s="55"/>
      <c r="AB25" s="55">
        <f>W25</f>
        <v>389</v>
      </c>
      <c r="AC25" s="120">
        <f>AD25</f>
        <v>158455.35999999999</v>
      </c>
      <c r="AD25" s="110">
        <v>158455.35999999999</v>
      </c>
      <c r="AE25" s="1"/>
      <c r="AF25" s="36">
        <f>7000+2600+5262.52</f>
        <v>14862.52</v>
      </c>
      <c r="AG25" s="3"/>
      <c r="AH25" s="65" t="s">
        <v>143</v>
      </c>
      <c r="AI25" s="65">
        <v>2</v>
      </c>
      <c r="AJ25" s="63"/>
      <c r="AK25" s="63"/>
      <c r="AL25" s="65"/>
      <c r="AM25" s="65">
        <v>1</v>
      </c>
      <c r="AN25" s="65"/>
      <c r="AO25" s="73">
        <f t="shared" si="6"/>
        <v>173317.87999999998</v>
      </c>
      <c r="AP25" s="42">
        <f t="shared" si="7"/>
        <v>52598.040047373361</v>
      </c>
      <c r="AQ25" s="4" t="s">
        <v>20</v>
      </c>
      <c r="AR25" s="34"/>
      <c r="AS25" s="34"/>
      <c r="AT25" s="1"/>
      <c r="AU25" s="1"/>
      <c r="AV25" s="1"/>
      <c r="AW25" s="1"/>
      <c r="AX25" s="1"/>
      <c r="AY25" s="1"/>
      <c r="AZ25" s="1"/>
      <c r="BA25" s="1"/>
      <c r="BB25" s="1"/>
      <c r="BC25" s="1"/>
      <c r="BD25" s="1"/>
      <c r="BE25" s="1"/>
      <c r="BF25" s="1"/>
      <c r="BG25" s="1"/>
      <c r="BH25" s="1"/>
      <c r="BI25" s="1"/>
      <c r="BJ25" s="1"/>
      <c r="BK25" s="1"/>
      <c r="BL25" s="1"/>
      <c r="BM25" s="1"/>
      <c r="BN25" s="1"/>
    </row>
    <row r="26" spans="1:66" s="1" customFormat="1" x14ac:dyDescent="0.2">
      <c r="A26" s="57" t="s">
        <v>12</v>
      </c>
      <c r="B26" s="58" t="s">
        <v>49</v>
      </c>
      <c r="C26" s="58"/>
      <c r="D26" s="58"/>
      <c r="E26" s="3">
        <v>41515.279255408124</v>
      </c>
      <c r="F26" s="106">
        <v>31540.68</v>
      </c>
      <c r="G26" s="69">
        <f t="shared" si="0"/>
        <v>73055.959255408117</v>
      </c>
      <c r="H26" s="5">
        <f t="shared" si="1"/>
        <v>58444.7674043265</v>
      </c>
      <c r="I26" s="5">
        <f t="shared" si="2"/>
        <v>14611.191851081618</v>
      </c>
      <c r="J26" s="5">
        <f t="shared" si="3"/>
        <v>15450.153898765537</v>
      </c>
      <c r="K26" s="5">
        <f t="shared" si="4"/>
        <v>20336.196101234465</v>
      </c>
      <c r="L26" s="36">
        <f>4500+1688.55+11000+13627.8</f>
        <v>30816.35</v>
      </c>
      <c r="M26" s="6">
        <f t="shared" si="8"/>
        <v>30816.35</v>
      </c>
      <c r="N26" s="36">
        <f t="shared" si="5"/>
        <v>0</v>
      </c>
      <c r="O26" s="80" t="s">
        <v>20</v>
      </c>
      <c r="P26" s="55"/>
      <c r="Q26" s="55">
        <v>13</v>
      </c>
      <c r="R26" s="55">
        <v>3</v>
      </c>
      <c r="S26" s="55">
        <v>10</v>
      </c>
      <c r="T26" s="55"/>
      <c r="U26" s="55"/>
      <c r="V26" s="109">
        <f>4500+1688.55</f>
        <v>6188.55</v>
      </c>
      <c r="W26" s="55">
        <f>22+29</f>
        <v>51</v>
      </c>
      <c r="X26" s="55">
        <v>5</v>
      </c>
      <c r="Y26" s="55">
        <v>6</v>
      </c>
      <c r="Z26" s="114">
        <v>3000</v>
      </c>
      <c r="AA26" s="55">
        <f>11+29</f>
        <v>40</v>
      </c>
      <c r="AB26" s="55"/>
      <c r="AC26" s="120">
        <f>AD26-Z26</f>
        <v>21627.8</v>
      </c>
      <c r="AD26" s="110">
        <f>11000+13627.8</f>
        <v>24627.8</v>
      </c>
      <c r="AF26" s="36">
        <v>4970</v>
      </c>
      <c r="AG26" s="3"/>
      <c r="AH26" s="65" t="s">
        <v>141</v>
      </c>
      <c r="AI26" s="65"/>
      <c r="AJ26" s="63">
        <v>2</v>
      </c>
      <c r="AK26" s="63"/>
      <c r="AL26" s="65"/>
      <c r="AM26" s="65">
        <v>1</v>
      </c>
      <c r="AN26" s="65">
        <v>50</v>
      </c>
      <c r="AO26" s="73">
        <f t="shared" si="6"/>
        <v>35786.35</v>
      </c>
      <c r="AP26" s="60">
        <f t="shared" si="7"/>
        <v>-37269.609255408119</v>
      </c>
      <c r="AQ26" s="4"/>
      <c r="AR26" s="49"/>
      <c r="AT26" s="46" t="s">
        <v>133</v>
      </c>
    </row>
    <row r="27" spans="1:66" s="4" customFormat="1" ht="25.5" x14ac:dyDescent="0.2">
      <c r="A27" s="57" t="s">
        <v>31</v>
      </c>
      <c r="B27" s="58" t="s">
        <v>53</v>
      </c>
      <c r="C27" s="58"/>
      <c r="D27" s="58"/>
      <c r="E27" s="3">
        <v>21391.626687007782</v>
      </c>
      <c r="F27" s="106">
        <v>16252.01</v>
      </c>
      <c r="G27" s="69">
        <f t="shared" si="0"/>
        <v>37643.636687007784</v>
      </c>
      <c r="H27" s="5">
        <f t="shared" si="1"/>
        <v>30114.909349606227</v>
      </c>
      <c r="I27" s="5">
        <f t="shared" si="2"/>
        <v>7528.7273374015567</v>
      </c>
      <c r="J27" s="5">
        <f t="shared" si="3"/>
        <v>16251.925083676855</v>
      </c>
      <c r="K27" s="5">
        <f t="shared" si="4"/>
        <v>21391.514916323147</v>
      </c>
      <c r="L27" s="37">
        <f>9500+18925</f>
        <v>28425</v>
      </c>
      <c r="M27" s="6">
        <f t="shared" si="8"/>
        <v>28425.200000000001</v>
      </c>
      <c r="N27" s="36">
        <f t="shared" si="5"/>
        <v>-0.2000000000007276</v>
      </c>
      <c r="O27" s="80" t="s">
        <v>20</v>
      </c>
      <c r="P27" s="55"/>
      <c r="Q27" s="55">
        <v>19</v>
      </c>
      <c r="R27" s="55">
        <v>10</v>
      </c>
      <c r="S27" s="55">
        <v>9</v>
      </c>
      <c r="T27" s="55"/>
      <c r="U27" s="55"/>
      <c r="V27" s="109">
        <v>9500</v>
      </c>
      <c r="W27" s="55">
        <v>23</v>
      </c>
      <c r="X27" s="55">
        <v>10</v>
      </c>
      <c r="Y27" s="55">
        <v>5</v>
      </c>
      <c r="Z27" s="114">
        <v>2500</v>
      </c>
      <c r="AA27" s="55">
        <v>3</v>
      </c>
      <c r="AB27" s="55">
        <v>5</v>
      </c>
      <c r="AC27" s="120">
        <f>AD27-Z27</f>
        <v>16425.2</v>
      </c>
      <c r="AD27" s="110">
        <v>18925.2</v>
      </c>
      <c r="AE27" s="1"/>
      <c r="AF27" s="36">
        <f>8218.44+1000</f>
        <v>9218.44</v>
      </c>
      <c r="AG27" s="3">
        <v>317</v>
      </c>
      <c r="AH27" s="65" t="s">
        <v>142</v>
      </c>
      <c r="AI27" s="65">
        <v>2</v>
      </c>
      <c r="AJ27" s="63"/>
      <c r="AK27" s="63"/>
      <c r="AL27" s="65"/>
      <c r="AM27" s="65"/>
      <c r="AN27" s="65"/>
      <c r="AO27" s="73">
        <f t="shared" si="6"/>
        <v>37643.440000000002</v>
      </c>
      <c r="AP27" s="60">
        <f t="shared" si="7"/>
        <v>-0.19668700778129278</v>
      </c>
      <c r="AQ27" s="39" t="s">
        <v>129</v>
      </c>
      <c r="AR27" s="49"/>
      <c r="AS27" s="34" t="s">
        <v>20</v>
      </c>
      <c r="AT27" s="46" t="s">
        <v>135</v>
      </c>
      <c r="AU27" s="1"/>
      <c r="AV27" s="1"/>
      <c r="AW27" s="1"/>
      <c r="AX27" s="1"/>
      <c r="AY27" s="1"/>
      <c r="AZ27" s="1"/>
      <c r="BA27" s="1"/>
      <c r="BB27" s="1"/>
      <c r="BC27" s="1"/>
      <c r="BD27" s="1"/>
      <c r="BE27" s="1"/>
      <c r="BF27" s="1"/>
      <c r="BG27" s="1"/>
      <c r="BH27" s="1"/>
      <c r="BI27" s="1"/>
      <c r="BJ27" s="1"/>
      <c r="BK27" s="1"/>
      <c r="BL27" s="1"/>
      <c r="BM27" s="1"/>
      <c r="BN27" s="1"/>
    </row>
    <row r="28" spans="1:66" s="4" customFormat="1" x14ac:dyDescent="0.2">
      <c r="A28" s="57" t="s">
        <v>32</v>
      </c>
      <c r="B28" s="58" t="s">
        <v>54</v>
      </c>
      <c r="C28" s="58"/>
      <c r="D28" s="58"/>
      <c r="E28" s="3">
        <v>8012.6596677171783</v>
      </c>
      <c r="F28" s="106">
        <v>6087.51</v>
      </c>
      <c r="G28" s="69">
        <f t="shared" si="0"/>
        <v>14100.169667717179</v>
      </c>
      <c r="H28" s="5">
        <f t="shared" si="1"/>
        <v>11280.135734173744</v>
      </c>
      <c r="I28" s="5">
        <f t="shared" si="2"/>
        <v>2820.0339335434346</v>
      </c>
      <c r="J28" s="5">
        <f t="shared" si="3"/>
        <v>6098.2257590678455</v>
      </c>
      <c r="K28" s="5">
        <f t="shared" si="4"/>
        <v>8026.7642409321543</v>
      </c>
      <c r="L28" s="36">
        <v>11499.99</v>
      </c>
      <c r="M28" s="6">
        <f t="shared" si="8"/>
        <v>11499.99</v>
      </c>
      <c r="N28" s="36">
        <f t="shared" si="5"/>
        <v>0</v>
      </c>
      <c r="O28" s="80"/>
      <c r="P28" s="55"/>
      <c r="Q28" s="55">
        <v>0</v>
      </c>
      <c r="R28" s="55"/>
      <c r="S28" s="55"/>
      <c r="T28" s="55"/>
      <c r="U28" s="55"/>
      <c r="V28" s="109">
        <v>0</v>
      </c>
      <c r="W28" s="55">
        <v>17</v>
      </c>
      <c r="X28" s="55"/>
      <c r="Y28" s="55">
        <v>1</v>
      </c>
      <c r="Z28" s="114">
        <v>676.47</v>
      </c>
      <c r="AA28" s="55"/>
      <c r="AB28" s="55">
        <v>16</v>
      </c>
      <c r="AC28" s="120">
        <f>AD28-Z28</f>
        <v>10823.52</v>
      </c>
      <c r="AD28" s="110">
        <v>11499.99</v>
      </c>
      <c r="AE28" s="1"/>
      <c r="AF28" s="36">
        <v>2625</v>
      </c>
      <c r="AG28" s="3"/>
      <c r="AH28" s="65" t="s">
        <v>142</v>
      </c>
      <c r="AI28" s="65">
        <v>1</v>
      </c>
      <c r="AJ28" s="63"/>
      <c r="AK28" s="63"/>
      <c r="AL28" s="65"/>
      <c r="AM28" s="65"/>
      <c r="AN28" s="65"/>
      <c r="AO28" s="73">
        <f t="shared" si="6"/>
        <v>14124.99</v>
      </c>
      <c r="AP28" s="42">
        <f t="shared" si="7"/>
        <v>24.820332282821255</v>
      </c>
      <c r="AQ28" s="4" t="s">
        <v>20</v>
      </c>
      <c r="AR28" s="34"/>
      <c r="AS28" s="34"/>
      <c r="AT28" s="1"/>
      <c r="AU28" s="1"/>
      <c r="AV28" s="1"/>
      <c r="AW28" s="1"/>
      <c r="AX28" s="1"/>
      <c r="AY28" s="1"/>
      <c r="AZ28" s="1"/>
      <c r="BA28" s="1"/>
      <c r="BB28" s="1"/>
      <c r="BC28" s="1"/>
      <c r="BD28" s="1"/>
      <c r="BE28" s="1"/>
      <c r="BF28" s="1"/>
      <c r="BG28" s="1"/>
      <c r="BH28" s="1"/>
      <c r="BI28" s="1"/>
      <c r="BJ28" s="1"/>
      <c r="BK28" s="1"/>
      <c r="BL28" s="1"/>
      <c r="BM28" s="1"/>
      <c r="BN28" s="1"/>
    </row>
    <row r="29" spans="1:66" s="1" customFormat="1" ht="21" thickBot="1" x14ac:dyDescent="0.35">
      <c r="A29" s="2" t="s">
        <v>0</v>
      </c>
      <c r="B29" s="11"/>
      <c r="C29" s="21"/>
      <c r="D29" s="21"/>
      <c r="E29" s="22">
        <v>1000000.0000000001</v>
      </c>
      <c r="F29" s="107">
        <f>SUM(F6:F28)</f>
        <v>759736.79</v>
      </c>
      <c r="G29" s="70">
        <f t="shared" si="0"/>
        <v>1759736.79</v>
      </c>
      <c r="H29" s="5">
        <f>SUM(H6:H28)</f>
        <v>1407789.4319999998</v>
      </c>
      <c r="I29" s="5">
        <f>SUM(I6:I28)</f>
        <v>351947.35799999995</v>
      </c>
      <c r="J29" s="5">
        <f t="shared" si="3"/>
        <v>722458.39481493679</v>
      </c>
      <c r="K29" s="5">
        <f t="shared" si="4"/>
        <v>950932.48651935998</v>
      </c>
      <c r="L29" s="3">
        <f>SUM(L6:L28)</f>
        <v>1488980.55</v>
      </c>
      <c r="M29" s="6">
        <f t="shared" si="8"/>
        <v>1488980.7499999998</v>
      </c>
      <c r="N29" s="36">
        <f t="shared" si="5"/>
        <v>-0.19999999972060323</v>
      </c>
      <c r="O29" s="80"/>
      <c r="P29" s="55"/>
      <c r="Q29" s="55">
        <f>SUM(Q6:Q28)</f>
        <v>454</v>
      </c>
      <c r="R29" s="55"/>
      <c r="S29" s="55"/>
      <c r="T29" s="55"/>
      <c r="U29" s="55"/>
      <c r="V29" s="109">
        <f>SUM(V6:V28)</f>
        <v>143834.73000000001</v>
      </c>
      <c r="W29" s="55">
        <f>SUM(W6:W28)</f>
        <v>2893</v>
      </c>
      <c r="X29" s="55"/>
      <c r="Y29" s="55"/>
      <c r="Z29" s="114">
        <f>SUM(Z6:Z28)</f>
        <v>240048.46079136693</v>
      </c>
      <c r="AA29" s="55"/>
      <c r="AB29" s="55"/>
      <c r="AC29" s="120">
        <f>SUM(AC6:AC28)</f>
        <v>1105097.5592086334</v>
      </c>
      <c r="AD29" s="110">
        <f>SUM(AD6:AD28)</f>
        <v>1345146.0199999998</v>
      </c>
      <c r="AF29" s="6">
        <f>SUM(AF6:AF28)</f>
        <v>184410.33133429685</v>
      </c>
      <c r="AG29" s="3">
        <f>SUM(AG6:AG28)</f>
        <v>103556.13</v>
      </c>
      <c r="AH29" s="63"/>
      <c r="AI29" s="75">
        <f>SUM(AI6:AI28)</f>
        <v>19</v>
      </c>
      <c r="AJ29" s="75"/>
      <c r="AK29" s="75"/>
      <c r="AL29" s="75"/>
      <c r="AM29" s="75">
        <f>SUM(AM6:AM28)</f>
        <v>4</v>
      </c>
      <c r="AN29" s="75"/>
      <c r="AO29" s="82">
        <f>SUM(AO6:AO28)</f>
        <v>1673390.8813342967</v>
      </c>
      <c r="AP29" s="42">
        <f t="shared" si="7"/>
        <v>-86345.908665703377</v>
      </c>
      <c r="AR29" s="62">
        <f>SUM(AR6:AR28)</f>
        <v>67797.018340646755</v>
      </c>
      <c r="AS29" s="5">
        <f>AO29+AR29</f>
        <v>1741187.8996749434</v>
      </c>
    </row>
    <row r="30" spans="1:66" s="1" customFormat="1" x14ac:dyDescent="0.2">
      <c r="J30" s="5"/>
      <c r="K30" s="5"/>
      <c r="O30" s="63"/>
      <c r="P30" s="54"/>
      <c r="Q30" s="54"/>
      <c r="R30" s="54"/>
      <c r="S30" s="54"/>
      <c r="T30" s="54"/>
      <c r="U30" s="54"/>
      <c r="V30" s="54"/>
      <c r="W30" s="54"/>
      <c r="X30" s="54"/>
      <c r="Y30" s="54"/>
      <c r="Z30" s="115"/>
      <c r="AA30" s="54"/>
      <c r="AB30" s="54"/>
      <c r="AC30" s="121"/>
      <c r="AD30" s="54"/>
      <c r="AH30" s="63"/>
      <c r="AI30" s="63"/>
      <c r="AJ30" s="63"/>
      <c r="AK30" s="63"/>
      <c r="AL30" s="63"/>
      <c r="AM30" s="63"/>
      <c r="AN30" s="63"/>
      <c r="AO30" s="5">
        <f>AF29+AD29+V29</f>
        <v>1673391.0813342966</v>
      </c>
      <c r="AP30" s="84"/>
      <c r="AQ30" s="85" t="s">
        <v>165</v>
      </c>
      <c r="AR30" s="34"/>
    </row>
    <row r="31" spans="1:66" s="1" customFormat="1" ht="13.5" thickBot="1" x14ac:dyDescent="0.25">
      <c r="O31" s="63"/>
      <c r="P31" s="54"/>
      <c r="Q31" s="54"/>
      <c r="R31" s="54"/>
      <c r="S31" s="54"/>
      <c r="T31" s="54"/>
      <c r="U31" s="54"/>
      <c r="V31" s="54"/>
      <c r="W31" s="54"/>
      <c r="X31" s="54"/>
      <c r="Y31" s="54"/>
      <c r="Z31" s="115"/>
      <c r="AA31" s="54"/>
      <c r="AB31" s="54"/>
      <c r="AC31" s="121"/>
      <c r="AD31" s="54"/>
      <c r="AH31" s="63"/>
      <c r="AI31" s="63"/>
      <c r="AJ31" s="63"/>
      <c r="AK31" s="63"/>
      <c r="AL31" s="63"/>
      <c r="AM31" s="63"/>
      <c r="AN31" s="63"/>
      <c r="AO31" s="5"/>
      <c r="AP31" s="86">
        <f>AP26</f>
        <v>-37269.609255408119</v>
      </c>
      <c r="AQ31" s="87" t="s">
        <v>108</v>
      </c>
      <c r="AR31" s="49">
        <f>AR29-AR13</f>
        <v>67705.089365062784</v>
      </c>
      <c r="AS31" s="1" t="s">
        <v>139</v>
      </c>
    </row>
    <row r="32" spans="1:66" s="1" customFormat="1" x14ac:dyDescent="0.2">
      <c r="O32" s="63"/>
      <c r="P32" s="54"/>
      <c r="Q32" s="54"/>
      <c r="R32" s="54"/>
      <c r="S32" s="54"/>
      <c r="T32" s="54"/>
      <c r="U32" s="54"/>
      <c r="V32" s="118">
        <f>V29*F29/AO29</f>
        <v>65302.456992943495</v>
      </c>
      <c r="W32" s="54"/>
      <c r="X32" s="54"/>
      <c r="Y32" s="54"/>
      <c r="Z32" s="116">
        <f>Z29*F29/AO29</f>
        <v>108984.48717531933</v>
      </c>
      <c r="AA32" s="54"/>
      <c r="AB32" s="54"/>
      <c r="AC32" s="122">
        <f>AC29*F29/AO29</f>
        <v>501725.73642838967</v>
      </c>
      <c r="AD32" s="54"/>
      <c r="AF32" s="123">
        <f>AF29*F29/AO29</f>
        <v>83724.200205418936</v>
      </c>
      <c r="AH32" s="117">
        <f>AF32+AC32+Z32+V32</f>
        <v>759736.88080207154</v>
      </c>
      <c r="AI32" s="63"/>
      <c r="AJ32" s="63"/>
      <c r="AK32" s="63"/>
      <c r="AL32" s="63"/>
      <c r="AM32" s="63"/>
      <c r="AN32" s="63"/>
      <c r="AP32" s="86">
        <f>AP11</f>
        <v>-2325.1275159751385</v>
      </c>
      <c r="AQ32" s="87" t="s">
        <v>163</v>
      </c>
      <c r="AR32" s="34"/>
    </row>
    <row r="33" spans="1:44" s="1" customFormat="1" ht="39" thickBot="1" x14ac:dyDescent="0.25">
      <c r="A33" s="1" t="s">
        <v>75</v>
      </c>
      <c r="O33" s="63"/>
      <c r="P33" s="54"/>
      <c r="Q33" s="54"/>
      <c r="R33" s="54"/>
      <c r="S33" s="54"/>
      <c r="T33" s="54"/>
      <c r="U33" s="54"/>
      <c r="V33" s="124" t="s">
        <v>186</v>
      </c>
      <c r="W33" s="54"/>
      <c r="X33" s="54"/>
      <c r="Y33" s="54"/>
      <c r="Z33" s="125" t="s">
        <v>187</v>
      </c>
      <c r="AA33" s="54"/>
      <c r="AB33" s="54"/>
      <c r="AC33" s="126" t="s">
        <v>188</v>
      </c>
      <c r="AD33" s="54"/>
      <c r="AF33" s="127" t="s">
        <v>189</v>
      </c>
      <c r="AH33" s="63"/>
      <c r="AI33" s="63"/>
      <c r="AJ33" s="63"/>
      <c r="AK33" s="63"/>
      <c r="AL33" s="63"/>
      <c r="AM33" s="63"/>
      <c r="AN33" s="63"/>
      <c r="AP33" s="88">
        <f>AP10</f>
        <v>-31575.685337187446</v>
      </c>
      <c r="AQ33" s="89" t="s">
        <v>164</v>
      </c>
      <c r="AR33" s="34"/>
    </row>
    <row r="34" spans="1:44" ht="13.5" thickBot="1" x14ac:dyDescent="0.25">
      <c r="F34" s="131">
        <f>F29*20%</f>
        <v>151947.35800000001</v>
      </c>
      <c r="AP34" s="129">
        <f>AR17</f>
        <v>42205.405070223685</v>
      </c>
      <c r="AQ34" s="92" t="s">
        <v>168</v>
      </c>
    </row>
    <row r="35" spans="1:44" ht="13.5" customHeight="1" thickBot="1" x14ac:dyDescent="0.25">
      <c r="V35" s="118">
        <f>V29*F29/G29</f>
        <v>62098.227804123322</v>
      </c>
      <c r="Z35" s="122">
        <f>Z29*F29/G29</f>
        <v>103636.8893816637</v>
      </c>
      <c r="AC35" s="122">
        <f>AC29*F29/G29</f>
        <v>477107.30209260562</v>
      </c>
      <c r="AF35" s="132">
        <f>AF29*F29/G29</f>
        <v>79616.061883183735</v>
      </c>
      <c r="AG35" s="134">
        <f>V35+Z35+AC35+AF35</f>
        <v>722458.48116157635</v>
      </c>
      <c r="AH35" s="168" t="s">
        <v>199</v>
      </c>
      <c r="AI35" s="168"/>
      <c r="AJ35" s="168"/>
    </row>
    <row r="36" spans="1:44" ht="39" thickBot="1" x14ac:dyDescent="0.25">
      <c r="V36" s="124" t="s">
        <v>190</v>
      </c>
      <c r="Z36" s="126" t="s">
        <v>190</v>
      </c>
      <c r="AC36" s="126" t="s">
        <v>190</v>
      </c>
      <c r="AF36" s="127" t="s">
        <v>190</v>
      </c>
      <c r="AH36" s="168"/>
      <c r="AI36" s="168"/>
      <c r="AJ36" s="168"/>
      <c r="AP36" s="84"/>
      <c r="AQ36" s="90" t="s">
        <v>166</v>
      </c>
    </row>
    <row r="37" spans="1:44" x14ac:dyDescent="0.2">
      <c r="V37" s="133" t="s">
        <v>195</v>
      </c>
      <c r="Z37" s="121" t="s">
        <v>191</v>
      </c>
      <c r="AC37" s="121" t="s">
        <v>191</v>
      </c>
      <c r="AF37" s="7" t="s">
        <v>197</v>
      </c>
      <c r="AP37" s="93">
        <f>AR13</f>
        <v>91.928975583970896</v>
      </c>
      <c r="AQ37" s="91" t="s">
        <v>90</v>
      </c>
    </row>
    <row r="38" spans="1:44" ht="29.25" customHeight="1" x14ac:dyDescent="0.2">
      <c r="V38" s="133" t="s">
        <v>196</v>
      </c>
      <c r="Z38" s="130" t="s">
        <v>192</v>
      </c>
      <c r="AC38" s="130" t="s">
        <v>194</v>
      </c>
      <c r="AF38" s="7" t="s">
        <v>193</v>
      </c>
      <c r="AP38" s="93">
        <f>AR15</f>
        <v>22525.54441910726</v>
      </c>
      <c r="AQ38" s="91" t="s">
        <v>167</v>
      </c>
    </row>
    <row r="39" spans="1:44" ht="13.5" thickBot="1" x14ac:dyDescent="0.25">
      <c r="V39" s="54" t="s">
        <v>198</v>
      </c>
      <c r="Z39" s="54" t="s">
        <v>198</v>
      </c>
      <c r="AC39" s="54" t="s">
        <v>198</v>
      </c>
      <c r="AP39" s="94">
        <f>AR21</f>
        <v>2974.139875731842</v>
      </c>
      <c r="AQ39" s="92" t="s">
        <v>119</v>
      </c>
    </row>
    <row r="43" spans="1:44" x14ac:dyDescent="0.2">
      <c r="AP43" s="5">
        <f>AO29-(AP31+AP32+AP33)+AP37+AP38+AP34+AP39</f>
        <v>1812358.3217835142</v>
      </c>
    </row>
  </sheetData>
  <autoFilter ref="A5:E29" xr:uid="{00000000-0009-0000-0000-000000000000}"/>
  <mergeCells count="3">
    <mergeCell ref="Q4:U4"/>
    <mergeCell ref="W4:AB4"/>
    <mergeCell ref="AH35:AJ36"/>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49"/>
  <sheetViews>
    <sheetView topLeftCell="AF20" zoomScaleNormal="100" workbookViewId="0">
      <selection activeCell="AO30" sqref="AO30"/>
    </sheetView>
  </sheetViews>
  <sheetFormatPr defaultRowHeight="12.75" x14ac:dyDescent="0.2"/>
  <cols>
    <col min="1" max="1" width="48.140625" customWidth="1"/>
    <col min="2" max="2" width="14.7109375" customWidth="1"/>
    <col min="3" max="3" width="13.28515625" customWidth="1"/>
    <col min="4" max="4" width="5.28515625" customWidth="1"/>
    <col min="5" max="5" width="17.5703125" customWidth="1"/>
    <col min="6" max="6" width="18.28515625" customWidth="1"/>
    <col min="7" max="7" width="14.42578125" customWidth="1"/>
    <col min="8" max="9" width="14.85546875" customWidth="1"/>
    <col min="10" max="11" width="13.5703125" style="33" customWidth="1"/>
    <col min="12" max="12" width="15.140625" customWidth="1"/>
    <col min="13" max="13" width="17.5703125" style="33" customWidth="1"/>
    <col min="14" max="14" width="14.140625" style="33" customWidth="1"/>
    <col min="15" max="15" width="15.140625" style="63" customWidth="1"/>
    <col min="16" max="16" width="8.140625" style="54" customWidth="1"/>
    <col min="17" max="17" width="17.7109375" style="54" customWidth="1"/>
    <col min="18" max="18" width="16.140625" style="54" customWidth="1"/>
    <col min="19" max="19" width="14.28515625" style="54" customWidth="1"/>
    <col min="20" max="20" width="15.5703125" style="54" customWidth="1"/>
    <col min="21" max="22" width="16.7109375" style="54" customWidth="1"/>
    <col min="23" max="23" width="23.85546875" style="54" customWidth="1"/>
    <col min="24" max="24" width="14.85546875" style="54" customWidth="1"/>
    <col min="25" max="25" width="12.5703125" style="54" customWidth="1"/>
    <col min="26" max="26" width="17.85546875" style="54" customWidth="1"/>
    <col min="27" max="27" width="14.5703125" style="54" customWidth="1"/>
    <col min="28" max="28" width="15.42578125" style="54" customWidth="1"/>
    <col min="29" max="29" width="21.5703125" style="54" customWidth="1"/>
    <col min="30" max="30" width="15.42578125" style="54" customWidth="1"/>
    <col min="31" max="31" width="9.28515625" style="1" customWidth="1"/>
    <col min="32" max="32" width="18" customWidth="1"/>
    <col min="33" max="33" width="18" style="1" customWidth="1"/>
    <col min="34" max="34" width="15.7109375" style="66" customWidth="1"/>
    <col min="35" max="35" width="11.5703125" style="66" customWidth="1"/>
    <col min="36" max="37" width="12.5703125" style="63" customWidth="1"/>
    <col min="38" max="40" width="11.5703125" style="66" customWidth="1"/>
    <col min="41" max="41" width="16.5703125" customWidth="1"/>
    <col min="42" max="42" width="16.5703125" style="1" customWidth="1"/>
    <col min="43" max="43" width="14" customWidth="1"/>
    <col min="44" max="44" width="20.7109375" style="34" customWidth="1"/>
    <col min="45" max="45" width="19.28515625" customWidth="1"/>
    <col min="46" max="46" width="20.140625" style="1" customWidth="1"/>
    <col min="47" max="66" width="9.140625" style="1"/>
  </cols>
  <sheetData>
    <row r="1" spans="1:66" s="1" customFormat="1" ht="19.5" customHeight="1" x14ac:dyDescent="0.25">
      <c r="A1" s="12" t="s">
        <v>33</v>
      </c>
      <c r="O1" s="63"/>
      <c r="P1" s="54"/>
      <c r="Q1" s="54"/>
      <c r="R1" s="54"/>
      <c r="S1" s="54"/>
      <c r="T1" s="54"/>
      <c r="U1" s="54"/>
      <c r="V1" s="54"/>
      <c r="W1" s="54"/>
      <c r="X1" s="54"/>
      <c r="Y1" s="54"/>
      <c r="Z1" s="54"/>
      <c r="AA1" s="54"/>
      <c r="AB1" s="54"/>
      <c r="AC1" s="54"/>
      <c r="AD1" s="54"/>
      <c r="AH1" s="63"/>
      <c r="AI1" s="63"/>
      <c r="AJ1" s="63"/>
      <c r="AK1" s="63"/>
      <c r="AL1" s="63"/>
      <c r="AM1" s="63"/>
      <c r="AN1" s="63"/>
      <c r="AR1" s="34"/>
    </row>
    <row r="2" spans="1:66" s="1" customFormat="1" ht="20.25" customHeight="1" x14ac:dyDescent="0.25">
      <c r="A2" s="29" t="s">
        <v>17</v>
      </c>
      <c r="O2" s="63"/>
      <c r="P2" s="54"/>
      <c r="Q2" s="54"/>
      <c r="R2" s="54"/>
      <c r="S2" s="54"/>
      <c r="T2" s="54"/>
      <c r="U2" s="54"/>
      <c r="V2" s="54"/>
      <c r="W2" s="54"/>
      <c r="X2" s="54"/>
      <c r="Y2" s="54"/>
      <c r="Z2" s="54"/>
      <c r="AA2" s="54"/>
      <c r="AB2" s="54"/>
      <c r="AC2" s="54"/>
      <c r="AD2" s="54"/>
      <c r="AF2"/>
      <c r="AH2" s="63"/>
      <c r="AI2" s="63"/>
      <c r="AJ2" s="63"/>
      <c r="AK2" s="63"/>
      <c r="AL2" s="63"/>
      <c r="AM2" s="63"/>
      <c r="AN2" s="63"/>
      <c r="AR2" s="34"/>
    </row>
    <row r="3" spans="1:66" s="1" customFormat="1" ht="48.75" customHeight="1" thickBot="1" x14ac:dyDescent="0.3">
      <c r="A3" s="29" t="s">
        <v>18</v>
      </c>
      <c r="B3" s="138" t="s">
        <v>83</v>
      </c>
      <c r="C3" s="26">
        <v>44742</v>
      </c>
      <c r="D3" s="26"/>
      <c r="O3" s="63"/>
      <c r="P3" s="54"/>
      <c r="Q3" s="54"/>
      <c r="R3" s="54"/>
      <c r="S3" s="54"/>
      <c r="T3" s="54"/>
      <c r="U3" s="54"/>
      <c r="V3" s="54"/>
      <c r="W3" s="54"/>
      <c r="X3" s="54"/>
      <c r="Y3" s="54"/>
      <c r="Z3" s="54"/>
      <c r="AA3" s="54"/>
      <c r="AB3" s="54"/>
      <c r="AC3" s="54"/>
      <c r="AD3" s="54"/>
      <c r="AF3"/>
      <c r="AH3" s="63"/>
      <c r="AI3" s="63"/>
      <c r="AJ3" s="63"/>
      <c r="AK3" s="63"/>
      <c r="AL3" s="63"/>
      <c r="AM3" s="63"/>
      <c r="AN3" s="63"/>
      <c r="AR3" s="34"/>
    </row>
    <row r="4" spans="1:66" s="1" customFormat="1" ht="47.25" customHeight="1" thickBot="1" x14ac:dyDescent="0.3">
      <c r="A4" s="29" t="s">
        <v>19</v>
      </c>
      <c r="B4" s="138" t="s">
        <v>84</v>
      </c>
      <c r="C4" s="26">
        <v>44771</v>
      </c>
      <c r="D4" s="26"/>
      <c r="E4" s="1" t="s">
        <v>147</v>
      </c>
      <c r="O4" s="63"/>
      <c r="P4" s="54"/>
      <c r="Q4" s="162" t="s">
        <v>173</v>
      </c>
      <c r="R4" s="163"/>
      <c r="S4" s="163"/>
      <c r="T4" s="163"/>
      <c r="U4" s="164"/>
      <c r="V4" s="100"/>
      <c r="W4" s="165" t="s">
        <v>156</v>
      </c>
      <c r="X4" s="166"/>
      <c r="Y4" s="166"/>
      <c r="Z4" s="166"/>
      <c r="AA4" s="166"/>
      <c r="AB4" s="167"/>
      <c r="AC4" s="59"/>
      <c r="AD4" s="59"/>
      <c r="AF4"/>
      <c r="AH4" s="63"/>
      <c r="AI4" s="63"/>
      <c r="AJ4" s="63"/>
      <c r="AK4" s="63"/>
      <c r="AL4" s="63"/>
      <c r="AM4" s="63"/>
      <c r="AN4" s="63"/>
      <c r="AR4" s="34"/>
    </row>
    <row r="5" spans="1:66" s="1" customFormat="1" ht="120" customHeight="1" thickBot="1" x14ac:dyDescent="0.25">
      <c r="A5" s="2" t="s">
        <v>13</v>
      </c>
      <c r="B5" s="10" t="s">
        <v>82</v>
      </c>
      <c r="C5" s="10" t="s">
        <v>86</v>
      </c>
      <c r="D5" s="28" t="s">
        <v>85</v>
      </c>
      <c r="E5" s="8" t="s">
        <v>114</v>
      </c>
      <c r="F5" s="45" t="s">
        <v>115</v>
      </c>
      <c r="G5" s="68" t="s">
        <v>21</v>
      </c>
      <c r="H5" s="8" t="s">
        <v>14</v>
      </c>
      <c r="I5" s="97" t="s">
        <v>15</v>
      </c>
      <c r="J5" s="97" t="s">
        <v>144</v>
      </c>
      <c r="K5" s="56" t="s">
        <v>145</v>
      </c>
      <c r="L5" s="78" t="s">
        <v>16</v>
      </c>
      <c r="M5" s="78" t="s">
        <v>180</v>
      </c>
      <c r="N5" s="78"/>
      <c r="O5" s="11" t="s">
        <v>155</v>
      </c>
      <c r="P5" s="59" t="s">
        <v>136</v>
      </c>
      <c r="Q5" s="77" t="s">
        <v>149</v>
      </c>
      <c r="R5" s="77" t="s">
        <v>151</v>
      </c>
      <c r="S5" s="77" t="s">
        <v>152</v>
      </c>
      <c r="T5" s="77" t="s">
        <v>153</v>
      </c>
      <c r="U5" s="77" t="s">
        <v>154</v>
      </c>
      <c r="V5" s="98" t="s">
        <v>177</v>
      </c>
      <c r="W5" s="77" t="s">
        <v>150</v>
      </c>
      <c r="X5" s="99" t="s">
        <v>157</v>
      </c>
      <c r="Y5" s="102" t="s">
        <v>174</v>
      </c>
      <c r="Z5" s="112" t="s">
        <v>176</v>
      </c>
      <c r="AA5" s="99" t="s">
        <v>153</v>
      </c>
      <c r="AB5" s="99" t="s">
        <v>154</v>
      </c>
      <c r="AC5" s="119" t="s">
        <v>179</v>
      </c>
      <c r="AD5" s="101" t="s">
        <v>178</v>
      </c>
      <c r="AE5" s="8" t="s">
        <v>22</v>
      </c>
      <c r="AF5" s="78" t="s">
        <v>175</v>
      </c>
      <c r="AG5" s="10" t="s">
        <v>170</v>
      </c>
      <c r="AH5" s="64" t="s">
        <v>140</v>
      </c>
      <c r="AI5" s="64" t="s">
        <v>146</v>
      </c>
      <c r="AJ5" s="83" t="s">
        <v>169</v>
      </c>
      <c r="AK5" s="83" t="s">
        <v>171</v>
      </c>
      <c r="AL5" s="64" t="s">
        <v>160</v>
      </c>
      <c r="AM5" s="64" t="s">
        <v>141</v>
      </c>
      <c r="AN5" s="64" t="s">
        <v>159</v>
      </c>
      <c r="AO5" s="71" t="s">
        <v>181</v>
      </c>
      <c r="AP5" s="83" t="s">
        <v>162</v>
      </c>
      <c r="AR5" s="45" t="s">
        <v>125</v>
      </c>
      <c r="AS5" s="8" t="s">
        <v>127</v>
      </c>
      <c r="AT5" s="53" t="s">
        <v>134</v>
      </c>
    </row>
    <row r="6" spans="1:66" s="4" customFormat="1" x14ac:dyDescent="0.2">
      <c r="A6" s="57" t="s">
        <v>2</v>
      </c>
      <c r="B6" s="58">
        <v>2</v>
      </c>
      <c r="C6" s="58"/>
      <c r="D6" s="58"/>
      <c r="E6" s="3">
        <v>94345.303811951744</v>
      </c>
      <c r="F6" s="105">
        <v>71677.600000000006</v>
      </c>
      <c r="G6" s="69">
        <f>E6+F6</f>
        <v>166022.90381195175</v>
      </c>
      <c r="H6" s="5">
        <f>G6*80%</f>
        <v>132818.32304956141</v>
      </c>
      <c r="I6" s="5">
        <f>G6-H6</f>
        <v>33204.580762390338</v>
      </c>
      <c r="J6" s="5">
        <f>AO6*F6/G6</f>
        <v>71677.205477039315</v>
      </c>
      <c r="K6" s="5">
        <f>AO6*E6/G6</f>
        <v>94344.784522960676</v>
      </c>
      <c r="L6" s="36">
        <v>166021.99</v>
      </c>
      <c r="M6" s="36">
        <f>V6+AD6</f>
        <v>166021.99</v>
      </c>
      <c r="N6" s="36">
        <f>L6-M6</f>
        <v>0</v>
      </c>
      <c r="O6" s="80" t="s">
        <v>200</v>
      </c>
      <c r="P6" s="55" t="s">
        <v>137</v>
      </c>
      <c r="Q6" s="55">
        <v>0</v>
      </c>
      <c r="R6" s="1"/>
      <c r="S6" s="1"/>
      <c r="T6" s="1"/>
      <c r="U6" s="1"/>
      <c r="V6" s="108">
        <v>0</v>
      </c>
      <c r="W6" s="55">
        <v>191</v>
      </c>
      <c r="X6" s="55">
        <v>72</v>
      </c>
      <c r="Y6" s="55">
        <v>52</v>
      </c>
      <c r="Z6" s="113">
        <v>48470.75</v>
      </c>
      <c r="AA6" s="55">
        <v>16</v>
      </c>
      <c r="AB6" s="55">
        <v>51</v>
      </c>
      <c r="AC6" s="120">
        <f>166021.99-Z6</f>
        <v>117551.23999999999</v>
      </c>
      <c r="AD6" s="110">
        <f>AC6+Z6</f>
        <v>166021.99</v>
      </c>
      <c r="AE6" s="1"/>
      <c r="AF6" s="3"/>
      <c r="AG6" s="3">
        <v>28887.23</v>
      </c>
      <c r="AH6" s="65"/>
      <c r="AI6" s="65"/>
      <c r="AJ6" s="63">
        <v>4</v>
      </c>
      <c r="AK6" s="63"/>
      <c r="AL6" s="65"/>
      <c r="AM6" s="65"/>
      <c r="AN6" s="65"/>
      <c r="AO6" s="72">
        <f>L6</f>
        <v>166021.99</v>
      </c>
      <c r="AP6" s="60">
        <f>AO6-G6</f>
        <v>-0.91381195175927132</v>
      </c>
      <c r="AQ6" s="43">
        <f>G6-AO6</f>
        <v>0.91381195175927132</v>
      </c>
      <c r="AR6" s="67"/>
      <c r="AS6" s="34"/>
      <c r="AT6" s="46" t="s">
        <v>135</v>
      </c>
      <c r="AU6" s="1"/>
      <c r="AV6" s="1"/>
      <c r="AW6" s="1"/>
      <c r="AX6" s="1"/>
      <c r="AY6" s="1"/>
      <c r="AZ6" s="1"/>
      <c r="BA6" s="1"/>
      <c r="BB6" s="1"/>
      <c r="BC6" s="1"/>
      <c r="BD6" s="1"/>
      <c r="BE6" s="1"/>
      <c r="BF6" s="1"/>
      <c r="BG6" s="1"/>
      <c r="BH6" s="1"/>
      <c r="BI6" s="1"/>
      <c r="BJ6" s="1"/>
      <c r="BK6" s="1"/>
      <c r="BL6" s="1"/>
      <c r="BM6" s="1"/>
      <c r="BN6" s="1"/>
    </row>
    <row r="7" spans="1:66" s="4" customFormat="1" x14ac:dyDescent="0.2">
      <c r="A7" s="57" t="s">
        <v>23</v>
      </c>
      <c r="B7" s="58" t="s">
        <v>49</v>
      </c>
      <c r="C7" s="58"/>
      <c r="D7" s="58"/>
      <c r="E7" s="3">
        <v>12776.762952405805</v>
      </c>
      <c r="F7" s="106">
        <v>9706.98</v>
      </c>
      <c r="G7" s="69">
        <f t="shared" ref="G7:G29" si="0">E7+F7</f>
        <v>22483.742952405802</v>
      </c>
      <c r="H7" s="5">
        <f t="shared" ref="H7:H28" si="1">G7*80%</f>
        <v>17986.994361924644</v>
      </c>
      <c r="I7" s="5">
        <f t="shared" ref="I7:I28" si="2">G7-H7</f>
        <v>4496.7485904811583</v>
      </c>
      <c r="J7" s="5">
        <f t="shared" ref="J7:J29" si="3">AO7*F7/G7</f>
        <v>9706.9787253481718</v>
      </c>
      <c r="K7" s="5">
        <f t="shared" ref="K7:K29" si="4">AO7*E7/G7</f>
        <v>12776.761274651833</v>
      </c>
      <c r="L7" s="36">
        <f>3263.07+13753.22+3526.05</f>
        <v>20542.34</v>
      </c>
      <c r="M7" s="36">
        <f>V7+AD7</f>
        <v>20542.34</v>
      </c>
      <c r="N7" s="36">
        <f t="shared" ref="N7:N29" si="5">L7-M7</f>
        <v>0</v>
      </c>
      <c r="O7" s="80" t="s">
        <v>20</v>
      </c>
      <c r="P7" s="55" t="s">
        <v>138</v>
      </c>
      <c r="Q7" s="55">
        <v>5</v>
      </c>
      <c r="R7" s="55"/>
      <c r="S7" s="55">
        <v>5</v>
      </c>
      <c r="T7" s="55"/>
      <c r="U7" s="55"/>
      <c r="V7" s="109">
        <v>3263.07</v>
      </c>
      <c r="W7" s="55">
        <v>16</v>
      </c>
      <c r="X7" s="55"/>
      <c r="Y7" s="55">
        <v>10</v>
      </c>
      <c r="Z7" s="114">
        <v>13753.22</v>
      </c>
      <c r="AA7" s="55"/>
      <c r="AB7" s="55">
        <v>6</v>
      </c>
      <c r="AC7" s="120">
        <f>AD7-Z7</f>
        <v>3526.0500000000011</v>
      </c>
      <c r="AD7" s="110">
        <v>17279.27</v>
      </c>
      <c r="AE7" s="1"/>
      <c r="AF7" s="36">
        <v>1941.4</v>
      </c>
      <c r="AG7" s="3">
        <v>7653.39</v>
      </c>
      <c r="AH7" s="65" t="s">
        <v>142</v>
      </c>
      <c r="AI7" s="65">
        <v>1</v>
      </c>
      <c r="AJ7" s="63"/>
      <c r="AK7" s="63"/>
      <c r="AL7" s="65">
        <v>25</v>
      </c>
      <c r="AM7" s="65"/>
      <c r="AN7" s="65"/>
      <c r="AO7" s="73">
        <f t="shared" ref="AO7:AO28" si="6">L7+AF7</f>
        <v>22483.74</v>
      </c>
      <c r="AP7" s="61">
        <f t="shared" ref="AP7:AP29" si="7">AO7-G7</f>
        <v>-2.9524058008973952E-3</v>
      </c>
      <c r="AQ7" s="4" t="s">
        <v>20</v>
      </c>
      <c r="AR7" s="34"/>
      <c r="AS7" s="34"/>
      <c r="AT7" s="1"/>
      <c r="AU7" s="1"/>
      <c r="AV7" s="1"/>
      <c r="AW7" s="1"/>
      <c r="AX7" s="1"/>
      <c r="AY7" s="1"/>
      <c r="AZ7" s="1"/>
      <c r="BA7" s="1"/>
      <c r="BB7" s="1"/>
      <c r="BC7" s="1"/>
      <c r="BD7" s="1"/>
      <c r="BE7" s="1"/>
      <c r="BF7" s="1"/>
      <c r="BG7" s="1"/>
      <c r="BH7" s="1"/>
      <c r="BI7" s="1"/>
      <c r="BJ7" s="1"/>
      <c r="BK7" s="1"/>
      <c r="BL7" s="1"/>
      <c r="BM7" s="1"/>
      <c r="BN7" s="1"/>
    </row>
    <row r="8" spans="1:66" s="4" customFormat="1" ht="25.5" x14ac:dyDescent="0.2">
      <c r="A8" s="57" t="s">
        <v>1</v>
      </c>
      <c r="B8" s="58" t="s">
        <v>67</v>
      </c>
      <c r="C8" s="58"/>
      <c r="D8" s="58"/>
      <c r="E8" s="3">
        <v>27694.695920402002</v>
      </c>
      <c r="F8" s="106">
        <v>21040.68</v>
      </c>
      <c r="G8" s="69">
        <f t="shared" si="0"/>
        <v>48735.375920402003</v>
      </c>
      <c r="H8" s="5">
        <f t="shared" si="1"/>
        <v>38988.300736321602</v>
      </c>
      <c r="I8" s="5">
        <f t="shared" si="2"/>
        <v>9747.0751840804005</v>
      </c>
      <c r="J8" s="5">
        <f t="shared" si="3"/>
        <v>21040.681761297918</v>
      </c>
      <c r="K8" s="5">
        <f t="shared" si="4"/>
        <v>27694.698238702087</v>
      </c>
      <c r="L8" s="37">
        <f>1633.8+46101.58</f>
        <v>47735.380000000005</v>
      </c>
      <c r="M8" s="37">
        <f>V8+AD8</f>
        <v>47735.380000000005</v>
      </c>
      <c r="N8" s="36">
        <f t="shared" si="5"/>
        <v>0</v>
      </c>
      <c r="O8" s="80" t="s">
        <v>20</v>
      </c>
      <c r="P8" s="55"/>
      <c r="Q8" s="55">
        <v>3</v>
      </c>
      <c r="R8" s="55"/>
      <c r="S8" s="55">
        <v>3</v>
      </c>
      <c r="T8" s="55"/>
      <c r="U8" s="55"/>
      <c r="V8" s="109">
        <v>1633.8</v>
      </c>
      <c r="W8" s="55">
        <v>140</v>
      </c>
      <c r="X8" s="55"/>
      <c r="Y8" s="55">
        <v>30</v>
      </c>
      <c r="Z8" s="114">
        <v>22338</v>
      </c>
      <c r="AA8" s="55">
        <v>5</v>
      </c>
      <c r="AB8" s="55">
        <v>105</v>
      </c>
      <c r="AC8" s="120">
        <f>AD8-Z8</f>
        <v>23763.58</v>
      </c>
      <c r="AD8" s="110">
        <v>46101.58</v>
      </c>
      <c r="AE8" s="1"/>
      <c r="AF8" s="36">
        <v>1000</v>
      </c>
      <c r="AG8" s="3"/>
      <c r="AH8" s="65" t="s">
        <v>141</v>
      </c>
      <c r="AI8" s="65"/>
      <c r="AJ8" s="63">
        <v>4</v>
      </c>
      <c r="AK8" s="96" t="s">
        <v>172</v>
      </c>
      <c r="AL8" s="65"/>
      <c r="AM8" s="65">
        <v>1</v>
      </c>
      <c r="AN8" s="65"/>
      <c r="AO8" s="73">
        <f t="shared" si="6"/>
        <v>48735.380000000005</v>
      </c>
      <c r="AP8" s="61">
        <f t="shared" si="7"/>
        <v>4.0795980021357536E-3</v>
      </c>
      <c r="AQ8" s="4" t="s">
        <v>131</v>
      </c>
      <c r="AR8" s="49"/>
      <c r="AS8" s="45" t="s">
        <v>132</v>
      </c>
      <c r="AT8" s="1"/>
      <c r="AU8" s="1"/>
      <c r="AV8" s="1"/>
      <c r="AW8" s="1"/>
      <c r="AX8" s="1"/>
      <c r="AY8" s="1"/>
      <c r="AZ8" s="1"/>
      <c r="BA8" s="1"/>
      <c r="BB8" s="1"/>
      <c r="BC8" s="1"/>
      <c r="BD8" s="1"/>
      <c r="BE8" s="1"/>
      <c r="BF8" s="1"/>
      <c r="BG8" s="1"/>
      <c r="BH8" s="1"/>
      <c r="BI8" s="1"/>
      <c r="BJ8" s="1"/>
      <c r="BK8" s="1"/>
      <c r="BL8" s="1"/>
      <c r="BM8" s="1"/>
      <c r="BN8" s="1"/>
    </row>
    <row r="9" spans="1:66" s="7" customFormat="1" x14ac:dyDescent="0.2">
      <c r="A9" s="57" t="s">
        <v>24</v>
      </c>
      <c r="B9" s="11" t="s">
        <v>67</v>
      </c>
      <c r="C9" s="11"/>
      <c r="D9" s="11"/>
      <c r="E9" s="22">
        <v>12686.432342373086</v>
      </c>
      <c r="F9" s="106">
        <v>9638.35</v>
      </c>
      <c r="G9" s="69">
        <f t="shared" si="0"/>
        <v>22324.782342373088</v>
      </c>
      <c r="H9" s="5">
        <f t="shared" si="1"/>
        <v>17859.82587389847</v>
      </c>
      <c r="I9" s="5">
        <f t="shared" si="2"/>
        <v>4464.9564684746183</v>
      </c>
      <c r="J9" s="5">
        <f t="shared" si="3"/>
        <v>9638.3489887197411</v>
      </c>
      <c r="K9" s="5">
        <f t="shared" si="4"/>
        <v>12686.431011280256</v>
      </c>
      <c r="L9" s="6">
        <f>12686.43+9638.35</f>
        <v>22324.78</v>
      </c>
      <c r="M9" s="6">
        <f>V9+AD9</f>
        <v>22324.78</v>
      </c>
      <c r="N9" s="36">
        <f t="shared" si="5"/>
        <v>0</v>
      </c>
      <c r="O9" s="81" t="s">
        <v>20</v>
      </c>
      <c r="P9" s="55"/>
      <c r="Q9" s="55">
        <v>0</v>
      </c>
      <c r="R9" s="55"/>
      <c r="S9" s="55"/>
      <c r="T9" s="55"/>
      <c r="U9" s="55"/>
      <c r="V9" s="109">
        <v>0</v>
      </c>
      <c r="W9" s="55">
        <f>48+35</f>
        <v>83</v>
      </c>
      <c r="X9" s="55"/>
      <c r="Y9" s="55"/>
      <c r="Z9" s="114">
        <v>0</v>
      </c>
      <c r="AA9" s="55"/>
      <c r="AB9" s="55">
        <f>35+48</f>
        <v>83</v>
      </c>
      <c r="AC9" s="120">
        <f>AD9</f>
        <v>22324.78</v>
      </c>
      <c r="AD9" s="110">
        <f>12686.43+9638.35</f>
        <v>22324.78</v>
      </c>
      <c r="AE9" s="25" t="s">
        <v>20</v>
      </c>
      <c r="AF9" s="22">
        <v>0</v>
      </c>
      <c r="AG9" s="22"/>
      <c r="AH9" s="64">
        <v>0</v>
      </c>
      <c r="AI9" s="64"/>
      <c r="AJ9" s="75">
        <v>1</v>
      </c>
      <c r="AK9" s="75"/>
      <c r="AL9" s="64"/>
      <c r="AM9" s="64"/>
      <c r="AN9" s="64"/>
      <c r="AO9" s="74">
        <f t="shared" si="6"/>
        <v>22324.78</v>
      </c>
      <c r="AP9" s="61">
        <f t="shared" si="7"/>
        <v>-2.3423730890499428E-3</v>
      </c>
      <c r="AQ9" s="7" t="s">
        <v>20</v>
      </c>
      <c r="AR9" s="46"/>
      <c r="AS9" s="46"/>
      <c r="AT9" s="25"/>
      <c r="AU9" s="25"/>
      <c r="AV9" s="25"/>
      <c r="AW9" s="25"/>
      <c r="AX9" s="25"/>
      <c r="AY9" s="25"/>
      <c r="AZ9" s="25"/>
      <c r="BA9" s="25"/>
      <c r="BB9" s="25"/>
      <c r="BC9" s="25"/>
      <c r="BD9" s="25"/>
      <c r="BE9" s="25"/>
      <c r="BF9" s="25"/>
      <c r="BG9" s="25"/>
      <c r="BH9" s="25"/>
      <c r="BI9" s="25"/>
      <c r="BJ9" s="25"/>
      <c r="BK9" s="25"/>
      <c r="BL9" s="25"/>
      <c r="BM9" s="25"/>
      <c r="BN9" s="25"/>
    </row>
    <row r="10" spans="1:66" s="4" customFormat="1" ht="25.5" customHeight="1" x14ac:dyDescent="0.2">
      <c r="A10" s="57" t="s">
        <v>3</v>
      </c>
      <c r="B10" s="58" t="s">
        <v>68</v>
      </c>
      <c r="C10" s="58"/>
      <c r="D10" s="58"/>
      <c r="E10" s="3">
        <v>66469.9466714843</v>
      </c>
      <c r="F10" s="106">
        <v>50499.66</v>
      </c>
      <c r="G10" s="69">
        <f t="shared" si="0"/>
        <v>116969.6066714843</v>
      </c>
      <c r="H10" s="5">
        <f t="shared" si="1"/>
        <v>93575.685337187446</v>
      </c>
      <c r="I10" s="5">
        <f t="shared" si="2"/>
        <v>23393.921334296858</v>
      </c>
      <c r="J10" s="5">
        <f t="shared" si="3"/>
        <v>36867.389026623423</v>
      </c>
      <c r="K10" s="5">
        <f t="shared" si="4"/>
        <v>48526.532307673435</v>
      </c>
      <c r="L10" s="37">
        <v>62000</v>
      </c>
      <c r="M10" s="6">
        <f t="shared" ref="M10:M29" si="8">V10+AD10</f>
        <v>62000</v>
      </c>
      <c r="N10" s="36">
        <f t="shared" si="5"/>
        <v>0</v>
      </c>
      <c r="O10" s="80" t="s">
        <v>20</v>
      </c>
      <c r="P10" s="55"/>
      <c r="Q10" s="55">
        <v>0</v>
      </c>
      <c r="R10" s="55"/>
      <c r="S10" s="55"/>
      <c r="T10" s="55"/>
      <c r="U10" s="55"/>
      <c r="V10" s="109">
        <v>0</v>
      </c>
      <c r="W10" s="55">
        <v>124</v>
      </c>
      <c r="X10" s="55">
        <v>30</v>
      </c>
      <c r="Y10" s="55">
        <v>76</v>
      </c>
      <c r="Z10" s="114">
        <v>38000</v>
      </c>
      <c r="AA10" s="55">
        <v>18</v>
      </c>
      <c r="AB10" s="55"/>
      <c r="AC10" s="120">
        <f>AD10-Z10</f>
        <v>24000</v>
      </c>
      <c r="AD10" s="110">
        <f>62000</f>
        <v>62000</v>
      </c>
      <c r="AE10" s="1"/>
      <c r="AF10" s="36">
        <f>I10</f>
        <v>23393.921334296858</v>
      </c>
      <c r="AG10" s="3"/>
      <c r="AH10" s="65" t="s">
        <v>142</v>
      </c>
      <c r="AI10" s="65">
        <v>1</v>
      </c>
      <c r="AJ10" s="63"/>
      <c r="AK10" s="63"/>
      <c r="AL10" s="65"/>
      <c r="AM10" s="65"/>
      <c r="AN10" s="65"/>
      <c r="AO10" s="73">
        <f t="shared" si="6"/>
        <v>85393.921334296858</v>
      </c>
      <c r="AP10" s="60">
        <f t="shared" si="7"/>
        <v>-31575.685337187446</v>
      </c>
      <c r="AQ10" s="39" t="s">
        <v>121</v>
      </c>
      <c r="AR10" s="50"/>
      <c r="AS10" s="34" t="s">
        <v>20</v>
      </c>
      <c r="AT10" s="46" t="s">
        <v>133</v>
      </c>
      <c r="AU10" s="1"/>
      <c r="AV10" s="1"/>
      <c r="AW10" s="1"/>
      <c r="AX10" s="1"/>
      <c r="AY10" s="1"/>
      <c r="AZ10" s="1"/>
      <c r="BA10" s="1"/>
      <c r="BB10" s="1"/>
      <c r="BC10" s="1"/>
      <c r="BD10" s="1"/>
      <c r="BE10" s="1"/>
      <c r="BF10" s="1"/>
      <c r="BG10" s="1"/>
      <c r="BH10" s="1"/>
      <c r="BI10" s="1"/>
      <c r="BJ10" s="1"/>
      <c r="BK10" s="1"/>
      <c r="BL10" s="1"/>
      <c r="BM10" s="1"/>
      <c r="BN10" s="1"/>
    </row>
    <row r="11" spans="1:66" s="38" customFormat="1" ht="37.5" customHeight="1" x14ac:dyDescent="0.2">
      <c r="A11" s="57" t="s">
        <v>4</v>
      </c>
      <c r="B11" s="58" t="s">
        <v>69</v>
      </c>
      <c r="C11" s="58"/>
      <c r="D11" s="58"/>
      <c r="E11" s="3">
        <v>23653.237515975135</v>
      </c>
      <c r="F11" s="106">
        <v>17970.240000000002</v>
      </c>
      <c r="G11" s="69">
        <f t="shared" si="0"/>
        <v>41623.477515975137</v>
      </c>
      <c r="H11" s="5">
        <f t="shared" si="1"/>
        <v>33298.78201278011</v>
      </c>
      <c r="I11" s="5">
        <f t="shared" si="2"/>
        <v>8324.6955031950274</v>
      </c>
      <c r="J11" s="5">
        <f t="shared" si="3"/>
        <v>16966.40509753082</v>
      </c>
      <c r="K11" s="5">
        <f t="shared" si="4"/>
        <v>22331.944902469178</v>
      </c>
      <c r="L11" s="36">
        <f>3732.69+29566.09</f>
        <v>33298.78</v>
      </c>
      <c r="M11" s="6">
        <f t="shared" si="8"/>
        <v>33298.78</v>
      </c>
      <c r="N11" s="36">
        <f t="shared" si="5"/>
        <v>0</v>
      </c>
      <c r="O11" s="80" t="s">
        <v>20</v>
      </c>
      <c r="P11" s="55"/>
      <c r="Q11" s="55">
        <v>5</v>
      </c>
      <c r="R11" s="55"/>
      <c r="S11" s="55">
        <v>5</v>
      </c>
      <c r="T11" s="55"/>
      <c r="U11" s="55"/>
      <c r="V11" s="109">
        <v>3732.69</v>
      </c>
      <c r="W11" s="55">
        <v>53</v>
      </c>
      <c r="X11" s="55"/>
      <c r="Y11" s="55">
        <v>0</v>
      </c>
      <c r="Z11" s="114">
        <v>0</v>
      </c>
      <c r="AA11" s="55">
        <v>3</v>
      </c>
      <c r="AB11" s="55">
        <v>50</v>
      </c>
      <c r="AC11" s="120">
        <v>29566.09</v>
      </c>
      <c r="AD11" s="110">
        <f>AC11</f>
        <v>29566.09</v>
      </c>
      <c r="AE11" s="1"/>
      <c r="AF11" s="51">
        <v>5999.57</v>
      </c>
      <c r="AG11" s="95">
        <v>7151.19</v>
      </c>
      <c r="AH11" s="65" t="s">
        <v>142</v>
      </c>
      <c r="AI11" s="65">
        <v>1</v>
      </c>
      <c r="AJ11" s="63"/>
      <c r="AK11" s="63"/>
      <c r="AL11" s="65"/>
      <c r="AM11" s="65"/>
      <c r="AN11" s="65"/>
      <c r="AO11" s="73">
        <f t="shared" si="6"/>
        <v>39298.35</v>
      </c>
      <c r="AP11" s="60">
        <f t="shared" si="7"/>
        <v>-2325.1275159751385</v>
      </c>
      <c r="AQ11" s="9" t="s">
        <v>128</v>
      </c>
      <c r="AR11" s="49"/>
      <c r="AS11" s="34" t="s">
        <v>20</v>
      </c>
      <c r="AT11" s="46" t="s">
        <v>133</v>
      </c>
      <c r="AU11" s="1"/>
      <c r="AV11" s="1"/>
      <c r="AW11" s="1"/>
      <c r="AX11" s="1"/>
      <c r="AY11" s="1"/>
      <c r="AZ11" s="1"/>
      <c r="BA11" s="1"/>
      <c r="BB11" s="1"/>
      <c r="BC11" s="1"/>
      <c r="BD11" s="1"/>
      <c r="BE11" s="1"/>
      <c r="BF11" s="1"/>
      <c r="BG11" s="1"/>
      <c r="BH11" s="1"/>
      <c r="BI11" s="1"/>
      <c r="BJ11" s="1"/>
      <c r="BK11" s="1"/>
      <c r="BL11" s="1"/>
      <c r="BM11" s="1"/>
      <c r="BN11" s="1"/>
    </row>
    <row r="12" spans="1:66" s="4" customFormat="1" ht="21" customHeight="1" x14ac:dyDescent="0.2">
      <c r="A12" s="57" t="s">
        <v>25</v>
      </c>
      <c r="B12" s="58" t="s">
        <v>49</v>
      </c>
      <c r="C12" s="58"/>
      <c r="D12" s="58"/>
      <c r="E12" s="3">
        <v>50324.186522672979</v>
      </c>
      <c r="F12" s="106">
        <v>38233.129999999997</v>
      </c>
      <c r="G12" s="69">
        <f t="shared" si="0"/>
        <v>88557.316522672976</v>
      </c>
      <c r="H12" s="5">
        <f t="shared" si="1"/>
        <v>70845.853218138378</v>
      </c>
      <c r="I12" s="5">
        <f t="shared" si="2"/>
        <v>17711.463304534598</v>
      </c>
      <c r="J12" s="5">
        <f t="shared" si="3"/>
        <v>38233.131501277378</v>
      </c>
      <c r="K12" s="5">
        <f t="shared" si="4"/>
        <v>50324.188498722622</v>
      </c>
      <c r="L12" s="44">
        <f>1500+69345.86</f>
        <v>70845.86</v>
      </c>
      <c r="M12" s="6">
        <f t="shared" si="8"/>
        <v>70845.86</v>
      </c>
      <c r="N12" s="36">
        <f t="shared" si="5"/>
        <v>0</v>
      </c>
      <c r="O12" s="103" t="s">
        <v>20</v>
      </c>
      <c r="P12" s="55"/>
      <c r="Q12" s="55">
        <v>3</v>
      </c>
      <c r="R12" s="55"/>
      <c r="S12" s="55">
        <v>3</v>
      </c>
      <c r="T12" s="55"/>
      <c r="U12" s="55"/>
      <c r="V12" s="109">
        <v>1500</v>
      </c>
      <c r="W12" s="55">
        <v>139</v>
      </c>
      <c r="X12" s="55">
        <v>88</v>
      </c>
      <c r="Y12" s="55">
        <v>10</v>
      </c>
      <c r="Z12" s="114">
        <f>AD12/139*10</f>
        <v>4988.9107913669068</v>
      </c>
      <c r="AA12" s="55">
        <v>5</v>
      </c>
      <c r="AB12" s="55">
        <v>36</v>
      </c>
      <c r="AC12" s="120">
        <f>AD12-Z12</f>
        <v>64356.949208633094</v>
      </c>
      <c r="AD12" s="110">
        <v>69345.86</v>
      </c>
      <c r="AE12" s="104"/>
      <c r="AF12" s="36">
        <f>5000+12711.46</f>
        <v>17711.46</v>
      </c>
      <c r="AG12" s="3"/>
      <c r="AH12" s="65" t="s">
        <v>142</v>
      </c>
      <c r="AI12" s="65">
        <v>2</v>
      </c>
      <c r="AJ12" s="63"/>
      <c r="AK12" s="63"/>
      <c r="AL12" s="65"/>
      <c r="AM12" s="65"/>
      <c r="AN12" s="65"/>
      <c r="AO12" s="73">
        <f t="shared" si="6"/>
        <v>88557.32</v>
      </c>
      <c r="AP12" s="61">
        <f t="shared" si="7"/>
        <v>3.4773270308505744E-3</v>
      </c>
      <c r="AQ12" s="4" t="s">
        <v>20</v>
      </c>
      <c r="AR12" s="34"/>
      <c r="AS12" s="34"/>
      <c r="AT12" s="1"/>
      <c r="AU12" s="1"/>
      <c r="AV12" s="1"/>
      <c r="AW12" s="1"/>
      <c r="AX12" s="1"/>
      <c r="AY12" s="1"/>
      <c r="AZ12" s="1"/>
      <c r="BA12" s="1"/>
      <c r="BB12" s="1"/>
      <c r="BC12" s="1"/>
      <c r="BD12" s="1"/>
      <c r="BE12" s="1"/>
      <c r="BF12" s="1"/>
      <c r="BG12" s="1"/>
      <c r="BH12" s="1"/>
      <c r="BI12" s="1"/>
      <c r="BJ12" s="1"/>
      <c r="BK12" s="1"/>
      <c r="BL12" s="1"/>
      <c r="BM12" s="1"/>
      <c r="BN12" s="1"/>
    </row>
    <row r="13" spans="1:66" s="4" customFormat="1" ht="24" customHeight="1" x14ac:dyDescent="0.2">
      <c r="A13" s="57" t="s">
        <v>26</v>
      </c>
      <c r="B13" s="58" t="s">
        <v>70</v>
      </c>
      <c r="C13" s="58"/>
      <c r="D13" s="58"/>
      <c r="E13" s="3">
        <v>69608.098975583969</v>
      </c>
      <c r="F13" s="106">
        <v>52883.83</v>
      </c>
      <c r="G13" s="69">
        <f t="shared" si="0"/>
        <v>122491.92897558397</v>
      </c>
      <c r="H13" s="5">
        <f t="shared" si="1"/>
        <v>97993.543180467183</v>
      </c>
      <c r="I13" s="5">
        <f t="shared" si="2"/>
        <v>24498.385795116788</v>
      </c>
      <c r="J13" s="5">
        <f t="shared" si="3"/>
        <v>52844.141211052724</v>
      </c>
      <c r="K13" s="5">
        <f t="shared" si="4"/>
        <v>69555.858788947269</v>
      </c>
      <c r="L13" s="36">
        <f>89400+32400</f>
        <v>121800</v>
      </c>
      <c r="M13" s="6">
        <f t="shared" si="8"/>
        <v>121800</v>
      </c>
      <c r="N13" s="36">
        <f t="shared" si="5"/>
        <v>0</v>
      </c>
      <c r="O13" s="80" t="s">
        <v>20</v>
      </c>
      <c r="P13" s="55"/>
      <c r="Q13" s="55">
        <v>0</v>
      </c>
      <c r="R13" s="55"/>
      <c r="S13" s="55"/>
      <c r="T13" s="55"/>
      <c r="U13" s="55"/>
      <c r="V13" s="109">
        <v>0</v>
      </c>
      <c r="W13" s="55">
        <f>98+108</f>
        <v>206</v>
      </c>
      <c r="X13" s="55">
        <v>98</v>
      </c>
      <c r="Y13" s="55"/>
      <c r="Z13" s="114">
        <v>0</v>
      </c>
      <c r="AA13" s="55"/>
      <c r="AB13" s="55">
        <v>108</v>
      </c>
      <c r="AC13" s="120">
        <f>AD13</f>
        <v>121800</v>
      </c>
      <c r="AD13" s="110">
        <f>32400+89400</f>
        <v>121800</v>
      </c>
      <c r="AE13" s="1"/>
      <c r="AF13" s="36">
        <v>600</v>
      </c>
      <c r="AG13" s="3"/>
      <c r="AH13" s="76" t="s">
        <v>148</v>
      </c>
      <c r="AI13" s="65"/>
      <c r="AJ13" s="63">
        <v>3</v>
      </c>
      <c r="AK13" s="63"/>
      <c r="AL13" s="65"/>
      <c r="AM13" s="65"/>
      <c r="AN13" s="65"/>
      <c r="AO13" s="73">
        <f t="shared" si="6"/>
        <v>122400</v>
      </c>
      <c r="AP13" s="61">
        <f t="shared" si="7"/>
        <v>-91.928975583970896</v>
      </c>
      <c r="AQ13" s="38" t="s">
        <v>122</v>
      </c>
      <c r="AR13" s="43">
        <f>G13-AO13</f>
        <v>91.928975583970896</v>
      </c>
      <c r="AS13" s="52" t="s">
        <v>20</v>
      </c>
      <c r="AT13" s="25" t="s">
        <v>213</v>
      </c>
      <c r="AU13" s="1"/>
      <c r="AV13" s="1"/>
      <c r="AW13" s="1"/>
      <c r="AX13" s="1"/>
      <c r="AY13" s="1"/>
      <c r="AZ13" s="1"/>
      <c r="BA13" s="1"/>
      <c r="BB13" s="1"/>
      <c r="BC13" s="1"/>
      <c r="BD13" s="1"/>
      <c r="BE13" s="1"/>
      <c r="BF13" s="1"/>
      <c r="BG13" s="1"/>
      <c r="BH13" s="1"/>
      <c r="BI13" s="1"/>
      <c r="BJ13" s="1"/>
      <c r="BK13" s="1"/>
      <c r="BL13" s="1"/>
      <c r="BM13" s="1"/>
      <c r="BN13" s="1"/>
    </row>
    <row r="14" spans="1:66" s="4" customFormat="1" ht="25.5" customHeight="1" x14ac:dyDescent="0.2">
      <c r="A14" s="57" t="s">
        <v>27</v>
      </c>
      <c r="B14" s="58" t="s">
        <v>49</v>
      </c>
      <c r="C14" s="58"/>
      <c r="D14" s="58"/>
      <c r="E14" s="3">
        <v>29648.513559628238</v>
      </c>
      <c r="F14" s="106">
        <v>22525.07</v>
      </c>
      <c r="G14" s="69">
        <f t="shared" si="0"/>
        <v>52173.583559628241</v>
      </c>
      <c r="H14" s="5">
        <f t="shared" si="1"/>
        <v>41738.866847702593</v>
      </c>
      <c r="I14" s="5">
        <f t="shared" si="2"/>
        <v>10434.716711925648</v>
      </c>
      <c r="J14" s="5">
        <f t="shared" si="3"/>
        <v>22525.068463190182</v>
      </c>
      <c r="K14" s="5">
        <f t="shared" si="4"/>
        <v>29648.511536809812</v>
      </c>
      <c r="L14" s="36">
        <f>2500+39000</f>
        <v>41500</v>
      </c>
      <c r="M14" s="6">
        <f t="shared" si="8"/>
        <v>41500</v>
      </c>
      <c r="N14" s="36">
        <f t="shared" si="5"/>
        <v>0</v>
      </c>
      <c r="O14" s="80" t="s">
        <v>20</v>
      </c>
      <c r="P14" s="55"/>
      <c r="Q14" s="55">
        <v>5</v>
      </c>
      <c r="R14" s="55">
        <v>2</v>
      </c>
      <c r="S14" s="55">
        <v>3</v>
      </c>
      <c r="T14" s="55"/>
      <c r="U14" s="55"/>
      <c r="V14" s="109">
        <v>2500</v>
      </c>
      <c r="W14" s="55">
        <v>84</v>
      </c>
      <c r="X14" s="55">
        <v>14</v>
      </c>
      <c r="Y14" s="55">
        <v>1</v>
      </c>
      <c r="Z14" s="114">
        <v>300</v>
      </c>
      <c r="AA14" s="55"/>
      <c r="AB14" s="55">
        <v>69</v>
      </c>
      <c r="AC14" s="120">
        <f>AD14-300</f>
        <v>38700</v>
      </c>
      <c r="AD14" s="110">
        <v>39000</v>
      </c>
      <c r="AE14" s="1"/>
      <c r="AF14" s="36">
        <v>10673.58</v>
      </c>
      <c r="AG14" s="3">
        <v>6000</v>
      </c>
      <c r="AH14" s="65" t="s">
        <v>142</v>
      </c>
      <c r="AI14" s="65">
        <v>2</v>
      </c>
      <c r="AJ14" s="63"/>
      <c r="AK14" s="63"/>
      <c r="AL14" s="65"/>
      <c r="AM14" s="65"/>
      <c r="AN14" s="65"/>
      <c r="AO14" s="73">
        <f t="shared" si="6"/>
        <v>52173.58</v>
      </c>
      <c r="AP14" s="61">
        <f t="shared" si="7"/>
        <v>-3.5596282395999879E-3</v>
      </c>
      <c r="AQ14" s="39" t="s">
        <v>120</v>
      </c>
      <c r="AR14" s="34"/>
      <c r="AS14" s="34"/>
      <c r="AT14" s="1"/>
      <c r="AU14" s="1"/>
      <c r="AV14" s="1"/>
      <c r="AW14" s="1"/>
      <c r="AX14" s="1"/>
      <c r="AY14" s="1"/>
      <c r="AZ14" s="1"/>
      <c r="BA14" s="1"/>
      <c r="BB14" s="1"/>
      <c r="BC14" s="1"/>
      <c r="BD14" s="1"/>
      <c r="BE14" s="1"/>
      <c r="BF14" s="1"/>
      <c r="BG14" s="1"/>
      <c r="BH14" s="1"/>
      <c r="BI14" s="1"/>
      <c r="BJ14" s="1"/>
      <c r="BK14" s="1"/>
      <c r="BL14" s="1"/>
      <c r="BM14" s="1"/>
      <c r="BN14" s="1"/>
    </row>
    <row r="15" spans="1:66" s="4" customFormat="1" x14ac:dyDescent="0.2">
      <c r="A15" s="57" t="s">
        <v>5</v>
      </c>
      <c r="B15" s="58" t="s">
        <v>49</v>
      </c>
      <c r="C15" s="58"/>
      <c r="D15" s="58"/>
      <c r="E15" s="3">
        <v>63997.564419107264</v>
      </c>
      <c r="F15" s="106">
        <v>48621.3</v>
      </c>
      <c r="G15" s="69">
        <f t="shared" si="0"/>
        <v>112618.86441910727</v>
      </c>
      <c r="H15" s="5">
        <f t="shared" si="1"/>
        <v>90095.091535285814</v>
      </c>
      <c r="I15" s="5">
        <f t="shared" si="2"/>
        <v>22523.772883821453</v>
      </c>
      <c r="J15" s="5">
        <f t="shared" si="3"/>
        <v>38896.275169444874</v>
      </c>
      <c r="K15" s="5">
        <f t="shared" si="4"/>
        <v>51197.044830555133</v>
      </c>
      <c r="L15" s="37">
        <f>66935.53+23157.79</f>
        <v>90093.32</v>
      </c>
      <c r="M15" s="6">
        <f t="shared" si="8"/>
        <v>90093.32</v>
      </c>
      <c r="N15" s="36">
        <f t="shared" si="5"/>
        <v>0</v>
      </c>
      <c r="O15" s="80" t="s">
        <v>20</v>
      </c>
      <c r="P15" s="55"/>
      <c r="Q15" s="55">
        <v>211</v>
      </c>
      <c r="R15" s="55">
        <v>95</v>
      </c>
      <c r="S15" s="55">
        <v>116</v>
      </c>
      <c r="T15" s="55"/>
      <c r="U15" s="55"/>
      <c r="V15" s="109">
        <v>66935.53</v>
      </c>
      <c r="W15" s="55">
        <v>73</v>
      </c>
      <c r="X15" s="55">
        <v>12</v>
      </c>
      <c r="Y15" s="55">
        <v>30</v>
      </c>
      <c r="Z15" s="114">
        <v>9516.9</v>
      </c>
      <c r="AA15" s="55">
        <v>31</v>
      </c>
      <c r="AB15" s="55"/>
      <c r="AC15" s="120">
        <f>23157.79-Z15</f>
        <v>13640.890000000001</v>
      </c>
      <c r="AD15" s="110">
        <f>23157.79</f>
        <v>23157.79</v>
      </c>
      <c r="AE15" s="1"/>
      <c r="AF15" s="3">
        <v>0</v>
      </c>
      <c r="AG15" s="3"/>
      <c r="AH15" s="65"/>
      <c r="AI15" s="65"/>
      <c r="AJ15" s="63">
        <v>1</v>
      </c>
      <c r="AK15" s="63"/>
      <c r="AL15" s="65"/>
      <c r="AM15" s="65"/>
      <c r="AN15" s="65"/>
      <c r="AO15" s="73">
        <f t="shared" si="6"/>
        <v>90093.32</v>
      </c>
      <c r="AP15" s="61">
        <f t="shared" si="7"/>
        <v>-22525.54441910726</v>
      </c>
      <c r="AQ15" s="38" t="s">
        <v>122</v>
      </c>
      <c r="AR15" s="43">
        <f>G15-AO15</f>
        <v>22525.54441910726</v>
      </c>
      <c r="AS15" s="34"/>
      <c r="AT15" s="25" t="s">
        <v>214</v>
      </c>
      <c r="AU15" s="1"/>
      <c r="AV15" s="1"/>
      <c r="AW15" s="1"/>
      <c r="AX15" s="1"/>
      <c r="AY15" s="1"/>
      <c r="AZ15" s="1"/>
      <c r="BA15" s="1"/>
      <c r="BB15" s="1"/>
      <c r="BC15" s="1"/>
      <c r="BD15" s="1"/>
      <c r="BE15" s="1"/>
      <c r="BF15" s="1"/>
      <c r="BG15" s="1"/>
      <c r="BH15" s="1"/>
      <c r="BI15" s="1"/>
      <c r="BJ15" s="1"/>
      <c r="BK15" s="1"/>
      <c r="BL15" s="1"/>
      <c r="BM15" s="1"/>
      <c r="BN15" s="1"/>
    </row>
    <row r="16" spans="1:66" s="4" customFormat="1" x14ac:dyDescent="0.2">
      <c r="A16" s="57" t="s">
        <v>6</v>
      </c>
      <c r="B16" s="58" t="s">
        <v>49</v>
      </c>
      <c r="C16" s="58"/>
      <c r="D16" s="58"/>
      <c r="E16" s="3">
        <v>46085.339007433875</v>
      </c>
      <c r="F16" s="106">
        <v>35012.730000000003</v>
      </c>
      <c r="G16" s="69">
        <f t="shared" si="0"/>
        <v>81098.069007433878</v>
      </c>
      <c r="H16" s="5">
        <f t="shared" si="1"/>
        <v>64878.455205947103</v>
      </c>
      <c r="I16" s="5">
        <f t="shared" si="2"/>
        <v>16219.613801486776</v>
      </c>
      <c r="J16" s="5">
        <f t="shared" si="3"/>
        <v>35012.73042852377</v>
      </c>
      <c r="K16" s="5">
        <f t="shared" si="4"/>
        <v>46085.339571476237</v>
      </c>
      <c r="L16" s="36">
        <f>15178.07+61000</f>
        <v>76178.070000000007</v>
      </c>
      <c r="M16" s="6">
        <f t="shared" si="8"/>
        <v>76178.070000000007</v>
      </c>
      <c r="N16" s="36">
        <f t="shared" si="5"/>
        <v>0</v>
      </c>
      <c r="O16" s="80" t="s">
        <v>20</v>
      </c>
      <c r="P16" s="55"/>
      <c r="Q16" s="55">
        <v>31</v>
      </c>
      <c r="R16" s="55">
        <v>14</v>
      </c>
      <c r="S16" s="55">
        <v>15</v>
      </c>
      <c r="T16" s="55">
        <v>2</v>
      </c>
      <c r="U16" s="55"/>
      <c r="V16" s="109">
        <v>15178.07</v>
      </c>
      <c r="W16" s="55">
        <f>82+13+7+20</f>
        <v>122</v>
      </c>
      <c r="X16" s="55">
        <v>82</v>
      </c>
      <c r="Y16" s="55">
        <v>13</v>
      </c>
      <c r="Z16" s="114">
        <v>6500</v>
      </c>
      <c r="AA16" s="55">
        <v>7</v>
      </c>
      <c r="AB16" s="55">
        <v>20</v>
      </c>
      <c r="AC16" s="120">
        <f>AD16-Z16</f>
        <v>54500</v>
      </c>
      <c r="AD16" s="110">
        <v>61000</v>
      </c>
      <c r="AE16" s="1"/>
      <c r="AF16" s="36">
        <v>4920</v>
      </c>
      <c r="AG16" s="3"/>
      <c r="AH16" s="65" t="s">
        <v>141</v>
      </c>
      <c r="AI16" s="65"/>
      <c r="AJ16" s="63"/>
      <c r="AK16" s="63"/>
      <c r="AL16" s="65"/>
      <c r="AM16" s="65">
        <v>1</v>
      </c>
      <c r="AN16" s="65">
        <v>64</v>
      </c>
      <c r="AO16" s="73">
        <f t="shared" si="6"/>
        <v>81098.070000000007</v>
      </c>
      <c r="AP16" s="61">
        <f t="shared" si="7"/>
        <v>9.9256612884346396E-4</v>
      </c>
      <c r="AQ16" s="4" t="s">
        <v>20</v>
      </c>
      <c r="AR16" s="34"/>
      <c r="AS16" s="34"/>
      <c r="AT16" s="1"/>
      <c r="AU16" s="1"/>
      <c r="AV16" s="1"/>
      <c r="AW16" s="1"/>
      <c r="AX16" s="1"/>
      <c r="AY16" s="1"/>
      <c r="AZ16" s="1"/>
      <c r="BA16" s="1"/>
      <c r="BB16" s="1"/>
      <c r="BC16" s="1"/>
      <c r="BD16" s="1"/>
      <c r="BE16" s="1"/>
      <c r="BF16" s="1"/>
      <c r="BG16" s="1"/>
      <c r="BH16" s="1"/>
      <c r="BI16" s="1"/>
      <c r="BJ16" s="1"/>
      <c r="BK16" s="1"/>
      <c r="BL16" s="1"/>
      <c r="BM16" s="1"/>
      <c r="BN16" s="1"/>
    </row>
    <row r="17" spans="1:66" s="1" customFormat="1" x14ac:dyDescent="0.2">
      <c r="A17" s="57" t="s">
        <v>7</v>
      </c>
      <c r="B17" s="58" t="s">
        <v>50</v>
      </c>
      <c r="C17" s="58"/>
      <c r="D17" s="58"/>
      <c r="E17" s="3">
        <v>56854.755070223684</v>
      </c>
      <c r="F17" s="106">
        <v>43194.65</v>
      </c>
      <c r="G17" s="69">
        <f t="shared" si="0"/>
        <v>100049.40507022369</v>
      </c>
      <c r="H17" s="5">
        <f t="shared" si="1"/>
        <v>80039.524056178954</v>
      </c>
      <c r="I17" s="5">
        <f t="shared" si="2"/>
        <v>20009.881014044731</v>
      </c>
      <c r="J17" s="5">
        <f t="shared" si="3"/>
        <v>24973.175331190541</v>
      </c>
      <c r="K17" s="5">
        <f t="shared" si="4"/>
        <v>32870.824668809459</v>
      </c>
      <c r="L17" s="36">
        <f>25254+1500</f>
        <v>26754</v>
      </c>
      <c r="M17" s="6">
        <f t="shared" si="8"/>
        <v>26754</v>
      </c>
      <c r="N17" s="36">
        <f t="shared" si="5"/>
        <v>0</v>
      </c>
      <c r="O17" s="80" t="s">
        <v>20</v>
      </c>
      <c r="P17" s="55"/>
      <c r="Q17" s="55">
        <v>3</v>
      </c>
      <c r="R17" s="55"/>
      <c r="S17" s="55">
        <v>3</v>
      </c>
      <c r="T17" s="55"/>
      <c r="U17" s="55"/>
      <c r="V17" s="109">
        <v>1500</v>
      </c>
      <c r="W17" s="55">
        <v>55</v>
      </c>
      <c r="X17" s="55">
        <v>28</v>
      </c>
      <c r="Y17" s="55">
        <v>8</v>
      </c>
      <c r="Z17" s="114">
        <v>3629</v>
      </c>
      <c r="AA17" s="55">
        <v>3</v>
      </c>
      <c r="AB17" s="55">
        <v>16</v>
      </c>
      <c r="AC17" s="120">
        <f>AD17-Z17</f>
        <v>21625</v>
      </c>
      <c r="AD17" s="110">
        <v>25254</v>
      </c>
      <c r="AF17" s="36">
        <v>31090</v>
      </c>
      <c r="AG17" s="3">
        <v>9060</v>
      </c>
      <c r="AH17" s="65" t="s">
        <v>142</v>
      </c>
      <c r="AI17" s="65">
        <v>1</v>
      </c>
      <c r="AJ17" s="63"/>
      <c r="AK17" s="63"/>
      <c r="AL17" s="65" t="s">
        <v>161</v>
      </c>
      <c r="AM17" s="65"/>
      <c r="AN17" s="65"/>
      <c r="AO17" s="73">
        <f t="shared" si="6"/>
        <v>57844</v>
      </c>
      <c r="AP17" s="61">
        <f t="shared" si="7"/>
        <v>-42205.405070223685</v>
      </c>
      <c r="AQ17" s="38" t="s">
        <v>122</v>
      </c>
      <c r="AR17" s="49"/>
      <c r="AS17" s="34"/>
      <c r="AT17" s="46" t="s">
        <v>133</v>
      </c>
    </row>
    <row r="18" spans="1:66" s="4" customFormat="1" x14ac:dyDescent="0.2">
      <c r="A18" s="57" t="s">
        <v>8</v>
      </c>
      <c r="B18" s="58" t="s">
        <v>54</v>
      </c>
      <c r="C18" s="58"/>
      <c r="D18" s="58"/>
      <c r="E18" s="3">
        <v>84572.870037671208</v>
      </c>
      <c r="F18" s="106">
        <v>64253.13</v>
      </c>
      <c r="G18" s="69">
        <f t="shared" si="0"/>
        <v>148826.00003767121</v>
      </c>
      <c r="H18" s="5">
        <f t="shared" si="1"/>
        <v>119060.80003013698</v>
      </c>
      <c r="I18" s="5">
        <f t="shared" si="2"/>
        <v>29765.200007534237</v>
      </c>
      <c r="J18" s="5">
        <f t="shared" si="3"/>
        <v>64253.129983736078</v>
      </c>
      <c r="K18" s="5">
        <f t="shared" si="4"/>
        <v>84572.870016263914</v>
      </c>
      <c r="L18" s="36">
        <f>148826-9745</f>
        <v>139081</v>
      </c>
      <c r="M18" s="6">
        <f>V18+AD18</f>
        <v>139081</v>
      </c>
      <c r="N18" s="36">
        <f t="shared" si="5"/>
        <v>0</v>
      </c>
      <c r="O18" s="80" t="s">
        <v>20</v>
      </c>
      <c r="P18" s="55"/>
      <c r="Q18" s="55">
        <v>20</v>
      </c>
      <c r="R18" s="55"/>
      <c r="S18" s="55">
        <v>20</v>
      </c>
      <c r="T18" s="55"/>
      <c r="U18" s="55"/>
      <c r="V18" s="109">
        <v>16000</v>
      </c>
      <c r="W18" s="55">
        <f>192-20</f>
        <v>172</v>
      </c>
      <c r="X18" s="55">
        <v>0</v>
      </c>
      <c r="Y18" s="55">
        <v>68</v>
      </c>
      <c r="Z18" s="114">
        <f>54400+800</f>
        <v>55200</v>
      </c>
      <c r="AA18" s="55">
        <v>9</v>
      </c>
      <c r="AB18" s="55"/>
      <c r="AC18" s="120">
        <f>148826-(9745+16000)-Z18</f>
        <v>67881</v>
      </c>
      <c r="AD18" s="111">
        <f>54400+800+7200+681+60000</f>
        <v>123081</v>
      </c>
      <c r="AE18" s="1"/>
      <c r="AF18" s="36">
        <f>4495+3750+1500</f>
        <v>9745</v>
      </c>
      <c r="AG18" s="3"/>
      <c r="AH18" s="65" t="s">
        <v>142</v>
      </c>
      <c r="AI18" s="65">
        <v>2</v>
      </c>
      <c r="AJ18" s="63"/>
      <c r="AK18" s="63"/>
      <c r="AL18" s="65" t="s">
        <v>161</v>
      </c>
      <c r="AM18" s="65"/>
      <c r="AN18" s="65"/>
      <c r="AO18" s="73">
        <f t="shared" si="6"/>
        <v>148826</v>
      </c>
      <c r="AP18" s="61">
        <f t="shared" si="7"/>
        <v>-3.7671212339773774E-5</v>
      </c>
      <c r="AQ18" s="4" t="s">
        <v>20</v>
      </c>
      <c r="AR18" s="34"/>
      <c r="AS18" s="34"/>
      <c r="AT18" s="1"/>
      <c r="AU18" s="1"/>
      <c r="AV18" s="1"/>
      <c r="AW18" s="1"/>
      <c r="AX18" s="1"/>
      <c r="AY18" s="1"/>
      <c r="AZ18" s="1"/>
      <c r="BA18" s="1"/>
      <c r="BB18" s="1"/>
      <c r="BC18" s="1"/>
      <c r="BD18" s="1"/>
      <c r="BE18" s="1"/>
      <c r="BF18" s="1"/>
      <c r="BG18" s="1"/>
      <c r="BH18" s="1"/>
      <c r="BI18" s="1"/>
      <c r="BJ18" s="1"/>
      <c r="BK18" s="1"/>
      <c r="BL18" s="1"/>
      <c r="BM18" s="1"/>
      <c r="BN18" s="1"/>
    </row>
    <row r="19" spans="1:66" s="4" customFormat="1" x14ac:dyDescent="0.2">
      <c r="A19" s="57" t="s">
        <v>9</v>
      </c>
      <c r="B19" s="58" t="s">
        <v>49</v>
      </c>
      <c r="C19" s="58"/>
      <c r="D19" s="58"/>
      <c r="E19" s="3">
        <v>60193.642063284955</v>
      </c>
      <c r="F19" s="106">
        <v>45731.32</v>
      </c>
      <c r="G19" s="69">
        <f t="shared" si="0"/>
        <v>105924.96206328495</v>
      </c>
      <c r="H19" s="5">
        <f t="shared" si="1"/>
        <v>84739.969650627972</v>
      </c>
      <c r="I19" s="5">
        <f t="shared" si="2"/>
        <v>21184.992412656982</v>
      </c>
      <c r="J19" s="5">
        <f t="shared" si="3"/>
        <v>45731.319109211436</v>
      </c>
      <c r="K19" s="5">
        <f t="shared" si="4"/>
        <v>60193.640890788563</v>
      </c>
      <c r="L19" s="36">
        <f>3902.5+80837.44</f>
        <v>84739.94</v>
      </c>
      <c r="M19" s="6">
        <f t="shared" si="8"/>
        <v>84739.94</v>
      </c>
      <c r="N19" s="36">
        <f t="shared" si="5"/>
        <v>0</v>
      </c>
      <c r="O19" s="80" t="s">
        <v>20</v>
      </c>
      <c r="P19" s="55"/>
      <c r="Q19" s="55">
        <v>14</v>
      </c>
      <c r="R19" s="55">
        <v>12</v>
      </c>
      <c r="S19" s="55">
        <v>1</v>
      </c>
      <c r="T19" s="55">
        <v>1</v>
      </c>
      <c r="U19" s="55"/>
      <c r="V19" s="109">
        <v>3902.5</v>
      </c>
      <c r="W19" s="55">
        <v>290</v>
      </c>
      <c r="X19" s="55">
        <v>194</v>
      </c>
      <c r="Y19" s="55">
        <v>68</v>
      </c>
      <c r="Z19" s="114">
        <v>18954.98</v>
      </c>
      <c r="AA19" s="55">
        <v>5</v>
      </c>
      <c r="AB19" s="55">
        <v>23</v>
      </c>
      <c r="AC19" s="120">
        <f>AD19-Z19</f>
        <v>61882.460000000006</v>
      </c>
      <c r="AD19" s="110">
        <v>80837.440000000002</v>
      </c>
      <c r="AE19" s="1"/>
      <c r="AF19" s="36">
        <f>21185.02</f>
        <v>21185.02</v>
      </c>
      <c r="AG19" s="3">
        <v>21985.85</v>
      </c>
      <c r="AH19" s="65" t="s">
        <v>142</v>
      </c>
      <c r="AI19" s="65">
        <v>1</v>
      </c>
      <c r="AJ19" s="63"/>
      <c r="AK19" s="63"/>
      <c r="AL19" s="65">
        <v>40</v>
      </c>
      <c r="AM19" s="65"/>
      <c r="AN19" s="65"/>
      <c r="AO19" s="73">
        <f t="shared" si="6"/>
        <v>105924.96</v>
      </c>
      <c r="AP19" s="61">
        <f t="shared" si="7"/>
        <v>-2.0632849482353777E-3</v>
      </c>
      <c r="AQ19" s="4" t="s">
        <v>20</v>
      </c>
      <c r="AR19" s="34"/>
      <c r="AS19" s="34"/>
      <c r="AT19" s="1"/>
      <c r="AU19" s="1"/>
      <c r="AV19" s="1"/>
      <c r="AW19" s="1"/>
      <c r="AX19" s="1"/>
      <c r="AY19" s="1"/>
      <c r="AZ19" s="1"/>
      <c r="BA19" s="1"/>
      <c r="BB19" s="1"/>
      <c r="BC19" s="1"/>
      <c r="BD19" s="1"/>
      <c r="BE19" s="1"/>
      <c r="BF19" s="1"/>
      <c r="BG19" s="1"/>
      <c r="BH19" s="1"/>
      <c r="BI19" s="1"/>
      <c r="BJ19" s="1"/>
      <c r="BK19" s="1"/>
      <c r="BL19" s="1"/>
      <c r="BM19" s="1"/>
      <c r="BN19" s="1"/>
    </row>
    <row r="20" spans="1:66" s="4" customFormat="1" x14ac:dyDescent="0.2">
      <c r="A20" s="57" t="s">
        <v>28</v>
      </c>
      <c r="B20" s="58" t="s">
        <v>49</v>
      </c>
      <c r="C20" s="58"/>
      <c r="D20" s="58"/>
      <c r="E20" s="3">
        <v>24332.389880295214</v>
      </c>
      <c r="F20" s="106">
        <v>18486.21</v>
      </c>
      <c r="G20" s="69">
        <f t="shared" si="0"/>
        <v>42818.599880295209</v>
      </c>
      <c r="H20" s="5">
        <f t="shared" si="1"/>
        <v>34254.879904236172</v>
      </c>
      <c r="I20" s="5">
        <f t="shared" si="2"/>
        <v>8563.7199760590374</v>
      </c>
      <c r="J20" s="5">
        <f t="shared" si="3"/>
        <v>18486.205734348794</v>
      </c>
      <c r="K20" s="5">
        <f t="shared" si="4"/>
        <v>24332.384265651206</v>
      </c>
      <c r="L20" s="36">
        <f>2134+32120.87</f>
        <v>34254.869999999995</v>
      </c>
      <c r="M20" s="6">
        <f t="shared" si="8"/>
        <v>34254.870000000003</v>
      </c>
      <c r="N20" s="36">
        <f t="shared" si="5"/>
        <v>0</v>
      </c>
      <c r="O20" s="80" t="s">
        <v>20</v>
      </c>
      <c r="P20" s="55"/>
      <c r="Q20" s="55">
        <v>0</v>
      </c>
      <c r="R20" s="55"/>
      <c r="S20" s="55"/>
      <c r="T20" s="55"/>
      <c r="U20" s="55"/>
      <c r="V20" s="109">
        <v>0</v>
      </c>
      <c r="W20" s="55">
        <v>44</v>
      </c>
      <c r="X20" s="55"/>
      <c r="Y20" s="55">
        <v>0</v>
      </c>
      <c r="Z20" s="114">
        <v>0</v>
      </c>
      <c r="AA20" s="55">
        <v>11</v>
      </c>
      <c r="AB20" s="55">
        <v>33</v>
      </c>
      <c r="AC20" s="120">
        <f>AD20</f>
        <v>34254.870000000003</v>
      </c>
      <c r="AD20" s="110">
        <v>34254.870000000003</v>
      </c>
      <c r="AE20" s="1"/>
      <c r="AF20" s="36">
        <v>8563.7199999999993</v>
      </c>
      <c r="AG20" s="3">
        <v>5626</v>
      </c>
      <c r="AH20" s="65" t="s">
        <v>143</v>
      </c>
      <c r="AI20" s="65">
        <v>1</v>
      </c>
      <c r="AJ20" s="63"/>
      <c r="AK20" s="63"/>
      <c r="AL20" s="65">
        <v>7</v>
      </c>
      <c r="AM20" s="65">
        <v>1</v>
      </c>
      <c r="AN20" s="65"/>
      <c r="AO20" s="73">
        <f t="shared" si="6"/>
        <v>42818.59</v>
      </c>
      <c r="AP20" s="60">
        <f t="shared" si="7"/>
        <v>-9.8802952124970034E-3</v>
      </c>
      <c r="AQ20" s="4" t="s">
        <v>20</v>
      </c>
      <c r="AR20" s="34"/>
      <c r="AS20" s="34"/>
      <c r="AT20" s="46" t="s">
        <v>135</v>
      </c>
      <c r="AU20" s="1"/>
      <c r="AV20" s="1"/>
      <c r="AW20" s="1"/>
      <c r="AX20" s="1"/>
      <c r="AY20" s="1"/>
      <c r="AZ20" s="1"/>
      <c r="BA20" s="1"/>
      <c r="BB20" s="1"/>
      <c r="BC20" s="1"/>
      <c r="BD20" s="1"/>
      <c r="BE20" s="1"/>
      <c r="BF20" s="1"/>
      <c r="BG20" s="1"/>
      <c r="BH20" s="1"/>
      <c r="BI20" s="1"/>
      <c r="BJ20" s="1"/>
      <c r="BK20" s="1"/>
      <c r="BL20" s="1"/>
      <c r="BM20" s="1"/>
      <c r="BN20" s="1"/>
    </row>
    <row r="21" spans="1:66" s="4" customFormat="1" ht="25.5" x14ac:dyDescent="0.2">
      <c r="A21" s="57" t="s">
        <v>29</v>
      </c>
      <c r="B21" s="58" t="s">
        <v>74</v>
      </c>
      <c r="C21" s="58" t="s">
        <v>49</v>
      </c>
      <c r="D21" s="58"/>
      <c r="E21" s="3">
        <v>19815.859378659225</v>
      </c>
      <c r="F21" s="106">
        <v>15054.84</v>
      </c>
      <c r="G21" s="69">
        <f t="shared" si="0"/>
        <v>34870.699378659221</v>
      </c>
      <c r="H21" s="5">
        <f t="shared" si="1"/>
        <v>27896.559502927379</v>
      </c>
      <c r="I21" s="5">
        <f t="shared" si="2"/>
        <v>6974.139875731842</v>
      </c>
      <c r="J21" s="5">
        <f t="shared" si="3"/>
        <v>13770.805171871021</v>
      </c>
      <c r="K21" s="5">
        <f t="shared" si="4"/>
        <v>18125.754828128982</v>
      </c>
      <c r="L21" s="36">
        <f>26896.04+1000.52</f>
        <v>27896.560000000001</v>
      </c>
      <c r="M21" s="6">
        <f t="shared" si="8"/>
        <v>27896.560000000001</v>
      </c>
      <c r="N21" s="36">
        <f t="shared" si="5"/>
        <v>0</v>
      </c>
      <c r="O21" s="80" t="s">
        <v>20</v>
      </c>
      <c r="P21" s="55"/>
      <c r="Q21" s="55">
        <v>1</v>
      </c>
      <c r="R21" s="55"/>
      <c r="S21" s="55">
        <v>1</v>
      </c>
      <c r="T21" s="55"/>
      <c r="U21" s="55"/>
      <c r="V21" s="109">
        <v>1000.52</v>
      </c>
      <c r="W21" s="55">
        <f>16+52</f>
        <v>68</v>
      </c>
      <c r="X21" s="55"/>
      <c r="Y21" s="55">
        <v>16</v>
      </c>
      <c r="Z21" s="114">
        <v>6328.48</v>
      </c>
      <c r="AA21" s="55"/>
      <c r="AB21" s="55">
        <v>52</v>
      </c>
      <c r="AC21" s="120">
        <f>AD21-Z21</f>
        <v>20567.560000000001</v>
      </c>
      <c r="AD21" s="110">
        <v>26896.04</v>
      </c>
      <c r="AE21" s="1"/>
      <c r="AF21" s="36">
        <v>4000</v>
      </c>
      <c r="AG21" s="3"/>
      <c r="AH21" s="65" t="s">
        <v>141</v>
      </c>
      <c r="AI21" s="65"/>
      <c r="AJ21" s="63">
        <v>2</v>
      </c>
      <c r="AK21" s="63"/>
      <c r="AL21" s="65"/>
      <c r="AM21" s="65">
        <v>1</v>
      </c>
      <c r="AN21" s="65">
        <v>30</v>
      </c>
      <c r="AO21" s="73">
        <f t="shared" si="6"/>
        <v>31896.560000000001</v>
      </c>
      <c r="AP21" s="61">
        <f t="shared" si="7"/>
        <v>-2974.1393786592198</v>
      </c>
      <c r="AQ21" s="39" t="s">
        <v>123</v>
      </c>
      <c r="AR21" s="148">
        <f>I21-AF21</f>
        <v>2974.139875731842</v>
      </c>
      <c r="AS21" s="34"/>
      <c r="AT21" s="25" t="s">
        <v>213</v>
      </c>
      <c r="AU21" s="1"/>
      <c r="AV21" s="1"/>
      <c r="AW21" s="1"/>
      <c r="AX21" s="1"/>
      <c r="AY21" s="1"/>
      <c r="AZ21" s="1"/>
      <c r="BA21" s="1"/>
      <c r="BB21" s="1"/>
      <c r="BC21" s="1"/>
      <c r="BD21" s="1"/>
      <c r="BE21" s="1"/>
      <c r="BF21" s="1"/>
      <c r="BG21" s="1"/>
      <c r="BH21" s="1"/>
      <c r="BI21" s="1"/>
      <c r="BJ21" s="1"/>
      <c r="BK21" s="1"/>
      <c r="BL21" s="1"/>
      <c r="BM21" s="1"/>
      <c r="BN21" s="1"/>
    </row>
    <row r="22" spans="1:66" s="4" customFormat="1" x14ac:dyDescent="0.2">
      <c r="A22" s="57" t="s">
        <v>30</v>
      </c>
      <c r="B22" s="58" t="s">
        <v>49</v>
      </c>
      <c r="C22" s="58"/>
      <c r="D22" s="58"/>
      <c r="E22" s="3">
        <v>8270.2691852178978</v>
      </c>
      <c r="F22" s="106">
        <v>6283.23</v>
      </c>
      <c r="G22" s="69">
        <f t="shared" si="0"/>
        <v>14553.499185217897</v>
      </c>
      <c r="H22" s="5">
        <f t="shared" si="1"/>
        <v>11642.799348174318</v>
      </c>
      <c r="I22" s="5">
        <f t="shared" si="2"/>
        <v>2910.6998370435795</v>
      </c>
      <c r="J22" s="5">
        <f t="shared" si="3"/>
        <v>6283.1440051117106</v>
      </c>
      <c r="K22" s="5">
        <f t="shared" si="4"/>
        <v>8270.1559948882896</v>
      </c>
      <c r="L22" s="36">
        <v>11642.6</v>
      </c>
      <c r="M22" s="6">
        <f t="shared" si="8"/>
        <v>11642.6</v>
      </c>
      <c r="N22" s="36">
        <f t="shared" si="5"/>
        <v>0</v>
      </c>
      <c r="O22" s="80" t="s">
        <v>20</v>
      </c>
      <c r="P22" s="55"/>
      <c r="Q22" s="55">
        <v>0</v>
      </c>
      <c r="R22" s="55"/>
      <c r="S22" s="55"/>
      <c r="T22" s="55"/>
      <c r="U22" s="55"/>
      <c r="V22" s="109">
        <v>0</v>
      </c>
      <c r="W22" s="55">
        <f>4+19</f>
        <v>23</v>
      </c>
      <c r="X22" s="55"/>
      <c r="Y22" s="55">
        <v>4</v>
      </c>
      <c r="Z22" s="114">
        <v>2024.8</v>
      </c>
      <c r="AA22" s="55"/>
      <c r="AB22" s="55">
        <v>19</v>
      </c>
      <c r="AC22" s="120">
        <f>AD22-Z22</f>
        <v>9617.8000000000011</v>
      </c>
      <c r="AD22" s="110">
        <v>11642.6</v>
      </c>
      <c r="AE22" s="1"/>
      <c r="AF22" s="36">
        <v>2910.7</v>
      </c>
      <c r="AG22" s="3">
        <v>2745</v>
      </c>
      <c r="AH22" s="65" t="s">
        <v>142</v>
      </c>
      <c r="AI22" s="65">
        <v>1</v>
      </c>
      <c r="AJ22" s="63"/>
      <c r="AK22" s="63"/>
      <c r="AL22" s="65"/>
      <c r="AM22" s="65"/>
      <c r="AN22" s="65"/>
      <c r="AO22" s="73">
        <f t="shared" si="6"/>
        <v>14553.3</v>
      </c>
      <c r="AP22" s="61">
        <f t="shared" si="7"/>
        <v>-0.19918521789804799</v>
      </c>
      <c r="AQ22" s="4" t="s">
        <v>124</v>
      </c>
      <c r="AR22" s="34"/>
      <c r="AS22" s="34"/>
      <c r="AT22" s="1"/>
      <c r="AU22" s="1"/>
      <c r="AV22" s="1"/>
      <c r="AW22" s="1"/>
      <c r="AX22" s="1"/>
      <c r="AY22" s="1"/>
      <c r="AZ22" s="1"/>
      <c r="BA22" s="1"/>
      <c r="BB22" s="1"/>
      <c r="BC22" s="1"/>
      <c r="BD22" s="1"/>
      <c r="BE22" s="1"/>
      <c r="BF22" s="1"/>
      <c r="BG22" s="1"/>
      <c r="BH22" s="1"/>
      <c r="BI22" s="1"/>
      <c r="BJ22" s="1"/>
      <c r="BK22" s="1"/>
      <c r="BL22" s="1"/>
      <c r="BM22" s="1"/>
      <c r="BN22" s="1"/>
    </row>
    <row r="23" spans="1:66" s="1" customFormat="1" x14ac:dyDescent="0.2">
      <c r="A23" s="57" t="s">
        <v>10</v>
      </c>
      <c r="B23" s="58" t="s">
        <v>102</v>
      </c>
      <c r="C23" s="58"/>
      <c r="D23" s="58"/>
      <c r="E23" s="3">
        <v>73780.034927835877</v>
      </c>
      <c r="F23" s="106">
        <v>56053.41</v>
      </c>
      <c r="G23" s="69">
        <f t="shared" si="0"/>
        <v>129833.44492783588</v>
      </c>
      <c r="H23" s="5">
        <f t="shared" si="1"/>
        <v>103866.7559422687</v>
      </c>
      <c r="I23" s="5">
        <f t="shared" si="2"/>
        <v>25966.688985567176</v>
      </c>
      <c r="J23" s="5">
        <f t="shared" si="3"/>
        <v>56053.407872489595</v>
      </c>
      <c r="K23" s="5">
        <f t="shared" si="4"/>
        <v>73780.032127510392</v>
      </c>
      <c r="L23" s="36">
        <f>8000+121833.44</f>
        <v>129833.44</v>
      </c>
      <c r="M23" s="6">
        <f t="shared" si="8"/>
        <v>129833.44</v>
      </c>
      <c r="N23" s="36">
        <f t="shared" si="5"/>
        <v>0</v>
      </c>
      <c r="O23" s="80" t="s">
        <v>20</v>
      </c>
      <c r="P23" s="55"/>
      <c r="Q23" s="55">
        <v>16</v>
      </c>
      <c r="R23" s="55">
        <v>13</v>
      </c>
      <c r="S23" s="55">
        <v>3</v>
      </c>
      <c r="T23" s="55"/>
      <c r="U23" s="55"/>
      <c r="V23" s="109">
        <v>8000</v>
      </c>
      <c r="W23" s="55">
        <v>425</v>
      </c>
      <c r="X23" s="55">
        <v>403</v>
      </c>
      <c r="Y23" s="55">
        <v>20</v>
      </c>
      <c r="Z23" s="114">
        <v>3866.95</v>
      </c>
      <c r="AA23" s="55">
        <v>2</v>
      </c>
      <c r="AB23" s="55"/>
      <c r="AC23" s="120">
        <f>AD23-Z23</f>
        <v>117966.49</v>
      </c>
      <c r="AD23" s="110">
        <v>121833.44</v>
      </c>
      <c r="AF23" s="3">
        <v>0</v>
      </c>
      <c r="AG23" s="3">
        <v>14130.470000000001</v>
      </c>
      <c r="AH23" s="65"/>
      <c r="AI23" s="65"/>
      <c r="AJ23" s="63">
        <v>4</v>
      </c>
      <c r="AK23" s="63"/>
      <c r="AL23" s="65"/>
      <c r="AM23" s="65"/>
      <c r="AN23" s="65"/>
      <c r="AO23" s="73">
        <f t="shared" si="6"/>
        <v>129833.44</v>
      </c>
      <c r="AP23" s="61">
        <f t="shared" si="7"/>
        <v>-4.9278358783340082E-3</v>
      </c>
      <c r="AQ23" s="4" t="s">
        <v>20</v>
      </c>
      <c r="AR23" s="34"/>
      <c r="AS23" s="34"/>
    </row>
    <row r="24" spans="1:66" s="4" customFormat="1" x14ac:dyDescent="0.2">
      <c r="A24" s="57" t="s">
        <v>11</v>
      </c>
      <c r="B24" s="58" t="s">
        <v>51</v>
      </c>
      <c r="C24" s="58"/>
      <c r="D24" s="58"/>
      <c r="E24" s="3">
        <v>35369.452195033824</v>
      </c>
      <c r="F24" s="106">
        <v>26871.47</v>
      </c>
      <c r="G24" s="69">
        <f t="shared" si="0"/>
        <v>62240.922195033825</v>
      </c>
      <c r="H24" s="5">
        <f t="shared" si="1"/>
        <v>49792.737756027062</v>
      </c>
      <c r="I24" s="5">
        <f t="shared" si="2"/>
        <v>12448.184439006764</v>
      </c>
      <c r="J24" s="5">
        <f t="shared" si="3"/>
        <v>26871.469052331115</v>
      </c>
      <c r="K24" s="5">
        <f t="shared" si="4"/>
        <v>35369.450947668884</v>
      </c>
      <c r="L24" s="36">
        <f>2000+1000+50240.92</f>
        <v>53240.92</v>
      </c>
      <c r="M24" s="6">
        <f t="shared" si="8"/>
        <v>53240.92</v>
      </c>
      <c r="N24" s="36">
        <f t="shared" si="5"/>
        <v>0</v>
      </c>
      <c r="O24" s="80" t="s">
        <v>20</v>
      </c>
      <c r="P24" s="55"/>
      <c r="Q24" s="55">
        <v>105</v>
      </c>
      <c r="R24" s="55">
        <v>2</v>
      </c>
      <c r="S24" s="55">
        <v>2</v>
      </c>
      <c r="T24" s="55"/>
      <c r="U24" s="55"/>
      <c r="V24" s="109">
        <v>3000</v>
      </c>
      <c r="W24" s="55">
        <v>105</v>
      </c>
      <c r="X24" s="55"/>
      <c r="Y24" s="55">
        <v>0</v>
      </c>
      <c r="Z24" s="114">
        <v>0</v>
      </c>
      <c r="AA24" s="55"/>
      <c r="AB24" s="55"/>
      <c r="AC24" s="120">
        <f>50240.92</f>
        <v>50240.92</v>
      </c>
      <c r="AD24" s="110">
        <v>50240.92</v>
      </c>
      <c r="AE24" s="1"/>
      <c r="AF24" s="36">
        <f>9000</f>
        <v>9000</v>
      </c>
      <c r="AG24" s="3"/>
      <c r="AH24" s="65" t="s">
        <v>142</v>
      </c>
      <c r="AI24" s="65">
        <v>1</v>
      </c>
      <c r="AJ24" s="63"/>
      <c r="AK24" s="63"/>
      <c r="AL24" s="65"/>
      <c r="AM24" s="65"/>
      <c r="AN24" s="65"/>
      <c r="AO24" s="73">
        <f t="shared" si="6"/>
        <v>62240.92</v>
      </c>
      <c r="AP24" s="61">
        <f t="shared" si="7"/>
        <v>-2.1950338268652558E-3</v>
      </c>
      <c r="AQ24" s="4" t="s">
        <v>20</v>
      </c>
      <c r="AR24" s="34"/>
      <c r="AS24" s="34"/>
      <c r="AT24" s="1"/>
      <c r="AU24" s="1"/>
      <c r="AV24" s="1"/>
      <c r="AW24" s="1"/>
      <c r="AX24" s="1"/>
      <c r="AY24" s="1"/>
      <c r="AZ24" s="1"/>
      <c r="BA24" s="1"/>
      <c r="BB24" s="1"/>
      <c r="BC24" s="1"/>
      <c r="BD24" s="1"/>
      <c r="BE24" s="1"/>
      <c r="BF24" s="1"/>
      <c r="BG24" s="1"/>
      <c r="BH24" s="1"/>
      <c r="BI24" s="1"/>
      <c r="BJ24" s="1"/>
      <c r="BK24" s="1"/>
      <c r="BL24" s="1"/>
      <c r="BM24" s="1"/>
      <c r="BN24" s="1"/>
    </row>
    <row r="25" spans="1:66" s="4" customFormat="1" x14ac:dyDescent="0.2">
      <c r="A25" s="57" t="s">
        <v>130</v>
      </c>
      <c r="B25" s="58" t="s">
        <v>52</v>
      </c>
      <c r="C25" s="58"/>
      <c r="D25" s="58"/>
      <c r="E25" s="3">
        <v>68601.079952626606</v>
      </c>
      <c r="F25" s="106">
        <v>52118.76</v>
      </c>
      <c r="G25" s="69">
        <f t="shared" si="0"/>
        <v>120719.83995262661</v>
      </c>
      <c r="H25" s="5">
        <f t="shared" si="1"/>
        <v>96575.871962101301</v>
      </c>
      <c r="I25" s="5">
        <f t="shared" si="2"/>
        <v>24143.967990525314</v>
      </c>
      <c r="J25" s="5">
        <f t="shared" si="3"/>
        <v>74827.07892069449</v>
      </c>
      <c r="K25" s="5">
        <f t="shared" si="4"/>
        <v>98490.801079305485</v>
      </c>
      <c r="L25" s="36">
        <v>158455.35999999999</v>
      </c>
      <c r="M25" s="6">
        <f t="shared" si="8"/>
        <v>158455.35999999999</v>
      </c>
      <c r="N25" s="36">
        <f t="shared" si="5"/>
        <v>0</v>
      </c>
      <c r="O25" s="80" t="s">
        <v>20</v>
      </c>
      <c r="P25" s="55"/>
      <c r="Q25" s="55">
        <v>0</v>
      </c>
      <c r="R25" s="55"/>
      <c r="S25" s="55"/>
      <c r="T25" s="55"/>
      <c r="U25" s="55"/>
      <c r="V25" s="109">
        <v>0</v>
      </c>
      <c r="W25" s="55">
        <f>36+81+43+9+1+60+76+1+82</f>
        <v>389</v>
      </c>
      <c r="X25" s="55"/>
      <c r="Y25" s="55">
        <v>0</v>
      </c>
      <c r="Z25" s="114">
        <v>0</v>
      </c>
      <c r="AA25" s="55"/>
      <c r="AB25" s="55">
        <f>W25</f>
        <v>389</v>
      </c>
      <c r="AC25" s="120">
        <f>AD25</f>
        <v>158455.35999999999</v>
      </c>
      <c r="AD25" s="110">
        <v>158455.35999999999</v>
      </c>
      <c r="AE25" s="1"/>
      <c r="AF25" s="36">
        <f>7000+2600+5262.52</f>
        <v>14862.52</v>
      </c>
      <c r="AG25" s="3"/>
      <c r="AH25" s="65" t="s">
        <v>143</v>
      </c>
      <c r="AI25" s="65">
        <v>2</v>
      </c>
      <c r="AJ25" s="63"/>
      <c r="AK25" s="63"/>
      <c r="AL25" s="65"/>
      <c r="AM25" s="65">
        <v>1</v>
      </c>
      <c r="AN25" s="65"/>
      <c r="AO25" s="73">
        <f t="shared" si="6"/>
        <v>173317.87999999998</v>
      </c>
      <c r="AP25" s="42">
        <f t="shared" si="7"/>
        <v>52598.040047373361</v>
      </c>
      <c r="AQ25" s="4" t="s">
        <v>20</v>
      </c>
      <c r="AR25" s="34"/>
      <c r="AS25" s="34"/>
      <c r="AT25" s="1"/>
      <c r="AU25" s="1"/>
      <c r="AV25" s="1"/>
      <c r="AW25" s="1"/>
      <c r="AX25" s="1"/>
      <c r="AY25" s="1"/>
      <c r="AZ25" s="1"/>
      <c r="BA25" s="1"/>
      <c r="BB25" s="1"/>
      <c r="BC25" s="1"/>
      <c r="BD25" s="1"/>
      <c r="BE25" s="1"/>
      <c r="BF25" s="1"/>
      <c r="BG25" s="1"/>
      <c r="BH25" s="1"/>
      <c r="BI25" s="1"/>
      <c r="BJ25" s="1"/>
      <c r="BK25" s="1"/>
      <c r="BL25" s="1"/>
      <c r="BM25" s="1"/>
      <c r="BN25" s="1"/>
    </row>
    <row r="26" spans="1:66" s="1" customFormat="1" x14ac:dyDescent="0.2">
      <c r="A26" s="57" t="s">
        <v>12</v>
      </c>
      <c r="B26" s="58" t="s">
        <v>49</v>
      </c>
      <c r="C26" s="58"/>
      <c r="D26" s="58"/>
      <c r="E26" s="3">
        <v>41515.279255408124</v>
      </c>
      <c r="F26" s="106">
        <v>31540.68</v>
      </c>
      <c r="G26" s="69">
        <f t="shared" si="0"/>
        <v>73055.959255408117</v>
      </c>
      <c r="H26" s="5">
        <f t="shared" si="1"/>
        <v>58444.7674043265</v>
      </c>
      <c r="I26" s="5">
        <f t="shared" si="2"/>
        <v>14611.191851081618</v>
      </c>
      <c r="J26" s="5">
        <f t="shared" si="3"/>
        <v>31520.988972128664</v>
      </c>
      <c r="K26" s="5">
        <f t="shared" si="4"/>
        <v>41489.361027871346</v>
      </c>
      <c r="L26" s="36">
        <f>4500+1688.55+11000+13627.8+3200+34024</f>
        <v>68040.350000000006</v>
      </c>
      <c r="M26" s="6">
        <f t="shared" si="8"/>
        <v>68040.350000000006</v>
      </c>
      <c r="N26" s="36">
        <f t="shared" si="5"/>
        <v>0</v>
      </c>
      <c r="O26" s="80" t="s">
        <v>20</v>
      </c>
      <c r="P26" s="55"/>
      <c r="Q26" s="55">
        <f>13+4</f>
        <v>17</v>
      </c>
      <c r="R26" s="55">
        <f>3+1</f>
        <v>4</v>
      </c>
      <c r="S26" s="55">
        <f>10+3</f>
        <v>13</v>
      </c>
      <c r="T26" s="55"/>
      <c r="U26" s="55"/>
      <c r="V26" s="109">
        <f>4500+1688.55+3200</f>
        <v>9388.5499999999993</v>
      </c>
      <c r="W26" s="55">
        <f>22+29+22+5+2+15</f>
        <v>95</v>
      </c>
      <c r="X26" s="55">
        <f>5+22</f>
        <v>27</v>
      </c>
      <c r="Y26" s="55">
        <f>6+5</f>
        <v>11</v>
      </c>
      <c r="Z26" s="114">
        <f>3000+4000</f>
        <v>7000</v>
      </c>
      <c r="AA26" s="55">
        <f>11+29+2</f>
        <v>42</v>
      </c>
      <c r="AB26" s="55">
        <v>15</v>
      </c>
      <c r="AC26" s="120">
        <f>AD26-Z26</f>
        <v>51651.8</v>
      </c>
      <c r="AD26" s="110">
        <f>11000+13627.8+34024</f>
        <v>58651.8</v>
      </c>
      <c r="AF26" s="36">
        <v>4970</v>
      </c>
      <c r="AG26" s="3"/>
      <c r="AH26" s="65" t="s">
        <v>141</v>
      </c>
      <c r="AI26" s="65"/>
      <c r="AJ26" s="63">
        <v>2</v>
      </c>
      <c r="AK26" s="63"/>
      <c r="AL26" s="65"/>
      <c r="AM26" s="65">
        <v>1</v>
      </c>
      <c r="AN26" s="65">
        <v>50</v>
      </c>
      <c r="AO26" s="73">
        <f t="shared" si="6"/>
        <v>73010.350000000006</v>
      </c>
      <c r="AP26" s="60">
        <f t="shared" si="7"/>
        <v>-45.609255408111494</v>
      </c>
      <c r="AQ26" s="4"/>
      <c r="AR26" s="49"/>
      <c r="AT26" s="46" t="s">
        <v>133</v>
      </c>
    </row>
    <row r="27" spans="1:66" s="4" customFormat="1" ht="25.5" x14ac:dyDescent="0.2">
      <c r="A27" s="57" t="s">
        <v>31</v>
      </c>
      <c r="B27" s="58" t="s">
        <v>53</v>
      </c>
      <c r="C27" s="58"/>
      <c r="D27" s="58"/>
      <c r="E27" s="3">
        <v>21391.626687007782</v>
      </c>
      <c r="F27" s="106">
        <v>16252.01</v>
      </c>
      <c r="G27" s="69">
        <f t="shared" si="0"/>
        <v>37643.636687007784</v>
      </c>
      <c r="H27" s="5">
        <f t="shared" si="1"/>
        <v>30114.909349606227</v>
      </c>
      <c r="I27" s="5">
        <f t="shared" si="2"/>
        <v>7528.7273374015567</v>
      </c>
      <c r="J27" s="5">
        <f t="shared" si="3"/>
        <v>16251.925083676855</v>
      </c>
      <c r="K27" s="5">
        <f t="shared" si="4"/>
        <v>21391.514916323147</v>
      </c>
      <c r="L27" s="37">
        <f>9500+18925</f>
        <v>28425</v>
      </c>
      <c r="M27" s="6">
        <f t="shared" si="8"/>
        <v>28425.200000000001</v>
      </c>
      <c r="N27" s="36">
        <f t="shared" si="5"/>
        <v>-0.2000000000007276</v>
      </c>
      <c r="O27" s="80" t="s">
        <v>20</v>
      </c>
      <c r="P27" s="55"/>
      <c r="Q27" s="55">
        <v>19</v>
      </c>
      <c r="R27" s="55">
        <v>10</v>
      </c>
      <c r="S27" s="55">
        <v>9</v>
      </c>
      <c r="T27" s="55"/>
      <c r="U27" s="55"/>
      <c r="V27" s="109">
        <v>9500</v>
      </c>
      <c r="W27" s="55">
        <v>23</v>
      </c>
      <c r="X27" s="55">
        <v>10</v>
      </c>
      <c r="Y27" s="55">
        <v>5</v>
      </c>
      <c r="Z27" s="114">
        <v>2500</v>
      </c>
      <c r="AA27" s="55">
        <v>3</v>
      </c>
      <c r="AB27" s="55">
        <v>5</v>
      </c>
      <c r="AC27" s="120">
        <f>AD27-Z27</f>
        <v>16425.2</v>
      </c>
      <c r="AD27" s="110">
        <v>18925.2</v>
      </c>
      <c r="AE27" s="1"/>
      <c r="AF27" s="36">
        <f>8218.44+1000</f>
        <v>9218.44</v>
      </c>
      <c r="AG27" s="3">
        <v>317</v>
      </c>
      <c r="AH27" s="65" t="s">
        <v>142</v>
      </c>
      <c r="AI27" s="65">
        <v>2</v>
      </c>
      <c r="AJ27" s="63"/>
      <c r="AK27" s="63"/>
      <c r="AL27" s="65"/>
      <c r="AM27" s="65"/>
      <c r="AN27" s="65"/>
      <c r="AO27" s="73">
        <f t="shared" si="6"/>
        <v>37643.440000000002</v>
      </c>
      <c r="AP27" s="60">
        <f t="shared" si="7"/>
        <v>-0.19668700778129278</v>
      </c>
      <c r="AQ27" s="39" t="s">
        <v>129</v>
      </c>
      <c r="AR27" s="49"/>
      <c r="AS27" s="34" t="s">
        <v>20</v>
      </c>
      <c r="AT27" s="46" t="s">
        <v>135</v>
      </c>
      <c r="AU27" s="1"/>
      <c r="AV27" s="1"/>
      <c r="AW27" s="1"/>
      <c r="AX27" s="1"/>
      <c r="AY27" s="1"/>
      <c r="AZ27" s="1"/>
      <c r="BA27" s="1"/>
      <c r="BB27" s="1"/>
      <c r="BC27" s="1"/>
      <c r="BD27" s="1"/>
      <c r="BE27" s="1"/>
      <c r="BF27" s="1"/>
      <c r="BG27" s="1"/>
      <c r="BH27" s="1"/>
      <c r="BI27" s="1"/>
      <c r="BJ27" s="1"/>
      <c r="BK27" s="1"/>
      <c r="BL27" s="1"/>
      <c r="BM27" s="1"/>
      <c r="BN27" s="1"/>
    </row>
    <row r="28" spans="1:66" s="4" customFormat="1" x14ac:dyDescent="0.2">
      <c r="A28" s="57" t="s">
        <v>32</v>
      </c>
      <c r="B28" s="58" t="s">
        <v>54</v>
      </c>
      <c r="C28" s="58"/>
      <c r="D28" s="58"/>
      <c r="E28" s="3">
        <v>8012.6596677171783</v>
      </c>
      <c r="F28" s="106">
        <v>6087.51</v>
      </c>
      <c r="G28" s="69">
        <f t="shared" si="0"/>
        <v>14100.169667717179</v>
      </c>
      <c r="H28" s="5">
        <f t="shared" si="1"/>
        <v>11280.135734173744</v>
      </c>
      <c r="I28" s="5">
        <f t="shared" si="2"/>
        <v>2820.0339335434346</v>
      </c>
      <c r="J28" s="5">
        <f t="shared" si="3"/>
        <v>6098.2257590678455</v>
      </c>
      <c r="K28" s="5">
        <f t="shared" si="4"/>
        <v>8026.7642409321543</v>
      </c>
      <c r="L28" s="36">
        <v>11499.99</v>
      </c>
      <c r="M28" s="6">
        <f t="shared" si="8"/>
        <v>11499.99</v>
      </c>
      <c r="N28" s="36">
        <f t="shared" si="5"/>
        <v>0</v>
      </c>
      <c r="O28" s="80"/>
      <c r="P28" s="55"/>
      <c r="Q28" s="55">
        <v>0</v>
      </c>
      <c r="R28" s="55"/>
      <c r="S28" s="55"/>
      <c r="T28" s="55"/>
      <c r="U28" s="55"/>
      <c r="V28" s="109">
        <v>0</v>
      </c>
      <c r="W28" s="55">
        <v>17</v>
      </c>
      <c r="X28" s="55"/>
      <c r="Y28" s="55">
        <v>1</v>
      </c>
      <c r="Z28" s="114">
        <v>676.47</v>
      </c>
      <c r="AA28" s="55"/>
      <c r="AB28" s="55">
        <v>16</v>
      </c>
      <c r="AC28" s="120">
        <f>AD28-Z28</f>
        <v>10823.52</v>
      </c>
      <c r="AD28" s="110">
        <v>11499.99</v>
      </c>
      <c r="AE28" s="1"/>
      <c r="AF28" s="36">
        <v>2625</v>
      </c>
      <c r="AG28" s="3"/>
      <c r="AH28" s="65" t="s">
        <v>142</v>
      </c>
      <c r="AI28" s="65">
        <v>1</v>
      </c>
      <c r="AJ28" s="63"/>
      <c r="AK28" s="63"/>
      <c r="AL28" s="65"/>
      <c r="AM28" s="65"/>
      <c r="AN28" s="65"/>
      <c r="AO28" s="73">
        <f t="shared" si="6"/>
        <v>14124.99</v>
      </c>
      <c r="AP28" s="42">
        <f t="shared" si="7"/>
        <v>24.820332282821255</v>
      </c>
      <c r="AQ28" s="4" t="s">
        <v>20</v>
      </c>
      <c r="AR28" s="34"/>
      <c r="AS28" s="34"/>
      <c r="AT28" s="1"/>
      <c r="AU28" s="1"/>
      <c r="AV28" s="1"/>
      <c r="AW28" s="1"/>
      <c r="AX28" s="1"/>
      <c r="AY28" s="1"/>
      <c r="AZ28" s="1"/>
      <c r="BA28" s="1"/>
      <c r="BB28" s="1"/>
      <c r="BC28" s="1"/>
      <c r="BD28" s="1"/>
      <c r="BE28" s="1"/>
      <c r="BF28" s="1"/>
      <c r="BG28" s="1"/>
      <c r="BH28" s="1"/>
      <c r="BI28" s="1"/>
      <c r="BJ28" s="1"/>
      <c r="BK28" s="1"/>
      <c r="BL28" s="1"/>
      <c r="BM28" s="1"/>
      <c r="BN28" s="1"/>
    </row>
    <row r="29" spans="1:66" s="1" customFormat="1" ht="21" thickBot="1" x14ac:dyDescent="0.35">
      <c r="A29" s="2" t="s">
        <v>0</v>
      </c>
      <c r="B29" s="11"/>
      <c r="C29" s="21"/>
      <c r="D29" s="21"/>
      <c r="E29" s="22">
        <v>1000000.0000000001</v>
      </c>
      <c r="F29" s="107">
        <f>SUM(F6:F28)</f>
        <v>759736.79</v>
      </c>
      <c r="G29" s="70">
        <f t="shared" si="0"/>
        <v>1759736.79</v>
      </c>
      <c r="H29" s="5">
        <f>SUM(H6:H28)</f>
        <v>1407789.4319999998</v>
      </c>
      <c r="I29" s="5">
        <f>SUM(I6:I28)</f>
        <v>351947.35799999995</v>
      </c>
      <c r="J29" s="5">
        <f t="shared" si="3"/>
        <v>738529.2313353006</v>
      </c>
      <c r="K29" s="5">
        <f t="shared" si="4"/>
        <v>972085.64999899606</v>
      </c>
      <c r="L29" s="3">
        <f>SUM(L6:L28)</f>
        <v>1526204.55</v>
      </c>
      <c r="M29" s="6">
        <f t="shared" si="8"/>
        <v>1526204.7499999998</v>
      </c>
      <c r="N29" s="36">
        <f t="shared" si="5"/>
        <v>-0.19999999972060323</v>
      </c>
      <c r="O29" s="80"/>
      <c r="P29" s="55"/>
      <c r="Q29" s="55">
        <f>SUM(Q6:Q28)</f>
        <v>458</v>
      </c>
      <c r="R29" s="55"/>
      <c r="S29" s="55"/>
      <c r="T29" s="55"/>
      <c r="U29" s="55"/>
      <c r="V29" s="109">
        <f>SUM(V6:V28)</f>
        <v>147034.73000000001</v>
      </c>
      <c r="W29" s="55">
        <f>SUM(W6:W28)</f>
        <v>2937</v>
      </c>
      <c r="X29" s="55"/>
      <c r="Y29" s="55"/>
      <c r="Z29" s="114">
        <f>SUM(Z6:Z28)</f>
        <v>244048.46079136693</v>
      </c>
      <c r="AA29" s="55"/>
      <c r="AB29" s="55"/>
      <c r="AC29" s="120">
        <f>SUM(AC6:AC28)</f>
        <v>1135121.5592086334</v>
      </c>
      <c r="AD29" s="110">
        <f>SUM(AD6:AD28)</f>
        <v>1379170.0199999998</v>
      </c>
      <c r="AF29" s="6">
        <f>SUM(AF6:AF28)</f>
        <v>184410.33133429685</v>
      </c>
      <c r="AG29" s="3">
        <f>SUM(AG6:AG28)</f>
        <v>103556.13</v>
      </c>
      <c r="AH29" s="63"/>
      <c r="AI29" s="75">
        <f>SUM(AI6:AI28)</f>
        <v>19</v>
      </c>
      <c r="AJ29" s="75"/>
      <c r="AK29" s="75"/>
      <c r="AL29" s="75"/>
      <c r="AM29" s="75">
        <f>SUM(AM6:AM28)</f>
        <v>6</v>
      </c>
      <c r="AN29" s="75">
        <f>SUM(AN14:AN27)</f>
        <v>144</v>
      </c>
      <c r="AO29" s="82">
        <f>SUM(AO6:AO28)</f>
        <v>1710614.8813342967</v>
      </c>
      <c r="AP29" s="42">
        <f t="shared" si="7"/>
        <v>-49121.908665703377</v>
      </c>
      <c r="AR29" s="62">
        <f>SUM(AR6:AR28)</f>
        <v>25591.613270423073</v>
      </c>
      <c r="AS29" s="5">
        <f>AO29+AR29</f>
        <v>1736206.4946047198</v>
      </c>
    </row>
    <row r="30" spans="1:66" s="1" customFormat="1" x14ac:dyDescent="0.2">
      <c r="F30" s="149">
        <f>F29-AR29</f>
        <v>734145.17672957701</v>
      </c>
      <c r="J30" s="5"/>
      <c r="K30" s="5"/>
      <c r="O30" s="63"/>
      <c r="P30" s="54"/>
      <c r="Q30" s="54"/>
      <c r="R30" s="54"/>
      <c r="S30" s="54"/>
      <c r="T30" s="54"/>
      <c r="U30" s="54"/>
      <c r="V30" s="54"/>
      <c r="W30" s="54"/>
      <c r="X30" s="54"/>
      <c r="Y30" s="54"/>
      <c r="Z30" s="115"/>
      <c r="AA30" s="54"/>
      <c r="AB30" s="54"/>
      <c r="AC30" s="121"/>
      <c r="AD30" s="54"/>
      <c r="AH30" s="63"/>
      <c r="AI30" s="63"/>
      <c r="AJ30" s="63"/>
      <c r="AK30" s="63"/>
      <c r="AL30" s="63"/>
      <c r="AM30" s="63"/>
      <c r="AN30" s="63"/>
      <c r="AO30" s="5">
        <f>AF29+AD29+V29</f>
        <v>1710615.0813342966</v>
      </c>
      <c r="AP30" s="84"/>
      <c r="AQ30" s="137" t="s">
        <v>215</v>
      </c>
      <c r="AR30" s="34"/>
    </row>
    <row r="31" spans="1:66" s="1" customFormat="1" ht="13.5" thickBot="1" x14ac:dyDescent="0.25">
      <c r="O31" s="63"/>
      <c r="P31" s="54"/>
      <c r="Q31" s="54"/>
      <c r="R31" s="54"/>
      <c r="S31" s="54"/>
      <c r="T31" s="54"/>
      <c r="U31" s="54"/>
      <c r="V31" s="54"/>
      <c r="W31" s="54"/>
      <c r="X31" s="54"/>
      <c r="Y31" s="54"/>
      <c r="Z31" s="115"/>
      <c r="AA31" s="172" t="s">
        <v>207</v>
      </c>
      <c r="AB31" s="172"/>
      <c r="AC31" s="121"/>
      <c r="AD31" s="54"/>
      <c r="AH31" s="63"/>
      <c r="AI31" s="63">
        <f>AI29*10</f>
        <v>190</v>
      </c>
      <c r="AJ31" s="63"/>
      <c r="AK31" s="63"/>
      <c r="AL31" s="63"/>
      <c r="AM31" s="63"/>
      <c r="AN31" s="63"/>
      <c r="AO31" s="5"/>
      <c r="AP31" s="86">
        <f>AP26</f>
        <v>-45.609255408111494</v>
      </c>
      <c r="AQ31" s="135" t="s">
        <v>108</v>
      </c>
      <c r="AR31" s="49">
        <f>AR29-AR13</f>
        <v>25499.684294839102</v>
      </c>
      <c r="AS31" s="1" t="s">
        <v>221</v>
      </c>
    </row>
    <row r="32" spans="1:66" s="1" customFormat="1" ht="13.5" thickBot="1" x14ac:dyDescent="0.25">
      <c r="O32" s="63"/>
      <c r="P32" s="54"/>
      <c r="Q32" s="54"/>
      <c r="R32" s="54"/>
      <c r="S32" s="54"/>
      <c r="T32" s="54"/>
      <c r="U32" s="54"/>
      <c r="V32" s="118">
        <f>V29*F30/AO29</f>
        <v>63102.945624463173</v>
      </c>
      <c r="W32" s="54"/>
      <c r="X32" s="54"/>
      <c r="Y32" s="54"/>
      <c r="Z32" s="116">
        <f>Z29*F30/AO29</f>
        <v>104738.36182139796</v>
      </c>
      <c r="AA32" s="170">
        <f>Z32+AC32</f>
        <v>591898.8716403927</v>
      </c>
      <c r="AB32" s="171"/>
      <c r="AC32" s="122">
        <f>AC29*F30/AO29</f>
        <v>487160.50981899473</v>
      </c>
      <c r="AD32" s="54"/>
      <c r="AF32" s="123">
        <f>AF29*F30/AO29</f>
        <v>79143.445298790088</v>
      </c>
      <c r="AH32" s="117">
        <f>AF32+AC32+Z32+V32</f>
        <v>734145.26256364596</v>
      </c>
      <c r="AI32" s="63"/>
      <c r="AJ32" s="63"/>
      <c r="AK32" s="63"/>
      <c r="AL32" s="63"/>
      <c r="AM32" s="63"/>
      <c r="AN32" s="63"/>
      <c r="AP32" s="86">
        <f>AP11</f>
        <v>-2325.1275159751385</v>
      </c>
      <c r="AQ32" s="154" t="s">
        <v>163</v>
      </c>
      <c r="AR32" s="155"/>
      <c r="AS32" s="156" t="s">
        <v>220</v>
      </c>
      <c r="AT32" s="156"/>
    </row>
    <row r="33" spans="1:58" s="1" customFormat="1" ht="26.25" thickBot="1" x14ac:dyDescent="0.25">
      <c r="A33" s="1" t="s">
        <v>75</v>
      </c>
      <c r="D33" s="150">
        <v>0.8</v>
      </c>
      <c r="E33" s="3">
        <f>E29*80%</f>
        <v>800000.00000000012</v>
      </c>
      <c r="O33" s="63"/>
      <c r="P33" s="54"/>
      <c r="Q33" s="54"/>
      <c r="R33" s="54"/>
      <c r="S33" s="54"/>
      <c r="T33" s="54"/>
      <c r="U33" s="54"/>
      <c r="V33" s="124" t="s">
        <v>182</v>
      </c>
      <c r="W33" s="54"/>
      <c r="X33" s="54"/>
      <c r="Y33" s="54"/>
      <c r="Z33" s="125" t="s">
        <v>183</v>
      </c>
      <c r="AA33" s="54"/>
      <c r="AB33" s="54"/>
      <c r="AC33" s="126" t="s">
        <v>184</v>
      </c>
      <c r="AD33" s="54"/>
      <c r="AF33" s="127" t="s">
        <v>185</v>
      </c>
      <c r="AH33" s="63"/>
      <c r="AI33" s="63"/>
      <c r="AJ33" s="63"/>
      <c r="AK33" s="63"/>
      <c r="AL33" s="63"/>
      <c r="AM33" s="63"/>
      <c r="AN33" s="63"/>
      <c r="AP33" s="88">
        <f>AP10</f>
        <v>-31575.685337187446</v>
      </c>
      <c r="AQ33" s="136" t="s">
        <v>164</v>
      </c>
      <c r="AR33" s="34"/>
      <c r="AS33" s="1" t="s">
        <v>222</v>
      </c>
    </row>
    <row r="34" spans="1:58" ht="13.5" thickBot="1" x14ac:dyDescent="0.25">
      <c r="D34" s="151">
        <v>0.2</v>
      </c>
      <c r="E34" s="139">
        <v>200000</v>
      </c>
      <c r="AP34" s="129">
        <f>AP17</f>
        <v>-42205.405070223685</v>
      </c>
      <c r="AQ34" s="136" t="s">
        <v>168</v>
      </c>
      <c r="AS34" t="s">
        <v>223</v>
      </c>
    </row>
    <row r="35" spans="1:58" ht="13.5" thickBot="1" x14ac:dyDescent="0.25">
      <c r="V35" s="141">
        <f>V29/AO29</f>
        <v>8.5954314793117811E-2</v>
      </c>
      <c r="AA35" s="144">
        <f>AB35*F29</f>
        <v>612531.91194135789</v>
      </c>
      <c r="AB35" s="141">
        <f>AD29/AO29</f>
        <v>0.80624226706377855</v>
      </c>
      <c r="AF35" s="142">
        <f>AF29/AO29</f>
        <v>0.10780353506012701</v>
      </c>
      <c r="AS35" s="38" t="s">
        <v>216</v>
      </c>
      <c r="AT35" s="38"/>
      <c r="AU35" s="38"/>
      <c r="AV35" s="38"/>
      <c r="AW35" s="38"/>
      <c r="AX35" s="38"/>
      <c r="AY35" s="38"/>
      <c r="AZ35" s="38"/>
      <c r="BA35" s="38"/>
      <c r="BB35" s="38"/>
      <c r="BC35" s="38"/>
      <c r="BD35" s="38"/>
      <c r="BE35" s="38"/>
      <c r="BF35" s="38"/>
    </row>
    <row r="36" spans="1:58" x14ac:dyDescent="0.2">
      <c r="D36" t="s">
        <v>217</v>
      </c>
      <c r="E36" s="152">
        <f>E33/2</f>
        <v>400000.00000000006</v>
      </c>
      <c r="V36" s="140"/>
      <c r="AP36" s="84"/>
      <c r="AQ36" s="90" t="s">
        <v>166</v>
      </c>
    </row>
    <row r="37" spans="1:58" x14ac:dyDescent="0.2">
      <c r="D37" t="s">
        <v>218</v>
      </c>
      <c r="E37" s="152">
        <f>E33/2</f>
        <v>400000.00000000006</v>
      </c>
      <c r="V37" s="173" t="s">
        <v>203</v>
      </c>
      <c r="W37" s="173"/>
      <c r="AA37" s="173" t="s">
        <v>203</v>
      </c>
      <c r="AB37" s="173"/>
      <c r="AF37" s="139"/>
      <c r="AP37" s="93">
        <f>AR13</f>
        <v>91.928975583970896</v>
      </c>
      <c r="AQ37" s="91" t="s">
        <v>90</v>
      </c>
      <c r="AR37" s="34" t="s">
        <v>201</v>
      </c>
    </row>
    <row r="38" spans="1:58" x14ac:dyDescent="0.2">
      <c r="D38" t="s">
        <v>219</v>
      </c>
      <c r="E38" s="152">
        <f>E34</f>
        <v>200000</v>
      </c>
      <c r="V38" s="143" t="s">
        <v>208</v>
      </c>
      <c r="W38" s="144">
        <f>181263.14*63102.95/202596.47</f>
        <v>56458.233750385683</v>
      </c>
      <c r="AA38" s="146" t="s">
        <v>210</v>
      </c>
      <c r="AB38" s="139">
        <f>362526.28*591898.87/405192.94</f>
        <v>529572.14772128954</v>
      </c>
      <c r="AF38" s="169" t="s">
        <v>203</v>
      </c>
      <c r="AG38" s="169"/>
      <c r="AP38" s="93">
        <f>AR15</f>
        <v>22525.54441910726</v>
      </c>
      <c r="AQ38" s="91" t="s">
        <v>167</v>
      </c>
      <c r="AR38" s="34" t="s">
        <v>202</v>
      </c>
    </row>
    <row r="39" spans="1:58" ht="13.5" thickBot="1" x14ac:dyDescent="0.25">
      <c r="V39" s="143" t="s">
        <v>205</v>
      </c>
      <c r="W39" s="145">
        <f>21333.33*63102.95/202596.47</f>
        <v>6644.7162496143201</v>
      </c>
      <c r="AA39" s="146" t="s">
        <v>211</v>
      </c>
      <c r="AB39" s="147">
        <f>42666.66*591898.87/405192.94</f>
        <v>62326.722278710491</v>
      </c>
      <c r="AF39" t="s">
        <v>204</v>
      </c>
      <c r="AG39" s="22">
        <f>135947.36*79143.45/(135947.36+16000)</f>
        <v>70809.674408242427</v>
      </c>
      <c r="AP39" s="94">
        <f>AR21</f>
        <v>2974.139875731842</v>
      </c>
      <c r="AQ39" s="92" t="s">
        <v>119</v>
      </c>
      <c r="AR39" s="34" t="s">
        <v>201</v>
      </c>
    </row>
    <row r="40" spans="1:58" x14ac:dyDescent="0.2">
      <c r="V40" s="54" t="s">
        <v>209</v>
      </c>
      <c r="W40" s="140">
        <f>SUM(W38:W39)</f>
        <v>63102.950000000004</v>
      </c>
      <c r="AA40" s="54" t="s">
        <v>212</v>
      </c>
      <c r="AB40" s="145">
        <f>SUM(AB38:AB39)</f>
        <v>591898.87</v>
      </c>
      <c r="AF40" t="s">
        <v>205</v>
      </c>
      <c r="AG40" s="22">
        <f>16000*79143.45/(135947.36+16000)</f>
        <v>8333.7755917575669</v>
      </c>
    </row>
    <row r="41" spans="1:58" x14ac:dyDescent="0.2">
      <c r="AF41" t="s">
        <v>206</v>
      </c>
      <c r="AG41" s="61">
        <f>SUM(AG39:AG40)</f>
        <v>79143.45</v>
      </c>
    </row>
    <row r="42" spans="1:58" x14ac:dyDescent="0.2">
      <c r="AS42" s="131">
        <f>F29-(AP37+AP38+AP39)</f>
        <v>734145.17672957701</v>
      </c>
    </row>
    <row r="43" spans="1:58" ht="25.5" x14ac:dyDescent="0.2">
      <c r="U43" s="153"/>
      <c r="AB43" s="153" t="s">
        <v>225</v>
      </c>
      <c r="AC43" s="153" t="s">
        <v>224</v>
      </c>
      <c r="AD43" s="158"/>
      <c r="AE43" s="25"/>
      <c r="AF43" s="159" t="s">
        <v>226</v>
      </c>
      <c r="AP43" s="5">
        <f>AO29-(AP31+AP32+AP33)+AP37+AP38+AP34+AP39</f>
        <v>1727947.511643067</v>
      </c>
    </row>
    <row r="44" spans="1:58" x14ac:dyDescent="0.2">
      <c r="AA44" s="54" t="s">
        <v>227</v>
      </c>
      <c r="AB44" s="144">
        <v>181263.14</v>
      </c>
      <c r="AC44" s="144">
        <f>AB44*2</f>
        <v>362526.28</v>
      </c>
      <c r="AD44" s="158"/>
      <c r="AE44" s="25"/>
      <c r="AF44" s="160">
        <v>135947.35999999999</v>
      </c>
    </row>
    <row r="45" spans="1:58" x14ac:dyDescent="0.2">
      <c r="AA45" s="54" t="s">
        <v>228</v>
      </c>
      <c r="AB45" s="144">
        <v>21333.33</v>
      </c>
      <c r="AC45" s="144">
        <f>AB45*2</f>
        <v>42666.66</v>
      </c>
      <c r="AD45" s="158"/>
      <c r="AE45" s="25"/>
      <c r="AF45" s="160">
        <v>16000</v>
      </c>
    </row>
    <row r="46" spans="1:58" x14ac:dyDescent="0.2">
      <c r="AA46" s="54" t="s">
        <v>229</v>
      </c>
      <c r="AB46" s="144">
        <f>SUM(AB44:AB45)</f>
        <v>202596.47000000003</v>
      </c>
      <c r="AC46" s="144">
        <f>SUM(AC44:AC45)</f>
        <v>405192.94000000006</v>
      </c>
      <c r="AD46" s="158"/>
      <c r="AE46" s="25"/>
      <c r="AF46" s="160">
        <f>SUM(AF44:AF45)</f>
        <v>151947.35999999999</v>
      </c>
      <c r="AH46" s="157">
        <f>AB46+AC46+AF46</f>
        <v>759736.77000000014</v>
      </c>
    </row>
    <row r="49" spans="27:32" ht="25.5" x14ac:dyDescent="0.2">
      <c r="AA49" s="153" t="s">
        <v>230</v>
      </c>
      <c r="AB49" s="54">
        <f>100*AB46/AH46</f>
        <v>26.666666403417594</v>
      </c>
      <c r="AC49" s="54">
        <f>100*AC46/AH46</f>
        <v>53.333332806835188</v>
      </c>
      <c r="AF49" s="161">
        <f>100*AF46/AH46</f>
        <v>20.000000789747212</v>
      </c>
    </row>
  </sheetData>
  <autoFilter ref="A5:E29" xr:uid="{00000000-0009-0000-0000-000000000000}"/>
  <mergeCells count="7">
    <mergeCell ref="Q4:U4"/>
    <mergeCell ref="W4:AB4"/>
    <mergeCell ref="AF38:AG38"/>
    <mergeCell ref="AA32:AB32"/>
    <mergeCell ref="AA31:AB31"/>
    <mergeCell ref="V37:W37"/>
    <mergeCell ref="AA37:AB37"/>
  </mergeCells>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6:P312"/>
  <sheetViews>
    <sheetView topLeftCell="E174" zoomScale="140" zoomScaleNormal="140" workbookViewId="0">
      <selection activeCell="J69" sqref="J69:J186"/>
    </sheetView>
  </sheetViews>
  <sheetFormatPr defaultRowHeight="12.75" x14ac:dyDescent="0.2"/>
  <sheetData>
    <row r="26" spans="14:16" x14ac:dyDescent="0.2">
      <c r="P26" t="s">
        <v>117</v>
      </c>
    </row>
    <row r="30" spans="14:16" x14ac:dyDescent="0.2">
      <c r="N30" t="s">
        <v>116</v>
      </c>
    </row>
    <row r="31" spans="14:16" x14ac:dyDescent="0.2">
      <c r="N31" t="s">
        <v>116</v>
      </c>
    </row>
    <row r="62" spans="2:2" x14ac:dyDescent="0.2">
      <c r="B62" s="40"/>
    </row>
    <row r="289" spans="9:9" x14ac:dyDescent="0.2">
      <c r="I289" s="38"/>
    </row>
    <row r="312" spans="2:2" x14ac:dyDescent="0.2">
      <c r="B312" s="4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33"/>
  <sheetViews>
    <sheetView workbookViewId="0">
      <selection activeCell="B1" sqref="B1"/>
    </sheetView>
  </sheetViews>
  <sheetFormatPr defaultRowHeight="12.75" x14ac:dyDescent="0.2"/>
  <cols>
    <col min="2" max="2" width="16.140625" customWidth="1"/>
    <col min="3" max="3" width="19.28515625" customWidth="1"/>
    <col min="4" max="4" width="22.5703125" customWidth="1"/>
    <col min="5" max="5" width="16.140625" customWidth="1"/>
    <col min="6" max="6" width="17.28515625" customWidth="1"/>
    <col min="7" max="7" width="33.42578125" customWidth="1"/>
  </cols>
  <sheetData>
    <row r="1" spans="2:7" ht="18" x14ac:dyDescent="0.25">
      <c r="B1" s="18" t="s">
        <v>55</v>
      </c>
      <c r="C1" s="17"/>
      <c r="D1" s="17"/>
      <c r="E1" s="17"/>
      <c r="F1" s="17"/>
      <c r="G1" s="17"/>
    </row>
    <row r="2" spans="2:7" ht="18" x14ac:dyDescent="0.25">
      <c r="B2" s="17" t="s">
        <v>58</v>
      </c>
      <c r="C2" s="17"/>
      <c r="D2" s="17"/>
      <c r="E2" s="17"/>
      <c r="F2" s="17"/>
      <c r="G2" s="17"/>
    </row>
    <row r="3" spans="2:7" ht="18" x14ac:dyDescent="0.25">
      <c r="B3" s="17" t="s">
        <v>56</v>
      </c>
      <c r="C3" s="17"/>
      <c r="D3" s="17"/>
      <c r="E3" s="17"/>
      <c r="F3" s="17"/>
      <c r="G3" s="17"/>
    </row>
    <row r="4" spans="2:7" ht="18" x14ac:dyDescent="0.25">
      <c r="B4" s="17" t="s">
        <v>57</v>
      </c>
      <c r="C4" s="17"/>
      <c r="D4" s="17"/>
      <c r="E4" s="17"/>
      <c r="F4" s="17"/>
      <c r="G4" s="17"/>
    </row>
    <row r="6" spans="2:7" ht="14.25" x14ac:dyDescent="0.2">
      <c r="B6" s="14" t="s">
        <v>45</v>
      </c>
      <c r="C6" s="13"/>
    </row>
    <row r="8" spans="2:7" x14ac:dyDescent="0.2">
      <c r="B8" t="s">
        <v>34</v>
      </c>
    </row>
    <row r="11" spans="2:7" x14ac:dyDescent="0.2">
      <c r="B11" s="15" t="s">
        <v>36</v>
      </c>
    </row>
    <row r="13" spans="2:7" x14ac:dyDescent="0.2">
      <c r="B13" t="s">
        <v>35</v>
      </c>
    </row>
    <row r="17" spans="2:7" x14ac:dyDescent="0.2">
      <c r="B17" s="25" t="s">
        <v>37</v>
      </c>
    </row>
    <row r="19" spans="2:7" ht="51" customHeight="1" x14ac:dyDescent="0.2">
      <c r="B19" s="23" t="s">
        <v>71</v>
      </c>
      <c r="C19" s="24" t="s">
        <v>38</v>
      </c>
      <c r="D19" s="24" t="s">
        <v>39</v>
      </c>
      <c r="E19" s="24" t="s">
        <v>40</v>
      </c>
      <c r="F19" s="24" t="s">
        <v>41</v>
      </c>
      <c r="G19" s="24" t="s">
        <v>42</v>
      </c>
    </row>
    <row r="20" spans="2:7" x14ac:dyDescent="0.2">
      <c r="B20" s="24"/>
      <c r="C20" s="24"/>
      <c r="D20" s="24"/>
      <c r="E20" s="24"/>
      <c r="F20" s="24"/>
      <c r="G20" s="24"/>
    </row>
    <row r="21" spans="2:7" x14ac:dyDescent="0.2">
      <c r="B21" s="24"/>
      <c r="C21" s="24"/>
      <c r="D21" s="24"/>
      <c r="E21" s="24"/>
      <c r="F21" s="24"/>
      <c r="G21" s="24"/>
    </row>
    <row r="22" spans="2:7" x14ac:dyDescent="0.2">
      <c r="B22" s="24"/>
      <c r="C22" s="24"/>
      <c r="D22" s="24"/>
      <c r="E22" s="24"/>
      <c r="F22" s="24"/>
      <c r="G22" s="24"/>
    </row>
    <row r="23" spans="2:7" x14ac:dyDescent="0.2">
      <c r="B23" s="24"/>
      <c r="C23" s="24"/>
      <c r="D23" s="24"/>
      <c r="E23" s="24"/>
      <c r="F23" s="24"/>
      <c r="G23" s="24"/>
    </row>
    <row r="24" spans="2:7" x14ac:dyDescent="0.2">
      <c r="B24" s="24"/>
      <c r="C24" s="24"/>
      <c r="D24" s="24"/>
      <c r="E24" s="24"/>
      <c r="F24" s="24"/>
      <c r="G24" s="24"/>
    </row>
    <row r="25" spans="2:7" x14ac:dyDescent="0.2">
      <c r="B25" s="24"/>
      <c r="C25" s="24"/>
      <c r="D25" s="24"/>
      <c r="E25" s="24"/>
      <c r="F25" s="24"/>
      <c r="G25" s="24"/>
    </row>
    <row r="26" spans="2:7" x14ac:dyDescent="0.2">
      <c r="B26" s="24"/>
      <c r="C26" s="24"/>
      <c r="D26" s="24"/>
      <c r="E26" s="24"/>
      <c r="F26" s="24"/>
      <c r="G26" s="24"/>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row r="30" spans="2:7" x14ac:dyDescent="0.2">
      <c r="B30" s="24"/>
      <c r="C30" s="24"/>
      <c r="D30" s="24"/>
      <c r="E30" s="24"/>
      <c r="F30" s="24"/>
      <c r="G30" s="24"/>
    </row>
    <row r="31" spans="2:7" x14ac:dyDescent="0.2">
      <c r="B31" s="24"/>
      <c r="C31" s="24"/>
      <c r="D31" s="24"/>
      <c r="E31" s="24"/>
      <c r="F31" s="24"/>
      <c r="G31" s="24"/>
    </row>
    <row r="32" spans="2:7" x14ac:dyDescent="0.2">
      <c r="B32" s="24"/>
      <c r="C32" s="24"/>
      <c r="D32" s="24"/>
      <c r="E32" s="24"/>
      <c r="F32" s="24"/>
      <c r="G32" s="24"/>
    </row>
    <row r="33" spans="2:7" x14ac:dyDescent="0.2">
      <c r="B33" s="24"/>
      <c r="C33" s="24"/>
      <c r="D33" s="24"/>
      <c r="E33" s="24"/>
      <c r="F33" s="24"/>
      <c r="G33"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workbookViewId="0">
      <selection activeCell="B1" sqref="B1"/>
    </sheetView>
  </sheetViews>
  <sheetFormatPr defaultRowHeight="12.75" x14ac:dyDescent="0.2"/>
  <cols>
    <col min="2" max="2" width="16.140625" customWidth="1"/>
    <col min="3" max="3" width="19.28515625" customWidth="1"/>
    <col min="4" max="4" width="22.5703125" customWidth="1"/>
    <col min="5" max="5" width="16.140625" customWidth="1"/>
    <col min="6" max="6" width="17.28515625" customWidth="1"/>
    <col min="7" max="7" width="33.42578125" customWidth="1"/>
  </cols>
  <sheetData>
    <row r="1" spans="2:3" s="17" customFormat="1" ht="20.25" x14ac:dyDescent="0.3">
      <c r="B1" s="19" t="s">
        <v>63</v>
      </c>
    </row>
    <row r="2" spans="2:3" s="17" customFormat="1" ht="18" x14ac:dyDescent="0.25">
      <c r="B2" s="18" t="s">
        <v>59</v>
      </c>
    </row>
    <row r="3" spans="2:3" s="17" customFormat="1" ht="18" x14ac:dyDescent="0.25">
      <c r="B3" s="18" t="s">
        <v>60</v>
      </c>
    </row>
    <row r="4" spans="2:3" s="17" customFormat="1" ht="18" x14ac:dyDescent="0.25">
      <c r="B4" s="18" t="s">
        <v>61</v>
      </c>
    </row>
    <row r="5" spans="2:3" s="17" customFormat="1" ht="18" x14ac:dyDescent="0.25">
      <c r="B5" s="18" t="s">
        <v>62</v>
      </c>
    </row>
    <row r="6" spans="2:3" x14ac:dyDescent="0.2">
      <c r="B6" s="16"/>
    </row>
    <row r="7" spans="2:3" ht="14.25" x14ac:dyDescent="0.2">
      <c r="B7" s="14" t="s">
        <v>45</v>
      </c>
      <c r="C7" s="13"/>
    </row>
    <row r="9" spans="2:3" x14ac:dyDescent="0.2">
      <c r="B9" t="s">
        <v>43</v>
      </c>
    </row>
    <row r="12" spans="2:3" x14ac:dyDescent="0.2">
      <c r="B12" s="15" t="s">
        <v>46</v>
      </c>
    </row>
    <row r="14" spans="2:3" x14ac:dyDescent="0.2">
      <c r="B14" t="s">
        <v>44</v>
      </c>
    </row>
    <row r="18" spans="2:7" x14ac:dyDescent="0.2">
      <c r="B18" s="25" t="s">
        <v>37</v>
      </c>
    </row>
    <row r="20" spans="2:7" ht="57.75" customHeight="1" x14ac:dyDescent="0.2">
      <c r="B20" s="23" t="s">
        <v>72</v>
      </c>
      <c r="C20" s="24" t="s">
        <v>38</v>
      </c>
      <c r="D20" s="24" t="s">
        <v>39</v>
      </c>
      <c r="E20" s="24" t="s">
        <v>40</v>
      </c>
      <c r="F20" s="24" t="s">
        <v>41</v>
      </c>
      <c r="G20" s="24" t="s">
        <v>42</v>
      </c>
    </row>
    <row r="21" spans="2:7" x14ac:dyDescent="0.2">
      <c r="B21" s="24"/>
      <c r="C21" s="24"/>
      <c r="D21" s="24"/>
      <c r="E21" s="24"/>
      <c r="F21" s="24"/>
      <c r="G21" s="24"/>
    </row>
    <row r="22" spans="2:7" x14ac:dyDescent="0.2">
      <c r="B22" s="24"/>
      <c r="C22" s="24"/>
      <c r="D22" s="24"/>
      <c r="E22" s="24"/>
      <c r="F22" s="24"/>
      <c r="G22" s="24"/>
    </row>
    <row r="23" spans="2:7" x14ac:dyDescent="0.2">
      <c r="B23" s="24"/>
      <c r="C23" s="24"/>
      <c r="D23" s="24"/>
      <c r="E23" s="24"/>
      <c r="F23" s="24"/>
      <c r="G23" s="24"/>
    </row>
    <row r="24" spans="2:7" x14ac:dyDescent="0.2">
      <c r="B24" s="24"/>
      <c r="C24" s="24"/>
      <c r="D24" s="24"/>
      <c r="E24" s="24"/>
      <c r="F24" s="24"/>
      <c r="G24" s="24"/>
    </row>
    <row r="25" spans="2:7" x14ac:dyDescent="0.2">
      <c r="B25" s="24"/>
      <c r="C25" s="24"/>
      <c r="D25" s="24"/>
      <c r="E25" s="24"/>
      <c r="F25" s="24"/>
      <c r="G25" s="24"/>
    </row>
    <row r="26" spans="2:7" x14ac:dyDescent="0.2">
      <c r="B26" s="24"/>
      <c r="C26" s="24"/>
      <c r="D26" s="24"/>
      <c r="E26" s="24"/>
      <c r="F26" s="24"/>
      <c r="G26" s="24"/>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row r="30" spans="2:7" x14ac:dyDescent="0.2">
      <c r="B30" s="24"/>
      <c r="C30" s="24"/>
      <c r="D30" s="24"/>
      <c r="E30" s="24"/>
      <c r="F30" s="24"/>
      <c r="G30" s="24"/>
    </row>
    <row r="31" spans="2:7" x14ac:dyDescent="0.2">
      <c r="B31" s="24"/>
      <c r="C31" s="24"/>
      <c r="D31" s="24"/>
      <c r="E31" s="24"/>
      <c r="F31" s="24"/>
      <c r="G31" s="24"/>
    </row>
    <row r="32" spans="2:7" x14ac:dyDescent="0.2">
      <c r="B32" s="24"/>
      <c r="C32" s="24"/>
      <c r="D32" s="24"/>
      <c r="E32" s="24"/>
      <c r="F32" s="24"/>
      <c r="G32" s="24"/>
    </row>
    <row r="33" spans="2:7" x14ac:dyDescent="0.2">
      <c r="B33" s="24"/>
      <c r="C33" s="24"/>
      <c r="D33" s="24"/>
      <c r="E33" s="24"/>
      <c r="F33" s="24"/>
      <c r="G33" s="24"/>
    </row>
    <row r="34" spans="2:7" x14ac:dyDescent="0.2">
      <c r="B34" s="24"/>
      <c r="C34" s="24"/>
      <c r="D34" s="24"/>
      <c r="E34" s="24"/>
      <c r="F34" s="24"/>
      <c r="G34"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33"/>
  <sheetViews>
    <sheetView workbookViewId="0">
      <selection activeCell="B11" sqref="B11:G13"/>
    </sheetView>
  </sheetViews>
  <sheetFormatPr defaultRowHeight="12.75" x14ac:dyDescent="0.2"/>
  <cols>
    <col min="2" max="2" width="16.140625" customWidth="1"/>
    <col min="3" max="3" width="19.28515625" customWidth="1"/>
    <col min="4" max="4" width="22.5703125" customWidth="1"/>
    <col min="5" max="5" width="16.140625" customWidth="1"/>
    <col min="6" max="6" width="17.28515625" customWidth="1"/>
    <col min="7" max="7" width="33.42578125" customWidth="1"/>
  </cols>
  <sheetData>
    <row r="1" spans="2:3" ht="18" x14ac:dyDescent="0.25">
      <c r="B1" s="18" t="s">
        <v>66</v>
      </c>
    </row>
    <row r="2" spans="2:3" ht="18" x14ac:dyDescent="0.25">
      <c r="B2" s="18" t="s">
        <v>64</v>
      </c>
    </row>
    <row r="3" spans="2:3" ht="18" x14ac:dyDescent="0.25">
      <c r="B3" s="18" t="s">
        <v>65</v>
      </c>
    </row>
    <row r="6" spans="2:3" ht="14.25" x14ac:dyDescent="0.2">
      <c r="B6" s="14" t="s">
        <v>45</v>
      </c>
      <c r="C6" s="13"/>
    </row>
    <row r="8" spans="2:3" x14ac:dyDescent="0.2">
      <c r="B8" t="s">
        <v>47</v>
      </c>
    </row>
    <row r="11" spans="2:3" x14ac:dyDescent="0.2">
      <c r="B11" s="15" t="s">
        <v>46</v>
      </c>
    </row>
    <row r="13" spans="2:3" x14ac:dyDescent="0.2">
      <c r="B13" t="s">
        <v>48</v>
      </c>
    </row>
    <row r="17" spans="2:7" x14ac:dyDescent="0.2">
      <c r="B17" s="25" t="s">
        <v>37</v>
      </c>
    </row>
    <row r="19" spans="2:7" ht="51" customHeight="1" x14ac:dyDescent="0.2">
      <c r="B19" s="23" t="s">
        <v>73</v>
      </c>
      <c r="C19" s="24" t="s">
        <v>38</v>
      </c>
      <c r="D19" s="24" t="s">
        <v>39</v>
      </c>
      <c r="E19" s="24" t="s">
        <v>40</v>
      </c>
      <c r="F19" s="24" t="s">
        <v>41</v>
      </c>
      <c r="G19" s="24" t="s">
        <v>42</v>
      </c>
    </row>
    <row r="20" spans="2:7" x14ac:dyDescent="0.2">
      <c r="B20" s="24"/>
      <c r="C20" s="24"/>
      <c r="D20" s="24"/>
      <c r="E20" s="24"/>
      <c r="F20" s="24"/>
      <c r="G20" s="24"/>
    </row>
    <row r="21" spans="2:7" x14ac:dyDescent="0.2">
      <c r="B21" s="24"/>
      <c r="C21" s="24"/>
      <c r="D21" s="24"/>
      <c r="E21" s="24"/>
      <c r="F21" s="24"/>
      <c r="G21" s="24"/>
    </row>
    <row r="22" spans="2:7" x14ac:dyDescent="0.2">
      <c r="B22" s="24"/>
      <c r="C22" s="24"/>
      <c r="D22" s="24"/>
      <c r="E22" s="24"/>
      <c r="F22" s="24"/>
      <c r="G22" s="24"/>
    </row>
    <row r="23" spans="2:7" x14ac:dyDescent="0.2">
      <c r="B23" s="24"/>
      <c r="C23" s="24"/>
      <c r="D23" s="24"/>
      <c r="E23" s="24"/>
      <c r="F23" s="24"/>
      <c r="G23" s="24"/>
    </row>
    <row r="24" spans="2:7" x14ac:dyDescent="0.2">
      <c r="B24" s="24"/>
      <c r="C24" s="24"/>
      <c r="D24" s="24"/>
      <c r="E24" s="24"/>
      <c r="F24" s="24"/>
      <c r="G24" s="24"/>
    </row>
    <row r="25" spans="2:7" x14ac:dyDescent="0.2">
      <c r="B25" s="24"/>
      <c r="C25" s="24"/>
      <c r="D25" s="24"/>
      <c r="E25" s="24"/>
      <c r="F25" s="24"/>
      <c r="G25" s="24"/>
    </row>
    <row r="26" spans="2:7" x14ac:dyDescent="0.2">
      <c r="B26" s="24"/>
      <c r="C26" s="24"/>
      <c r="D26" s="24"/>
      <c r="E26" s="24"/>
      <c r="F26" s="24"/>
      <c r="G26" s="24"/>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row r="30" spans="2:7" x14ac:dyDescent="0.2">
      <c r="B30" s="24"/>
      <c r="C30" s="24"/>
      <c r="D30" s="24"/>
      <c r="E30" s="24"/>
      <c r="F30" s="24"/>
      <c r="G30" s="24"/>
    </row>
    <row r="31" spans="2:7" x14ac:dyDescent="0.2">
      <c r="B31" s="24"/>
      <c r="C31" s="24"/>
      <c r="D31" s="24"/>
      <c r="E31" s="24"/>
      <c r="F31" s="24"/>
      <c r="G31" s="24"/>
    </row>
    <row r="32" spans="2:7" x14ac:dyDescent="0.2">
      <c r="B32" s="24"/>
      <c r="C32" s="24"/>
      <c r="D32" s="24"/>
      <c r="E32" s="24"/>
      <c r="F32" s="24"/>
      <c r="G32" s="24"/>
    </row>
    <row r="33" spans="2:7" x14ac:dyDescent="0.2">
      <c r="B33" s="24"/>
      <c r="C33" s="24"/>
      <c r="D33" s="24"/>
      <c r="E33" s="24"/>
      <c r="F33" s="24"/>
      <c r="G33"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O32"/>
  <sheetViews>
    <sheetView workbookViewId="0">
      <selection activeCell="D25" sqref="D25"/>
    </sheetView>
  </sheetViews>
  <sheetFormatPr defaultRowHeight="12.75" x14ac:dyDescent="0.2"/>
  <cols>
    <col min="14" max="14" width="15.5703125" customWidth="1"/>
  </cols>
  <sheetData>
    <row r="3" spans="1:15" ht="15.75" x14ac:dyDescent="0.25">
      <c r="B3" s="30" t="s">
        <v>76</v>
      </c>
      <c r="C3" s="30"/>
      <c r="D3" s="30"/>
      <c r="E3" s="30"/>
      <c r="F3" s="30"/>
      <c r="G3" s="30"/>
      <c r="H3" s="30"/>
      <c r="I3" s="30"/>
      <c r="J3" s="30"/>
      <c r="K3" s="30"/>
      <c r="L3" s="30"/>
      <c r="M3" s="30"/>
      <c r="N3" s="30"/>
      <c r="O3" s="30"/>
    </row>
    <row r="4" spans="1:15" ht="15.75" x14ac:dyDescent="0.25">
      <c r="B4" s="30" t="s">
        <v>77</v>
      </c>
      <c r="C4" s="30"/>
      <c r="D4" s="30"/>
      <c r="E4" s="30"/>
      <c r="F4" s="30"/>
      <c r="G4" s="30"/>
      <c r="H4" s="30"/>
      <c r="I4" s="30"/>
      <c r="J4" s="30"/>
      <c r="K4" s="30"/>
      <c r="L4" s="30"/>
      <c r="M4" s="30"/>
      <c r="N4" s="30"/>
      <c r="O4" s="30"/>
    </row>
    <row r="7" spans="1:15" x14ac:dyDescent="0.2">
      <c r="B7" s="20" t="s">
        <v>78</v>
      </c>
      <c r="C7" s="20" t="s">
        <v>88</v>
      </c>
      <c r="D7" s="20" t="s">
        <v>87</v>
      </c>
      <c r="E7" s="20"/>
      <c r="F7" s="20"/>
      <c r="G7" s="20"/>
      <c r="H7" s="20"/>
      <c r="I7" s="20"/>
      <c r="J7" s="20"/>
      <c r="K7" s="20"/>
      <c r="L7" s="20"/>
      <c r="M7" s="20"/>
      <c r="N7" s="20"/>
    </row>
    <row r="8" spans="1:15" x14ac:dyDescent="0.2">
      <c r="B8" s="20"/>
      <c r="C8" s="20" t="s">
        <v>90</v>
      </c>
      <c r="D8" s="174" t="s">
        <v>89</v>
      </c>
      <c r="E8" s="174"/>
      <c r="F8" s="174"/>
      <c r="G8" s="174"/>
      <c r="H8" s="174"/>
      <c r="I8" s="174"/>
      <c r="J8" s="174"/>
      <c r="K8" s="174"/>
      <c r="L8" s="174"/>
      <c r="M8" s="174"/>
      <c r="N8" s="174"/>
      <c r="O8" s="174"/>
    </row>
    <row r="9" spans="1:15" x14ac:dyDescent="0.2">
      <c r="B9" s="20"/>
      <c r="C9" s="20"/>
      <c r="D9" s="174"/>
      <c r="E9" s="174"/>
      <c r="F9" s="174"/>
      <c r="G9" s="174"/>
      <c r="H9" s="174"/>
      <c r="I9" s="174"/>
      <c r="J9" s="174"/>
      <c r="K9" s="174"/>
      <c r="L9" s="174"/>
      <c r="M9" s="174"/>
      <c r="N9" s="174"/>
      <c r="O9" s="174"/>
    </row>
    <row r="10" spans="1:15" x14ac:dyDescent="0.2">
      <c r="A10" s="34"/>
      <c r="B10" s="34"/>
      <c r="C10" s="34" t="s">
        <v>106</v>
      </c>
      <c r="D10" s="34" t="s">
        <v>105</v>
      </c>
      <c r="E10" s="34"/>
      <c r="F10" s="34"/>
      <c r="G10" s="34"/>
      <c r="H10" s="34"/>
      <c r="I10" s="34"/>
      <c r="J10" s="34"/>
      <c r="K10" s="34"/>
      <c r="M10" s="34"/>
      <c r="N10" s="34"/>
    </row>
    <row r="11" spans="1:15" x14ac:dyDescent="0.2">
      <c r="B11" s="20"/>
      <c r="C11" s="20" t="s">
        <v>93</v>
      </c>
      <c r="D11" s="31" t="s">
        <v>92</v>
      </c>
      <c r="E11" s="20"/>
      <c r="F11" s="20"/>
      <c r="G11" s="20"/>
      <c r="H11" s="20"/>
      <c r="I11" s="20"/>
      <c r="J11" s="20"/>
      <c r="K11" s="20"/>
      <c r="L11" s="20"/>
      <c r="M11" s="20"/>
      <c r="N11" s="20"/>
    </row>
    <row r="12" spans="1:15" s="33" customFormat="1" ht="12.75" customHeight="1" x14ac:dyDescent="0.2">
      <c r="B12" s="34"/>
      <c r="C12" s="34" t="s">
        <v>111</v>
      </c>
      <c r="D12" s="34" t="str">
        <f>'[1]ipotesi destinazione FF2022'!$B$8</f>
        <v xml:space="preserve">Circa il Fondo Statale per le Politiche della Famiglia si evidenzia la necessità che lo stesso  sia  maggiormente destinato, incrementandone la percentuale di utilizzo, al rafforzamento di azioni, interventi e servizi finalizzati a rendere effettivo l'esercizio del ruolo genitoriale, in un’ottica di  sostegno genitoriale, di benessere ed anche in un’ottica di prevenzione del disagio. Azioni che potranno essere realizzate sul territorio di tutto l’ATS, per raggiungere maggiormente l’utenza quindi incontri anche itineranti, </v>
      </c>
      <c r="E12" s="34"/>
      <c r="F12" s="34"/>
      <c r="G12" s="34"/>
      <c r="H12" s="34"/>
      <c r="I12" s="34"/>
      <c r="J12" s="34"/>
      <c r="K12" s="34"/>
      <c r="L12" s="34"/>
      <c r="M12" s="34"/>
      <c r="N12" s="34"/>
    </row>
    <row r="13" spans="1:15" s="33" customFormat="1" x14ac:dyDescent="0.2">
      <c r="A13"/>
      <c r="B13" s="20"/>
      <c r="C13" s="20" t="s">
        <v>96</v>
      </c>
      <c r="D13" s="34" t="s">
        <v>95</v>
      </c>
      <c r="E13" s="34"/>
      <c r="F13" s="34"/>
      <c r="G13" s="34"/>
      <c r="H13" s="34"/>
      <c r="I13" s="34"/>
      <c r="J13" s="34"/>
      <c r="K13" s="34"/>
      <c r="L13" s="34"/>
      <c r="M13" s="34"/>
      <c r="N13" s="34"/>
    </row>
    <row r="14" spans="1:15" s="33" customFormat="1" x14ac:dyDescent="0.2">
      <c r="B14" s="34"/>
      <c r="C14" s="34" t="s">
        <v>97</v>
      </c>
      <c r="D14" s="34" t="s">
        <v>98</v>
      </c>
      <c r="E14" s="34"/>
      <c r="F14" s="34"/>
      <c r="G14" s="34"/>
      <c r="H14" s="34"/>
      <c r="I14" s="34"/>
      <c r="J14" s="34"/>
      <c r="K14" s="34"/>
      <c r="L14" s="34"/>
      <c r="M14" s="34"/>
      <c r="N14" s="34"/>
    </row>
    <row r="15" spans="1:15" s="33" customFormat="1" x14ac:dyDescent="0.2">
      <c r="B15" s="34"/>
      <c r="C15" s="34" t="s">
        <v>112</v>
      </c>
      <c r="D15" s="34" t="s">
        <v>113</v>
      </c>
      <c r="E15" s="34"/>
      <c r="F15" s="34"/>
      <c r="G15" s="34"/>
      <c r="H15" s="34"/>
      <c r="I15" s="34"/>
      <c r="J15" s="34"/>
      <c r="K15" s="34"/>
      <c r="L15" s="34"/>
      <c r="M15" s="34"/>
      <c r="N15" s="34"/>
    </row>
    <row r="16" spans="1:15" s="33" customFormat="1" x14ac:dyDescent="0.2">
      <c r="B16" s="34"/>
      <c r="C16" s="34" t="s">
        <v>99</v>
      </c>
      <c r="D16" s="34" t="str">
        <f>'[2]ipotesi destinazione FF2022'!$C$7</f>
        <v xml:space="preserve">Azione a favore delle madri e dei padri in difficoltà - Sono beneficiari del seguente intervento, in ordine di priorità: 
Madri in condizione di monogenitorialità in stato di gravidanza dal quarto mese e fino al compimento dell'anno di vita del bambino; 
Padri in condizione di monogenitorialità fino al compimento dell'anno di vita del bambino.
(Per monogenitorialità si intende la condizione in cui l'altro genitore è deceduto o non ha riconosciuto il figlio o è stato dichiarato decaduto dalla responsabilità genitoriale (ex potestà genitoriale).
</v>
      </c>
      <c r="E16" s="34"/>
      <c r="F16" s="34"/>
      <c r="G16" s="34"/>
      <c r="H16" s="34"/>
      <c r="I16" s="34"/>
      <c r="J16" s="34"/>
      <c r="K16" s="34"/>
      <c r="L16" s="34"/>
      <c r="M16" s="34"/>
      <c r="N16" s="34"/>
    </row>
    <row r="17" spans="1:15" s="33" customFormat="1" x14ac:dyDescent="0.2">
      <c r="B17" s="34"/>
      <c r="C17" s="34" t="s">
        <v>101</v>
      </c>
      <c r="D17" s="34" t="s">
        <v>100</v>
      </c>
      <c r="E17" s="34"/>
      <c r="F17" s="34"/>
      <c r="G17" s="34"/>
      <c r="H17" s="34"/>
      <c r="I17" s="34"/>
      <c r="J17" s="34"/>
      <c r="K17" s="34"/>
      <c r="L17" s="34"/>
      <c r="M17" s="34"/>
      <c r="N17" s="34"/>
    </row>
    <row r="18" spans="1:15" s="33" customFormat="1" x14ac:dyDescent="0.2">
      <c r="B18" s="34"/>
      <c r="C18" s="34" t="s">
        <v>108</v>
      </c>
      <c r="D18" s="34" t="s">
        <v>107</v>
      </c>
      <c r="E18" s="34"/>
      <c r="F18" s="34"/>
      <c r="G18" s="34"/>
      <c r="H18" s="34"/>
      <c r="I18" s="34"/>
      <c r="J18" s="34"/>
      <c r="K18" s="34"/>
      <c r="L18" s="34"/>
      <c r="M18" s="34"/>
      <c r="N18" s="34"/>
    </row>
    <row r="19" spans="1:15" s="33" customFormat="1" x14ac:dyDescent="0.2">
      <c r="B19" s="34"/>
      <c r="C19" s="34" t="s">
        <v>119</v>
      </c>
      <c r="D19" s="34" t="s">
        <v>118</v>
      </c>
      <c r="E19" s="34"/>
      <c r="F19" s="34"/>
      <c r="G19" s="34"/>
      <c r="H19" s="34"/>
      <c r="I19" s="34"/>
      <c r="J19" s="34"/>
      <c r="K19" s="34"/>
      <c r="L19" s="34"/>
      <c r="M19" s="34"/>
      <c r="N19" s="34"/>
    </row>
    <row r="20" spans="1:15" s="33" customFormat="1" x14ac:dyDescent="0.2">
      <c r="B20" s="34"/>
      <c r="C20" s="34" t="s">
        <v>126</v>
      </c>
      <c r="D20" s="34" t="s">
        <v>107</v>
      </c>
      <c r="E20" s="34"/>
      <c r="F20" s="34"/>
      <c r="G20" s="34"/>
      <c r="H20" s="34"/>
      <c r="I20" s="34"/>
      <c r="J20" s="34"/>
      <c r="K20" s="34"/>
      <c r="L20" s="34"/>
      <c r="M20" s="34"/>
      <c r="N20" s="34"/>
    </row>
    <row r="21" spans="1:15" ht="12.75" customHeight="1" x14ac:dyDescent="0.2">
      <c r="A21" s="33"/>
      <c r="B21" s="34"/>
      <c r="C21" s="34" t="s">
        <v>104</v>
      </c>
      <c r="D21" s="34" t="s">
        <v>103</v>
      </c>
      <c r="E21" s="34"/>
      <c r="F21" s="34"/>
      <c r="G21" s="34"/>
      <c r="H21" s="34"/>
      <c r="I21" s="34"/>
      <c r="J21" s="34"/>
      <c r="K21" s="34"/>
      <c r="L21" s="35"/>
      <c r="M21" s="35"/>
      <c r="N21" s="35"/>
      <c r="O21" s="35"/>
    </row>
    <row r="22" spans="1:15" ht="18.75" customHeight="1" x14ac:dyDescent="0.2">
      <c r="B22" s="20" t="s">
        <v>79</v>
      </c>
      <c r="C22" s="20" t="s">
        <v>90</v>
      </c>
      <c r="D22" s="175" t="s">
        <v>91</v>
      </c>
      <c r="E22" s="175"/>
      <c r="F22" s="175"/>
      <c r="G22" s="175"/>
      <c r="H22" s="175"/>
      <c r="I22" s="175"/>
      <c r="J22" s="175"/>
      <c r="K22" s="175"/>
      <c r="L22" s="175"/>
      <c r="M22" s="175"/>
      <c r="N22" s="175"/>
      <c r="O22" s="35"/>
    </row>
    <row r="23" spans="1:15" x14ac:dyDescent="0.2">
      <c r="B23" s="20"/>
      <c r="C23" s="20" t="s">
        <v>126</v>
      </c>
      <c r="D23" s="47" t="s">
        <v>109</v>
      </c>
      <c r="E23" s="47"/>
      <c r="F23" s="47"/>
      <c r="G23" s="47"/>
      <c r="H23" s="47"/>
      <c r="I23" s="47"/>
      <c r="J23" s="47"/>
      <c r="K23" s="47"/>
      <c r="L23" s="48"/>
      <c r="M23" s="48"/>
      <c r="N23" s="48"/>
    </row>
    <row r="24" spans="1:15" x14ac:dyDescent="0.2">
      <c r="B24" s="20"/>
      <c r="C24" s="20" t="s">
        <v>93</v>
      </c>
      <c r="D24" s="32" t="s">
        <v>94</v>
      </c>
      <c r="E24" s="20"/>
      <c r="F24" s="20"/>
      <c r="G24" s="20"/>
      <c r="H24" s="20"/>
      <c r="I24" s="20"/>
      <c r="J24" s="20"/>
      <c r="K24" s="20"/>
      <c r="L24" s="20"/>
      <c r="M24" s="20"/>
      <c r="N24" s="20"/>
    </row>
    <row r="25" spans="1:15" s="33" customFormat="1" x14ac:dyDescent="0.2">
      <c r="A25"/>
      <c r="B25" s="20"/>
      <c r="C25" s="20" t="s">
        <v>99</v>
      </c>
      <c r="D25" s="20" t="str">
        <f>'[2]ipotesi destinazione FF2022'!$C$12</f>
        <v>Interventi per il superamento di situazioni di disagio sociale o economico:  
sostegno a famiglie con numero di figli pari o superiore a quattro, di cui almeno 1 minorenne;
sostegno alle famiglie con figli minori di età rimasti orfani di uno od entrambi i genitori.</v>
      </c>
      <c r="E25" s="20"/>
      <c r="F25" s="20"/>
      <c r="G25" s="20"/>
      <c r="H25" s="20"/>
      <c r="I25" s="20"/>
      <c r="J25" s="20"/>
      <c r="K25" s="20"/>
      <c r="L25" s="34"/>
      <c r="M25" s="34"/>
      <c r="N25" s="34"/>
    </row>
    <row r="26" spans="1:15" x14ac:dyDescent="0.2">
      <c r="A26" s="33"/>
      <c r="B26" s="34"/>
      <c r="C26" s="34" t="s">
        <v>108</v>
      </c>
      <c r="D26" s="34" t="s">
        <v>109</v>
      </c>
      <c r="E26" s="34"/>
      <c r="F26" s="34"/>
      <c r="G26" s="34"/>
      <c r="H26" s="34"/>
      <c r="I26" s="34"/>
      <c r="J26" s="34"/>
      <c r="K26" s="34"/>
      <c r="L26" s="20"/>
      <c r="M26" s="20"/>
      <c r="N26" s="20"/>
    </row>
    <row r="27" spans="1:15" x14ac:dyDescent="0.2">
      <c r="B27" s="20" t="s">
        <v>80</v>
      </c>
      <c r="C27" s="20" t="s">
        <v>99</v>
      </c>
      <c r="D27" s="20" t="str">
        <f>'[2]ipotesi destinazione FF2022'!$C$16</f>
        <v>Rafforzamento dei Centri per la famiglia e scuole per genitori in  collaborazione con le istituzioni pubbliche e del terzo settore per la realizzazione delle seguenti attività: 
mediazione familiare, realizzazione di servizi informativi per i genitori separati o divorziati e finalizzati a rendere effettivo l'esercizio del ruolo genitoriale; 
realizzazione di percorsi di supporto psicologico diretti al superamento del disagio, al recupero della propria autonomia ed al mantenimento di un pieno ruolo genitoriale.</v>
      </c>
      <c r="E27" s="20"/>
      <c r="F27" s="20"/>
      <c r="G27" s="20"/>
      <c r="H27" s="20"/>
      <c r="I27" s="20"/>
      <c r="J27" s="20"/>
      <c r="K27" s="20"/>
      <c r="L27" s="20"/>
      <c r="M27" s="20"/>
      <c r="N27" s="20"/>
    </row>
    <row r="28" spans="1:15" x14ac:dyDescent="0.2">
      <c r="B28" s="20"/>
      <c r="C28" s="20" t="s">
        <v>108</v>
      </c>
      <c r="D28" s="34" t="s">
        <v>110</v>
      </c>
      <c r="E28" s="34"/>
      <c r="F28" s="34"/>
      <c r="G28" s="34"/>
      <c r="H28" s="34"/>
      <c r="I28" s="34"/>
      <c r="J28" s="34"/>
      <c r="K28" s="34"/>
      <c r="L28" s="20"/>
      <c r="M28" s="20"/>
      <c r="N28" s="20"/>
    </row>
    <row r="29" spans="1:15" x14ac:dyDescent="0.2">
      <c r="B29" s="20"/>
      <c r="C29" s="20" t="s">
        <v>126</v>
      </c>
      <c r="D29" s="20" t="s">
        <v>110</v>
      </c>
      <c r="E29" s="20"/>
      <c r="F29" s="20"/>
      <c r="G29" s="20"/>
      <c r="H29" s="20"/>
      <c r="I29" s="20"/>
      <c r="J29" s="20"/>
      <c r="K29" s="20"/>
      <c r="L29" s="20"/>
      <c r="M29" s="20"/>
      <c r="N29" s="20"/>
    </row>
    <row r="30" spans="1:15" x14ac:dyDescent="0.2">
      <c r="B30" s="20"/>
      <c r="C30" s="20"/>
      <c r="D30" s="20"/>
      <c r="E30" s="20"/>
      <c r="F30" s="20"/>
      <c r="G30" s="20"/>
      <c r="H30" s="20"/>
      <c r="I30" s="20"/>
      <c r="J30" s="20"/>
      <c r="K30" s="20"/>
      <c r="L30" s="20"/>
      <c r="M30" s="20"/>
      <c r="N30" s="20"/>
    </row>
    <row r="31" spans="1:15" x14ac:dyDescent="0.2">
      <c r="B31" s="20"/>
      <c r="C31" s="20"/>
      <c r="D31" s="20"/>
      <c r="E31" s="20"/>
      <c r="F31" s="20"/>
      <c r="G31" s="20"/>
      <c r="H31" s="20"/>
      <c r="I31" s="20"/>
      <c r="J31" s="20"/>
      <c r="K31" s="20"/>
      <c r="L31" s="20"/>
      <c r="M31" s="20"/>
      <c r="N31" s="20"/>
    </row>
    <row r="32" spans="1:15" x14ac:dyDescent="0.2">
      <c r="B32" s="20" t="s">
        <v>81</v>
      </c>
      <c r="C32" s="20"/>
      <c r="D32" s="20"/>
      <c r="E32" s="20"/>
      <c r="F32" s="20"/>
      <c r="G32" s="20"/>
      <c r="H32" s="20"/>
      <c r="I32" s="20"/>
      <c r="J32" s="20"/>
      <c r="K32" s="20"/>
    </row>
  </sheetData>
  <mergeCells count="2">
    <mergeCell ref="D8:O9"/>
    <mergeCell ref="D22:N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nostro_ rendiconto FF2021 </vt:lpstr>
      <vt:lpstr>riparto FF2021_e_LR30_FNSP 2020</vt:lpstr>
      <vt:lpstr>Foglio1</vt:lpstr>
      <vt:lpstr>FF2021_intervento 1</vt:lpstr>
      <vt:lpstr>FF2021_intervento 2 </vt:lpstr>
      <vt:lpstr>FF2021_intervento 3</vt:lpstr>
      <vt:lpstr>ipotesi destinazione FF2022</vt:lpstr>
    </vt:vector>
  </TitlesOfParts>
  <Company>Regione Marche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Elena Tartari</dc:creator>
  <cp:lastModifiedBy>Loredana Carpentiere</cp:lastModifiedBy>
  <cp:lastPrinted>2022-09-16T08:51:38Z</cp:lastPrinted>
  <dcterms:created xsi:type="dcterms:W3CDTF">2021-02-17T16:13:55Z</dcterms:created>
  <dcterms:modified xsi:type="dcterms:W3CDTF">2023-06-09T10:36:06Z</dcterms:modified>
</cp:coreProperties>
</file>