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6b9cc1b8e7bb9c/Documents/GitHub/Project2/Market_Movement_Indicators/starter_files/Bruce/"/>
    </mc:Choice>
  </mc:AlternateContent>
  <xr:revisionPtr revIDLastSave="617" documentId="8_{4943D7CE-08A2-4E68-99B8-99D7C92FFB9D}" xr6:coauthVersionLast="45" xr6:coauthVersionMax="45" xr10:uidLastSave="{1A6CB8F6-E10A-45B7-B6F7-628023E8F899}"/>
  <bookViews>
    <workbookView xWindow="-108" yWindow="-108" windowWidth="23256" windowHeight="12576" xr2:uid="{1AC09196-06DD-4F89-AD5E-F0A56DDE3A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2" i="1" l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T27" i="1" l="1"/>
  <c r="P29" i="1"/>
  <c r="Q18" i="1"/>
  <c r="S18" i="1" s="1"/>
  <c r="N18" i="1" s="1"/>
  <c r="U5" i="1"/>
  <c r="Q13" i="1"/>
  <c r="R28" i="1" s="1"/>
  <c r="N13" i="1"/>
  <c r="M28" i="1" s="1"/>
  <c r="Q12" i="1"/>
  <c r="R27" i="1" s="1"/>
  <c r="N12" i="1"/>
  <c r="M27" i="1" s="1"/>
  <c r="N11" i="1"/>
  <c r="M26" i="1" s="1"/>
  <c r="Q11" i="1"/>
  <c r="R26" i="1" s="1"/>
  <c r="N10" i="1"/>
  <c r="M25" i="1" s="1"/>
  <c r="Q10" i="1"/>
  <c r="R25" i="1" s="1"/>
  <c r="P16" i="1" l="1"/>
  <c r="Q9" i="1"/>
  <c r="R24" i="1" s="1"/>
  <c r="N9" i="1"/>
  <c r="M24" i="1" s="1"/>
  <c r="Q6" i="1"/>
  <c r="R21" i="1" s="1"/>
  <c r="Q7" i="1"/>
  <c r="R22" i="1" s="1"/>
  <c r="Q8" i="1"/>
  <c r="R23" i="1" s="1"/>
  <c r="Q5" i="1"/>
  <c r="R20" i="1" s="1"/>
  <c r="Q4" i="1"/>
  <c r="R19" i="1" s="1"/>
  <c r="Q19" i="1" s="1"/>
  <c r="S19" i="1" s="1"/>
  <c r="N19" i="1" s="1"/>
  <c r="Q3" i="1"/>
  <c r="R18" i="1" s="1"/>
  <c r="N8" i="1"/>
  <c r="M23" i="1" s="1"/>
  <c r="N7" i="1"/>
  <c r="M22" i="1" s="1"/>
  <c r="N6" i="1"/>
  <c r="M21" i="1" s="1"/>
  <c r="N5" i="1"/>
  <c r="M20" i="1" s="1"/>
  <c r="N4" i="1"/>
  <c r="M19" i="1" s="1"/>
  <c r="N3" i="1"/>
  <c r="M18" i="1" s="1"/>
  <c r="P1" i="1"/>
  <c r="J13" i="1"/>
  <c r="J12" i="1"/>
  <c r="J11" i="1"/>
  <c r="J10" i="1"/>
  <c r="J9" i="1"/>
  <c r="J8" i="1"/>
  <c r="J7" i="1"/>
  <c r="J6" i="1"/>
  <c r="J5" i="1"/>
  <c r="J4" i="1"/>
  <c r="J3" i="1"/>
  <c r="K3" i="1"/>
  <c r="K4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C16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L3" i="1" l="1"/>
  <c r="Q20" i="1"/>
  <c r="K5" i="1"/>
  <c r="L4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35" i="1" s="1"/>
  <c r="S20" i="1" l="1"/>
  <c r="N20" i="1" s="1"/>
  <c r="Q21" i="1"/>
  <c r="S21" i="1" s="1"/>
  <c r="K6" i="1"/>
  <c r="L5" i="1"/>
  <c r="Q22" i="1" l="1"/>
  <c r="S22" i="1" s="1"/>
  <c r="N21" i="1"/>
  <c r="K7" i="1"/>
  <c r="L6" i="1"/>
  <c r="Q23" i="1" l="1"/>
  <c r="Q24" i="1" s="1"/>
  <c r="S24" i="1" s="1"/>
  <c r="N22" i="1"/>
  <c r="K8" i="1"/>
  <c r="L7" i="1"/>
  <c r="Q25" i="1" l="1"/>
  <c r="S25" i="1" s="1"/>
  <c r="S23" i="1"/>
  <c r="N23" i="1" s="1"/>
  <c r="N24" i="1" s="1"/>
  <c r="K9" i="1"/>
  <c r="L8" i="1"/>
  <c r="Q26" i="1" l="1"/>
  <c r="S26" i="1" s="1"/>
  <c r="N25" i="1"/>
  <c r="K10" i="1"/>
  <c r="L9" i="1"/>
  <c r="N26" i="1" l="1"/>
  <c r="Q27" i="1"/>
  <c r="S27" i="1" s="1"/>
  <c r="N27" i="1" s="1"/>
  <c r="L10" i="1"/>
  <c r="K11" i="1"/>
  <c r="Q28" i="1" l="1"/>
  <c r="Q16" i="1" s="1"/>
  <c r="K12" i="1"/>
  <c r="L11" i="1"/>
  <c r="S28" i="1" l="1"/>
  <c r="N28" i="1" s="1"/>
  <c r="Q29" i="1"/>
  <c r="K13" i="1"/>
  <c r="L12" i="1"/>
  <c r="M13" i="1" l="1"/>
  <c r="L13" i="1"/>
</calcChain>
</file>

<file path=xl/sharedStrings.xml><?xml version="1.0" encoding="utf-8"?>
<sst xmlns="http://schemas.openxmlformats.org/spreadsheetml/2006/main" count="72" uniqueCount="36">
  <si>
    <t>Jun 98 - 2000</t>
  </si>
  <si>
    <t>Return</t>
  </si>
  <si>
    <t>compounded</t>
  </si>
  <si>
    <t>Jun 00- 02</t>
  </si>
  <si>
    <t>Jun 06 - 08</t>
  </si>
  <si>
    <t>June 02-04</t>
  </si>
  <si>
    <t>Jun 04 - 06</t>
  </si>
  <si>
    <t>Jun 08 - 10</t>
  </si>
  <si>
    <t>Jun 10 - 12</t>
  </si>
  <si>
    <t>Jun 12 - 14</t>
  </si>
  <si>
    <t>Jun 16 - 18</t>
  </si>
  <si>
    <t>Jun 14 - 16</t>
  </si>
  <si>
    <t>Jun 18 - 20</t>
  </si>
  <si>
    <t>Buy PL</t>
  </si>
  <si>
    <t>Sh PL</t>
  </si>
  <si>
    <t>Buy hit ratio</t>
  </si>
  <si>
    <t>short hit ratio</t>
  </si>
  <si>
    <t>9/17 - 10/7 lost -14,500</t>
  </si>
  <si>
    <t>per. Ret.</t>
  </si>
  <si>
    <t>anualized</t>
  </si>
  <si>
    <t>leverage factor</t>
  </si>
  <si>
    <t>lev period  % ret</t>
  </si>
  <si>
    <t>unlev. per. Ret.</t>
  </si>
  <si>
    <t>lev % anualized</t>
  </si>
  <si>
    <t>compounded %</t>
  </si>
  <si>
    <t>Lev. model PL</t>
  </si>
  <si>
    <t>levered</t>
  </si>
  <si>
    <t>unlevered</t>
  </si>
  <si>
    <t>unlev % annualized</t>
  </si>
  <si>
    <t>Total PL</t>
  </si>
  <si>
    <t>CGr model PL</t>
  </si>
  <si>
    <t>PL</t>
  </si>
  <si>
    <t>Period_%</t>
  </si>
  <si>
    <t>LTD_%_ret</t>
  </si>
  <si>
    <t>Ending_Cap</t>
  </si>
  <si>
    <t>Hit_Ratio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</si>
</sst>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 applyAlignment="1">
      <alignment horizontal="center"/>
    </xf>
    <xf numFmtId="9" fontId="0" fillId="0" borderId="0" xfId="2" applyFont="1"/>
    <xf numFmtId="164" fontId="0" fillId="0" borderId="0" xfId="2" applyNumberFormat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65" fontId="4" fillId="0" borderId="0" xfId="1" applyNumberFormat="1" applyFont="1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1" applyNumberFormat="1" applyFont="1" applyFill="1"/>
    <xf numFmtId="165" fontId="0" fillId="2" borderId="0" xfId="0" applyNumberFormat="1" applyFill="1"/>
    <xf numFmtId="10" fontId="0" fillId="2" borderId="0" xfId="2" applyNumberFormat="1" applyFont="1" applyFill="1"/>
    <xf numFmtId="164" fontId="0" fillId="2" borderId="0" xfId="2" applyNumberFormat="1" applyFont="1" applyFill="1"/>
    <xf numFmtId="43" fontId="0" fillId="0" borderId="0" xfId="0" applyNumberFormat="1"/>
    <xf numFmtId="0" fontId="0" fillId="3" borderId="0" xfId="0" applyFill="1"/>
    <xf numFmtId="165" fontId="0" fillId="4" borderId="0" xfId="0" applyNumberFormat="1" applyFill="1" applyBorder="1"/>
    <xf numFmtId="165" fontId="0" fillId="4" borderId="0" xfId="0" applyNumberFormat="1" applyFill="1"/>
    <xf numFmtId="10" fontId="0" fillId="4" borderId="0" xfId="2" applyNumberFormat="1" applyFont="1" applyFill="1"/>
    <xf numFmtId="0" fontId="0" fillId="4" borderId="2" xfId="0" applyFill="1" applyBorder="1"/>
    <xf numFmtId="43" fontId="0" fillId="4" borderId="2" xfId="1" applyNumberFormat="1" applyFont="1" applyFill="1" applyBorder="1"/>
    <xf numFmtId="0" fontId="3" fillId="4" borderId="4" xfId="0" applyFont="1" applyFill="1" applyBorder="1"/>
    <xf numFmtId="164" fontId="0" fillId="4" borderId="4" xfId="2" applyNumberFormat="1" applyFont="1" applyFill="1" applyBorder="1"/>
    <xf numFmtId="0" fontId="3" fillId="4" borderId="4" xfId="0" applyFont="1" applyFill="1" applyBorder="1" applyAlignment="1">
      <alignment horizontal="center"/>
    </xf>
    <xf numFmtId="165" fontId="4" fillId="4" borderId="5" xfId="1" applyNumberFormat="1" applyFont="1" applyFill="1" applyBorder="1" applyAlignment="1">
      <alignment horizontal="center"/>
    </xf>
    <xf numFmtId="164" fontId="0" fillId="4" borderId="5" xfId="0" applyNumberFormat="1" applyFill="1" applyBorder="1"/>
    <xf numFmtId="164" fontId="0" fillId="4" borderId="8" xfId="0" applyNumberFormat="1" applyFill="1" applyBorder="1"/>
    <xf numFmtId="165" fontId="4" fillId="4" borderId="0" xfId="1" applyNumberFormat="1" applyFont="1" applyFill="1" applyBorder="1" applyAlignment="1">
      <alignment horizontal="center"/>
    </xf>
    <xf numFmtId="165" fontId="0" fillId="4" borderId="0" xfId="1" applyNumberFormat="1" applyFont="1" applyFill="1" applyBorder="1"/>
    <xf numFmtId="165" fontId="0" fillId="4" borderId="7" xfId="1" applyNumberFormat="1" applyFont="1" applyFill="1" applyBorder="1"/>
    <xf numFmtId="0" fontId="3" fillId="5" borderId="11" xfId="0" applyFont="1" applyFill="1" applyBorder="1" applyAlignment="1">
      <alignment horizontal="center"/>
    </xf>
    <xf numFmtId="164" fontId="0" fillId="5" borderId="11" xfId="2" applyNumberFormat="1" applyFont="1" applyFill="1" applyBorder="1"/>
    <xf numFmtId="165" fontId="4" fillId="5" borderId="0" xfId="1" applyNumberFormat="1" applyFont="1" applyFill="1" applyBorder="1" applyAlignment="1">
      <alignment horizontal="center"/>
    </xf>
    <xf numFmtId="165" fontId="0" fillId="5" borderId="0" xfId="1" applyNumberFormat="1" applyFont="1" applyFill="1" applyBorder="1"/>
    <xf numFmtId="165" fontId="0" fillId="5" borderId="7" xfId="1" applyNumberFormat="1" applyFont="1" applyFill="1" applyBorder="1"/>
    <xf numFmtId="165" fontId="0" fillId="5" borderId="0" xfId="0" applyNumberFormat="1" applyFill="1"/>
    <xf numFmtId="10" fontId="0" fillId="4" borderId="5" xfId="0" applyNumberFormat="1" applyFill="1" applyBorder="1"/>
    <xf numFmtId="164" fontId="0" fillId="5" borderId="0" xfId="2" applyNumberFormat="1" applyFont="1" applyFill="1" applyBorder="1"/>
    <xf numFmtId="9" fontId="0" fillId="5" borderId="7" xfId="0" applyNumberFormat="1" applyFill="1" applyBorder="1"/>
    <xf numFmtId="165" fontId="0" fillId="5" borderId="0" xfId="0" applyNumberFormat="1" applyFill="1" applyBorder="1"/>
    <xf numFmtId="0" fontId="0" fillId="6" borderId="10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7" xfId="0" applyFill="1" applyBorder="1"/>
    <xf numFmtId="43" fontId="0" fillId="6" borderId="2" xfId="1" applyNumberFormat="1" applyFont="1" applyFill="1" applyBorder="1"/>
    <xf numFmtId="0" fontId="0" fillId="6" borderId="0" xfId="0" applyFill="1"/>
    <xf numFmtId="164" fontId="0" fillId="6" borderId="0" xfId="0" applyNumberFormat="1" applyFill="1"/>
    <xf numFmtId="164" fontId="2" fillId="4" borderId="6" xfId="2" applyNumberFormat="1" applyFont="1" applyFill="1" applyBorder="1"/>
    <xf numFmtId="164" fontId="2" fillId="5" borderId="9" xfId="2" applyNumberFormat="1" applyFont="1" applyFill="1" applyBorder="1"/>
    <xf numFmtId="164" fontId="2" fillId="5" borderId="3" xfId="2" applyNumberFormat="1" applyFont="1" applyFill="1" applyBorder="1"/>
    <xf numFmtId="164" fontId="2" fillId="4" borderId="5" xfId="2" applyNumberFormat="1" applyFont="1" applyFill="1" applyBorder="1"/>
    <xf numFmtId="0" fontId="0" fillId="5" borderId="2" xfId="0" applyFill="1" applyBorder="1" applyAlignment="1">
      <alignment horizontal="right"/>
    </xf>
    <xf numFmtId="165" fontId="0" fillId="4" borderId="0" xfId="0" applyNumberFormat="1" applyFill="1" applyBorder="1" applyAlignment="1">
      <alignment horizontal="right"/>
    </xf>
    <xf numFmtId="0" fontId="2" fillId="6" borderId="0" xfId="0" applyFont="1" applyFill="1" applyBorder="1" applyAlignment="1">
      <alignment horizontal="right"/>
    </xf>
    <xf numFmtId="1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AD22-8D1B-44E4-A6C3-5D8D611D2DBC}">
  <dimension ref="A1:V43"/>
  <sheetViews>
    <sheetView tabSelected="1" topLeftCell="J17" workbookViewId="0">
      <selection activeCell="V30" sqref="V30:V42"/>
    </sheetView>
  </sheetViews>
  <sheetFormatPr defaultRowHeight="14.4" x14ac:dyDescent="0.3"/>
  <cols>
    <col min="1" max="1" width="11.6640625" bestFit="1" customWidth="1"/>
    <col min="3" max="3" width="12" bestFit="1" customWidth="1"/>
    <col min="5" max="5" width="12" bestFit="1" customWidth="1"/>
    <col min="6" max="6" width="10.109375" style="7" bestFit="1" customWidth="1"/>
    <col min="7" max="7" width="12.44140625" style="7" bestFit="1" customWidth="1"/>
    <col min="8" max="8" width="9.6640625" style="7" bestFit="1" customWidth="1"/>
    <col min="9" max="9" width="13.77734375" bestFit="1" customWidth="1"/>
    <col min="11" max="11" width="11.109375" bestFit="1" customWidth="1"/>
    <col min="12" max="12" width="10.109375" bestFit="1" customWidth="1"/>
    <col min="13" max="14" width="13.6640625" bestFit="1" customWidth="1"/>
    <col min="15" max="15" width="13.44140625" bestFit="1" customWidth="1"/>
    <col min="16" max="16" width="12.5546875" bestFit="1" customWidth="1"/>
    <col min="17" max="17" width="13.5546875" customWidth="1"/>
    <col min="18" max="18" width="16.44140625" bestFit="1" customWidth="1"/>
    <col min="19" max="19" width="15" customWidth="1"/>
    <col min="20" max="20" width="8.88671875" bestFit="1" customWidth="1"/>
    <col min="21" max="21" width="9.88671875" bestFit="1" customWidth="1"/>
  </cols>
  <sheetData>
    <row r="1" spans="1:21" x14ac:dyDescent="0.3">
      <c r="K1" s="10"/>
      <c r="L1" s="10"/>
      <c r="M1" s="10"/>
      <c r="P1" s="9">
        <f>100000+SUM(P3:P13)</f>
        <v>175664.25</v>
      </c>
      <c r="Q1" s="18" t="s">
        <v>19</v>
      </c>
      <c r="R1" s="19">
        <v>2.5899999999999999E-2</v>
      </c>
      <c r="T1">
        <v>22</v>
      </c>
    </row>
    <row r="2" spans="1:21" ht="16.2" x14ac:dyDescent="0.45">
      <c r="B2" s="1" t="s">
        <v>1</v>
      </c>
      <c r="C2" s="1" t="s">
        <v>2</v>
      </c>
      <c r="F2" s="8" t="s">
        <v>13</v>
      </c>
      <c r="G2" s="8" t="s">
        <v>15</v>
      </c>
      <c r="H2" s="8" t="s">
        <v>14</v>
      </c>
      <c r="I2" s="8" t="s">
        <v>16</v>
      </c>
      <c r="J2" s="9"/>
      <c r="K2" s="11">
        <v>100000</v>
      </c>
      <c r="L2" s="10"/>
      <c r="M2" s="10"/>
      <c r="P2" s="8" t="s">
        <v>13</v>
      </c>
      <c r="Q2" s="8" t="s">
        <v>18</v>
      </c>
      <c r="R2" s="8" t="s">
        <v>15</v>
      </c>
    </row>
    <row r="3" spans="1:21" x14ac:dyDescent="0.3">
      <c r="A3" t="s">
        <v>0</v>
      </c>
      <c r="B3" s="4">
        <v>4.91925E-2</v>
      </c>
      <c r="C3" s="5">
        <f>B3</f>
        <v>4.91925E-2</v>
      </c>
      <c r="D3">
        <v>2</v>
      </c>
      <c r="E3" t="s">
        <v>0</v>
      </c>
      <c r="F3" s="7">
        <v>9203</v>
      </c>
      <c r="G3" s="6">
        <v>0.54545454545454541</v>
      </c>
      <c r="H3" s="7">
        <v>-4283.75</v>
      </c>
      <c r="I3" s="6">
        <v>0.2</v>
      </c>
      <c r="J3" s="9">
        <f>H3+F3</f>
        <v>4919.25</v>
      </c>
      <c r="K3" s="12">
        <f t="shared" ref="K3:K13" si="0">F3+K2</f>
        <v>109203</v>
      </c>
      <c r="L3" s="13">
        <f t="shared" ref="L3:L13" si="1">K3/K2-1</f>
        <v>9.2030000000000056E-2</v>
      </c>
      <c r="M3" s="10"/>
      <c r="N3" s="4">
        <f>P3/100000</f>
        <v>9.2030000000000001E-2</v>
      </c>
      <c r="O3" t="s">
        <v>0</v>
      </c>
      <c r="P3" s="7">
        <v>9203</v>
      </c>
      <c r="Q3" s="3">
        <f>P3/100000</f>
        <v>9.2030000000000001E-2</v>
      </c>
      <c r="R3" s="6">
        <v>0.54545454545454541</v>
      </c>
    </row>
    <row r="4" spans="1:21" x14ac:dyDescent="0.3">
      <c r="A4" t="s">
        <v>3</v>
      </c>
      <c r="B4" s="4">
        <v>0.22720000000000001</v>
      </c>
      <c r="C4" s="5">
        <f>(1+B4)*(1+C3)-1</f>
        <v>0.28756903600000006</v>
      </c>
      <c r="D4">
        <v>2</v>
      </c>
      <c r="E4" t="s">
        <v>3</v>
      </c>
      <c r="F4" s="7">
        <v>15421.25</v>
      </c>
      <c r="G4" s="6">
        <v>0.63636363636363635</v>
      </c>
      <c r="H4" s="7">
        <v>-3071.5</v>
      </c>
      <c r="I4" s="6">
        <v>0.33333333333333331</v>
      </c>
      <c r="J4" s="9">
        <f t="shared" ref="J4:J13" si="2">H4+F4</f>
        <v>12349.75</v>
      </c>
      <c r="K4" s="12">
        <f t="shared" si="0"/>
        <v>124624.25</v>
      </c>
      <c r="L4" s="13">
        <f t="shared" si="1"/>
        <v>0.14121635852494885</v>
      </c>
      <c r="M4" s="10"/>
      <c r="N4" s="4">
        <f>SUM($P$3:P4)/100000</f>
        <v>0.25797249999999999</v>
      </c>
      <c r="O4" t="s">
        <v>3</v>
      </c>
      <c r="P4" s="7">
        <v>16594.25</v>
      </c>
      <c r="Q4" s="3">
        <f>P4/(100000+P3)</f>
        <v>0.1519578216715658</v>
      </c>
      <c r="R4" s="6">
        <v>0.63636363636363635</v>
      </c>
      <c r="U4" s="4">
        <v>2.5930070737180906E-2</v>
      </c>
    </row>
    <row r="5" spans="1:21" x14ac:dyDescent="0.3">
      <c r="A5" t="s">
        <v>5</v>
      </c>
      <c r="B5" s="4">
        <v>0.1492</v>
      </c>
      <c r="C5" s="5">
        <f t="shared" ref="C5:C13" si="3">(1+B5)*(1+C4)-1</f>
        <v>0.47967433617120014</v>
      </c>
      <c r="D5">
        <v>2</v>
      </c>
      <c r="E5" t="s">
        <v>5</v>
      </c>
      <c r="F5" s="7">
        <v>12159.25</v>
      </c>
      <c r="G5" s="6">
        <v>0.5</v>
      </c>
      <c r="H5" s="7">
        <v>8291.5</v>
      </c>
      <c r="I5" s="6">
        <v>0.6</v>
      </c>
      <c r="J5" s="9">
        <f t="shared" si="2"/>
        <v>20450.75</v>
      </c>
      <c r="K5" s="12">
        <f t="shared" si="0"/>
        <v>136783.5</v>
      </c>
      <c r="L5" s="13">
        <f t="shared" si="1"/>
        <v>9.7567287265520219E-2</v>
      </c>
      <c r="M5" s="10"/>
      <c r="N5" s="4">
        <f>SUM($P$3:P5)/100000</f>
        <v>0.36808249999999998</v>
      </c>
      <c r="O5" t="s">
        <v>5</v>
      </c>
      <c r="P5" s="7">
        <v>11011</v>
      </c>
      <c r="Q5" s="4">
        <f>P5/(SUM($P$3:P4)+100000)</f>
        <v>8.7529735347950777E-2</v>
      </c>
      <c r="R5" s="6">
        <v>0.5</v>
      </c>
      <c r="U5" s="4">
        <f>(1+U4)^22-1</f>
        <v>0.75626767742989176</v>
      </c>
    </row>
    <row r="6" spans="1:21" x14ac:dyDescent="0.3">
      <c r="A6" t="s">
        <v>6</v>
      </c>
      <c r="B6" s="4">
        <v>6.9000000000000006E-2</v>
      </c>
      <c r="C6" s="5">
        <f t="shared" si="3"/>
        <v>0.58177186536701297</v>
      </c>
      <c r="D6">
        <v>2</v>
      </c>
      <c r="E6" t="s">
        <v>6</v>
      </c>
      <c r="F6" s="7">
        <v>3230.5</v>
      </c>
      <c r="G6" s="6">
        <v>0.69230769230769229</v>
      </c>
      <c r="H6" s="7">
        <v>7644.25</v>
      </c>
      <c r="I6" s="6">
        <v>0.44444444444444442</v>
      </c>
      <c r="J6" s="9">
        <f t="shared" si="2"/>
        <v>10874.75</v>
      </c>
      <c r="K6" s="12">
        <f t="shared" si="0"/>
        <v>140014</v>
      </c>
      <c r="L6" s="13">
        <f t="shared" si="1"/>
        <v>2.3617614697679201E-2</v>
      </c>
      <c r="M6" s="10"/>
      <c r="N6" s="4">
        <f>SUM($P$3:P6)/100000</f>
        <v>0.41453000000000001</v>
      </c>
      <c r="O6" t="s">
        <v>6</v>
      </c>
      <c r="P6" s="7">
        <v>4644.75</v>
      </c>
      <c r="Q6" s="4">
        <f>P6/(SUM($P$3:P5)+100000)</f>
        <v>3.3950803405496381E-2</v>
      </c>
      <c r="R6" s="6">
        <v>0.69230769230769229</v>
      </c>
    </row>
    <row r="7" spans="1:21" x14ac:dyDescent="0.3">
      <c r="A7" t="s">
        <v>4</v>
      </c>
      <c r="B7" s="4">
        <v>3.5700000000000003E-2</v>
      </c>
      <c r="C7" s="5">
        <f t="shared" si="3"/>
        <v>0.63824112096061536</v>
      </c>
      <c r="D7">
        <v>2</v>
      </c>
      <c r="E7" t="s">
        <v>4</v>
      </c>
      <c r="F7" s="7">
        <v>6672.5</v>
      </c>
      <c r="G7" s="6">
        <v>0.75</v>
      </c>
      <c r="H7" s="7">
        <v>-659</v>
      </c>
      <c r="I7" s="6">
        <v>0.375</v>
      </c>
      <c r="J7" s="9">
        <f t="shared" si="2"/>
        <v>6013.5</v>
      </c>
      <c r="K7" s="12">
        <f t="shared" si="0"/>
        <v>146686.5</v>
      </c>
      <c r="L7" s="13">
        <f t="shared" si="1"/>
        <v>4.7655948690845218E-2</v>
      </c>
      <c r="M7" s="10"/>
      <c r="N7" s="4">
        <f>SUM($P$3:P7)/100000</f>
        <v>0.4709525</v>
      </c>
      <c r="O7" t="s">
        <v>4</v>
      </c>
      <c r="P7" s="7">
        <v>5642.25</v>
      </c>
      <c r="Q7" s="4">
        <f>P7/(SUM($P$3:P6)+100000)</f>
        <v>3.9887807257534304E-2</v>
      </c>
      <c r="R7" s="6">
        <v>0.75</v>
      </c>
    </row>
    <row r="8" spans="1:21" x14ac:dyDescent="0.3">
      <c r="A8" t="s">
        <v>7</v>
      </c>
      <c r="B8" s="4">
        <v>-0.1082</v>
      </c>
      <c r="C8" s="5">
        <f t="shared" si="3"/>
        <v>0.46098343167267686</v>
      </c>
      <c r="D8">
        <v>2</v>
      </c>
      <c r="E8" t="s">
        <v>7</v>
      </c>
      <c r="F8" s="7">
        <v>-20357.75</v>
      </c>
      <c r="G8" s="6">
        <v>0.45454545454545453</v>
      </c>
      <c r="H8" s="7">
        <v>1487.75</v>
      </c>
      <c r="I8" s="6">
        <v>0.46153846153846156</v>
      </c>
      <c r="J8" s="9">
        <f t="shared" si="2"/>
        <v>-18870</v>
      </c>
      <c r="K8" s="12">
        <f t="shared" si="0"/>
        <v>126328.75</v>
      </c>
      <c r="L8" s="13">
        <f t="shared" si="1"/>
        <v>-0.13878407351733113</v>
      </c>
      <c r="M8" s="10"/>
      <c r="N8" s="4">
        <f>SUM($P$3:P8)/100000</f>
        <v>0.29858750000000001</v>
      </c>
      <c r="O8" t="s">
        <v>7</v>
      </c>
      <c r="P8" s="7">
        <v>-17236.5</v>
      </c>
      <c r="Q8" s="4">
        <f>P8/(SUM($P$3:P7)+100000)</f>
        <v>-0.11717917471842225</v>
      </c>
      <c r="R8" s="6">
        <v>0.45454545454545453</v>
      </c>
      <c r="S8" s="16" t="s">
        <v>17</v>
      </c>
      <c r="T8" s="16"/>
    </row>
    <row r="9" spans="1:21" x14ac:dyDescent="0.3">
      <c r="A9" t="s">
        <v>8</v>
      </c>
      <c r="B9" s="4">
        <v>0.1166</v>
      </c>
      <c r="C9" s="5">
        <f t="shared" si="3"/>
        <v>0.63133409980571109</v>
      </c>
      <c r="D9">
        <v>2</v>
      </c>
      <c r="E9" t="s">
        <v>8</v>
      </c>
      <c r="F9" s="7">
        <v>14187.25</v>
      </c>
      <c r="G9" s="6">
        <v>0.5</v>
      </c>
      <c r="H9" s="7">
        <v>3946.5</v>
      </c>
      <c r="I9" s="6">
        <v>0.75</v>
      </c>
      <c r="J9" s="9">
        <f t="shared" si="2"/>
        <v>18133.75</v>
      </c>
      <c r="K9" s="12">
        <f t="shared" si="0"/>
        <v>140516</v>
      </c>
      <c r="L9" s="13">
        <f t="shared" si="1"/>
        <v>0.11230420628716731</v>
      </c>
      <c r="M9" s="10"/>
      <c r="N9" s="4">
        <f>SUM($P$3:P9)/100000</f>
        <v>0.41914249999999997</v>
      </c>
      <c r="O9" t="s">
        <v>8</v>
      </c>
      <c r="P9" s="7">
        <v>12055.5</v>
      </c>
      <c r="Q9" s="4">
        <f>P9/(SUM($P$3:P8)+100000)</f>
        <v>9.283548470934766E-2</v>
      </c>
      <c r="R9" s="6">
        <v>0.5</v>
      </c>
    </row>
    <row r="10" spans="1:21" x14ac:dyDescent="0.3">
      <c r="A10" t="s">
        <v>9</v>
      </c>
      <c r="B10" s="4">
        <v>5.9799999999999999E-2</v>
      </c>
      <c r="C10" s="5">
        <f t="shared" si="3"/>
        <v>0.72888787897409268</v>
      </c>
      <c r="D10">
        <v>2</v>
      </c>
      <c r="E10" t="s">
        <v>9</v>
      </c>
      <c r="F10" s="7">
        <v>12533.75</v>
      </c>
      <c r="G10" s="6">
        <v>1</v>
      </c>
      <c r="H10" s="7">
        <v>-2151.5</v>
      </c>
      <c r="I10" s="6">
        <v>0.33333333333333331</v>
      </c>
      <c r="J10" s="9">
        <f t="shared" si="2"/>
        <v>10382.25</v>
      </c>
      <c r="K10" s="12">
        <f t="shared" si="0"/>
        <v>153049.75</v>
      </c>
      <c r="L10" s="13">
        <f t="shared" si="1"/>
        <v>8.9198027270915858E-2</v>
      </c>
      <c r="M10" s="10"/>
      <c r="N10" s="4">
        <f>SUM($P$3:P10)/100000</f>
        <v>0.52229499999999995</v>
      </c>
      <c r="O10" t="s">
        <v>9</v>
      </c>
      <c r="P10" s="7">
        <v>10315.25</v>
      </c>
      <c r="Q10" s="4">
        <f>P10/(SUM($P$3:P9)+100000)</f>
        <v>7.2686499065456781E-2</v>
      </c>
      <c r="R10" s="6">
        <v>1</v>
      </c>
    </row>
    <row r="11" spans="1:21" x14ac:dyDescent="0.3">
      <c r="A11" t="s">
        <v>11</v>
      </c>
      <c r="B11" s="4">
        <v>7.2677305374009835E-2</v>
      </c>
      <c r="C11" s="5">
        <f t="shared" si="3"/>
        <v>0.85453879131171684</v>
      </c>
      <c r="D11">
        <v>2</v>
      </c>
      <c r="E11" t="s">
        <v>11</v>
      </c>
      <c r="F11" s="7">
        <v>17501.25</v>
      </c>
      <c r="G11" s="6">
        <v>0.625</v>
      </c>
      <c r="H11" s="7">
        <v>-4126.5</v>
      </c>
      <c r="I11" s="6">
        <v>0.42857142857142855</v>
      </c>
      <c r="J11" s="9">
        <f t="shared" si="2"/>
        <v>13374.75</v>
      </c>
      <c r="K11" s="12">
        <f t="shared" si="0"/>
        <v>170551</v>
      </c>
      <c r="L11" s="13">
        <f t="shared" si="1"/>
        <v>0.11435007244376427</v>
      </c>
      <c r="M11" s="10"/>
      <c r="N11" s="4">
        <f>SUM($P$3:P11)/100000</f>
        <v>0.66718500000000003</v>
      </c>
      <c r="O11" t="s">
        <v>11</v>
      </c>
      <c r="P11" s="7">
        <v>14489</v>
      </c>
      <c r="Q11" s="4">
        <f>P11/(SUM($P$3:P10)+100000)</f>
        <v>9.5178661166199718E-2</v>
      </c>
      <c r="R11" s="6">
        <v>0.625</v>
      </c>
    </row>
    <row r="12" spans="1:21" x14ac:dyDescent="0.3">
      <c r="A12" t="s">
        <v>10</v>
      </c>
      <c r="B12" s="4">
        <v>-2.6236803712184151E-2</v>
      </c>
      <c r="C12" s="5">
        <f t="shared" si="3"/>
        <v>0.80588162106743999</v>
      </c>
      <c r="D12">
        <v>2</v>
      </c>
      <c r="E12" t="s">
        <v>10</v>
      </c>
      <c r="F12" s="7">
        <v>1452.5</v>
      </c>
      <c r="G12" s="6">
        <v>0.55555555555555558</v>
      </c>
      <c r="H12" s="7">
        <v>-6631.75</v>
      </c>
      <c r="I12" s="6">
        <v>0.5</v>
      </c>
      <c r="J12" s="9">
        <f t="shared" si="2"/>
        <v>-5179.25</v>
      </c>
      <c r="K12" s="12">
        <f t="shared" si="0"/>
        <v>172003.5</v>
      </c>
      <c r="L12" s="13">
        <f t="shared" si="1"/>
        <v>8.5165141218754847E-3</v>
      </c>
      <c r="M12" s="10"/>
      <c r="N12" s="4">
        <f>SUM($P$3:P12)/100000</f>
        <v>0.67962750000000005</v>
      </c>
      <c r="O12" t="s">
        <v>10</v>
      </c>
      <c r="P12" s="7">
        <v>1244.25</v>
      </c>
      <c r="Q12" s="4">
        <f>P12/(SUM($P$3:P11)+100000)</f>
        <v>7.4631789513461312E-3</v>
      </c>
      <c r="R12" s="6">
        <v>0.55555555555555558</v>
      </c>
    </row>
    <row r="13" spans="1:21" x14ac:dyDescent="0.3">
      <c r="A13" t="s">
        <v>12</v>
      </c>
      <c r="B13" s="4">
        <v>5.79E-2</v>
      </c>
      <c r="C13" s="5">
        <f t="shared" si="3"/>
        <v>0.91044216692724489</v>
      </c>
      <c r="D13">
        <v>2</v>
      </c>
      <c r="E13" t="s">
        <v>12</v>
      </c>
      <c r="F13" s="7">
        <v>8732.5</v>
      </c>
      <c r="G13" s="6">
        <v>0.7142857142857143</v>
      </c>
      <c r="H13" s="7">
        <v>2402.3999999999942</v>
      </c>
      <c r="I13" s="6">
        <v>0.33333333333333331</v>
      </c>
      <c r="J13" s="9">
        <f t="shared" si="2"/>
        <v>11134.899999999994</v>
      </c>
      <c r="K13" s="12">
        <f t="shared" si="0"/>
        <v>180736</v>
      </c>
      <c r="L13" s="13">
        <f t="shared" si="1"/>
        <v>5.0769315740668119E-2</v>
      </c>
      <c r="M13" s="14">
        <f>K13/K2-1</f>
        <v>0.80736000000000008</v>
      </c>
      <c r="N13" s="4">
        <f>SUM($P$3:P13)/100000</f>
        <v>0.7566425</v>
      </c>
      <c r="O13" t="s">
        <v>12</v>
      </c>
      <c r="P13" s="7">
        <v>7701.5</v>
      </c>
      <c r="Q13" s="4">
        <f>P13/(SUM($P$3:P12)+100000)</f>
        <v>4.5852428589077045E-2</v>
      </c>
      <c r="R13" s="6">
        <v>0.7142857142857143</v>
      </c>
    </row>
    <row r="14" spans="1:21" x14ac:dyDescent="0.3">
      <c r="O14" s="9"/>
    </row>
    <row r="15" spans="1:21" x14ac:dyDescent="0.3">
      <c r="M15" s="41"/>
      <c r="N15" s="42"/>
      <c r="O15" s="20" t="s">
        <v>20</v>
      </c>
      <c r="P15" s="21">
        <v>2</v>
      </c>
      <c r="Q15" s="45"/>
      <c r="R15" s="52" t="s">
        <v>28</v>
      </c>
      <c r="S15" s="50">
        <v>2.5899999999999999E-2</v>
      </c>
    </row>
    <row r="16" spans="1:21" x14ac:dyDescent="0.3">
      <c r="A16">
        <v>1</v>
      </c>
      <c r="B16" s="4">
        <v>3.6150000000000002E-2</v>
      </c>
      <c r="C16" s="5">
        <f>B16</f>
        <v>3.6150000000000002E-2</v>
      </c>
      <c r="M16" s="31" t="s">
        <v>27</v>
      </c>
      <c r="N16" s="24" t="s">
        <v>26</v>
      </c>
      <c r="O16" s="43"/>
      <c r="P16" s="40">
        <f>100000+SUM(P18:P28)</f>
        <v>175664.25</v>
      </c>
      <c r="Q16" s="17">
        <f>100000+SUM(Q18:Q28)</f>
        <v>286880.8821218455</v>
      </c>
      <c r="R16" s="53" t="s">
        <v>23</v>
      </c>
      <c r="S16" s="51">
        <v>4.9099999999999998E-2</v>
      </c>
    </row>
    <row r="17" spans="1:22" ht="16.2" x14ac:dyDescent="0.45">
      <c r="A17">
        <v>2</v>
      </c>
      <c r="B17" s="4">
        <f>B16</f>
        <v>3.6150000000000002E-2</v>
      </c>
      <c r="C17" s="5">
        <f>(1+B17)*(1+C16)-1</f>
        <v>7.3606822499999724E-2</v>
      </c>
      <c r="M17" s="31" t="s">
        <v>24</v>
      </c>
      <c r="N17" s="22" t="s">
        <v>24</v>
      </c>
      <c r="O17" s="43"/>
      <c r="P17" s="33" t="s">
        <v>30</v>
      </c>
      <c r="Q17" s="28" t="s">
        <v>25</v>
      </c>
      <c r="R17" s="33" t="s">
        <v>22</v>
      </c>
      <c r="S17" s="25" t="s">
        <v>21</v>
      </c>
      <c r="T17" s="7"/>
    </row>
    <row r="18" spans="1:22" x14ac:dyDescent="0.3">
      <c r="A18">
        <v>3</v>
      </c>
      <c r="B18" s="4">
        <f t="shared" ref="B18:B35" si="4">B17</f>
        <v>3.6150000000000002E-2</v>
      </c>
      <c r="C18" s="5">
        <f t="shared" ref="C18:C35" si="5">(1+B18)*(1+C17)-1</f>
        <v>0.11241770913337468</v>
      </c>
      <c r="M18" s="32">
        <f>N3</f>
        <v>9.2030000000000001E-2</v>
      </c>
      <c r="N18" s="23">
        <f>S18</f>
        <v>0.18406</v>
      </c>
      <c r="O18" s="43" t="s">
        <v>0</v>
      </c>
      <c r="P18" s="34">
        <v>9203</v>
      </c>
      <c r="Q18" s="29">
        <f>P18*P15</f>
        <v>18406</v>
      </c>
      <c r="R18" s="38">
        <f t="shared" ref="R18:R28" si="6">Q3</f>
        <v>9.2030000000000001E-2</v>
      </c>
      <c r="S18" s="26">
        <f>Q18/100000</f>
        <v>0.18406</v>
      </c>
      <c r="T18" s="9"/>
      <c r="U18" s="2"/>
      <c r="V18" s="6"/>
    </row>
    <row r="19" spans="1:22" x14ac:dyDescent="0.3">
      <c r="A19">
        <v>4</v>
      </c>
      <c r="B19" s="4">
        <f t="shared" si="4"/>
        <v>3.6150000000000002E-2</v>
      </c>
      <c r="C19" s="5">
        <f t="shared" si="5"/>
        <v>0.15263160931854602</v>
      </c>
      <c r="M19" s="32">
        <f t="shared" ref="M19:M28" si="7">N4</f>
        <v>0.25797249999999999</v>
      </c>
      <c r="N19" s="23">
        <f>(1+N18)*(1+S19)-1</f>
        <v>0.54391435665686849</v>
      </c>
      <c r="O19" s="43" t="s">
        <v>3</v>
      </c>
      <c r="P19" s="34">
        <v>16594.25</v>
      </c>
      <c r="Q19" s="29">
        <f>(R19*2)*(100000+Q18)</f>
        <v>35985.43566568684</v>
      </c>
      <c r="R19" s="38">
        <f t="shared" si="6"/>
        <v>0.1519578216715658</v>
      </c>
      <c r="S19" s="26">
        <f>Q19/(100000+SUM($Q$18:Q18))</f>
        <v>0.30391564334313159</v>
      </c>
      <c r="T19" s="7"/>
      <c r="U19" s="4"/>
      <c r="V19" s="4"/>
    </row>
    <row r="20" spans="1:22" x14ac:dyDescent="0.3">
      <c r="A20">
        <v>5</v>
      </c>
      <c r="B20" s="4">
        <f t="shared" si="4"/>
        <v>3.6150000000000002E-2</v>
      </c>
      <c r="C20" s="5">
        <f t="shared" si="5"/>
        <v>0.19429924199541126</v>
      </c>
      <c r="K20" s="9"/>
      <c r="L20" s="15"/>
      <c r="M20" s="32">
        <f t="shared" si="7"/>
        <v>0.36808249999999998</v>
      </c>
      <c r="N20" s="23">
        <f>(1+N19)*(1+S20)-1</f>
        <v>0.81419118673302315</v>
      </c>
      <c r="O20" s="43" t="s">
        <v>5</v>
      </c>
      <c r="P20" s="34">
        <v>11011</v>
      </c>
      <c r="Q20" s="29">
        <f>(R20*2)*(100000+SUM($Q$18:Q19))</f>
        <v>27027.683007615477</v>
      </c>
      <c r="R20" s="38">
        <f t="shared" si="6"/>
        <v>8.7529735347950777E-2</v>
      </c>
      <c r="S20" s="37">
        <f>Q20/(100000+SUM($Q$18:Q19))</f>
        <v>0.17505947069590155</v>
      </c>
      <c r="T20" s="7"/>
      <c r="U20" s="4"/>
      <c r="V20" s="4"/>
    </row>
    <row r="21" spans="1:22" x14ac:dyDescent="0.3">
      <c r="A21">
        <v>6</v>
      </c>
      <c r="B21" s="4">
        <f t="shared" si="4"/>
        <v>3.6150000000000002E-2</v>
      </c>
      <c r="C21" s="5">
        <f t="shared" si="5"/>
        <v>0.23747315959354531</v>
      </c>
      <c r="M21" s="32">
        <f t="shared" si="7"/>
        <v>0.41453000000000001</v>
      </c>
      <c r="N21" s="23">
        <f t="shared" ref="N21:N28" si="8">(1+N20)*(1+S21)-1</f>
        <v>0.93737768337453731</v>
      </c>
      <c r="O21" s="43" t="s">
        <v>6</v>
      </c>
      <c r="P21" s="34">
        <v>4644.75</v>
      </c>
      <c r="Q21" s="29">
        <f>(R21*2)*(100000+SUM($Q$18:Q20))</f>
        <v>12318.64966415141</v>
      </c>
      <c r="R21" s="38">
        <f t="shared" si="6"/>
        <v>3.3950803405496381E-2</v>
      </c>
      <c r="S21" s="26">
        <f>Q21/(100000+SUM($Q$18:Q20))</f>
        <v>6.7901606810992762E-2</v>
      </c>
      <c r="T21" s="7"/>
      <c r="U21" s="4"/>
      <c r="V21" s="4"/>
    </row>
    <row r="22" spans="1:22" x14ac:dyDescent="0.3">
      <c r="A22">
        <v>7</v>
      </c>
      <c r="B22" s="4">
        <f t="shared" si="4"/>
        <v>3.6150000000000002E-2</v>
      </c>
      <c r="C22" s="5">
        <f t="shared" si="5"/>
        <v>0.28220781431285191</v>
      </c>
      <c r="H22" s="4"/>
      <c r="M22" s="32">
        <f t="shared" si="7"/>
        <v>0.4709525</v>
      </c>
      <c r="N22" s="23">
        <f t="shared" si="8"/>
        <v>1.0919331786135209</v>
      </c>
      <c r="O22" s="43" t="s">
        <v>4</v>
      </c>
      <c r="P22" s="34">
        <v>5642.25</v>
      </c>
      <c r="Q22" s="29">
        <f>(R22*2)*(100000+SUM($Q$18:Q21))</f>
        <v>15455.549523898371</v>
      </c>
      <c r="R22" s="38">
        <f t="shared" si="6"/>
        <v>3.9887807257534304E-2</v>
      </c>
      <c r="S22" s="26">
        <f>Q22/(100000+SUM($Q$18:Q21))</f>
        <v>7.9775614515068607E-2</v>
      </c>
      <c r="T22" s="7"/>
      <c r="U22" s="4"/>
      <c r="V22" s="4"/>
    </row>
    <row r="23" spans="1:22" x14ac:dyDescent="0.3">
      <c r="A23">
        <v>8</v>
      </c>
      <c r="B23" s="4">
        <f t="shared" si="4"/>
        <v>3.6150000000000002E-2</v>
      </c>
      <c r="C23" s="5">
        <f t="shared" si="5"/>
        <v>0.3285596268002613</v>
      </c>
      <c r="H23" s="4"/>
      <c r="I23" s="5"/>
      <c r="M23" s="32">
        <f t="shared" si="7"/>
        <v>0.29858750000000001</v>
      </c>
      <c r="N23" s="23">
        <f t="shared" si="8"/>
        <v>0.60167117174148443</v>
      </c>
      <c r="O23" s="43" t="s">
        <v>7</v>
      </c>
      <c r="P23" s="34">
        <v>-17236.5</v>
      </c>
      <c r="Q23" s="29">
        <f>(R23*2)*(100000+SUM($Q$18:Q22))</f>
        <v>-49026.200687203644</v>
      </c>
      <c r="R23" s="38">
        <f t="shared" si="6"/>
        <v>-0.11717917471842225</v>
      </c>
      <c r="S23" s="26">
        <f>Q23/(100000+SUM($Q$18:Q22))</f>
        <v>-0.2343583494368445</v>
      </c>
      <c r="T23" s="4"/>
      <c r="U23" s="4"/>
      <c r="V23" s="4"/>
    </row>
    <row r="24" spans="1:22" x14ac:dyDescent="0.3">
      <c r="A24">
        <v>9</v>
      </c>
      <c r="B24" s="4">
        <f t="shared" si="4"/>
        <v>3.6150000000000002E-2</v>
      </c>
      <c r="C24" s="5">
        <f t="shared" si="5"/>
        <v>0.37658705730909059</v>
      </c>
      <c r="H24" s="4"/>
      <c r="I24" s="5"/>
      <c r="M24" s="32">
        <f t="shared" si="7"/>
        <v>0.41914249999999997</v>
      </c>
      <c r="N24" s="23">
        <f t="shared" si="8"/>
        <v>0.89905501088870343</v>
      </c>
      <c r="O24" s="43" t="s">
        <v>8</v>
      </c>
      <c r="P24" s="34">
        <v>12055.5</v>
      </c>
      <c r="Q24" s="29">
        <f>(R24*2)*(100000+SUM($Q$18:Q23))</f>
        <v>29738.383914721904</v>
      </c>
      <c r="R24" s="38">
        <f t="shared" si="6"/>
        <v>9.283548470934766E-2</v>
      </c>
      <c r="S24" s="26">
        <f>Q24/(100000+SUM($Q$18:Q23))</f>
        <v>0.18567096941869532</v>
      </c>
      <c r="T24" s="7"/>
      <c r="U24" s="4"/>
      <c r="V24" s="4"/>
    </row>
    <row r="25" spans="1:22" x14ac:dyDescent="0.3">
      <c r="A25">
        <v>10</v>
      </c>
      <c r="B25" s="4">
        <f t="shared" si="4"/>
        <v>3.6150000000000002E-2</v>
      </c>
      <c r="C25" s="5">
        <f t="shared" si="5"/>
        <v>0.42635067943081406</v>
      </c>
      <c r="H25" s="4"/>
      <c r="I25" s="5"/>
      <c r="M25" s="32">
        <f t="shared" si="7"/>
        <v>0.52229499999999995</v>
      </c>
      <c r="N25" s="23">
        <f t="shared" si="8"/>
        <v>1.175126331437129</v>
      </c>
      <c r="O25" s="43" t="s">
        <v>9</v>
      </c>
      <c r="P25" s="34">
        <v>10315.25</v>
      </c>
      <c r="Q25" s="29">
        <f>(R25*2)*(100000+SUM($Q$18:Q24))</f>
        <v>27607.132054842554</v>
      </c>
      <c r="R25" s="38">
        <f t="shared" si="6"/>
        <v>7.2686499065456781E-2</v>
      </c>
      <c r="S25" s="26">
        <f>Q25/(100000+SUM($Q$18:Q24))</f>
        <v>0.14537299813091356</v>
      </c>
      <c r="T25" s="7"/>
      <c r="U25" s="4"/>
      <c r="V25" s="4"/>
    </row>
    <row r="26" spans="1:22" x14ac:dyDescent="0.3">
      <c r="A26">
        <v>11</v>
      </c>
      <c r="B26" s="4">
        <f t="shared" si="4"/>
        <v>3.6150000000000002E-2</v>
      </c>
      <c r="C26" s="5">
        <f t="shared" si="5"/>
        <v>0.47791325649223793</v>
      </c>
      <c r="H26" s="4"/>
      <c r="I26" s="5"/>
      <c r="M26" s="32">
        <f t="shared" si="7"/>
        <v>0.66718500000000003</v>
      </c>
      <c r="N26" s="23">
        <f t="shared" si="8"/>
        <v>1.5891775556241963</v>
      </c>
      <c r="O26" s="43" t="s">
        <v>11</v>
      </c>
      <c r="P26" s="34">
        <v>14489</v>
      </c>
      <c r="Q26" s="29">
        <f>(R26*2)*(100000+SUM($Q$18:Q25))</f>
        <v>41405.122418706713</v>
      </c>
      <c r="R26" s="38">
        <f t="shared" si="6"/>
        <v>9.5178661166199718E-2</v>
      </c>
      <c r="S26" s="26">
        <f>Q26/(100000+SUM($Q$18:Q25))</f>
        <v>0.19035732233239944</v>
      </c>
      <c r="T26" s="4"/>
      <c r="U26" s="4"/>
      <c r="V26" s="4"/>
    </row>
    <row r="27" spans="1:22" x14ac:dyDescent="0.3">
      <c r="A27">
        <v>12</v>
      </c>
      <c r="B27" s="4">
        <f t="shared" si="4"/>
        <v>3.6150000000000002E-2</v>
      </c>
      <c r="C27" s="5">
        <f t="shared" si="5"/>
        <v>0.5313398207144322</v>
      </c>
      <c r="H27" s="4"/>
      <c r="I27" s="5"/>
      <c r="M27" s="32">
        <f t="shared" si="7"/>
        <v>0.67962750000000005</v>
      </c>
      <c r="N27" s="23">
        <f t="shared" si="8"/>
        <v>1.6278245464930614</v>
      </c>
      <c r="O27" s="43" t="s">
        <v>10</v>
      </c>
      <c r="P27" s="34">
        <v>1244.25</v>
      </c>
      <c r="Q27" s="29">
        <f>(R27*2)*(100000+SUM($Q$18:Q26))</f>
        <v>3864.6990868864659</v>
      </c>
      <c r="R27" s="38">
        <f t="shared" si="6"/>
        <v>7.4631789513461312E-3</v>
      </c>
      <c r="S27" s="26">
        <f>Q27/(100000+SUM($Q$18:Q26))</f>
        <v>1.4926357902692262E-2</v>
      </c>
      <c r="T27" s="4">
        <f>(1+0.04905)^22-1</f>
        <v>1.8675839324693397</v>
      </c>
      <c r="U27" s="4"/>
      <c r="V27" s="4"/>
    </row>
    <row r="28" spans="1:22" x14ac:dyDescent="0.3">
      <c r="A28">
        <v>13</v>
      </c>
      <c r="B28" s="4">
        <f t="shared" si="4"/>
        <v>3.6150000000000002E-2</v>
      </c>
      <c r="C28" s="5">
        <f t="shared" si="5"/>
        <v>0.58669775523325884</v>
      </c>
      <c r="H28" s="4"/>
      <c r="I28" s="5"/>
      <c r="M28" s="49">
        <f t="shared" si="7"/>
        <v>0.7566425</v>
      </c>
      <c r="N28" s="48">
        <f t="shared" si="8"/>
        <v>1.868808821218455</v>
      </c>
      <c r="O28" s="44" t="s">
        <v>12</v>
      </c>
      <c r="P28" s="35">
        <v>7701.5</v>
      </c>
      <c r="Q28" s="30">
        <f>(R28*2)*(100000+SUM($Q$18:Q27))</f>
        <v>24098.427472539373</v>
      </c>
      <c r="R28" s="39">
        <f t="shared" si="6"/>
        <v>4.5852428589077045E-2</v>
      </c>
      <c r="S28" s="27">
        <f>Q28/(100000+SUM($Q$18:Q27))</f>
        <v>9.1704857178154089E-2</v>
      </c>
      <c r="T28" s="7"/>
      <c r="U28" s="4"/>
      <c r="V28" s="4"/>
    </row>
    <row r="29" spans="1:22" x14ac:dyDescent="0.3">
      <c r="A29">
        <v>14</v>
      </c>
      <c r="B29" s="4">
        <f t="shared" si="4"/>
        <v>3.6150000000000002E-2</v>
      </c>
      <c r="C29" s="5">
        <f t="shared" si="5"/>
        <v>0.64405687908494103</v>
      </c>
      <c r="H29" s="4"/>
      <c r="I29" s="5"/>
      <c r="M29" s="46"/>
      <c r="N29" s="47"/>
      <c r="O29" s="54" t="s">
        <v>29</v>
      </c>
      <c r="P29" s="36">
        <f>SUM(P18:P28)</f>
        <v>75664.25</v>
      </c>
      <c r="Q29" s="18">
        <f>SUM(Q18:Q28)</f>
        <v>186880.88212184547</v>
      </c>
      <c r="R29" s="46"/>
      <c r="S29" s="46"/>
    </row>
    <row r="30" spans="1:22" x14ac:dyDescent="0.3">
      <c r="A30">
        <v>15</v>
      </c>
      <c r="B30" s="4">
        <f t="shared" si="4"/>
        <v>3.6150000000000002E-2</v>
      </c>
      <c r="C30" s="5">
        <f t="shared" si="5"/>
        <v>0.70348953526386149</v>
      </c>
      <c r="H30" s="4"/>
      <c r="I30" s="5"/>
      <c r="R30" s="1" t="s">
        <v>31</v>
      </c>
      <c r="S30" s="1" t="s">
        <v>34</v>
      </c>
      <c r="T30" s="1" t="s">
        <v>32</v>
      </c>
      <c r="U30" s="1" t="s">
        <v>33</v>
      </c>
      <c r="V30" s="1" t="s">
        <v>35</v>
      </c>
    </row>
    <row r="31" spans="1:22" x14ac:dyDescent="0.3">
      <c r="A31">
        <v>16</v>
      </c>
      <c r="B31" s="4">
        <f t="shared" si="4"/>
        <v>3.6150000000000002E-2</v>
      </c>
      <c r="C31" s="5">
        <f t="shared" si="5"/>
        <v>0.76507068196364991</v>
      </c>
      <c r="H31" s="4"/>
      <c r="I31" s="5"/>
      <c r="Q31" s="55">
        <v>35961</v>
      </c>
      <c r="R31" s="29">
        <v>0</v>
      </c>
      <c r="S31" s="29">
        <v>100000</v>
      </c>
      <c r="T31" s="4">
        <v>0</v>
      </c>
      <c r="U31" s="2">
        <v>0</v>
      </c>
      <c r="V31" s="6">
        <v>0</v>
      </c>
    </row>
    <row r="32" spans="1:22" x14ac:dyDescent="0.3">
      <c r="A32">
        <v>17</v>
      </c>
      <c r="B32" s="4">
        <f t="shared" si="4"/>
        <v>3.6150000000000002E-2</v>
      </c>
      <c r="C32" s="5">
        <f t="shared" si="5"/>
        <v>0.82887798711663563</v>
      </c>
      <c r="H32" s="4"/>
      <c r="I32" s="5"/>
      <c r="Q32" s="55">
        <v>43997</v>
      </c>
      <c r="R32" s="29">
        <v>18406</v>
      </c>
      <c r="S32" s="29">
        <f>R32+100000</f>
        <v>118406</v>
      </c>
      <c r="T32" s="4">
        <v>0.18406</v>
      </c>
      <c r="U32" s="2">
        <v>0.18406</v>
      </c>
      <c r="V32" s="2">
        <v>0.54545454545454541</v>
      </c>
    </row>
    <row r="33" spans="1:22" x14ac:dyDescent="0.3">
      <c r="A33">
        <v>18</v>
      </c>
      <c r="B33" s="4">
        <f t="shared" si="4"/>
        <v>3.6150000000000002E-2</v>
      </c>
      <c r="C33" s="5">
        <f t="shared" si="5"/>
        <v>0.89499192635090186</v>
      </c>
      <c r="H33" s="4"/>
      <c r="I33" s="5"/>
      <c r="Q33" s="55">
        <v>36692</v>
      </c>
      <c r="R33" s="29">
        <v>35985.43566568684</v>
      </c>
      <c r="S33" s="29">
        <f>R33+S32</f>
        <v>154391.43566568685</v>
      </c>
      <c r="T33" s="4">
        <v>0.30391564334313159</v>
      </c>
      <c r="U33" s="2">
        <v>0.54391435665686849</v>
      </c>
      <c r="V33" s="2">
        <v>0.63636363636363635</v>
      </c>
    </row>
    <row r="34" spans="1:22" x14ac:dyDescent="0.3">
      <c r="A34">
        <v>19</v>
      </c>
      <c r="B34" s="4">
        <f t="shared" si="4"/>
        <v>3.6150000000000002E-2</v>
      </c>
      <c r="C34" s="5">
        <f t="shared" si="5"/>
        <v>0.96349588448848689</v>
      </c>
      <c r="H34" s="4"/>
      <c r="I34" s="5"/>
      <c r="Q34" s="55">
        <v>37422</v>
      </c>
      <c r="R34" s="29">
        <v>27027.683007615477</v>
      </c>
      <c r="S34" s="29">
        <f t="shared" ref="S34:S42" si="9">R34+S33</f>
        <v>181419.11867330232</v>
      </c>
      <c r="T34" s="4">
        <v>0.17505947069590155</v>
      </c>
      <c r="U34" s="2">
        <v>0.81419118673302315</v>
      </c>
      <c r="V34" s="2">
        <v>0.5</v>
      </c>
    </row>
    <row r="35" spans="1:22" x14ac:dyDescent="0.3">
      <c r="A35">
        <v>20</v>
      </c>
      <c r="B35" s="4">
        <f t="shared" si="4"/>
        <v>3.6150000000000002E-2</v>
      </c>
      <c r="C35" s="5">
        <f t="shared" si="5"/>
        <v>1.0344762607127453</v>
      </c>
      <c r="E35">
        <f>C35/20</f>
        <v>5.1723813035637264E-2</v>
      </c>
      <c r="H35" s="4"/>
      <c r="I35" s="5"/>
      <c r="Q35" s="55">
        <v>38153</v>
      </c>
      <c r="R35" s="29">
        <v>12318.64966415141</v>
      </c>
      <c r="S35" s="29">
        <f t="shared" si="9"/>
        <v>193737.76833745372</v>
      </c>
      <c r="T35" s="4">
        <v>6.7901606810992762E-2</v>
      </c>
      <c r="U35" s="2">
        <v>0.93737768337453731</v>
      </c>
      <c r="V35" s="2">
        <v>0.69230769230769229</v>
      </c>
    </row>
    <row r="36" spans="1:22" x14ac:dyDescent="0.3">
      <c r="H36" s="4"/>
      <c r="I36" s="5"/>
      <c r="Q36" s="55">
        <v>38883</v>
      </c>
      <c r="R36" s="29">
        <v>15455.549523898371</v>
      </c>
      <c r="S36" s="29">
        <f t="shared" si="9"/>
        <v>209193.31786135209</v>
      </c>
      <c r="T36" s="4">
        <v>7.9775614515068607E-2</v>
      </c>
      <c r="U36" s="2">
        <v>1.0919331786135209</v>
      </c>
      <c r="V36" s="2">
        <v>0.75</v>
      </c>
    </row>
    <row r="37" spans="1:22" x14ac:dyDescent="0.3">
      <c r="H37" s="4"/>
      <c r="I37" s="5"/>
      <c r="Q37" s="55">
        <v>39614</v>
      </c>
      <c r="R37" s="29">
        <v>-49026.200687203644</v>
      </c>
      <c r="S37" s="29">
        <f t="shared" si="9"/>
        <v>160167.11717414844</v>
      </c>
      <c r="T37" s="4">
        <v>-0.2343583494368445</v>
      </c>
      <c r="U37" s="2">
        <v>0.60167117174148443</v>
      </c>
      <c r="V37" s="2">
        <v>0.45454545454545453</v>
      </c>
    </row>
    <row r="38" spans="1:22" x14ac:dyDescent="0.3">
      <c r="H38" s="4"/>
      <c r="I38" s="5"/>
      <c r="Q38" s="55">
        <v>40344</v>
      </c>
      <c r="R38" s="29">
        <v>29738.383914721904</v>
      </c>
      <c r="S38" s="29">
        <f t="shared" si="9"/>
        <v>189905.50108887034</v>
      </c>
      <c r="T38" s="4">
        <v>0.18567096941869532</v>
      </c>
      <c r="U38" s="2">
        <v>0.89905501088870343</v>
      </c>
      <c r="V38" s="2">
        <v>0.5</v>
      </c>
    </row>
    <row r="39" spans="1:22" x14ac:dyDescent="0.3">
      <c r="H39" s="4"/>
      <c r="I39" s="5"/>
      <c r="Q39" s="55">
        <v>41075</v>
      </c>
      <c r="R39" s="29">
        <v>27607.132054842554</v>
      </c>
      <c r="S39" s="29">
        <f t="shared" si="9"/>
        <v>217512.63314371288</v>
      </c>
      <c r="T39" s="4">
        <v>0.14537299813091356</v>
      </c>
      <c r="U39" s="2">
        <v>1.175126331437129</v>
      </c>
      <c r="V39" s="2">
        <v>1</v>
      </c>
    </row>
    <row r="40" spans="1:22" x14ac:dyDescent="0.3">
      <c r="H40" s="4"/>
      <c r="I40" s="5"/>
      <c r="Q40" s="55">
        <v>41805</v>
      </c>
      <c r="R40" s="29">
        <v>41405.122418706713</v>
      </c>
      <c r="S40" s="29">
        <f t="shared" si="9"/>
        <v>258917.7555624196</v>
      </c>
      <c r="T40" s="4">
        <v>0.19035732233239944</v>
      </c>
      <c r="U40" s="2">
        <v>1.5891775556241963</v>
      </c>
      <c r="V40" s="2">
        <v>0.625</v>
      </c>
    </row>
    <row r="41" spans="1:22" x14ac:dyDescent="0.3">
      <c r="H41" s="4"/>
      <c r="I41" s="5"/>
      <c r="Q41" s="55">
        <v>42536</v>
      </c>
      <c r="R41" s="29">
        <v>3864.6990868864659</v>
      </c>
      <c r="S41" s="29">
        <f t="shared" si="9"/>
        <v>262782.45464930608</v>
      </c>
      <c r="T41" s="4">
        <v>1.4926357902692262E-2</v>
      </c>
      <c r="U41" s="2">
        <v>1.6278245464930614</v>
      </c>
      <c r="V41" s="2">
        <v>0.55555555555555558</v>
      </c>
    </row>
    <row r="42" spans="1:22" x14ac:dyDescent="0.3">
      <c r="H42" s="4"/>
      <c r="I42" s="5"/>
      <c r="Q42" s="55">
        <v>43266</v>
      </c>
      <c r="R42" s="30">
        <v>24098.427472539373</v>
      </c>
      <c r="S42" s="29">
        <f t="shared" si="9"/>
        <v>286880.88212184544</v>
      </c>
      <c r="T42" s="4">
        <v>9.1704857178154089E-2</v>
      </c>
      <c r="U42" s="3">
        <v>1.868808821218455</v>
      </c>
      <c r="V42" s="2">
        <v>0.7142857142857143</v>
      </c>
    </row>
    <row r="43" spans="1:22" x14ac:dyDescent="0.3">
      <c r="H43" s="4"/>
      <c r="I43" s="5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Mark</dc:creator>
  <cp:lastModifiedBy>Bruce Mark</cp:lastModifiedBy>
  <dcterms:created xsi:type="dcterms:W3CDTF">2020-06-14T22:00:17Z</dcterms:created>
  <dcterms:modified xsi:type="dcterms:W3CDTF">2020-06-19T03:22:44Z</dcterms:modified>
</cp:coreProperties>
</file>