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lucafugante/Desktop/Lab Misure Nucleari/Compton18/Misure/"/>
    </mc:Choice>
  </mc:AlternateContent>
  <xr:revisionPtr revIDLastSave="0" documentId="13_ncr:1_{87B16369-1783-424C-A9D8-6CCF78CF83EA}" xr6:coauthVersionLast="31" xr6:coauthVersionMax="33" xr10:uidLastSave="{00000000-0000-0000-0000-000000000000}"/>
  <bookViews>
    <workbookView xWindow="100" yWindow="460" windowWidth="25500" windowHeight="14200" activeTab="1" xr2:uid="{4101EC76-7521-9144-A8EA-B5A5DA7ED35A}"/>
  </bookViews>
  <sheets>
    <sheet name="Foglio1" sheetId="4" r:id="rId1"/>
    <sheet name="Energia finale" sheetId="2" r:id="rId2"/>
    <sheet name="Elettrone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" l="1"/>
  <c r="G3" i="2"/>
  <c r="I3" i="2" s="1"/>
  <c r="G5" i="2"/>
  <c r="G4" i="2"/>
  <c r="I4" i="2" s="1"/>
  <c r="D15" i="2"/>
  <c r="F3" i="2"/>
  <c r="F4" i="2"/>
  <c r="F5" i="2"/>
  <c r="F6" i="2"/>
  <c r="W13" i="4" l="1"/>
  <c r="W15" i="4"/>
  <c r="W12" i="4"/>
  <c r="V15" i="4"/>
  <c r="V13" i="4"/>
  <c r="V12" i="4"/>
  <c r="Q12" i="4"/>
  <c r="K12" i="4"/>
  <c r="Q13" i="4" l="1"/>
  <c r="Q15" i="4"/>
  <c r="P12" i="4"/>
  <c r="P13" i="4"/>
  <c r="P15" i="4"/>
  <c r="K13" i="4"/>
  <c r="K15" i="4"/>
  <c r="K11" i="4"/>
  <c r="C26" i="4"/>
  <c r="J12" i="4"/>
  <c r="J13" i="4"/>
  <c r="J15" i="4"/>
  <c r="J11" i="4"/>
  <c r="D15" i="4" l="1"/>
  <c r="C15" i="4"/>
  <c r="C28" i="4" s="1"/>
  <c r="D16" i="4" l="1"/>
  <c r="C16" i="4"/>
  <c r="C29" i="4" s="1"/>
  <c r="E16" i="2" l="1"/>
  <c r="E17" i="2"/>
  <c r="E18" i="2"/>
  <c r="D16" i="2"/>
  <c r="D17" i="2"/>
  <c r="D18" i="2"/>
  <c r="C16" i="2"/>
  <c r="C17" i="2"/>
  <c r="C18" i="2"/>
  <c r="G6" i="2" s="1"/>
  <c r="I6" i="2" s="1"/>
  <c r="I7" i="2" s="1"/>
  <c r="I8" i="2" s="1"/>
  <c r="C15" i="2"/>
</calcChain>
</file>

<file path=xl/sharedStrings.xml><?xml version="1.0" encoding="utf-8"?>
<sst xmlns="http://schemas.openxmlformats.org/spreadsheetml/2006/main" count="55" uniqueCount="51">
  <si>
    <t>Attività (Bq)</t>
  </si>
  <si>
    <t>A</t>
  </si>
  <si>
    <t>B</t>
  </si>
  <si>
    <t>efficienza</t>
  </si>
  <si>
    <t>Angoli</t>
  </si>
  <si>
    <t>Integrale</t>
  </si>
  <si>
    <t>N</t>
  </si>
  <si>
    <t>n</t>
  </si>
  <si>
    <t>K</t>
  </si>
  <si>
    <t>las</t>
  </si>
  <si>
    <t>lts</t>
  </si>
  <si>
    <t>da</t>
  </si>
  <si>
    <t>db</t>
  </si>
  <si>
    <t>ltb</t>
  </si>
  <si>
    <t>Angolo</t>
  </si>
  <si>
    <t>E' teo</t>
  </si>
  <si>
    <t>E' exp</t>
  </si>
  <si>
    <t>sigma E' exp</t>
  </si>
  <si>
    <t>Retta di calibrazione</t>
  </si>
  <si>
    <t>valore</t>
  </si>
  <si>
    <t>errore</t>
  </si>
  <si>
    <t>Marker</t>
  </si>
  <si>
    <t>sigma Marker</t>
  </si>
  <si>
    <t>m</t>
  </si>
  <si>
    <t>q</t>
  </si>
  <si>
    <t>dE'/dm</t>
  </si>
  <si>
    <t>dE'/dq</t>
  </si>
  <si>
    <t>dE'/dMarker</t>
  </si>
  <si>
    <t>valori</t>
  </si>
  <si>
    <t>errori</t>
  </si>
  <si>
    <t>distanze ideali:</t>
  </si>
  <si>
    <t>dΩ</t>
  </si>
  <si>
    <t>rilevatori:</t>
  </si>
  <si>
    <t>σ</t>
  </si>
  <si>
    <t>cost</t>
  </si>
  <si>
    <t>eff(E')(B)</t>
  </si>
  <si>
    <r>
      <t>N</t>
    </r>
    <r>
      <rPr>
        <sz val="12"/>
        <color theme="1"/>
        <rFont val="Calibri (Corpo)_x0000_"/>
      </rPr>
      <t>av (mol-1)</t>
    </r>
  </si>
  <si>
    <r>
      <t>ρ</t>
    </r>
    <r>
      <rPr>
        <sz val="12"/>
        <color theme="1"/>
        <rFont val="Calibri (Corpo)_x0000_"/>
      </rPr>
      <t>Pb (g/cm3)</t>
    </r>
  </si>
  <si>
    <r>
      <t>A</t>
    </r>
    <r>
      <rPr>
        <sz val="12"/>
        <color theme="1"/>
        <rFont val="Calibri (Corpo)_x0000_"/>
      </rPr>
      <t>Pb</t>
    </r>
  </si>
  <si>
    <r>
      <t>Z</t>
    </r>
    <r>
      <rPr>
        <sz val="12"/>
        <color theme="1"/>
        <rFont val="Calibri (Corpo)_x0000_"/>
      </rPr>
      <t>Pb</t>
    </r>
  </si>
  <si>
    <t>σ Attività</t>
  </si>
  <si>
    <t>T esecuzione</t>
  </si>
  <si>
    <t>dσ/dΩ 1E+26</t>
  </si>
  <si>
    <t>σ Integrale</t>
  </si>
  <si>
    <t>σ eff'</t>
  </si>
  <si>
    <t>dσ/dΩ 1E+26 teo</t>
  </si>
  <si>
    <t>errori relativi</t>
  </si>
  <si>
    <t>eff' (%)</t>
  </si>
  <si>
    <t>Integrale (%)</t>
  </si>
  <si>
    <t>chi2</t>
  </si>
  <si>
    <t>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</si>
</sst>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0"/>
    <numFmt numFmtId="166" formatCode="0.000"/>
    <numFmt numFmtId="167" formatCode="0.0"/>
  </numFmts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 (Corpo)_x0000_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165" fontId="1" fillId="0" borderId="5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165" fontId="1" fillId="0" borderId="10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/>
    <xf numFmtId="166" fontId="1" fillId="0" borderId="10" xfId="0" applyNumberFormat="1" applyFont="1" applyBorder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0" borderId="0" xfId="0" applyNumberFormat="1"/>
    <xf numFmtId="0" fontId="0" fillId="0" borderId="11" xfId="0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167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Sezione d'urto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teorica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Foglio1!$H$11:$H$15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</c:numCache>
            </c:numRef>
          </c:xVal>
          <c:yVal>
            <c:numRef>
              <c:f>Foglio1!$S$11:$S$15</c:f>
              <c:numCache>
                <c:formatCode>0.000</c:formatCode>
                <c:ptCount val="5"/>
                <c:pt idx="0" formatCode="General">
                  <c:v>7.9409999999999998</c:v>
                </c:pt>
                <c:pt idx="1">
                  <c:v>6.6619815897123082</c:v>
                </c:pt>
                <c:pt idx="2">
                  <c:v>5.4520903719692679</c:v>
                </c:pt>
                <c:pt idx="3">
                  <c:v>3.720362790905547</c:v>
                </c:pt>
                <c:pt idx="4">
                  <c:v>2.4998060549999996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B-834E-9831-8CA2B6FE6EFD}"/>
            </c:ext>
          </c:extLst>
        </c:ser>
        <c:ser>
          <c:idx val="1"/>
          <c:order val="1"/>
          <c:tx>
            <c:v>sperimentale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Foglio1!$Q$11:$Q$15</c:f>
                <c:numCache>
                  <c:formatCode>General</c:formatCode>
                  <c:ptCount val="5"/>
                  <c:pt idx="1">
                    <c:v>1.3753443723347922</c:v>
                  </c:pt>
                  <c:pt idx="2">
                    <c:v>0.95001315008077158</c:v>
                  </c:pt>
                  <c:pt idx="4">
                    <c:v>0.92308131694566697</c:v>
                  </c:pt>
                </c:numCache>
              </c:numRef>
            </c:plus>
            <c:minus>
              <c:numRef>
                <c:f>Foglio1!$Q$11:$Q$15</c:f>
                <c:numCache>
                  <c:formatCode>General</c:formatCode>
                  <c:ptCount val="5"/>
                  <c:pt idx="1">
                    <c:v>1.3753443723347922</c:v>
                  </c:pt>
                  <c:pt idx="2">
                    <c:v>0.95001315008077158</c:v>
                  </c:pt>
                  <c:pt idx="4">
                    <c:v>0.92308131694566697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Foglio1!$H$11:$H$15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</c:numCache>
            </c:numRef>
          </c:xVal>
          <c:yVal>
            <c:numRef>
              <c:f>Foglio1!$P$11:$P$15</c:f>
              <c:numCache>
                <c:formatCode>0.000</c:formatCode>
                <c:ptCount val="5"/>
                <c:pt idx="1">
                  <c:v>7.2637037454778914</c:v>
                </c:pt>
                <c:pt idx="2">
                  <c:v>5.5352002038420389</c:v>
                </c:pt>
                <c:pt idx="4">
                  <c:v>3.1239496838225045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9B-834E-9831-8CA2B6FE6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034975"/>
        <c:axId val="1456097935"/>
      </c:scatterChart>
      <c:valAx>
        <c:axId val="155003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6097935"/>
        <c:crosses val="autoZero"/>
        <c:crossBetween val="midCat"/>
      </c:valAx>
      <c:valAx>
        <c:axId val="14560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003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Energia</a:t>
            </a:r>
            <a:r>
              <a:rPr lang="it-IT" baseline="0"/>
              <a:t> fotone diffuso</a:t>
            </a:r>
          </a:p>
        </c:rich>
      </c:tx>
      <c:layout>
        <c:manualLayout>
          <c:xMode val="edge"/>
          <c:yMode val="edge"/>
          <c:x val="0.3653818897637795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'Energia finale'!$G$3:$G$6</c:f>
                <c:numCache>
                  <c:formatCode>General</c:formatCode>
                  <c:ptCount val="4"/>
                  <c:pt idx="0">
                    <c:v>7.1325454880394643</c:v>
                  </c:pt>
                  <c:pt idx="1">
                    <c:v>6.5589716732621497</c:v>
                  </c:pt>
                  <c:pt idx="2">
                    <c:v>3.0199627921959213</c:v>
                  </c:pt>
                  <c:pt idx="3">
                    <c:v>5.2193819036851918</c:v>
                  </c:pt>
                </c:numCache>
              </c:numRef>
            </c:plus>
            <c:minus>
              <c:numRef>
                <c:f>'Energia finale'!$G$3:$G$6</c:f>
                <c:numCache>
                  <c:formatCode>General</c:formatCode>
                  <c:ptCount val="4"/>
                  <c:pt idx="0">
                    <c:v>7.1325454880394643</c:v>
                  </c:pt>
                  <c:pt idx="1">
                    <c:v>6.5589716732621497</c:v>
                  </c:pt>
                  <c:pt idx="2">
                    <c:v>3.0199627921959213</c:v>
                  </c:pt>
                  <c:pt idx="3">
                    <c:v>5.2193819036851918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'Energia finale'!$B$3:$B$6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xVal>
          <c:yVal>
            <c:numRef>
              <c:f>'Energia finale'!$F$3:$F$6</c:f>
              <c:numCache>
                <c:formatCode>0</c:formatCode>
                <c:ptCount val="4"/>
                <c:pt idx="0">
                  <c:v>497.23456065457128</c:v>
                </c:pt>
                <c:pt idx="1">
                  <c:v>448.05277481323373</c:v>
                </c:pt>
                <c:pt idx="2">
                  <c:v>7.8179829242262544</c:v>
                </c:pt>
                <c:pt idx="3">
                  <c:v>327.63299537531128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E-E54A-A2E4-3F71B62C10D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'Energia finale'!$B$3:$B$6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xVal>
          <c:yVal>
            <c:numRef>
              <c:f>'Energia finale'!$C$3:$C$6</c:f>
              <c:numCache>
                <c:formatCode>0</c:formatCode>
                <c:ptCount val="4"/>
                <c:pt idx="0">
                  <c:v>481.93571978981919</c:v>
                </c:pt>
                <c:pt idx="1">
                  <c:v>450.62737887195334</c:v>
                </c:pt>
                <c:pt idx="2">
                  <c:v>395.23759005323592</c:v>
                </c:pt>
                <c:pt idx="3">
                  <c:v>340.66666666666669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BE-E54A-A2E4-3F71B62C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370239"/>
        <c:axId val="1884521231"/>
      </c:scatterChart>
      <c:valAx>
        <c:axId val="200237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4521231"/>
        <c:crosses val="autoZero"/>
        <c:crossBetween val="midCat"/>
      </c:valAx>
      <c:valAx>
        <c:axId val="1884521231"/>
        <c:scaling>
          <c:orientation val="minMax"/>
          <c:max val="5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237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15</xdr:row>
      <xdr:rowOff>177800</xdr:rowOff>
    </xdr:from>
    <xdr:to>
      <xdr:col>17</xdr:col>
      <xdr:colOff>222250</xdr:colOff>
      <xdr:row>41</xdr:row>
      <xdr:rowOff>196850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161A5C-D720-1B4B-9461-DFDDAFDB4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10</xdr:row>
      <xdr:rowOff>63500</xdr:rowOff>
    </xdr:from>
    <xdr:to>
      <xdr:col>11</xdr:col>
      <xdr:colOff>723900</xdr:colOff>
      <xdr:row>24</xdr:row>
      <xdr:rowOff>50800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DABBC43-D925-BA4E-988C-C664043FF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55752-6342-1F47-BD55-415FCFBE7383}">
  <dimension ref="B2:W29"/>
  <sheetViews>
    <sheetView zoomScale="67" workbookViewId="0">
      <selection activeCell="V18" sqref="V18"/>
    </sheetView>
  </sheetViews>
  <sheetFormatPr baseColWidth="10" defaultRowHeight="16"/>
  <cols>
    <col min="15" max="15" width="11.83203125" customWidth="1"/>
  </cols>
  <sheetData>
    <row r="2" spans="2:23">
      <c r="B2" t="s">
        <v>30</v>
      </c>
    </row>
    <row r="3" spans="2:23">
      <c r="B3" s="21"/>
      <c r="C3" s="22" t="s">
        <v>28</v>
      </c>
      <c r="D3" s="22" t="s">
        <v>29</v>
      </c>
    </row>
    <row r="4" spans="2:23">
      <c r="B4" s="24" t="s">
        <v>11</v>
      </c>
      <c r="C4" s="22">
        <v>3.8</v>
      </c>
      <c r="D4" s="21">
        <v>0.05</v>
      </c>
    </row>
    <row r="5" spans="2:23">
      <c r="B5" s="24" t="s">
        <v>12</v>
      </c>
      <c r="C5" s="22">
        <v>4.2</v>
      </c>
      <c r="D5" s="21">
        <v>0.05</v>
      </c>
    </row>
    <row r="6" spans="2:23">
      <c r="B6" s="24" t="s">
        <v>9</v>
      </c>
      <c r="C6" s="22">
        <v>26</v>
      </c>
      <c r="D6" s="21">
        <v>0.1</v>
      </c>
    </row>
    <row r="7" spans="2:23">
      <c r="B7" s="24" t="s">
        <v>10</v>
      </c>
      <c r="C7" s="22">
        <v>10</v>
      </c>
      <c r="D7" s="21">
        <v>0.1</v>
      </c>
    </row>
    <row r="8" spans="2:23">
      <c r="B8" s="24" t="s">
        <v>13</v>
      </c>
      <c r="C8" s="22">
        <v>30</v>
      </c>
      <c r="D8" s="21">
        <v>0.1</v>
      </c>
    </row>
    <row r="9" spans="2:23">
      <c r="B9" s="13"/>
      <c r="C9" s="12"/>
      <c r="D9" s="13"/>
      <c r="V9" t="s">
        <v>46</v>
      </c>
    </row>
    <row r="10" spans="2:23" ht="17" thickBot="1">
      <c r="B10" s="13"/>
      <c r="C10" s="12"/>
      <c r="D10" s="13"/>
      <c r="H10" s="43" t="s">
        <v>4</v>
      </c>
      <c r="I10" s="43" t="s">
        <v>34</v>
      </c>
      <c r="J10" s="43" t="s">
        <v>35</v>
      </c>
      <c r="K10" s="43" t="s">
        <v>44</v>
      </c>
      <c r="L10" s="43" t="s">
        <v>5</v>
      </c>
      <c r="M10" s="43" t="s">
        <v>43</v>
      </c>
      <c r="N10" s="43" t="s">
        <v>41</v>
      </c>
      <c r="O10" s="43" t="s">
        <v>8</v>
      </c>
      <c r="P10" s="43" t="s">
        <v>42</v>
      </c>
      <c r="Q10" s="43" t="s">
        <v>33</v>
      </c>
      <c r="R10" s="44"/>
      <c r="S10" s="45" t="s">
        <v>45</v>
      </c>
      <c r="V10" t="s">
        <v>48</v>
      </c>
      <c r="W10" t="s">
        <v>47</v>
      </c>
    </row>
    <row r="11" spans="2:23" ht="17" thickTop="1">
      <c r="B11" s="23" t="s">
        <v>32</v>
      </c>
      <c r="H11" s="37">
        <v>0</v>
      </c>
      <c r="I11" s="38">
        <v>1</v>
      </c>
      <c r="J11" s="39">
        <f>$D$13*I11</f>
        <v>0.20468826200000001</v>
      </c>
      <c r="K11" s="39">
        <f>$D$14*I11</f>
        <v>2.0019861495708034E-2</v>
      </c>
      <c r="L11" s="37"/>
      <c r="M11" s="37"/>
      <c r="N11" s="37"/>
      <c r="O11" s="39">
        <v>0.16500000000000001</v>
      </c>
      <c r="P11" s="40"/>
      <c r="S11" s="25">
        <v>7.9409999999999998</v>
      </c>
      <c r="V11" s="46"/>
    </row>
    <row r="12" spans="2:23" ht="19">
      <c r="B12" s="14"/>
      <c r="C12" s="1" t="s">
        <v>1</v>
      </c>
      <c r="D12" s="8" t="s">
        <v>2</v>
      </c>
      <c r="H12" s="37">
        <v>20</v>
      </c>
      <c r="I12" s="38">
        <v>1</v>
      </c>
      <c r="J12" s="39">
        <f>$D$13*I12</f>
        <v>0.20468826200000001</v>
      </c>
      <c r="K12" s="39">
        <f>$D$14*I12</f>
        <v>2.0019861495708034E-2</v>
      </c>
      <c r="L12" s="38">
        <v>973</v>
      </c>
      <c r="M12" s="37">
        <v>144</v>
      </c>
      <c r="N12" s="38">
        <v>162442</v>
      </c>
      <c r="O12" s="39">
        <v>0.16500000000000001</v>
      </c>
      <c r="P12" s="41">
        <f t="shared" ref="P12:P15" si="0">1E+26*L12/(N12*J12*O12*$D$15*$C$26*$C$28)</f>
        <v>7.2637037454778914</v>
      </c>
      <c r="Q12" s="42">
        <f>P12*SQRT( (M12/L12)^2 + (K12/J12)^2 + ($C$29/$C$28)^2 + ($D$16/$D$15)^2)</f>
        <v>1.3753443723347922</v>
      </c>
      <c r="S12" s="6">
        <v>6.6619815897123082</v>
      </c>
      <c r="V12" s="46">
        <f>100*M12/L12</f>
        <v>14.799588900308326</v>
      </c>
      <c r="W12" s="46">
        <f>100*K12/J12</f>
        <v>9.7806592816289744</v>
      </c>
    </row>
    <row r="13" spans="2:23" ht="19">
      <c r="B13" s="17" t="s">
        <v>3</v>
      </c>
      <c r="C13" s="33">
        <v>0.20719311100000001</v>
      </c>
      <c r="D13" s="34">
        <v>0.20468826200000001</v>
      </c>
      <c r="H13" s="37">
        <v>30</v>
      </c>
      <c r="I13" s="38">
        <v>1.1000000000000001</v>
      </c>
      <c r="J13" s="39">
        <f>$D$13*I13</f>
        <v>0.22515708820000002</v>
      </c>
      <c r="K13" s="39">
        <f>$D$14*I13</f>
        <v>2.2021847645278838E-2</v>
      </c>
      <c r="L13" s="38">
        <v>2144</v>
      </c>
      <c r="M13" s="37">
        <v>267</v>
      </c>
      <c r="N13" s="38">
        <v>443128</v>
      </c>
      <c r="O13" s="39">
        <v>0.159</v>
      </c>
      <c r="P13" s="41">
        <f t="shared" si="0"/>
        <v>5.5352002038420389</v>
      </c>
      <c r="Q13" s="42">
        <f t="shared" ref="Q13:Q15" si="1">P13*SQRT( (M13/L13)^2 + (K13/J13)^2 + ($C$29/$C$28)^2 + ($D$16/$D$15)^2)</f>
        <v>0.95001315008077158</v>
      </c>
      <c r="S13" s="6">
        <v>5.4520903719692679</v>
      </c>
      <c r="V13" s="46">
        <f>100*M13/L13</f>
        <v>12.453358208955224</v>
      </c>
      <c r="W13" s="46">
        <f t="shared" ref="W13:W15" si="2">100*K13/J13</f>
        <v>9.7806592816289726</v>
      </c>
    </row>
    <row r="14" spans="2:23" ht="19">
      <c r="B14" s="18" t="s">
        <v>33</v>
      </c>
      <c r="C14" s="35">
        <v>7.5136509758731334E-3</v>
      </c>
      <c r="D14" s="36">
        <v>2.0019861495708034E-2</v>
      </c>
      <c r="H14" s="37">
        <v>45</v>
      </c>
      <c r="I14" s="38"/>
      <c r="J14" s="39"/>
      <c r="K14" s="39"/>
      <c r="L14" s="38"/>
      <c r="M14" s="37"/>
      <c r="N14" s="38"/>
      <c r="O14" s="39">
        <v>0.14899999999999999</v>
      </c>
      <c r="P14" s="41"/>
      <c r="Q14" s="42"/>
      <c r="S14" s="6">
        <v>3.720362790905547</v>
      </c>
      <c r="V14" s="46"/>
      <c r="W14" s="46"/>
    </row>
    <row r="15" spans="2:23" ht="19">
      <c r="B15" s="17" t="s">
        <v>31</v>
      </c>
      <c r="C15" s="19">
        <f>(PI()*(C4/2)^2)/(C6^2)</f>
        <v>1.6776848342395196E-2</v>
      </c>
      <c r="D15" s="20">
        <f>(PI()*(C5/2)^2)/((C7+C8)^2)</f>
        <v>8.6590147514568668E-3</v>
      </c>
      <c r="H15" s="37">
        <v>60</v>
      </c>
      <c r="I15" s="38">
        <v>1.27</v>
      </c>
      <c r="J15" s="39">
        <f>$D$13*I15</f>
        <v>0.25995409274000003</v>
      </c>
      <c r="K15" s="39">
        <f>$D$14*I15</f>
        <v>2.5425224099549202E-2</v>
      </c>
      <c r="L15" s="38">
        <v>923</v>
      </c>
      <c r="M15" s="37">
        <v>250</v>
      </c>
      <c r="N15" s="38">
        <v>355345</v>
      </c>
      <c r="O15" s="39">
        <v>0.13100000000000001</v>
      </c>
      <c r="P15" s="41">
        <f t="shared" si="0"/>
        <v>3.1239496838225045</v>
      </c>
      <c r="Q15" s="42">
        <f t="shared" si="1"/>
        <v>0.92308131694566697</v>
      </c>
      <c r="S15" s="6">
        <v>2.4998060549999996</v>
      </c>
      <c r="V15" s="46">
        <f>100*M15/L15</f>
        <v>27.085590465872155</v>
      </c>
      <c r="W15" s="46">
        <f t="shared" si="2"/>
        <v>9.7806592816289726</v>
      </c>
    </row>
    <row r="16" spans="2:23" ht="19">
      <c r="B16" s="18" t="s">
        <v>33</v>
      </c>
      <c r="C16" s="16">
        <f>2*C15*SQRT( ((D4/C4)^2) + ((D6/C6)^2))</f>
        <v>4.5997099916508154E-4</v>
      </c>
      <c r="D16" s="15">
        <f>2*C15*SQRT( ((D5/C5)^2) + 2*((D7/(C7+C8))^2))</f>
        <v>4.1669227484470984E-4</v>
      </c>
    </row>
    <row r="20" spans="2:3">
      <c r="B20" s="26" t="s">
        <v>36</v>
      </c>
      <c r="C20" s="27">
        <v>6.0220000000000003E+23</v>
      </c>
    </row>
    <row r="21" spans="2:3">
      <c r="B21" s="26" t="s">
        <v>37</v>
      </c>
      <c r="C21" s="26">
        <v>11.36</v>
      </c>
    </row>
    <row r="22" spans="2:3">
      <c r="B22" s="26" t="s">
        <v>38</v>
      </c>
      <c r="C22" s="26">
        <v>207</v>
      </c>
    </row>
    <row r="23" spans="2:3">
      <c r="B23" s="26" t="s">
        <v>39</v>
      </c>
      <c r="C23" s="26">
        <v>82</v>
      </c>
    </row>
    <row r="24" spans="2:3">
      <c r="B24" s="26" t="s">
        <v>0</v>
      </c>
      <c r="C24" s="26">
        <v>188080</v>
      </c>
    </row>
    <row r="25" spans="2:3">
      <c r="B25" s="22" t="s">
        <v>40</v>
      </c>
      <c r="C25" s="28">
        <v>0</v>
      </c>
    </row>
    <row r="26" spans="2:3">
      <c r="B26" s="30" t="s">
        <v>6</v>
      </c>
      <c r="C26" s="31">
        <f>C20*C21*C23/C22</f>
        <v>2.7099581835748797E+24</v>
      </c>
    </row>
    <row r="27" spans="2:3">
      <c r="B27" s="29"/>
    </row>
    <row r="28" spans="2:3">
      <c r="B28" s="30" t="s">
        <v>7</v>
      </c>
      <c r="C28" s="32">
        <f>(2*C24*C13*C15)/(4*PI())</f>
        <v>104.05152214788224</v>
      </c>
    </row>
    <row r="29" spans="2:3">
      <c r="B29" s="22" t="s">
        <v>33</v>
      </c>
      <c r="C29" s="32">
        <f>C28*SQRT( (C25/C24)^2 + (C14/C13)^2 + (C16/C15)^2)</f>
        <v>4.7303635496709644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BD80E-B9C4-2242-8BF6-9180424F7470}">
  <dimension ref="B1:I18"/>
  <sheetViews>
    <sheetView tabSelected="1" workbookViewId="0">
      <selection activeCell="E3" sqref="E3"/>
    </sheetView>
  </sheetViews>
  <sheetFormatPr baseColWidth="10" defaultRowHeight="16"/>
  <cols>
    <col min="5" max="5" width="13.83203125" customWidth="1"/>
    <col min="7" max="7" width="13.83203125" customWidth="1"/>
    <col min="9" max="9" width="12.1640625" bestFit="1" customWidth="1"/>
  </cols>
  <sheetData>
    <row r="1" spans="2:9" ht="17" thickBot="1"/>
    <row r="2" spans="2:9" ht="20" thickBot="1">
      <c r="B2" t="s">
        <v>14</v>
      </c>
      <c r="C2" t="s">
        <v>15</v>
      </c>
      <c r="D2" s="10" t="s">
        <v>21</v>
      </c>
      <c r="E2" t="s">
        <v>22</v>
      </c>
      <c r="F2" t="s">
        <v>16</v>
      </c>
      <c r="G2" t="s">
        <v>17</v>
      </c>
    </row>
    <row r="3" spans="2:9" ht="20" thickTop="1">
      <c r="B3">
        <v>20</v>
      </c>
      <c r="C3" s="7">
        <v>481.93571978981919</v>
      </c>
      <c r="D3" s="5">
        <v>5503</v>
      </c>
      <c r="E3">
        <v>1</v>
      </c>
      <c r="F3" s="47">
        <f>(D3-$C$11)/$D$11</f>
        <v>497.23456065457128</v>
      </c>
      <c r="G3" s="47">
        <f>SQRT((C15*$D$12)^2+(D15*$C$12)^2+(E15*E3)^2)</f>
        <v>7.1325454880394643</v>
      </c>
      <c r="I3" s="49">
        <f>((F3-C3)/G3)^2</f>
        <v>4.6007427911358363</v>
      </c>
    </row>
    <row r="4" spans="2:9" ht="19">
      <c r="B4">
        <v>30</v>
      </c>
      <c r="C4" s="7">
        <v>450.62737887195334</v>
      </c>
      <c r="D4" s="5">
        <v>4950</v>
      </c>
      <c r="E4">
        <v>1</v>
      </c>
      <c r="F4" s="47">
        <f t="shared" ref="F4:F6" si="0">(D4-$C$11)/$D$11</f>
        <v>448.05277481323373</v>
      </c>
      <c r="G4" s="47">
        <f>SQRT((C16*$D$12)^2+(D16*$C$12)^2+(E16*E4)^2)</f>
        <v>6.5589716732621497</v>
      </c>
      <c r="I4" s="49">
        <f t="shared" ref="I4:I6" si="1">((F4-C4)/G4)^2</f>
        <v>0.15408110648676632</v>
      </c>
    </row>
    <row r="5" spans="2:9" ht="19">
      <c r="B5">
        <v>45</v>
      </c>
      <c r="C5" s="7">
        <v>395.23759005323592</v>
      </c>
      <c r="D5" s="5"/>
      <c r="E5">
        <v>1</v>
      </c>
      <c r="F5" s="47">
        <f t="shared" si="0"/>
        <v>7.8179829242262544</v>
      </c>
      <c r="G5" s="47">
        <f>SQRT((C17*$D$12)^2+(D17*$C$12)^2+(E17*E5)^2)</f>
        <v>3.0199627921959213</v>
      </c>
      <c r="I5" s="49"/>
    </row>
    <row r="6" spans="2:9" ht="19">
      <c r="B6">
        <v>60</v>
      </c>
      <c r="C6" s="7">
        <v>340.66666666666669</v>
      </c>
      <c r="D6" s="5">
        <v>3596</v>
      </c>
      <c r="E6">
        <v>1</v>
      </c>
      <c r="F6" s="47">
        <f t="shared" si="0"/>
        <v>327.63299537531128</v>
      </c>
      <c r="G6" s="47">
        <f t="shared" ref="G5:G6" si="2">SQRT((C18*$D$12)^2+(D18*$C$12)^2+(E18*E6)^2)</f>
        <v>5.2193819036851918</v>
      </c>
      <c r="I6" s="49">
        <f t="shared" si="1"/>
        <v>6.2358459358406257</v>
      </c>
    </row>
    <row r="7" spans="2:9" ht="20" thickBot="1">
      <c r="D7" s="11"/>
      <c r="H7" s="48" t="s">
        <v>49</v>
      </c>
      <c r="I7" s="49">
        <f>SUM(I3:I6)</f>
        <v>10.99066983346323</v>
      </c>
    </row>
    <row r="8" spans="2:9">
      <c r="H8" s="48" t="s">
        <v>50</v>
      </c>
      <c r="I8" s="49">
        <f>I7/2</f>
        <v>5.4953349167316148</v>
      </c>
    </row>
    <row r="9" spans="2:9">
      <c r="B9" t="s">
        <v>18</v>
      </c>
    </row>
    <row r="10" spans="2:9" ht="19">
      <c r="B10" s="2"/>
      <c r="C10" s="8" t="s">
        <v>24</v>
      </c>
      <c r="D10" s="1" t="s">
        <v>23</v>
      </c>
    </row>
    <row r="11" spans="2:9" ht="19">
      <c r="B11" s="4" t="s">
        <v>19</v>
      </c>
      <c r="C11" s="9">
        <v>-87.9054</v>
      </c>
      <c r="D11" s="9">
        <v>11.244</v>
      </c>
    </row>
    <row r="12" spans="2:9" ht="19">
      <c r="B12" s="3" t="s">
        <v>20</v>
      </c>
      <c r="C12" s="9">
        <v>33.922499999999999</v>
      </c>
      <c r="D12" s="9">
        <v>0.14613599999999999</v>
      </c>
    </row>
    <row r="14" spans="2:9">
      <c r="B14" t="s">
        <v>14</v>
      </c>
      <c r="C14" t="s">
        <v>25</v>
      </c>
      <c r="D14" t="s">
        <v>26</v>
      </c>
      <c r="E14" t="s">
        <v>27</v>
      </c>
    </row>
    <row r="15" spans="2:9">
      <c r="B15">
        <v>20</v>
      </c>
      <c r="C15">
        <f>(D3-$C$11)/($D$11^2)</f>
        <v>44.222212793896418</v>
      </c>
      <c r="D15">
        <f>1/$D$11</f>
        <v>8.893632159373889E-2</v>
      </c>
      <c r="E15">
        <f>1/$D$11</f>
        <v>8.893632159373889E-2</v>
      </c>
    </row>
    <row r="16" spans="2:9">
      <c r="B16">
        <v>30</v>
      </c>
      <c r="C16">
        <f t="shared" ref="C16:C18" si="3">(D4-$C$11)/($D$11^2)</f>
        <v>39.848165671756824</v>
      </c>
      <c r="D16">
        <f t="shared" ref="D16:E18" si="4">1/$D$11</f>
        <v>8.893632159373889E-2</v>
      </c>
      <c r="E16">
        <f t="shared" si="4"/>
        <v>8.893632159373889E-2</v>
      </c>
    </row>
    <row r="17" spans="2:5">
      <c r="B17">
        <v>45</v>
      </c>
      <c r="C17">
        <f t="shared" si="3"/>
        <v>0.69530264356334526</v>
      </c>
      <c r="D17">
        <f t="shared" si="4"/>
        <v>8.893632159373889E-2</v>
      </c>
      <c r="E17">
        <f t="shared" si="4"/>
        <v>8.893632159373889E-2</v>
      </c>
    </row>
    <row r="18" spans="2:5">
      <c r="B18">
        <v>60</v>
      </c>
      <c r="C18">
        <f t="shared" si="3"/>
        <v>29.13847344141865</v>
      </c>
      <c r="D18">
        <f t="shared" si="4"/>
        <v>8.893632159373889E-2</v>
      </c>
      <c r="E18">
        <f t="shared" si="4"/>
        <v>8.893632159373889E-2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30F1F-B280-B546-B3B3-B35499A07809}">
  <dimension ref="A1"/>
  <sheetViews>
    <sheetView workbookViewId="0">
      <selection activeCell="J18" sqref="J18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Energia finale</vt:lpstr>
      <vt:lpstr>Elettrone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Radaelli</dc:creator>
  <cp:lastModifiedBy>Gianluca Fugante</cp:lastModifiedBy>
  <dcterms:created xsi:type="dcterms:W3CDTF">2018-05-16T13:10:00Z</dcterms:created>
  <dcterms:modified xsi:type="dcterms:W3CDTF">2018-05-17T20:31:55Z</dcterms:modified>
</cp:coreProperties>
</file>