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Z:\Cesar 2019\Analisis 2019\Proyecciones\"/>
    </mc:Choice>
  </mc:AlternateContent>
  <bookViews>
    <workbookView xWindow="0" yWindow="0" windowWidth="20490" windowHeight="7755" tabRatio="752" firstSheet="1" activeTab="6"/>
  </bookViews>
  <sheets>
    <sheet name="Octubre Ventas" sheetId="9" r:id="rId1"/>
    <sheet name="octubre margen" sheetId="16" r:id="rId2"/>
    <sheet name="BD octubre margen" sheetId="17" state="hidden" r:id="rId3"/>
    <sheet name="BD octubre" sheetId="6" state="hidden" r:id="rId4"/>
    <sheet name="Hoja8" sheetId="22" state="hidden" r:id="rId5"/>
    <sheet name="Hoja6" sheetId="20" state="hidden" r:id="rId6"/>
    <sheet name="Noviembre Ventas" sheetId="14" r:id="rId7"/>
    <sheet name="Noviembre margen" sheetId="19" r:id="rId8"/>
    <sheet name="Diciembre ventas" sheetId="26" r:id="rId9"/>
    <sheet name="Diciembre Margen" sheetId="28" r:id="rId10"/>
    <sheet name="BD Diciembre" sheetId="27" state="hidden" r:id="rId11"/>
    <sheet name="Bd Noviembre Margen" sheetId="15" state="hidden" r:id="rId12"/>
    <sheet name="BD Noviembre" sheetId="13" state="hidden" r:id="rId13"/>
  </sheets>
  <definedNames>
    <definedName name="SegmentaciónDeDatos_Day">#N/A</definedName>
    <definedName name="SegmentaciónDeDatos_Day1">#N/A</definedName>
    <definedName name="SegmentaciónDeDatos_Day2">#N/A</definedName>
    <definedName name="SegmentaciónDeDatos_Day3">#N/A</definedName>
    <definedName name="SegmentaciónDeDatos_Year">#N/A</definedName>
    <definedName name="SegmentaciónDeDatos_Year1">#N/A</definedName>
    <definedName name="SegmentaciónDeDatos_Year2">#N/A</definedName>
    <definedName name="SegmentaciónDeDatos_Year3">#N/A</definedName>
  </definedNames>
  <calcPr calcId="162913" calcMode="manual"/>
  <pivotCaches>
    <pivotCache cacheId="132" r:id="rId14"/>
    <pivotCache cacheId="133" r:id="rId15"/>
    <pivotCache cacheId="134" r:id="rId16"/>
    <pivotCache cacheId="135" r:id="rId17"/>
    <pivotCache cacheId="136" r:id="rId18"/>
    <pivotCache cacheId="137" r:id="rId19"/>
    <pivotCache cacheId="138" r:id="rId20"/>
    <pivotCache cacheId="139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28" l="1"/>
  <c r="E3" i="28" s="1"/>
  <c r="P155" i="26" l="1"/>
  <c r="M83" i="28"/>
  <c r="R142" i="28"/>
  <c r="R143" i="28" s="1"/>
  <c r="Q142" i="28"/>
  <c r="Q143" i="28" s="1"/>
  <c r="O142" i="28"/>
  <c r="O143" i="28" s="1"/>
  <c r="N142" i="28"/>
  <c r="N143" i="28" s="1"/>
  <c r="L142" i="28"/>
  <c r="L143" i="28" s="1"/>
  <c r="K142" i="28"/>
  <c r="K143" i="28" s="1"/>
  <c r="I142" i="28"/>
  <c r="I143" i="28" s="1"/>
  <c r="H142" i="28"/>
  <c r="H143" i="28" s="1"/>
  <c r="F142" i="28"/>
  <c r="F143" i="28" s="1"/>
  <c r="E142" i="28"/>
  <c r="C142" i="28"/>
  <c r="C143" i="28" s="1"/>
  <c r="B142" i="28"/>
  <c r="S141" i="28"/>
  <c r="P141" i="28"/>
  <c r="M141" i="28"/>
  <c r="J141" i="28"/>
  <c r="G141" i="28"/>
  <c r="D141" i="28"/>
  <c r="S140" i="28"/>
  <c r="P140" i="28"/>
  <c r="M140" i="28"/>
  <c r="J140" i="28"/>
  <c r="G140" i="28"/>
  <c r="D140" i="28"/>
  <c r="S139" i="28"/>
  <c r="P139" i="28"/>
  <c r="M139" i="28"/>
  <c r="J139" i="28"/>
  <c r="G139" i="28"/>
  <c r="D139" i="28"/>
  <c r="S138" i="28"/>
  <c r="P138" i="28"/>
  <c r="M138" i="28"/>
  <c r="J138" i="28"/>
  <c r="G138" i="28"/>
  <c r="D138" i="28"/>
  <c r="S137" i="28"/>
  <c r="P137" i="28"/>
  <c r="M137" i="28"/>
  <c r="J137" i="28"/>
  <c r="G137" i="28"/>
  <c r="D137" i="28"/>
  <c r="S136" i="28"/>
  <c r="P136" i="28"/>
  <c r="M136" i="28"/>
  <c r="J136" i="28"/>
  <c r="G136" i="28"/>
  <c r="D136" i="28"/>
  <c r="S135" i="28"/>
  <c r="P135" i="28"/>
  <c r="M135" i="28"/>
  <c r="J135" i="28"/>
  <c r="G135" i="28"/>
  <c r="D135" i="28"/>
  <c r="R125" i="28"/>
  <c r="Q125" i="28"/>
  <c r="O125" i="28"/>
  <c r="N125" i="28"/>
  <c r="L125" i="28"/>
  <c r="K125" i="28"/>
  <c r="I125" i="28"/>
  <c r="H125" i="28"/>
  <c r="F125" i="28"/>
  <c r="E125" i="28"/>
  <c r="C125" i="28"/>
  <c r="B125" i="28"/>
  <c r="A117" i="28"/>
  <c r="R109" i="28"/>
  <c r="R110" i="28" s="1"/>
  <c r="Q109" i="28"/>
  <c r="Q110" i="28" s="1"/>
  <c r="O109" i="28"/>
  <c r="O110" i="28" s="1"/>
  <c r="N109" i="28"/>
  <c r="L109" i="28"/>
  <c r="L110" i="28" s="1"/>
  <c r="K109" i="28"/>
  <c r="K110" i="28" s="1"/>
  <c r="I109" i="28"/>
  <c r="I110" i="28" s="1"/>
  <c r="H109" i="28"/>
  <c r="F109" i="28"/>
  <c r="F110" i="28" s="1"/>
  <c r="E109" i="28"/>
  <c r="C109" i="28"/>
  <c r="C110" i="28" s="1"/>
  <c r="B109" i="28"/>
  <c r="B110" i="28" s="1"/>
  <c r="S107" i="28"/>
  <c r="P107" i="28"/>
  <c r="M107" i="28"/>
  <c r="J107" i="28"/>
  <c r="G107" i="28"/>
  <c r="D107" i="28"/>
  <c r="S106" i="28"/>
  <c r="P106" i="28"/>
  <c r="M106" i="28"/>
  <c r="J106" i="28"/>
  <c r="G106" i="28"/>
  <c r="D106" i="28"/>
  <c r="S105" i="28"/>
  <c r="P105" i="28"/>
  <c r="M105" i="28"/>
  <c r="J105" i="28"/>
  <c r="G105" i="28"/>
  <c r="D105" i="28"/>
  <c r="S104" i="28"/>
  <c r="P104" i="28"/>
  <c r="G10" i="28" s="1"/>
  <c r="I10" i="28" s="1"/>
  <c r="M104" i="28"/>
  <c r="J104" i="28"/>
  <c r="G104" i="28"/>
  <c r="D104" i="28"/>
  <c r="S103" i="28"/>
  <c r="P103" i="28"/>
  <c r="M103" i="28"/>
  <c r="J103" i="28"/>
  <c r="G103" i="28"/>
  <c r="D103" i="28"/>
  <c r="S102" i="28"/>
  <c r="P102" i="28"/>
  <c r="M102" i="28"/>
  <c r="J102" i="28"/>
  <c r="G102" i="28"/>
  <c r="D102" i="28"/>
  <c r="R89" i="28"/>
  <c r="R90" i="28" s="1"/>
  <c r="Q89" i="28"/>
  <c r="O89" i="28"/>
  <c r="O90" i="28" s="1"/>
  <c r="N89" i="28"/>
  <c r="L89" i="28"/>
  <c r="L90" i="28" s="1"/>
  <c r="K89" i="28"/>
  <c r="K90" i="28" s="1"/>
  <c r="I89" i="28"/>
  <c r="H89" i="28"/>
  <c r="H90" i="28" s="1"/>
  <c r="F89" i="28"/>
  <c r="F90" i="28" s="1"/>
  <c r="E89" i="28"/>
  <c r="C89" i="28"/>
  <c r="C90" i="28" s="1"/>
  <c r="B89" i="28"/>
  <c r="B90" i="28" s="1"/>
  <c r="S87" i="28"/>
  <c r="P87" i="28"/>
  <c r="M87" i="28"/>
  <c r="J87" i="28"/>
  <c r="G87" i="28"/>
  <c r="D87" i="28"/>
  <c r="B92" i="28" s="1"/>
  <c r="S86" i="28"/>
  <c r="P86" i="28"/>
  <c r="M86" i="28"/>
  <c r="J86" i="28"/>
  <c r="G86" i="28"/>
  <c r="D86" i="28"/>
  <c r="S85" i="28"/>
  <c r="P85" i="28"/>
  <c r="M85" i="28"/>
  <c r="J85" i="28"/>
  <c r="G85" i="28"/>
  <c r="D85" i="28"/>
  <c r="S84" i="28"/>
  <c r="P84" i="28"/>
  <c r="M84" i="28"/>
  <c r="J84" i="28"/>
  <c r="G84" i="28"/>
  <c r="D84" i="28"/>
  <c r="S83" i="28"/>
  <c r="P83" i="28"/>
  <c r="J83" i="28"/>
  <c r="G83" i="28"/>
  <c r="D83" i="28"/>
  <c r="S82" i="28"/>
  <c r="P82" i="28"/>
  <c r="M91" i="28"/>
  <c r="J82" i="28"/>
  <c r="G82" i="28"/>
  <c r="D82" i="28"/>
  <c r="R72" i="28"/>
  <c r="R73" i="28" s="1"/>
  <c r="Q72" i="28"/>
  <c r="Q73" i="28" s="1"/>
  <c r="O72" i="28"/>
  <c r="O73" i="28" s="1"/>
  <c r="N72" i="28"/>
  <c r="L72" i="28"/>
  <c r="L73" i="28" s="1"/>
  <c r="K72" i="28"/>
  <c r="K73" i="28" s="1"/>
  <c r="I72" i="28"/>
  <c r="H72" i="28"/>
  <c r="H73" i="28" s="1"/>
  <c r="F72" i="28"/>
  <c r="F73" i="28" s="1"/>
  <c r="E72" i="28"/>
  <c r="E73" i="28" s="1"/>
  <c r="C72" i="28"/>
  <c r="C73" i="28" s="1"/>
  <c r="B72" i="28"/>
  <c r="B73" i="28" s="1"/>
  <c r="S70" i="28"/>
  <c r="P70" i="28"/>
  <c r="M70" i="28"/>
  <c r="J70" i="28"/>
  <c r="G70" i="28"/>
  <c r="B75" i="28" s="1"/>
  <c r="D70" i="28"/>
  <c r="S69" i="28"/>
  <c r="P69" i="28"/>
  <c r="M69" i="28"/>
  <c r="J69" i="28"/>
  <c r="G69" i="28"/>
  <c r="D69" i="28"/>
  <c r="S68" i="28"/>
  <c r="P68" i="28"/>
  <c r="M68" i="28"/>
  <c r="J68" i="28"/>
  <c r="G68" i="28"/>
  <c r="D68" i="28"/>
  <c r="S67" i="28"/>
  <c r="P67" i="28"/>
  <c r="M67" i="28"/>
  <c r="J67" i="28"/>
  <c r="G67" i="28"/>
  <c r="D67" i="28"/>
  <c r="S66" i="28"/>
  <c r="P66" i="28"/>
  <c r="P74" i="28" s="1"/>
  <c r="M66" i="28"/>
  <c r="J66" i="28"/>
  <c r="G66" i="28"/>
  <c r="D66" i="28"/>
  <c r="S65" i="28"/>
  <c r="P65" i="28"/>
  <c r="M65" i="28"/>
  <c r="J65" i="28"/>
  <c r="G65" i="28"/>
  <c r="G74" i="28" s="1"/>
  <c r="D65" i="28"/>
  <c r="F12" i="28"/>
  <c r="G9" i="28"/>
  <c r="G8" i="28"/>
  <c r="G7" i="28"/>
  <c r="I7" i="28" s="1"/>
  <c r="G6" i="28"/>
  <c r="I6" i="28" s="1"/>
  <c r="G5" i="28"/>
  <c r="I5" i="28" s="1"/>
  <c r="M169" i="26"/>
  <c r="J169" i="26"/>
  <c r="G169" i="26"/>
  <c r="D169" i="26"/>
  <c r="R171" i="26"/>
  <c r="R172" i="26" s="1"/>
  <c r="Q171" i="26"/>
  <c r="Q172" i="26" s="1"/>
  <c r="O171" i="26"/>
  <c r="O172" i="26" s="1"/>
  <c r="N171" i="26"/>
  <c r="N172" i="26" s="1"/>
  <c r="P172" i="26" s="1"/>
  <c r="L171" i="26"/>
  <c r="L172" i="26" s="1"/>
  <c r="K171" i="26"/>
  <c r="K172" i="26" s="1"/>
  <c r="I171" i="26"/>
  <c r="I172" i="26" s="1"/>
  <c r="H171" i="26"/>
  <c r="H172" i="26" s="1"/>
  <c r="J172" i="26" s="1"/>
  <c r="F171" i="26"/>
  <c r="F172" i="26" s="1"/>
  <c r="E171" i="26"/>
  <c r="E172" i="26" s="1"/>
  <c r="G172" i="26" s="1"/>
  <c r="S170" i="26"/>
  <c r="S169" i="26"/>
  <c r="S168" i="26"/>
  <c r="S167" i="26"/>
  <c r="S166" i="26"/>
  <c r="S165" i="26"/>
  <c r="S164" i="26"/>
  <c r="P170" i="26"/>
  <c r="P169" i="26"/>
  <c r="P168" i="26"/>
  <c r="P167" i="26"/>
  <c r="P166" i="26"/>
  <c r="P165" i="26"/>
  <c r="P164" i="26"/>
  <c r="M170" i="26"/>
  <c r="M168" i="26"/>
  <c r="M167" i="26"/>
  <c r="M166" i="26"/>
  <c r="M165" i="26"/>
  <c r="M164" i="26"/>
  <c r="J170" i="26"/>
  <c r="J168" i="26"/>
  <c r="J167" i="26"/>
  <c r="J166" i="26"/>
  <c r="J165" i="26"/>
  <c r="J164" i="26"/>
  <c r="J173" i="26" s="1"/>
  <c r="G170" i="26"/>
  <c r="G168" i="26"/>
  <c r="G167" i="26"/>
  <c r="G166" i="26"/>
  <c r="G165" i="26"/>
  <c r="G164" i="26"/>
  <c r="D170" i="26"/>
  <c r="D165" i="26"/>
  <c r="D173" i="26" s="1"/>
  <c r="D166" i="26"/>
  <c r="D167" i="26"/>
  <c r="D168" i="26"/>
  <c r="D164" i="26"/>
  <c r="C171" i="26"/>
  <c r="C172" i="26" s="1"/>
  <c r="B171" i="26"/>
  <c r="B172" i="26" s="1"/>
  <c r="H100" i="26"/>
  <c r="B100" i="26"/>
  <c r="E100" i="26"/>
  <c r="K100" i="26"/>
  <c r="R135" i="26"/>
  <c r="R136" i="26" s="1"/>
  <c r="Q135" i="26"/>
  <c r="Q136" i="26" s="1"/>
  <c r="S136" i="26" s="1"/>
  <c r="B175" i="26"/>
  <c r="D171" i="14"/>
  <c r="E171" i="14"/>
  <c r="C171" i="14"/>
  <c r="C172" i="14" s="1"/>
  <c r="B171" i="14"/>
  <c r="B172" i="14"/>
  <c r="O171" i="14"/>
  <c r="O172" i="14" s="1"/>
  <c r="N171" i="14"/>
  <c r="N172" i="14" s="1"/>
  <c r="M173" i="14"/>
  <c r="L171" i="14"/>
  <c r="L172" i="14" s="1"/>
  <c r="K171" i="14"/>
  <c r="K172" i="14" s="1"/>
  <c r="M172" i="14" s="1"/>
  <c r="I171" i="14"/>
  <c r="I172" i="14" s="1"/>
  <c r="H171" i="14"/>
  <c r="H172" i="14" s="1"/>
  <c r="J172" i="14" s="1"/>
  <c r="F171" i="14"/>
  <c r="F172" i="14" s="1"/>
  <c r="G171" i="14"/>
  <c r="S170" i="14"/>
  <c r="S169" i="14"/>
  <c r="S168" i="14"/>
  <c r="S167" i="14"/>
  <c r="S166" i="14"/>
  <c r="S165" i="14"/>
  <c r="S164" i="14"/>
  <c r="P170" i="14"/>
  <c r="P169" i="14"/>
  <c r="P168" i="14"/>
  <c r="P167" i="14"/>
  <c r="P166" i="14"/>
  <c r="P165" i="14"/>
  <c r="P164" i="14"/>
  <c r="P173" i="14" s="1"/>
  <c r="J170" i="14"/>
  <c r="J169" i="14"/>
  <c r="B174" i="14" s="1"/>
  <c r="J168" i="14"/>
  <c r="J167" i="14"/>
  <c r="J166" i="14"/>
  <c r="J165" i="14"/>
  <c r="J164" i="14"/>
  <c r="J173" i="14" s="1"/>
  <c r="G170" i="14"/>
  <c r="G169" i="14"/>
  <c r="G168" i="14"/>
  <c r="G167" i="14"/>
  <c r="G166" i="14"/>
  <c r="G165" i="14"/>
  <c r="G164" i="14"/>
  <c r="G173" i="14" s="1"/>
  <c r="D169" i="14"/>
  <c r="D165" i="14"/>
  <c r="D166" i="14"/>
  <c r="D167" i="14"/>
  <c r="D168" i="14"/>
  <c r="D170" i="14"/>
  <c r="D164" i="14"/>
  <c r="D173" i="14" s="1"/>
  <c r="R171" i="14"/>
  <c r="Q171" i="14"/>
  <c r="D146" i="26"/>
  <c r="G146" i="26"/>
  <c r="J146" i="26"/>
  <c r="J155" i="26" s="1"/>
  <c r="M146" i="26"/>
  <c r="M155" i="26" s="1"/>
  <c r="P146" i="26"/>
  <c r="S146" i="26"/>
  <c r="D147" i="26"/>
  <c r="G147" i="26"/>
  <c r="J147" i="26"/>
  <c r="M147" i="26"/>
  <c r="P147" i="26"/>
  <c r="S147" i="26"/>
  <c r="D148" i="26"/>
  <c r="G148" i="26"/>
  <c r="J148" i="26"/>
  <c r="M148" i="26"/>
  <c r="P148" i="26"/>
  <c r="S148" i="26"/>
  <c r="D149" i="26"/>
  <c r="G149" i="26"/>
  <c r="J149" i="26"/>
  <c r="M149" i="26"/>
  <c r="P149" i="26"/>
  <c r="S149" i="26"/>
  <c r="D150" i="26"/>
  <c r="G150" i="26"/>
  <c r="J150" i="26"/>
  <c r="M150" i="26"/>
  <c r="P150" i="26"/>
  <c r="S150" i="26"/>
  <c r="D151" i="26"/>
  <c r="B156" i="26" s="1"/>
  <c r="G151" i="26"/>
  <c r="J151" i="26"/>
  <c r="M151" i="26"/>
  <c r="P151" i="26"/>
  <c r="S151" i="26"/>
  <c r="D152" i="26"/>
  <c r="G152" i="26"/>
  <c r="J152" i="26"/>
  <c r="M152" i="26"/>
  <c r="P152" i="26"/>
  <c r="S152" i="26"/>
  <c r="B153" i="26"/>
  <c r="D153" i="26" s="1"/>
  <c r="C153" i="26"/>
  <c r="E153" i="26"/>
  <c r="E154" i="26" s="1"/>
  <c r="F153" i="26"/>
  <c r="F154" i="26" s="1"/>
  <c r="H153" i="26"/>
  <c r="I153" i="26"/>
  <c r="J153" i="26"/>
  <c r="K153" i="26"/>
  <c r="K154" i="26" s="1"/>
  <c r="M154" i="26" s="1"/>
  <c r="L153" i="26"/>
  <c r="N153" i="26"/>
  <c r="O153" i="26"/>
  <c r="O154" i="26" s="1"/>
  <c r="Q153" i="26"/>
  <c r="Q154" i="26" s="1"/>
  <c r="S154" i="26" s="1"/>
  <c r="R153" i="26"/>
  <c r="C154" i="26"/>
  <c r="H154" i="26"/>
  <c r="I154" i="26"/>
  <c r="J154" i="26" s="1"/>
  <c r="L154" i="26"/>
  <c r="R154" i="26"/>
  <c r="S155" i="26"/>
  <c r="D157" i="19"/>
  <c r="G157" i="19"/>
  <c r="J157" i="19"/>
  <c r="M157" i="19"/>
  <c r="P157" i="19"/>
  <c r="S157" i="19"/>
  <c r="D158" i="19"/>
  <c r="G158" i="19"/>
  <c r="J158" i="19"/>
  <c r="M158" i="19"/>
  <c r="P158" i="19"/>
  <c r="S158" i="19"/>
  <c r="D159" i="19"/>
  <c r="G159" i="19"/>
  <c r="J159" i="19"/>
  <c r="M159" i="19"/>
  <c r="P159" i="19"/>
  <c r="S159" i="19"/>
  <c r="D160" i="19"/>
  <c r="G160" i="19"/>
  <c r="J160" i="19"/>
  <c r="M160" i="19"/>
  <c r="P160" i="19"/>
  <c r="S160" i="19"/>
  <c r="D161" i="19"/>
  <c r="G161" i="19"/>
  <c r="J161" i="19"/>
  <c r="M161" i="19"/>
  <c r="P161" i="19"/>
  <c r="S161" i="19"/>
  <c r="D162" i="19"/>
  <c r="B167" i="19" s="1"/>
  <c r="G162" i="19"/>
  <c r="J162" i="19"/>
  <c r="M162" i="19"/>
  <c r="P162" i="19"/>
  <c r="S162" i="19"/>
  <c r="D163" i="19"/>
  <c r="G163" i="19"/>
  <c r="J163" i="19"/>
  <c r="M163" i="19"/>
  <c r="P163" i="19"/>
  <c r="S163" i="19"/>
  <c r="B164" i="19"/>
  <c r="C164" i="19"/>
  <c r="E164" i="19"/>
  <c r="E165" i="19" s="1"/>
  <c r="G165" i="19" s="1"/>
  <c r="F164" i="19"/>
  <c r="F165" i="19" s="1"/>
  <c r="G164" i="19"/>
  <c r="H164" i="19"/>
  <c r="I164" i="19"/>
  <c r="J164" i="19" s="1"/>
  <c r="K164" i="19"/>
  <c r="M164" i="19" s="1"/>
  <c r="L164" i="19"/>
  <c r="N164" i="19"/>
  <c r="O164" i="19"/>
  <c r="O165" i="19" s="1"/>
  <c r="Q164" i="19"/>
  <c r="R164" i="19"/>
  <c r="R165" i="19" s="1"/>
  <c r="S164" i="19"/>
  <c r="B165" i="19"/>
  <c r="D165" i="19" s="1"/>
  <c r="C165" i="19"/>
  <c r="H165" i="19"/>
  <c r="J165" i="19" s="1"/>
  <c r="I165" i="19"/>
  <c r="L165" i="19"/>
  <c r="Q165" i="19"/>
  <c r="O136" i="26"/>
  <c r="K136" i="26"/>
  <c r="C136" i="26"/>
  <c r="O135" i="26"/>
  <c r="N135" i="26"/>
  <c r="P135" i="26" s="1"/>
  <c r="L135" i="26"/>
  <c r="L136" i="26" s="1"/>
  <c r="K135" i="26"/>
  <c r="I135" i="26"/>
  <c r="H135" i="26"/>
  <c r="H136" i="26" s="1"/>
  <c r="F135" i="26"/>
  <c r="F136" i="26" s="1"/>
  <c r="E135" i="26"/>
  <c r="E136" i="26" s="1"/>
  <c r="C135" i="26"/>
  <c r="B135" i="26"/>
  <c r="B136" i="26" s="1"/>
  <c r="D136" i="26" s="1"/>
  <c r="S134" i="26"/>
  <c r="P134" i="26"/>
  <c r="M134" i="26"/>
  <c r="J134" i="26"/>
  <c r="G134" i="26"/>
  <c r="D134" i="26"/>
  <c r="S133" i="26"/>
  <c r="P133" i="26"/>
  <c r="M133" i="26"/>
  <c r="J133" i="26"/>
  <c r="G133" i="26"/>
  <c r="D133" i="26"/>
  <c r="B138" i="26" s="1"/>
  <c r="S132" i="26"/>
  <c r="P132" i="26"/>
  <c r="M132" i="26"/>
  <c r="J132" i="26"/>
  <c r="G132" i="26"/>
  <c r="D132" i="26"/>
  <c r="S131" i="26"/>
  <c r="P131" i="26"/>
  <c r="M131" i="26"/>
  <c r="J131" i="26"/>
  <c r="G131" i="26"/>
  <c r="D131" i="26"/>
  <c r="D137" i="26" s="1"/>
  <c r="S130" i="26"/>
  <c r="P130" i="26"/>
  <c r="M130" i="26"/>
  <c r="J130" i="26"/>
  <c r="G130" i="26"/>
  <c r="D130" i="26"/>
  <c r="S129" i="26"/>
  <c r="P129" i="26"/>
  <c r="M129" i="26"/>
  <c r="J129" i="26"/>
  <c r="G129" i="26"/>
  <c r="D129" i="26"/>
  <c r="S128" i="26"/>
  <c r="P128" i="26"/>
  <c r="P137" i="26" s="1"/>
  <c r="M128" i="26"/>
  <c r="M137" i="26" s="1"/>
  <c r="J128" i="26"/>
  <c r="J137" i="26" s="1"/>
  <c r="G128" i="26"/>
  <c r="D128" i="26"/>
  <c r="S165" i="19" l="1"/>
  <c r="D166" i="19"/>
  <c r="D155" i="26"/>
  <c r="P164" i="19"/>
  <c r="B154" i="26"/>
  <c r="D154" i="26" s="1"/>
  <c r="P91" i="28"/>
  <c r="D135" i="26"/>
  <c r="J135" i="26"/>
  <c r="K165" i="19"/>
  <c r="M165" i="19" s="1"/>
  <c r="S153" i="26"/>
  <c r="P153" i="26"/>
  <c r="S173" i="14"/>
  <c r="G173" i="26"/>
  <c r="M173" i="26"/>
  <c r="S171" i="14"/>
  <c r="P173" i="26"/>
  <c r="G137" i="26"/>
  <c r="G136" i="26"/>
  <c r="N136" i="26"/>
  <c r="P136" i="26" s="1"/>
  <c r="D164" i="19"/>
  <c r="M153" i="26"/>
  <c r="G155" i="26"/>
  <c r="S173" i="26"/>
  <c r="S73" i="28"/>
  <c r="B145" i="28"/>
  <c r="D142" i="28"/>
  <c r="P143" i="28"/>
  <c r="G89" i="28"/>
  <c r="P109" i="28"/>
  <c r="S125" i="28"/>
  <c r="J143" i="28"/>
  <c r="G109" i="28"/>
  <c r="S110" i="28"/>
  <c r="J125" i="28"/>
  <c r="M142" i="28"/>
  <c r="D125" i="28"/>
  <c r="E110" i="28"/>
  <c r="G110" i="28" s="1"/>
  <c r="D73" i="28"/>
  <c r="P72" i="28"/>
  <c r="D91" i="28"/>
  <c r="J91" i="28"/>
  <c r="D90" i="28"/>
  <c r="P89" i="28"/>
  <c r="M110" i="28"/>
  <c r="N110" i="28"/>
  <c r="P110" i="28" s="1"/>
  <c r="D74" i="28"/>
  <c r="J74" i="28"/>
  <c r="G91" i="28"/>
  <c r="J109" i="28"/>
  <c r="J72" i="28"/>
  <c r="D110" i="28"/>
  <c r="D144" i="28"/>
  <c r="E90" i="28"/>
  <c r="G90" i="28" s="1"/>
  <c r="R126" i="28"/>
  <c r="M125" i="28"/>
  <c r="S143" i="28"/>
  <c r="M90" i="28"/>
  <c r="M143" i="28"/>
  <c r="N73" i="28"/>
  <c r="P73" i="28" s="1"/>
  <c r="T109" i="28"/>
  <c r="M109" i="28"/>
  <c r="G144" i="28"/>
  <c r="J142" i="28"/>
  <c r="S142" i="28"/>
  <c r="N90" i="28"/>
  <c r="P90" i="28" s="1"/>
  <c r="J144" i="28"/>
  <c r="B143" i="28"/>
  <c r="D143" i="28" s="1"/>
  <c r="G72" i="28"/>
  <c r="T125" i="28"/>
  <c r="N126" i="28"/>
  <c r="M144" i="28"/>
  <c r="S89" i="28"/>
  <c r="F126" i="28"/>
  <c r="O126" i="28"/>
  <c r="P144" i="28"/>
  <c r="S144" i="28"/>
  <c r="T142" i="28"/>
  <c r="M74" i="28"/>
  <c r="M73" i="28"/>
  <c r="G73" i="28"/>
  <c r="J89" i="28"/>
  <c r="J119" i="28"/>
  <c r="K126" i="28"/>
  <c r="I9" i="28"/>
  <c r="S72" i="28"/>
  <c r="J5" i="28"/>
  <c r="J6" i="28" s="1"/>
  <c r="J7" i="28" s="1"/>
  <c r="J8" i="28" s="1"/>
  <c r="J9" i="28" s="1"/>
  <c r="J10" i="28" s="1"/>
  <c r="J11" i="28" s="1"/>
  <c r="K11" i="28" s="1"/>
  <c r="D72" i="28"/>
  <c r="T72" i="28"/>
  <c r="I73" i="28"/>
  <c r="J73" i="28" s="1"/>
  <c r="D89" i="28"/>
  <c r="T89" i="28"/>
  <c r="I90" i="28"/>
  <c r="J90" i="28" s="1"/>
  <c r="Q90" i="28"/>
  <c r="S90" i="28" s="1"/>
  <c r="S109" i="28"/>
  <c r="H110" i="28"/>
  <c r="J110" i="28" s="1"/>
  <c r="J118" i="28"/>
  <c r="P119" i="28"/>
  <c r="D121" i="28"/>
  <c r="J122" i="28"/>
  <c r="P123" i="28"/>
  <c r="P125" i="28"/>
  <c r="E126" i="28"/>
  <c r="P142" i="28"/>
  <c r="E143" i="28"/>
  <c r="G143" i="28" s="1"/>
  <c r="I8" i="28"/>
  <c r="M72" i="28"/>
  <c r="M89" i="28"/>
  <c r="D109" i="28"/>
  <c r="M118" i="28"/>
  <c r="S119" i="28"/>
  <c r="G121" i="28"/>
  <c r="M122" i="28"/>
  <c r="S123" i="28"/>
  <c r="P118" i="28"/>
  <c r="B93" i="28" s="1"/>
  <c r="D120" i="28"/>
  <c r="J121" i="28"/>
  <c r="P122" i="28"/>
  <c r="B129" i="28" s="1"/>
  <c r="P120" i="28"/>
  <c r="J123" i="28"/>
  <c r="C126" i="28"/>
  <c r="M119" i="28"/>
  <c r="G122" i="28"/>
  <c r="G125" i="28"/>
  <c r="L126" i="28"/>
  <c r="S118" i="28"/>
  <c r="G120" i="28"/>
  <c r="M121" i="28"/>
  <c r="S122" i="28"/>
  <c r="H126" i="28"/>
  <c r="D118" i="28"/>
  <c r="D122" i="28"/>
  <c r="G118" i="28"/>
  <c r="S120" i="28"/>
  <c r="M123" i="28"/>
  <c r="G142" i="28"/>
  <c r="D119" i="28"/>
  <c r="J120" i="28"/>
  <c r="P121" i="28"/>
  <c r="B146" i="28" s="1"/>
  <c r="D123" i="28"/>
  <c r="I126" i="28"/>
  <c r="Q126" i="28"/>
  <c r="G119" i="28"/>
  <c r="M120" i="28"/>
  <c r="S121" i="28"/>
  <c r="G123" i="28"/>
  <c r="B126" i="28"/>
  <c r="S172" i="26"/>
  <c r="S171" i="26"/>
  <c r="P171" i="26"/>
  <c r="M172" i="26"/>
  <c r="M171" i="26"/>
  <c r="J171" i="26"/>
  <c r="G171" i="26"/>
  <c r="D172" i="26"/>
  <c r="T172" i="26" s="1"/>
  <c r="D171" i="26"/>
  <c r="T171" i="26"/>
  <c r="S135" i="26"/>
  <c r="B174" i="26"/>
  <c r="P172" i="14"/>
  <c r="P171" i="14"/>
  <c r="M171" i="14"/>
  <c r="J171" i="14"/>
  <c r="E172" i="14"/>
  <c r="G172" i="14" s="1"/>
  <c r="D172" i="14"/>
  <c r="T171" i="14"/>
  <c r="G154" i="26"/>
  <c r="G153" i="26"/>
  <c r="T153" i="26"/>
  <c r="N154" i="26"/>
  <c r="P154" i="26" s="1"/>
  <c r="T164" i="19"/>
  <c r="N165" i="19"/>
  <c r="P165" i="19" s="1"/>
  <c r="T165" i="19" s="1"/>
  <c r="M136" i="26"/>
  <c r="M135" i="26"/>
  <c r="G135" i="26"/>
  <c r="T135" i="26"/>
  <c r="I136" i="26"/>
  <c r="J136" i="26" s="1"/>
  <c r="T136" i="26" s="1"/>
  <c r="T154" i="26" l="1"/>
  <c r="B128" i="28"/>
  <c r="G18" i="28" s="1"/>
  <c r="G24" i="28"/>
  <c r="S126" i="28"/>
  <c r="T90" i="28"/>
  <c r="T110" i="28"/>
  <c r="P126" i="28"/>
  <c r="G126" i="28"/>
  <c r="T73" i="28"/>
  <c r="T143" i="28"/>
  <c r="I11" i="28"/>
  <c r="S127" i="28"/>
  <c r="J127" i="28"/>
  <c r="G21" i="28" s="1"/>
  <c r="E7" i="28" s="1"/>
  <c r="M127" i="28"/>
  <c r="G22" i="28" s="1"/>
  <c r="E8" i="28" s="1"/>
  <c r="G127" i="28"/>
  <c r="G20" i="28" s="1"/>
  <c r="E6" i="28" s="1"/>
  <c r="M126" i="28"/>
  <c r="D126" i="28"/>
  <c r="D127" i="28"/>
  <c r="G19" i="28" s="1"/>
  <c r="E5" i="28" s="1"/>
  <c r="P127" i="28"/>
  <c r="G23" i="28" s="1"/>
  <c r="E9" i="28" s="1"/>
  <c r="J126" i="28"/>
  <c r="E10" i="28" l="1"/>
  <c r="H10" i="28" s="1"/>
  <c r="T126" i="28"/>
  <c r="K10" i="28" l="1"/>
  <c r="H6" i="28"/>
  <c r="K6" i="28"/>
  <c r="H7" i="28"/>
  <c r="K7" i="28"/>
  <c r="H9" i="28"/>
  <c r="I13" i="28" s="1"/>
  <c r="J13" i="28" s="1"/>
  <c r="K9" i="28"/>
  <c r="F5" i="28"/>
  <c r="F6" i="28" s="1"/>
  <c r="F7" i="28" s="1"/>
  <c r="F8" i="28" s="1"/>
  <c r="F9" i="28" s="1"/>
  <c r="F10" i="28" s="1"/>
  <c r="G13" i="28" s="1"/>
  <c r="H5" i="28"/>
  <c r="K5" i="28"/>
  <c r="H8" i="28"/>
  <c r="K8" i="28"/>
  <c r="G12" i="28" l="1"/>
  <c r="D93" i="26" l="1"/>
  <c r="R83" i="26" l="1"/>
  <c r="R84" i="26" s="1"/>
  <c r="Q83" i="26"/>
  <c r="Q84" i="26" s="1"/>
  <c r="S81" i="26"/>
  <c r="S80" i="26"/>
  <c r="S79" i="26"/>
  <c r="S78" i="26"/>
  <c r="S77" i="26"/>
  <c r="S76" i="26"/>
  <c r="S85" i="26" s="1"/>
  <c r="O83" i="26"/>
  <c r="O84" i="26" s="1"/>
  <c r="N83" i="26"/>
  <c r="N84" i="26" s="1"/>
  <c r="P81" i="26"/>
  <c r="P80" i="26"/>
  <c r="P79" i="26"/>
  <c r="P78" i="26"/>
  <c r="P77" i="26"/>
  <c r="P76" i="26"/>
  <c r="P85" i="26" s="1"/>
  <c r="B33" i="26" s="1"/>
  <c r="L83" i="26"/>
  <c r="L84" i="26" s="1"/>
  <c r="K83" i="26"/>
  <c r="K84" i="26" s="1"/>
  <c r="M84" i="26" s="1"/>
  <c r="M81" i="26"/>
  <c r="M80" i="26"/>
  <c r="M79" i="26"/>
  <c r="M78" i="26"/>
  <c r="M77" i="26"/>
  <c r="M76" i="26"/>
  <c r="M85" i="26" s="1"/>
  <c r="I83" i="26"/>
  <c r="I84" i="26" s="1"/>
  <c r="H83" i="26"/>
  <c r="H84" i="26" s="1"/>
  <c r="J81" i="26"/>
  <c r="J80" i="26"/>
  <c r="J79" i="26"/>
  <c r="J78" i="26"/>
  <c r="J77" i="26"/>
  <c r="J76" i="26"/>
  <c r="F83" i="26"/>
  <c r="F84" i="26" s="1"/>
  <c r="E83" i="26"/>
  <c r="E84" i="26" s="1"/>
  <c r="G84" i="26" s="1"/>
  <c r="G81" i="26"/>
  <c r="G80" i="26"/>
  <c r="G79" i="26"/>
  <c r="G78" i="26"/>
  <c r="G77" i="26"/>
  <c r="G76" i="26"/>
  <c r="D76" i="26"/>
  <c r="B98" i="27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9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B7" i="27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A30" i="27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B30" i="27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L121" i="26"/>
  <c r="I121" i="26"/>
  <c r="U120" i="26"/>
  <c r="R120" i="26"/>
  <c r="R121" i="26" s="1"/>
  <c r="Q120" i="26"/>
  <c r="O120" i="26"/>
  <c r="O121" i="26" s="1"/>
  <c r="N120" i="26"/>
  <c r="N121" i="26" s="1"/>
  <c r="M120" i="26"/>
  <c r="H20" i="26" s="1"/>
  <c r="L120" i="26"/>
  <c r="K120" i="26"/>
  <c r="K121" i="26" s="1"/>
  <c r="M121" i="26" s="1"/>
  <c r="I120" i="26"/>
  <c r="H120" i="26"/>
  <c r="H121" i="26" s="1"/>
  <c r="J121" i="26" s="1"/>
  <c r="F120" i="26"/>
  <c r="F121" i="26" s="1"/>
  <c r="E120" i="26"/>
  <c r="E121" i="26" s="1"/>
  <c r="G121" i="26" s="1"/>
  <c r="C120" i="26"/>
  <c r="B120" i="26"/>
  <c r="D120" i="26" s="1"/>
  <c r="S119" i="26"/>
  <c r="P119" i="26"/>
  <c r="M119" i="26"/>
  <c r="J119" i="26"/>
  <c r="G119" i="26"/>
  <c r="H17" i="26" s="1"/>
  <c r="H23" i="26" s="1"/>
  <c r="D119" i="26"/>
  <c r="S118" i="26"/>
  <c r="P118" i="26"/>
  <c r="M118" i="26"/>
  <c r="J118" i="26"/>
  <c r="G118" i="26"/>
  <c r="D118" i="26"/>
  <c r="S117" i="26"/>
  <c r="P117" i="26"/>
  <c r="M117" i="26"/>
  <c r="J117" i="26"/>
  <c r="G117" i="26"/>
  <c r="D117" i="26"/>
  <c r="S116" i="26"/>
  <c r="P116" i="26"/>
  <c r="M116" i="26"/>
  <c r="J116" i="26"/>
  <c r="G116" i="26"/>
  <c r="D116" i="26"/>
  <c r="S115" i="26"/>
  <c r="P115" i="26"/>
  <c r="M115" i="26"/>
  <c r="J115" i="26"/>
  <c r="G115" i="26"/>
  <c r="D115" i="26"/>
  <c r="S114" i="26"/>
  <c r="P114" i="26"/>
  <c r="M114" i="26"/>
  <c r="J114" i="26"/>
  <c r="G114" i="26"/>
  <c r="D114" i="26"/>
  <c r="S113" i="26"/>
  <c r="P113" i="26"/>
  <c r="M113" i="26"/>
  <c r="J113" i="26"/>
  <c r="G113" i="26"/>
  <c r="D113" i="26"/>
  <c r="R100" i="26"/>
  <c r="R101" i="26" s="1"/>
  <c r="Q100" i="26"/>
  <c r="Q101" i="26" s="1"/>
  <c r="O100" i="26"/>
  <c r="O101" i="26" s="1"/>
  <c r="C100" i="26"/>
  <c r="C101" i="26" s="1"/>
  <c r="S98" i="26"/>
  <c r="P98" i="26"/>
  <c r="D98" i="26"/>
  <c r="S97" i="26"/>
  <c r="D97" i="26"/>
  <c r="S96" i="26"/>
  <c r="S95" i="26"/>
  <c r="D95" i="26"/>
  <c r="S94" i="26"/>
  <c r="D94" i="26"/>
  <c r="S93" i="26"/>
  <c r="D78" i="26"/>
  <c r="D77" i="26"/>
  <c r="E24" i="26"/>
  <c r="H22" i="26"/>
  <c r="F22" i="26"/>
  <c r="F21" i="26"/>
  <c r="F20" i="26"/>
  <c r="F19" i="26"/>
  <c r="F18" i="26"/>
  <c r="F17" i="26"/>
  <c r="D15" i="26"/>
  <c r="I25" i="26" s="1"/>
  <c r="A139" i="19"/>
  <c r="S141" i="19" s="1"/>
  <c r="L147" i="19"/>
  <c r="K147" i="19"/>
  <c r="B147" i="19"/>
  <c r="E147" i="19"/>
  <c r="H147" i="19"/>
  <c r="N147" i="19"/>
  <c r="J166" i="19"/>
  <c r="G166" i="19"/>
  <c r="S166" i="19"/>
  <c r="M166" i="19"/>
  <c r="P166" i="19"/>
  <c r="R147" i="19"/>
  <c r="Q147" i="19"/>
  <c r="O147" i="19"/>
  <c r="P147" i="19"/>
  <c r="I147" i="19"/>
  <c r="F147" i="19"/>
  <c r="D145" i="19"/>
  <c r="C147" i="19"/>
  <c r="B64" i="13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B85" i="13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T120" i="26" l="1"/>
  <c r="P121" i="26"/>
  <c r="B121" i="26"/>
  <c r="S101" i="26"/>
  <c r="S120" i="26"/>
  <c r="C121" i="26"/>
  <c r="Q121" i="26"/>
  <c r="S121" i="26" s="1"/>
  <c r="M83" i="26"/>
  <c r="D121" i="26"/>
  <c r="S102" i="26"/>
  <c r="G85" i="26"/>
  <c r="J85" i="26"/>
  <c r="S84" i="26"/>
  <c r="S83" i="26"/>
  <c r="P84" i="26"/>
  <c r="P83" i="26"/>
  <c r="J84" i="26"/>
  <c r="J83" i="26"/>
  <c r="G83" i="26"/>
  <c r="P97" i="26"/>
  <c r="D80" i="26"/>
  <c r="N100" i="26"/>
  <c r="P93" i="26"/>
  <c r="J95" i="26"/>
  <c r="L100" i="26"/>
  <c r="L101" i="26" s="1"/>
  <c r="M98" i="26"/>
  <c r="G93" i="26"/>
  <c r="J96" i="26"/>
  <c r="G97" i="26"/>
  <c r="G96" i="26"/>
  <c r="M95" i="26"/>
  <c r="J93" i="26"/>
  <c r="G94" i="26"/>
  <c r="P95" i="26"/>
  <c r="D79" i="26"/>
  <c r="B83" i="26"/>
  <c r="B84" i="26" s="1"/>
  <c r="M96" i="26"/>
  <c r="J97" i="26"/>
  <c r="G98" i="26"/>
  <c r="F100" i="26"/>
  <c r="C83" i="26"/>
  <c r="C84" i="26" s="1"/>
  <c r="D81" i="26"/>
  <c r="B86" i="26" s="1"/>
  <c r="M94" i="26"/>
  <c r="M102" i="26" s="1"/>
  <c r="B32" i="26" s="1"/>
  <c r="J94" i="26"/>
  <c r="G95" i="26"/>
  <c r="P94" i="26"/>
  <c r="D96" i="26"/>
  <c r="D102" i="26" s="1"/>
  <c r="P96" i="26"/>
  <c r="M97" i="26"/>
  <c r="I100" i="26"/>
  <c r="I101" i="26" s="1"/>
  <c r="J98" i="26"/>
  <c r="P120" i="26"/>
  <c r="H21" i="26" s="1"/>
  <c r="I17" i="26"/>
  <c r="I18" i="26" s="1"/>
  <c r="I19" i="26" s="1"/>
  <c r="I20" i="26" s="1"/>
  <c r="I21" i="26" s="1"/>
  <c r="I22" i="26" s="1"/>
  <c r="I23" i="26" s="1"/>
  <c r="J23" i="26" s="1"/>
  <c r="G120" i="26"/>
  <c r="H18" i="26" s="1"/>
  <c r="J120" i="26"/>
  <c r="H19" i="26" s="1"/>
  <c r="S100" i="26"/>
  <c r="P142" i="19"/>
  <c r="J140" i="19"/>
  <c r="M141" i="19"/>
  <c r="J141" i="19"/>
  <c r="S144" i="19"/>
  <c r="G142" i="19"/>
  <c r="P145" i="19"/>
  <c r="D144" i="19"/>
  <c r="G143" i="19"/>
  <c r="J143" i="19"/>
  <c r="M144" i="19"/>
  <c r="Q148" i="19"/>
  <c r="N148" i="19"/>
  <c r="P148" i="19" s="1"/>
  <c r="G141" i="19"/>
  <c r="D140" i="19"/>
  <c r="D143" i="19"/>
  <c r="G144" i="19"/>
  <c r="J144" i="19"/>
  <c r="M145" i="19"/>
  <c r="O148" i="19"/>
  <c r="R148" i="19"/>
  <c r="H148" i="19"/>
  <c r="K148" i="19"/>
  <c r="S143" i="19"/>
  <c r="P144" i="19"/>
  <c r="M143" i="19"/>
  <c r="D142" i="19"/>
  <c r="G145" i="19"/>
  <c r="J145" i="19"/>
  <c r="P140" i="19"/>
  <c r="S140" i="19"/>
  <c r="F148" i="19"/>
  <c r="M140" i="19"/>
  <c r="S142" i="19"/>
  <c r="G140" i="19"/>
  <c r="P143" i="19"/>
  <c r="B168" i="19" s="1"/>
  <c r="C148" i="19"/>
  <c r="M142" i="19"/>
  <c r="J142" i="19"/>
  <c r="S145" i="19"/>
  <c r="D141" i="19"/>
  <c r="D149" i="19" s="1"/>
  <c r="E148" i="19"/>
  <c r="I148" i="19"/>
  <c r="P141" i="19"/>
  <c r="B148" i="19"/>
  <c r="L148" i="19"/>
  <c r="M148" i="19" s="1"/>
  <c r="S147" i="19"/>
  <c r="M147" i="19"/>
  <c r="J147" i="19"/>
  <c r="G147" i="19"/>
  <c r="D148" i="19"/>
  <c r="T147" i="19"/>
  <c r="D147" i="19"/>
  <c r="L12" i="9"/>
  <c r="T121" i="26" l="1"/>
  <c r="B104" i="26"/>
  <c r="P102" i="26"/>
  <c r="G149" i="19"/>
  <c r="M149" i="19"/>
  <c r="G148" i="19"/>
  <c r="B150" i="19"/>
  <c r="S149" i="19"/>
  <c r="F101" i="26"/>
  <c r="G100" i="26"/>
  <c r="B103" i="26"/>
  <c r="B28" i="26" s="1"/>
  <c r="D85" i="26"/>
  <c r="B29" i="26" s="1"/>
  <c r="K101" i="26"/>
  <c r="M101" i="26" s="1"/>
  <c r="M100" i="26"/>
  <c r="E101" i="26"/>
  <c r="G101" i="26" s="1"/>
  <c r="G102" i="26"/>
  <c r="B30" i="26" s="1"/>
  <c r="D100" i="26"/>
  <c r="B101" i="26"/>
  <c r="D101" i="26" s="1"/>
  <c r="T83" i="26"/>
  <c r="J102" i="26"/>
  <c r="B31" i="26" s="1"/>
  <c r="H101" i="26"/>
  <c r="J101" i="26" s="1"/>
  <c r="J100" i="26"/>
  <c r="T100" i="26"/>
  <c r="D83" i="26"/>
  <c r="N101" i="26"/>
  <c r="P101" i="26" s="1"/>
  <c r="P100" i="26"/>
  <c r="B34" i="26"/>
  <c r="D22" i="26" s="1"/>
  <c r="J148" i="19"/>
  <c r="T148" i="19" s="1"/>
  <c r="P149" i="19"/>
  <c r="S148" i="19"/>
  <c r="J149" i="19"/>
  <c r="J155" i="14"/>
  <c r="B156" i="14"/>
  <c r="M151" i="14"/>
  <c r="G151" i="14"/>
  <c r="D151" i="14"/>
  <c r="S152" i="14"/>
  <c r="S151" i="14"/>
  <c r="S150" i="14"/>
  <c r="S149" i="14"/>
  <c r="S148" i="14"/>
  <c r="S155" i="14" s="1"/>
  <c r="S147" i="14"/>
  <c r="S146" i="14"/>
  <c r="P152" i="14"/>
  <c r="P151" i="14"/>
  <c r="P150" i="14"/>
  <c r="P149" i="14"/>
  <c r="P148" i="14"/>
  <c r="P147" i="14"/>
  <c r="P146" i="14"/>
  <c r="P155" i="14" s="1"/>
  <c r="M152" i="14"/>
  <c r="M150" i="14"/>
  <c r="M149" i="14"/>
  <c r="M148" i="14"/>
  <c r="M147" i="14"/>
  <c r="M146" i="14"/>
  <c r="M155" i="14" s="1"/>
  <c r="J152" i="14"/>
  <c r="J151" i="14"/>
  <c r="J150" i="14"/>
  <c r="J149" i="14"/>
  <c r="J148" i="14"/>
  <c r="J147" i="14"/>
  <c r="J146" i="14"/>
  <c r="G152" i="14"/>
  <c r="G150" i="14"/>
  <c r="G149" i="14"/>
  <c r="G148" i="14"/>
  <c r="G147" i="14"/>
  <c r="G146" i="14"/>
  <c r="G155" i="14" s="1"/>
  <c r="R153" i="14"/>
  <c r="R154" i="14" s="1"/>
  <c r="Q153" i="14"/>
  <c r="Q154" i="14" s="1"/>
  <c r="O153" i="14"/>
  <c r="O154" i="14" s="1"/>
  <c r="N153" i="14"/>
  <c r="N154" i="14" s="1"/>
  <c r="L154" i="14"/>
  <c r="L153" i="14"/>
  <c r="K153" i="14"/>
  <c r="K154" i="14" s="1"/>
  <c r="M154" i="14" s="1"/>
  <c r="I153" i="14"/>
  <c r="I154" i="14" s="1"/>
  <c r="H153" i="14"/>
  <c r="H154" i="14" s="1"/>
  <c r="F154" i="14"/>
  <c r="F153" i="14"/>
  <c r="E153" i="14"/>
  <c r="E154" i="14" s="1"/>
  <c r="B153" i="14"/>
  <c r="B154" i="14" s="1"/>
  <c r="D147" i="14"/>
  <c r="D148" i="14"/>
  <c r="D149" i="14"/>
  <c r="D150" i="14"/>
  <c r="D152" i="14"/>
  <c r="D146" i="14"/>
  <c r="D155" i="14" s="1"/>
  <c r="O136" i="14"/>
  <c r="O135" i="14"/>
  <c r="N135" i="14"/>
  <c r="N136" i="14" s="1"/>
  <c r="L135" i="14"/>
  <c r="L136" i="14" s="1"/>
  <c r="K135" i="14"/>
  <c r="K136" i="14" s="1"/>
  <c r="I135" i="14"/>
  <c r="I136" i="14" s="1"/>
  <c r="H135" i="14"/>
  <c r="H136" i="14" s="1"/>
  <c r="F135" i="14"/>
  <c r="F136" i="14" s="1"/>
  <c r="E135" i="14"/>
  <c r="E136" i="14" s="1"/>
  <c r="B135" i="14"/>
  <c r="B136" i="14" s="1"/>
  <c r="S134" i="14"/>
  <c r="S133" i="14"/>
  <c r="S132" i="14"/>
  <c r="S131" i="14"/>
  <c r="S130" i="14"/>
  <c r="S129" i="14"/>
  <c r="S128" i="14"/>
  <c r="P134" i="14"/>
  <c r="P133" i="14"/>
  <c r="P132" i="14"/>
  <c r="P131" i="14"/>
  <c r="P130" i="14"/>
  <c r="P137" i="14" s="1"/>
  <c r="P129" i="14"/>
  <c r="P128" i="14"/>
  <c r="M134" i="14"/>
  <c r="M133" i="14"/>
  <c r="M132" i="14"/>
  <c r="M131" i="14"/>
  <c r="M130" i="14"/>
  <c r="M129" i="14"/>
  <c r="M137" i="14" s="1"/>
  <c r="M128" i="14"/>
  <c r="J134" i="14"/>
  <c r="J133" i="14"/>
  <c r="J132" i="14"/>
  <c r="J131" i="14"/>
  <c r="J130" i="14"/>
  <c r="J129" i="14"/>
  <c r="J128" i="14"/>
  <c r="J137" i="14" s="1"/>
  <c r="G134" i="14"/>
  <c r="G133" i="14"/>
  <c r="G132" i="14"/>
  <c r="G131" i="14"/>
  <c r="G130" i="14"/>
  <c r="G129" i="14"/>
  <c r="G128" i="14"/>
  <c r="G137" i="14" s="1"/>
  <c r="D132" i="14"/>
  <c r="D131" i="14"/>
  <c r="D137" i="14" s="1"/>
  <c r="D133" i="14"/>
  <c r="B138" i="14" s="1"/>
  <c r="D129" i="14"/>
  <c r="D130" i="14"/>
  <c r="D134" i="14"/>
  <c r="D128" i="14"/>
  <c r="C153" i="14"/>
  <c r="D153" i="14" s="1"/>
  <c r="R135" i="14"/>
  <c r="Q135" i="14"/>
  <c r="C135" i="14"/>
  <c r="C136" i="14" s="1"/>
  <c r="F22" i="14"/>
  <c r="F17" i="14"/>
  <c r="F18" i="14"/>
  <c r="F19" i="14"/>
  <c r="F20" i="14"/>
  <c r="C154" i="14" l="1"/>
  <c r="S135" i="14"/>
  <c r="G136" i="14"/>
  <c r="P136" i="14"/>
  <c r="D154" i="14"/>
  <c r="J154" i="14"/>
  <c r="D136" i="14"/>
  <c r="G154" i="14"/>
  <c r="J136" i="14"/>
  <c r="P135" i="14"/>
  <c r="P154" i="14"/>
  <c r="T154" i="14" s="1"/>
  <c r="D19" i="26"/>
  <c r="J22" i="26"/>
  <c r="G22" i="26"/>
  <c r="D84" i="26"/>
  <c r="T84" i="26" s="1"/>
  <c r="T101" i="26"/>
  <c r="S154" i="14"/>
  <c r="S153" i="14"/>
  <c r="P153" i="14"/>
  <c r="M153" i="14"/>
  <c r="J153" i="14"/>
  <c r="G153" i="14"/>
  <c r="T153" i="14"/>
  <c r="M136" i="14"/>
  <c r="M135" i="14"/>
  <c r="J135" i="14"/>
  <c r="T135" i="14"/>
  <c r="G135" i="14"/>
  <c r="D135" i="14"/>
  <c r="D20" i="26" l="1"/>
  <c r="G20" i="26" s="1"/>
  <c r="D18" i="26"/>
  <c r="G18" i="26" s="1"/>
  <c r="D21" i="26"/>
  <c r="J21" i="26" s="1"/>
  <c r="D17" i="26"/>
  <c r="G17" i="26" s="1"/>
  <c r="J19" i="26"/>
  <c r="G19" i="26"/>
  <c r="N114" i="9"/>
  <c r="N115" i="9" s="1"/>
  <c r="X114" i="9"/>
  <c r="W114" i="9"/>
  <c r="W115" i="9" s="1"/>
  <c r="Y113" i="9"/>
  <c r="Y112" i="9"/>
  <c r="Y111" i="9"/>
  <c r="Y110" i="9"/>
  <c r="Y109" i="9"/>
  <c r="Y108" i="9"/>
  <c r="Y107" i="9"/>
  <c r="U114" i="9"/>
  <c r="U115" i="9" s="1"/>
  <c r="T114" i="9"/>
  <c r="V113" i="9"/>
  <c r="V112" i="9"/>
  <c r="V111" i="9"/>
  <c r="V110" i="9"/>
  <c r="V109" i="9"/>
  <c r="V108" i="9"/>
  <c r="V107" i="9"/>
  <c r="V116" i="9" s="1"/>
  <c r="R114" i="9"/>
  <c r="R115" i="9" s="1"/>
  <c r="Q114" i="9"/>
  <c r="S113" i="9"/>
  <c r="S112" i="9"/>
  <c r="S111" i="9"/>
  <c r="S110" i="9"/>
  <c r="S109" i="9"/>
  <c r="S108" i="9"/>
  <c r="S116" i="9" s="1"/>
  <c r="S107" i="9"/>
  <c r="O114" i="9"/>
  <c r="O115" i="9" s="1"/>
  <c r="P113" i="9"/>
  <c r="P112" i="9"/>
  <c r="H117" i="9" s="1"/>
  <c r="P111" i="9"/>
  <c r="P110" i="9"/>
  <c r="P109" i="9"/>
  <c r="P108" i="9"/>
  <c r="P107" i="9"/>
  <c r="P116" i="9" s="1"/>
  <c r="L115" i="9"/>
  <c r="L114" i="9"/>
  <c r="K114" i="9"/>
  <c r="K115" i="9" s="1"/>
  <c r="M113" i="9"/>
  <c r="M112" i="9"/>
  <c r="M111" i="9"/>
  <c r="M110" i="9"/>
  <c r="M109" i="9"/>
  <c r="M108" i="9"/>
  <c r="M107" i="9"/>
  <c r="M116" i="9" s="1"/>
  <c r="H114" i="9"/>
  <c r="H115" i="9" s="1"/>
  <c r="J112" i="9"/>
  <c r="J108" i="9"/>
  <c r="J109" i="9"/>
  <c r="J110" i="9"/>
  <c r="J111" i="9"/>
  <c r="J113" i="9"/>
  <c r="J107" i="9"/>
  <c r="J116" i="9" s="1"/>
  <c r="K101" i="9"/>
  <c r="M101" i="9" s="1"/>
  <c r="N101" i="9"/>
  <c r="H101" i="9"/>
  <c r="Q101" i="9"/>
  <c r="T101" i="9"/>
  <c r="T102" i="9" s="1"/>
  <c r="H104" i="9"/>
  <c r="X101" i="9"/>
  <c r="X102" i="9" s="1"/>
  <c r="W101" i="9"/>
  <c r="W102" i="9" s="1"/>
  <c r="Y100" i="9"/>
  <c r="Y99" i="9"/>
  <c r="Y98" i="9"/>
  <c r="Y97" i="9"/>
  <c r="Y96" i="9"/>
  <c r="Y95" i="9"/>
  <c r="Y94" i="9"/>
  <c r="U101" i="9"/>
  <c r="U102" i="9" s="1"/>
  <c r="V100" i="9"/>
  <c r="V99" i="9"/>
  <c r="V98" i="9"/>
  <c r="V97" i="9"/>
  <c r="V96" i="9"/>
  <c r="V103" i="9" s="1"/>
  <c r="V95" i="9"/>
  <c r="V94" i="9"/>
  <c r="R101" i="9"/>
  <c r="R102" i="9" s="1"/>
  <c r="S100" i="9"/>
  <c r="S99" i="9"/>
  <c r="S98" i="9"/>
  <c r="S97" i="9"/>
  <c r="S96" i="9"/>
  <c r="S95" i="9"/>
  <c r="S94" i="9"/>
  <c r="S103" i="9" s="1"/>
  <c r="O101" i="9"/>
  <c r="O102" i="9" s="1"/>
  <c r="P100" i="9"/>
  <c r="P99" i="9"/>
  <c r="P98" i="9"/>
  <c r="P97" i="9"/>
  <c r="P96" i="9"/>
  <c r="P95" i="9"/>
  <c r="P94" i="9"/>
  <c r="P103" i="9" s="1"/>
  <c r="L101" i="9"/>
  <c r="L102" i="9" s="1"/>
  <c r="M100" i="9"/>
  <c r="M99" i="9"/>
  <c r="M98" i="9"/>
  <c r="M97" i="9"/>
  <c r="M96" i="9"/>
  <c r="M95" i="9"/>
  <c r="M94" i="9"/>
  <c r="M103" i="9" s="1"/>
  <c r="J99" i="9"/>
  <c r="J95" i="9"/>
  <c r="J96" i="9"/>
  <c r="J97" i="9"/>
  <c r="J98" i="9"/>
  <c r="J100" i="9"/>
  <c r="J94" i="9"/>
  <c r="J103" i="9" s="1"/>
  <c r="H102" i="9"/>
  <c r="I101" i="9"/>
  <c r="I102" i="9" s="1"/>
  <c r="V80" i="9"/>
  <c r="S101" i="9" l="1"/>
  <c r="P115" i="9"/>
  <c r="J101" i="9"/>
  <c r="Y114" i="9"/>
  <c r="V101" i="9"/>
  <c r="P101" i="9"/>
  <c r="V114" i="9"/>
  <c r="X115" i="9"/>
  <c r="Y115" i="9" s="1"/>
  <c r="J17" i="26"/>
  <c r="G21" i="26"/>
  <c r="F24" i="26" s="1"/>
  <c r="E17" i="26"/>
  <c r="J18" i="26"/>
  <c r="J20" i="26"/>
  <c r="T115" i="9"/>
  <c r="V115" i="9" s="1"/>
  <c r="S114" i="9"/>
  <c r="M114" i="9"/>
  <c r="M115" i="9"/>
  <c r="Q115" i="9"/>
  <c r="S115" i="9" s="1"/>
  <c r="P114" i="9"/>
  <c r="K102" i="9"/>
  <c r="M102" i="9" s="1"/>
  <c r="Q102" i="9"/>
  <c r="S102" i="9"/>
  <c r="N102" i="9"/>
  <c r="P102" i="9" s="1"/>
  <c r="V102" i="9"/>
  <c r="Y102" i="9"/>
  <c r="Y101" i="9"/>
  <c r="J102" i="9"/>
  <c r="Z101" i="9"/>
  <c r="E18" i="26" l="1"/>
  <c r="Z102" i="9"/>
  <c r="E19" i="26" l="1"/>
  <c r="V85" i="9"/>
  <c r="S85" i="9"/>
  <c r="J85" i="9"/>
  <c r="M85" i="9"/>
  <c r="P85" i="9"/>
  <c r="X87" i="9"/>
  <c r="X88" i="9" s="1"/>
  <c r="W87" i="9"/>
  <c r="W88" i="9" s="1"/>
  <c r="Y88" i="9" s="1"/>
  <c r="Y86" i="9"/>
  <c r="Y85" i="9"/>
  <c r="Y84" i="9"/>
  <c r="Y83" i="9"/>
  <c r="Y82" i="9"/>
  <c r="Y81" i="9"/>
  <c r="Y80" i="9"/>
  <c r="U87" i="9"/>
  <c r="U88" i="9" s="1"/>
  <c r="T87" i="9"/>
  <c r="T88" i="9" s="1"/>
  <c r="V86" i="9"/>
  <c r="V84" i="9"/>
  <c r="V83" i="9"/>
  <c r="V82" i="9"/>
  <c r="F10" i="9" s="1"/>
  <c r="V81" i="9"/>
  <c r="R87" i="9"/>
  <c r="R88" i="9" s="1"/>
  <c r="Q87" i="9"/>
  <c r="Q88" i="9" s="1"/>
  <c r="S86" i="9"/>
  <c r="S84" i="9"/>
  <c r="S83" i="9"/>
  <c r="S82" i="9"/>
  <c r="S81" i="9"/>
  <c r="S80" i="9"/>
  <c r="O87" i="9"/>
  <c r="O88" i="9" s="1"/>
  <c r="N87" i="9"/>
  <c r="N88" i="9" s="1"/>
  <c r="P86" i="9"/>
  <c r="P84" i="9"/>
  <c r="P83" i="9"/>
  <c r="P82" i="9"/>
  <c r="P81" i="9"/>
  <c r="P80" i="9"/>
  <c r="L87" i="9"/>
  <c r="L88" i="9" s="1"/>
  <c r="K87" i="9"/>
  <c r="K88" i="9" s="1"/>
  <c r="M86" i="9"/>
  <c r="M84" i="9"/>
  <c r="M83" i="9"/>
  <c r="M82" i="9"/>
  <c r="M81" i="9"/>
  <c r="M80" i="9"/>
  <c r="I87" i="9"/>
  <c r="I88" i="9" s="1"/>
  <c r="H87" i="9"/>
  <c r="H88" i="9" s="1"/>
  <c r="J81" i="9"/>
  <c r="J82" i="9"/>
  <c r="J83" i="9"/>
  <c r="J84" i="9"/>
  <c r="J86" i="9"/>
  <c r="J80" i="9"/>
  <c r="X67" i="9"/>
  <c r="X68" i="9" s="1"/>
  <c r="W67" i="9"/>
  <c r="W68" i="9" s="1"/>
  <c r="Y65" i="9"/>
  <c r="Y64" i="9"/>
  <c r="Y63" i="9"/>
  <c r="Y62" i="9"/>
  <c r="Y61" i="9"/>
  <c r="Y60" i="9"/>
  <c r="U67" i="9"/>
  <c r="U68" i="9" s="1"/>
  <c r="T67" i="9"/>
  <c r="T68" i="9" s="1"/>
  <c r="V68" i="9" s="1"/>
  <c r="V65" i="9"/>
  <c r="V64" i="9"/>
  <c r="V63" i="9"/>
  <c r="V62" i="9"/>
  <c r="V61" i="9"/>
  <c r="V60" i="9"/>
  <c r="V69" i="9" s="1"/>
  <c r="R67" i="9"/>
  <c r="R68" i="9" s="1"/>
  <c r="Q67" i="9"/>
  <c r="Q68" i="9" s="1"/>
  <c r="S65" i="9"/>
  <c r="S64" i="9"/>
  <c r="S63" i="9"/>
  <c r="S62" i="9"/>
  <c r="S61" i="9"/>
  <c r="S60" i="9"/>
  <c r="O67" i="9"/>
  <c r="O68" i="9" s="1"/>
  <c r="N67" i="9"/>
  <c r="N68" i="9" s="1"/>
  <c r="P65" i="9"/>
  <c r="P64" i="9"/>
  <c r="P63" i="9"/>
  <c r="P62" i="9"/>
  <c r="P61" i="9"/>
  <c r="P60" i="9"/>
  <c r="K67" i="9"/>
  <c r="K68" i="9" s="1"/>
  <c r="L67" i="9"/>
  <c r="L68" i="9" s="1"/>
  <c r="M65" i="9"/>
  <c r="M64" i="9"/>
  <c r="M63" i="9"/>
  <c r="M62" i="9"/>
  <c r="M61" i="9"/>
  <c r="M60" i="9"/>
  <c r="J65" i="9"/>
  <c r="H70" i="9" s="1"/>
  <c r="J60" i="9"/>
  <c r="H10" i="9" l="1"/>
  <c r="F9" i="9"/>
  <c r="H9" i="9" s="1"/>
  <c r="E20" i="26"/>
  <c r="V88" i="9"/>
  <c r="S69" i="9"/>
  <c r="P69" i="9"/>
  <c r="M69" i="9"/>
  <c r="M68" i="9"/>
  <c r="S88" i="9"/>
  <c r="M88" i="9"/>
  <c r="J87" i="9"/>
  <c r="Y87" i="9"/>
  <c r="V87" i="9"/>
  <c r="S87" i="9"/>
  <c r="P88" i="9"/>
  <c r="P87" i="9"/>
  <c r="M87" i="9"/>
  <c r="J88" i="9"/>
  <c r="F5" i="9" s="1"/>
  <c r="S68" i="9"/>
  <c r="P68" i="9"/>
  <c r="Y68" i="9"/>
  <c r="Y67" i="9"/>
  <c r="V67" i="9"/>
  <c r="S67" i="9"/>
  <c r="P67" i="9"/>
  <c r="M67" i="9"/>
  <c r="Y48" i="9"/>
  <c r="Y47" i="9"/>
  <c r="Y46" i="9"/>
  <c r="Y45" i="9"/>
  <c r="Y44" i="9"/>
  <c r="Y43" i="9"/>
  <c r="V48" i="9"/>
  <c r="V47" i="9"/>
  <c r="V46" i="9"/>
  <c r="V45" i="9"/>
  <c r="V44" i="9"/>
  <c r="H71" i="9" s="1"/>
  <c r="V43" i="9"/>
  <c r="V52" i="9" s="1"/>
  <c r="I22" i="9" s="1"/>
  <c r="X50" i="9"/>
  <c r="X51" i="9" s="1"/>
  <c r="W50" i="9"/>
  <c r="W51" i="9" s="1"/>
  <c r="U50" i="9"/>
  <c r="U51" i="9" s="1"/>
  <c r="T50" i="9"/>
  <c r="T51" i="9" s="1"/>
  <c r="R50" i="9"/>
  <c r="R51" i="9" s="1"/>
  <c r="Q50" i="9"/>
  <c r="Q51" i="9" s="1"/>
  <c r="S48" i="9"/>
  <c r="S47" i="9"/>
  <c r="S46" i="9"/>
  <c r="S45" i="9"/>
  <c r="S44" i="9"/>
  <c r="S43" i="9"/>
  <c r="O50" i="9"/>
  <c r="O51" i="9" s="1"/>
  <c r="N50" i="9"/>
  <c r="N51" i="9" s="1"/>
  <c r="P48" i="9"/>
  <c r="K50" i="9"/>
  <c r="K51" i="9" s="1"/>
  <c r="L50" i="9"/>
  <c r="L51" i="9" s="1"/>
  <c r="M48" i="9"/>
  <c r="M44" i="9"/>
  <c r="H50" i="9"/>
  <c r="H51" i="9" s="1"/>
  <c r="J48" i="9"/>
  <c r="J43" i="9"/>
  <c r="E12" i="9"/>
  <c r="B29" i="16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A31" i="17"/>
  <c r="B31" i="17"/>
  <c r="A32" i="17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B32" i="17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A57" i="17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B57" i="17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I110" i="16"/>
  <c r="J118" i="16"/>
  <c r="I97" i="16"/>
  <c r="I114" i="9"/>
  <c r="I115" i="9" s="1"/>
  <c r="J115" i="9" s="1"/>
  <c r="H53" i="9" l="1"/>
  <c r="I17" i="9" s="1"/>
  <c r="Y50" i="9"/>
  <c r="E21" i="26"/>
  <c r="E22" i="26" s="1"/>
  <c r="Y51" i="9"/>
  <c r="S52" i="9"/>
  <c r="I21" i="9" s="1"/>
  <c r="V51" i="9"/>
  <c r="Y52" i="9"/>
  <c r="P51" i="9"/>
  <c r="P50" i="9"/>
  <c r="S51" i="9"/>
  <c r="V50" i="9"/>
  <c r="S50" i="9"/>
  <c r="Z114" i="9"/>
  <c r="J114" i="9"/>
  <c r="E111" i="19"/>
  <c r="H111" i="19"/>
  <c r="H112" i="19" s="1"/>
  <c r="K111" i="19"/>
  <c r="K112" i="19" s="1"/>
  <c r="N111" i="19"/>
  <c r="N112" i="19"/>
  <c r="P109" i="19"/>
  <c r="M109" i="19"/>
  <c r="D109" i="19"/>
  <c r="S104" i="19"/>
  <c r="G104" i="19"/>
  <c r="AA111" i="16"/>
  <c r="X111" i="16"/>
  <c r="Z118" i="16"/>
  <c r="Z119" i="16" s="1"/>
  <c r="Y118" i="16"/>
  <c r="AA118" i="16" s="1"/>
  <c r="W118" i="16"/>
  <c r="W119" i="16" s="1"/>
  <c r="V118" i="16"/>
  <c r="V119" i="16" s="1"/>
  <c r="T118" i="16"/>
  <c r="T119" i="16" s="1"/>
  <c r="S118" i="16"/>
  <c r="S119" i="16" s="1"/>
  <c r="AA117" i="16"/>
  <c r="AA116" i="16"/>
  <c r="AA115" i="16"/>
  <c r="AA114" i="16"/>
  <c r="AA113" i="16"/>
  <c r="AA112" i="16"/>
  <c r="X117" i="16"/>
  <c r="X116" i="16"/>
  <c r="X115" i="16"/>
  <c r="X114" i="16"/>
  <c r="X113" i="16"/>
  <c r="X112" i="16"/>
  <c r="U117" i="16"/>
  <c r="U116" i="16"/>
  <c r="U115" i="16"/>
  <c r="U114" i="16"/>
  <c r="U113" i="16"/>
  <c r="U112" i="16"/>
  <c r="U111" i="16"/>
  <c r="Q118" i="16"/>
  <c r="Q119" i="16" s="1"/>
  <c r="P118" i="16"/>
  <c r="P119" i="16" s="1"/>
  <c r="R117" i="16"/>
  <c r="R116" i="16"/>
  <c r="R115" i="16"/>
  <c r="R114" i="16"/>
  <c r="R113" i="16"/>
  <c r="R112" i="16"/>
  <c r="R111" i="16"/>
  <c r="N118" i="16"/>
  <c r="N119" i="16" s="1"/>
  <c r="M118" i="16"/>
  <c r="M119" i="16" s="1"/>
  <c r="O117" i="16"/>
  <c r="O116" i="16"/>
  <c r="O115" i="16"/>
  <c r="O114" i="16"/>
  <c r="O113" i="16"/>
  <c r="O112" i="16"/>
  <c r="O111" i="16"/>
  <c r="K118" i="16"/>
  <c r="K119" i="16" s="1"/>
  <c r="J119" i="16"/>
  <c r="L116" i="16"/>
  <c r="L112" i="16"/>
  <c r="L113" i="16"/>
  <c r="L114" i="16"/>
  <c r="L115" i="16"/>
  <c r="L117" i="16"/>
  <c r="L111" i="16"/>
  <c r="N105" i="16"/>
  <c r="N106" i="16" s="1"/>
  <c r="M105" i="16"/>
  <c r="M106" i="16" s="1"/>
  <c r="W105" i="16"/>
  <c r="W106" i="16" s="1"/>
  <c r="V105" i="16"/>
  <c r="V106" i="16" s="1"/>
  <c r="X104" i="16"/>
  <c r="X103" i="16"/>
  <c r="X102" i="16"/>
  <c r="X101" i="16"/>
  <c r="X100" i="16"/>
  <c r="X99" i="16"/>
  <c r="X98" i="16"/>
  <c r="X107" i="16" s="1"/>
  <c r="T105" i="16"/>
  <c r="T106" i="16" s="1"/>
  <c r="S105" i="16"/>
  <c r="S106" i="16" s="1"/>
  <c r="U104" i="16"/>
  <c r="U103" i="16"/>
  <c r="U102" i="16"/>
  <c r="U101" i="16"/>
  <c r="U100" i="16"/>
  <c r="U99" i="16"/>
  <c r="U98" i="16"/>
  <c r="Q105" i="16"/>
  <c r="Q106" i="16" s="1"/>
  <c r="P105" i="16"/>
  <c r="R104" i="16"/>
  <c r="R103" i="16"/>
  <c r="R102" i="16"/>
  <c r="R101" i="16"/>
  <c r="R100" i="16"/>
  <c r="R99" i="16"/>
  <c r="R98" i="16"/>
  <c r="O104" i="16"/>
  <c r="O103" i="16"/>
  <c r="O102" i="16"/>
  <c r="O101" i="16"/>
  <c r="O100" i="16"/>
  <c r="O99" i="16"/>
  <c r="O98" i="16"/>
  <c r="K105" i="16"/>
  <c r="L103" i="16"/>
  <c r="K106" i="16"/>
  <c r="L99" i="16"/>
  <c r="L100" i="16"/>
  <c r="L101" i="16"/>
  <c r="L102" i="16"/>
  <c r="L104" i="16"/>
  <c r="L98" i="16"/>
  <c r="Z105" i="16"/>
  <c r="Z106" i="16" s="1"/>
  <c r="Y105" i="16"/>
  <c r="AA105" i="16" s="1"/>
  <c r="J105" i="16"/>
  <c r="J106" i="16" s="1"/>
  <c r="AA104" i="16"/>
  <c r="AA103" i="16"/>
  <c r="AA102" i="16"/>
  <c r="AA101" i="16"/>
  <c r="AA100" i="16"/>
  <c r="AA99" i="16"/>
  <c r="AA98" i="16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V71" i="16"/>
  <c r="U69" i="16"/>
  <c r="S71" i="16"/>
  <c r="R69" i="16"/>
  <c r="Q71" i="16"/>
  <c r="Q72" i="16" s="1"/>
  <c r="P71" i="16"/>
  <c r="M71" i="16"/>
  <c r="J71" i="16"/>
  <c r="L69" i="16"/>
  <c r="V54" i="16"/>
  <c r="S54" i="16"/>
  <c r="P54" i="16"/>
  <c r="J92" i="19"/>
  <c r="M92" i="19"/>
  <c r="B97" i="19" s="1"/>
  <c r="G92" i="19"/>
  <c r="N94" i="19"/>
  <c r="N95" i="19" s="1"/>
  <c r="P95" i="19" s="1"/>
  <c r="K94" i="19"/>
  <c r="H94" i="19"/>
  <c r="H95" i="19" s="1"/>
  <c r="E94" i="19"/>
  <c r="E95" i="19" s="1"/>
  <c r="D92" i="19"/>
  <c r="N131" i="19"/>
  <c r="R131" i="19"/>
  <c r="S131" i="19" s="1"/>
  <c r="Q131" i="19"/>
  <c r="S129" i="19"/>
  <c r="S128" i="19"/>
  <c r="S127" i="19"/>
  <c r="S126" i="19"/>
  <c r="S125" i="19"/>
  <c r="S124" i="19"/>
  <c r="P129" i="19"/>
  <c r="P128" i="19"/>
  <c r="P127" i="19"/>
  <c r="P126" i="19"/>
  <c r="B151" i="19" s="1"/>
  <c r="P125" i="19"/>
  <c r="P124" i="19"/>
  <c r="M129" i="19"/>
  <c r="M128" i="19"/>
  <c r="M127" i="19"/>
  <c r="M126" i="19"/>
  <c r="M125" i="19"/>
  <c r="M124" i="19"/>
  <c r="J129" i="19"/>
  <c r="J128" i="19"/>
  <c r="J127" i="19"/>
  <c r="J126" i="19"/>
  <c r="J125" i="19"/>
  <c r="J124" i="19"/>
  <c r="G129" i="19"/>
  <c r="G128" i="19"/>
  <c r="G127" i="19"/>
  <c r="G126" i="19"/>
  <c r="G125" i="19"/>
  <c r="G124" i="19"/>
  <c r="D129" i="19"/>
  <c r="D125" i="19"/>
  <c r="D126" i="19"/>
  <c r="D127" i="19"/>
  <c r="D128" i="19"/>
  <c r="D124" i="19"/>
  <c r="R111" i="19"/>
  <c r="R112" i="19" s="1"/>
  <c r="Q111" i="19"/>
  <c r="S109" i="19"/>
  <c r="S108" i="19"/>
  <c r="S107" i="19"/>
  <c r="S106" i="19"/>
  <c r="S105" i="19"/>
  <c r="O111" i="19"/>
  <c r="O112" i="19" s="1"/>
  <c r="P108" i="19"/>
  <c r="P107" i="19"/>
  <c r="P106" i="19"/>
  <c r="P105" i="19"/>
  <c r="P104" i="19"/>
  <c r="P113" i="19" s="1"/>
  <c r="S30" i="19" s="1"/>
  <c r="L111" i="19"/>
  <c r="L112" i="19" s="1"/>
  <c r="M108" i="19"/>
  <c r="M107" i="19"/>
  <c r="M106" i="19"/>
  <c r="M105" i="19"/>
  <c r="M104" i="19"/>
  <c r="I111" i="19"/>
  <c r="I112" i="19" s="1"/>
  <c r="J109" i="19"/>
  <c r="J108" i="19"/>
  <c r="J107" i="19"/>
  <c r="J106" i="19"/>
  <c r="J105" i="19"/>
  <c r="J104" i="19"/>
  <c r="F111" i="19"/>
  <c r="F112" i="19" s="1"/>
  <c r="E112" i="19"/>
  <c r="G109" i="19"/>
  <c r="G108" i="19"/>
  <c r="G107" i="19"/>
  <c r="G106" i="19"/>
  <c r="G105" i="19"/>
  <c r="D105" i="19"/>
  <c r="D106" i="19"/>
  <c r="D107" i="19"/>
  <c r="D108" i="19"/>
  <c r="D104" i="19"/>
  <c r="D113" i="19" s="1"/>
  <c r="C111" i="19"/>
  <c r="C112" i="19" s="1"/>
  <c r="B111" i="19"/>
  <c r="B112" i="19" s="1"/>
  <c r="R94" i="19"/>
  <c r="R95" i="19" s="1"/>
  <c r="Q94" i="19"/>
  <c r="Q95" i="19" s="1"/>
  <c r="S92" i="19"/>
  <c r="S91" i="19"/>
  <c r="S90" i="19"/>
  <c r="S89" i="19"/>
  <c r="S88" i="19"/>
  <c r="S87" i="19"/>
  <c r="O94" i="19"/>
  <c r="O95" i="19" s="1"/>
  <c r="P92" i="19"/>
  <c r="P91" i="19"/>
  <c r="P90" i="19"/>
  <c r="P89" i="19"/>
  <c r="P88" i="19"/>
  <c r="P96" i="19" s="1"/>
  <c r="P87" i="19"/>
  <c r="L94" i="19"/>
  <c r="L95" i="19" s="1"/>
  <c r="M91" i="19"/>
  <c r="M90" i="19"/>
  <c r="M89" i="19"/>
  <c r="M88" i="19"/>
  <c r="M87" i="19"/>
  <c r="I94" i="19"/>
  <c r="I95" i="19" s="1"/>
  <c r="J91" i="19"/>
  <c r="J90" i="19"/>
  <c r="J89" i="19"/>
  <c r="J88" i="19"/>
  <c r="J87" i="19"/>
  <c r="F94" i="19"/>
  <c r="F95" i="19" s="1"/>
  <c r="G91" i="19"/>
  <c r="G90" i="19"/>
  <c r="G89" i="19"/>
  <c r="G88" i="19"/>
  <c r="G87" i="19"/>
  <c r="D88" i="19"/>
  <c r="D89" i="19"/>
  <c r="D90" i="19"/>
  <c r="D91" i="19"/>
  <c r="D87" i="19"/>
  <c r="D96" i="19" s="1"/>
  <c r="S26" i="19" s="1"/>
  <c r="B115" i="19" l="1"/>
  <c r="M94" i="19"/>
  <c r="Y119" i="16"/>
  <c r="R107" i="16"/>
  <c r="L119" i="16"/>
  <c r="R71" i="16"/>
  <c r="O107" i="16"/>
  <c r="X106" i="16"/>
  <c r="F25" i="26"/>
  <c r="U119" i="16"/>
  <c r="AA120" i="16"/>
  <c r="AA119" i="16"/>
  <c r="L120" i="16"/>
  <c r="X119" i="16"/>
  <c r="O120" i="16"/>
  <c r="U120" i="16"/>
  <c r="R120" i="16"/>
  <c r="X120" i="16"/>
  <c r="R119" i="16"/>
  <c r="O119" i="16"/>
  <c r="L118" i="16"/>
  <c r="X105" i="16"/>
  <c r="U105" i="16"/>
  <c r="R105" i="16"/>
  <c r="P106" i="16"/>
  <c r="R106" i="16" s="1"/>
  <c r="O105" i="16"/>
  <c r="J108" i="16"/>
  <c r="U107" i="16"/>
  <c r="U106" i="16"/>
  <c r="D112" i="19"/>
  <c r="X118" i="16"/>
  <c r="U118" i="16"/>
  <c r="R118" i="16"/>
  <c r="O118" i="16"/>
  <c r="O106" i="16"/>
  <c r="L107" i="16"/>
  <c r="J121" i="16"/>
  <c r="AB118" i="16"/>
  <c r="L106" i="16"/>
  <c r="L105" i="16"/>
  <c r="AB105" i="16"/>
  <c r="Y106" i="16"/>
  <c r="AA106" i="16" s="1"/>
  <c r="J95" i="19"/>
  <c r="G95" i="19"/>
  <c r="S95" i="19"/>
  <c r="G112" i="19"/>
  <c r="M112" i="19"/>
  <c r="P112" i="19"/>
  <c r="S111" i="19"/>
  <c r="Q112" i="19"/>
  <c r="S112" i="19" s="1"/>
  <c r="P111" i="19"/>
  <c r="M111" i="19"/>
  <c r="J112" i="19"/>
  <c r="J111" i="19"/>
  <c r="G111" i="19"/>
  <c r="D111" i="19"/>
  <c r="S94" i="19"/>
  <c r="P94" i="19"/>
  <c r="K95" i="19"/>
  <c r="M95" i="19" s="1"/>
  <c r="J94" i="19"/>
  <c r="G94" i="19"/>
  <c r="AB119" i="16" l="1"/>
  <c r="AB106" i="16"/>
  <c r="C94" i="19"/>
  <c r="C95" i="19" s="1"/>
  <c r="B94" i="19"/>
  <c r="B95" i="19" s="1"/>
  <c r="J34" i="19"/>
  <c r="K31" i="19"/>
  <c r="K30" i="19"/>
  <c r="K29" i="19"/>
  <c r="M29" i="19" s="1"/>
  <c r="K28" i="19"/>
  <c r="M28" i="19" s="1"/>
  <c r="N27" i="19"/>
  <c r="N28" i="19" s="1"/>
  <c r="N29" i="19" s="1"/>
  <c r="K27" i="19"/>
  <c r="M27" i="19" s="1"/>
  <c r="K132" i="19"/>
  <c r="R132" i="19"/>
  <c r="O131" i="19"/>
  <c r="O132" i="19" s="1"/>
  <c r="P131" i="19"/>
  <c r="L131" i="19"/>
  <c r="L132" i="19" s="1"/>
  <c r="K131" i="19"/>
  <c r="I131" i="19"/>
  <c r="H131" i="19"/>
  <c r="H132" i="19" s="1"/>
  <c r="F131" i="19"/>
  <c r="E131" i="19"/>
  <c r="E132" i="19" s="1"/>
  <c r="C131" i="19"/>
  <c r="C132" i="19" s="1"/>
  <c r="B131" i="19"/>
  <c r="B132" i="19" s="1"/>
  <c r="K32" i="19"/>
  <c r="T111" i="19"/>
  <c r="J96" i="19"/>
  <c r="M96" i="19"/>
  <c r="G96" i="19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A32" i="15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Z71" i="16"/>
  <c r="Z72" i="16" s="1"/>
  <c r="Y71" i="16"/>
  <c r="M132" i="19" l="1"/>
  <c r="AA71" i="16"/>
  <c r="M30" i="19"/>
  <c r="M131" i="19"/>
  <c r="N30" i="19"/>
  <c r="N31" i="19" s="1"/>
  <c r="M31" i="19"/>
  <c r="D94" i="19"/>
  <c r="N132" i="19"/>
  <c r="P132" i="19" s="1"/>
  <c r="J131" i="19"/>
  <c r="G131" i="19"/>
  <c r="T131" i="19"/>
  <c r="D132" i="19"/>
  <c r="M32" i="19"/>
  <c r="N32" i="19"/>
  <c r="N33" i="19" s="1"/>
  <c r="O33" i="19" s="1"/>
  <c r="G113" i="19"/>
  <c r="S27" i="19" s="1"/>
  <c r="J113" i="19"/>
  <c r="S28" i="19" s="1"/>
  <c r="S31" i="19"/>
  <c r="I32" i="19" s="1"/>
  <c r="M113" i="19"/>
  <c r="S29" i="19" s="1"/>
  <c r="F132" i="19"/>
  <c r="G132" i="19" s="1"/>
  <c r="D131" i="19"/>
  <c r="I132" i="19"/>
  <c r="J132" i="19" s="1"/>
  <c r="Q132" i="19"/>
  <c r="S132" i="19" s="1"/>
  <c r="Y72" i="16"/>
  <c r="AA72" i="16" s="1"/>
  <c r="U89" i="16"/>
  <c r="R89" i="16"/>
  <c r="R85" i="16"/>
  <c r="R86" i="16"/>
  <c r="R87" i="16"/>
  <c r="R88" i="16"/>
  <c r="R90" i="16"/>
  <c r="O89" i="16"/>
  <c r="T132" i="19" l="1"/>
  <c r="B114" i="19"/>
  <c r="S25" i="19" s="1"/>
  <c r="D95" i="19"/>
  <c r="T95" i="19" s="1"/>
  <c r="M33" i="19"/>
  <c r="T94" i="19"/>
  <c r="L90" i="16"/>
  <c r="L89" i="16"/>
  <c r="L85" i="16"/>
  <c r="L86" i="16"/>
  <c r="L87" i="16"/>
  <c r="L88" i="16"/>
  <c r="L84" i="16"/>
  <c r="Z91" i="16"/>
  <c r="Z92" i="16" s="1"/>
  <c r="Y91" i="16"/>
  <c r="Y92" i="16" s="1"/>
  <c r="AA90" i="16"/>
  <c r="AA89" i="16"/>
  <c r="AA88" i="16"/>
  <c r="AA87" i="16"/>
  <c r="AA86" i="16"/>
  <c r="AA85" i="16"/>
  <c r="AA84" i="16"/>
  <c r="W91" i="16"/>
  <c r="W92" i="16" s="1"/>
  <c r="V91" i="16"/>
  <c r="V92" i="16" s="1"/>
  <c r="X90" i="16"/>
  <c r="X89" i="16"/>
  <c r="X88" i="16"/>
  <c r="X87" i="16"/>
  <c r="X86" i="16"/>
  <c r="F28" i="16" s="1"/>
  <c r="H28" i="16" s="1"/>
  <c r="X85" i="16"/>
  <c r="X84" i="16"/>
  <c r="T91" i="16"/>
  <c r="T92" i="16" s="1"/>
  <c r="S91" i="16"/>
  <c r="S92" i="16" s="1"/>
  <c r="U90" i="16"/>
  <c r="U88" i="16"/>
  <c r="U87" i="16"/>
  <c r="U86" i="16"/>
  <c r="U85" i="16"/>
  <c r="U84" i="16"/>
  <c r="Q91" i="16"/>
  <c r="Q92" i="16" s="1"/>
  <c r="P91" i="16"/>
  <c r="R84" i="16"/>
  <c r="N91" i="16"/>
  <c r="N92" i="16" s="1"/>
  <c r="M91" i="16"/>
  <c r="M92" i="16" s="1"/>
  <c r="O90" i="16"/>
  <c r="O88" i="16"/>
  <c r="O87" i="16"/>
  <c r="O86" i="16"/>
  <c r="O85" i="16"/>
  <c r="O84" i="16"/>
  <c r="I28" i="19" l="1"/>
  <c r="I31" i="19"/>
  <c r="I27" i="19"/>
  <c r="I30" i="19"/>
  <c r="R91" i="16"/>
  <c r="I29" i="19"/>
  <c r="L32" i="19"/>
  <c r="O32" i="19"/>
  <c r="F27" i="16"/>
  <c r="H27" i="16" s="1"/>
  <c r="T112" i="19"/>
  <c r="O92" i="16"/>
  <c r="F24" i="16" s="1"/>
  <c r="H24" i="16" s="1"/>
  <c r="P92" i="16"/>
  <c r="R92" i="16" s="1"/>
  <c r="F25" i="16" s="1"/>
  <c r="H25" i="16" s="1"/>
  <c r="U92" i="16"/>
  <c r="F26" i="16" s="1"/>
  <c r="H26" i="16" s="1"/>
  <c r="X92" i="16"/>
  <c r="AA92" i="16"/>
  <c r="AA91" i="16"/>
  <c r="X91" i="16"/>
  <c r="U91" i="16"/>
  <c r="O91" i="16"/>
  <c r="L30" i="19" l="1"/>
  <c r="O30" i="19"/>
  <c r="O27" i="19"/>
  <c r="J27" i="19"/>
  <c r="J28" i="19" s="1"/>
  <c r="J29" i="19" s="1"/>
  <c r="J30" i="19" s="1"/>
  <c r="L27" i="19"/>
  <c r="L29" i="19"/>
  <c r="O29" i="19"/>
  <c r="L31" i="19"/>
  <c r="M35" i="19" s="1"/>
  <c r="N35" i="19" s="1"/>
  <c r="O31" i="19"/>
  <c r="L28" i="19"/>
  <c r="O28" i="19"/>
  <c r="L65" i="16"/>
  <c r="L66" i="16"/>
  <c r="L67" i="16"/>
  <c r="L68" i="16"/>
  <c r="L64" i="16"/>
  <c r="L73" i="16" s="1"/>
  <c r="AA69" i="16"/>
  <c r="AA68" i="16"/>
  <c r="AA67" i="16"/>
  <c r="AA66" i="16"/>
  <c r="AA65" i="16"/>
  <c r="AA64" i="16"/>
  <c r="X69" i="16"/>
  <c r="X68" i="16"/>
  <c r="X67" i="16"/>
  <c r="X66" i="16"/>
  <c r="X65" i="16"/>
  <c r="X64" i="16"/>
  <c r="X73" i="16" s="1"/>
  <c r="U68" i="16"/>
  <c r="U67" i="16"/>
  <c r="U66" i="16"/>
  <c r="U65" i="16"/>
  <c r="U73" i="16" s="1"/>
  <c r="U64" i="16"/>
  <c r="R68" i="16"/>
  <c r="R67" i="16"/>
  <c r="R66" i="16"/>
  <c r="R65" i="16"/>
  <c r="R64" i="16"/>
  <c r="O69" i="16"/>
  <c r="J74" i="16" s="1"/>
  <c r="O68" i="16"/>
  <c r="O67" i="16"/>
  <c r="O66" i="16"/>
  <c r="O65" i="16"/>
  <c r="O64" i="16"/>
  <c r="O73" i="16" s="1"/>
  <c r="X48" i="16"/>
  <c r="U49" i="16"/>
  <c r="U48" i="16"/>
  <c r="U50" i="16"/>
  <c r="U51" i="16"/>
  <c r="U47" i="16"/>
  <c r="U52" i="16"/>
  <c r="R52" i="16"/>
  <c r="O47" i="16"/>
  <c r="Z54" i="16"/>
  <c r="Z55" i="16" s="1"/>
  <c r="Y54" i="16"/>
  <c r="Y55" i="16" s="1"/>
  <c r="AA52" i="16"/>
  <c r="AA51" i="16"/>
  <c r="AA50" i="16"/>
  <c r="AA49" i="16"/>
  <c r="AA48" i="16"/>
  <c r="AA47" i="16"/>
  <c r="W54" i="16"/>
  <c r="W55" i="16" s="1"/>
  <c r="V55" i="16"/>
  <c r="X52" i="16"/>
  <c r="X51" i="16"/>
  <c r="X50" i="16"/>
  <c r="X49" i="16"/>
  <c r="X47" i="16"/>
  <c r="X56" i="16" s="1"/>
  <c r="T54" i="16"/>
  <c r="T55" i="16" s="1"/>
  <c r="S55" i="16"/>
  <c r="Q54" i="16"/>
  <c r="P55" i="16"/>
  <c r="R51" i="16"/>
  <c r="R50" i="16"/>
  <c r="R49" i="16"/>
  <c r="R48" i="16"/>
  <c r="R47" i="16"/>
  <c r="N54" i="16"/>
  <c r="N55" i="16" s="1"/>
  <c r="O52" i="16"/>
  <c r="E30" i="16"/>
  <c r="W71" i="16"/>
  <c r="J51" i="16"/>
  <c r="M49" i="16"/>
  <c r="J48" i="16"/>
  <c r="K52" i="16"/>
  <c r="M50" i="16"/>
  <c r="J49" i="16"/>
  <c r="J47" i="16"/>
  <c r="M48" i="16"/>
  <c r="J50" i="16"/>
  <c r="M51" i="16"/>
  <c r="X55" i="16" l="1"/>
  <c r="AA55" i="16"/>
  <c r="Q55" i="16"/>
  <c r="R54" i="16"/>
  <c r="B18" i="16"/>
  <c r="W72" i="16"/>
  <c r="X71" i="16"/>
  <c r="U56" i="16"/>
  <c r="B17" i="16" s="1"/>
  <c r="R73" i="16"/>
  <c r="J75" i="16"/>
  <c r="B19" i="16" s="1"/>
  <c r="R56" i="16"/>
  <c r="B16" i="16" s="1"/>
  <c r="U54" i="16"/>
  <c r="K34" i="19"/>
  <c r="J31" i="19"/>
  <c r="J32" i="19" s="1"/>
  <c r="J54" i="16"/>
  <c r="M54" i="16"/>
  <c r="K54" i="16"/>
  <c r="K55" i="16" s="1"/>
  <c r="L52" i="16"/>
  <c r="J57" i="16" s="1"/>
  <c r="B13" i="16" s="1"/>
  <c r="O48" i="16"/>
  <c r="O49" i="16"/>
  <c r="O50" i="16"/>
  <c r="O51" i="16"/>
  <c r="L51" i="16"/>
  <c r="L50" i="16"/>
  <c r="L49" i="16"/>
  <c r="L48" i="16"/>
  <c r="L47" i="16"/>
  <c r="U55" i="16"/>
  <c r="AA54" i="16"/>
  <c r="X54" i="16"/>
  <c r="R55" i="16"/>
  <c r="S72" i="16"/>
  <c r="P72" i="16"/>
  <c r="R72" i="16" s="1"/>
  <c r="N71" i="16"/>
  <c r="N72" i="16" s="1"/>
  <c r="V72" i="16"/>
  <c r="X72" i="16" s="1"/>
  <c r="J72" i="16"/>
  <c r="M72" i="16"/>
  <c r="T71" i="16"/>
  <c r="K71" i="16"/>
  <c r="K72" i="16" s="1"/>
  <c r="J91" i="16"/>
  <c r="K91" i="16"/>
  <c r="K92" i="16" s="1"/>
  <c r="T72" i="16" l="1"/>
  <c r="U71" i="16"/>
  <c r="K35" i="19"/>
  <c r="D28" i="16"/>
  <c r="L54" i="16"/>
  <c r="J55" i="16"/>
  <c r="L55" i="16" s="1"/>
  <c r="O56" i="16"/>
  <c r="B15" i="16" s="1"/>
  <c r="D24" i="16" s="1"/>
  <c r="J24" i="16" s="1"/>
  <c r="L56" i="16"/>
  <c r="B14" i="16" s="1"/>
  <c r="D23" i="16" s="1"/>
  <c r="D27" i="16"/>
  <c r="D26" i="16"/>
  <c r="U72" i="16"/>
  <c r="D25" i="16"/>
  <c r="J25" i="16" s="1"/>
  <c r="O72" i="16"/>
  <c r="J92" i="16"/>
  <c r="L92" i="16" s="1"/>
  <c r="M55" i="16"/>
  <c r="O55" i="16" s="1"/>
  <c r="O54" i="16"/>
  <c r="AB71" i="16"/>
  <c r="L91" i="16"/>
  <c r="O71" i="16"/>
  <c r="L71" i="16"/>
  <c r="AB91" i="16"/>
  <c r="AB54" i="16"/>
  <c r="G28" i="16" l="1"/>
  <c r="F23" i="16"/>
  <c r="AB92" i="16"/>
  <c r="J28" i="16"/>
  <c r="E23" i="16"/>
  <c r="J23" i="16"/>
  <c r="G23" i="16"/>
  <c r="G24" i="16"/>
  <c r="G25" i="16"/>
  <c r="G26" i="16"/>
  <c r="J26" i="16"/>
  <c r="G27" i="16"/>
  <c r="J27" i="16"/>
  <c r="E24" i="16"/>
  <c r="E25" i="16" s="1"/>
  <c r="E26" i="16" s="1"/>
  <c r="E27" i="16" s="1"/>
  <c r="E28" i="16" s="1"/>
  <c r="L72" i="16"/>
  <c r="AB72" i="16" s="1"/>
  <c r="AB55" i="16"/>
  <c r="I23" i="16" l="1"/>
  <c r="I24" i="16" s="1"/>
  <c r="I25" i="16" s="1"/>
  <c r="I26" i="16" s="1"/>
  <c r="I27" i="16" s="1"/>
  <c r="I28" i="16" s="1"/>
  <c r="I29" i="16" s="1"/>
  <c r="J29" i="16" s="1"/>
  <c r="H23" i="16"/>
  <c r="H29" i="16" s="1"/>
  <c r="F31" i="16"/>
  <c r="F30" i="16"/>
  <c r="A57" i="6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B57" i="6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D15" i="14"/>
  <c r="D115" i="14"/>
  <c r="D113" i="14"/>
  <c r="G113" i="14"/>
  <c r="D114" i="14"/>
  <c r="D116" i="14"/>
  <c r="D117" i="14"/>
  <c r="D118" i="14"/>
  <c r="D119" i="14"/>
  <c r="R100" i="14"/>
  <c r="R101" i="14" s="1"/>
  <c r="Q100" i="14"/>
  <c r="Q101" i="14" s="1"/>
  <c r="S101" i="14" s="1"/>
  <c r="S98" i="14"/>
  <c r="S97" i="14"/>
  <c r="S96" i="14"/>
  <c r="S95" i="14"/>
  <c r="S94" i="14"/>
  <c r="S93" i="14"/>
  <c r="O100" i="14"/>
  <c r="O101" i="14" s="1"/>
  <c r="P98" i="14"/>
  <c r="D98" i="14"/>
  <c r="D94" i="14"/>
  <c r="D95" i="14"/>
  <c r="D97" i="14"/>
  <c r="D93" i="14"/>
  <c r="P81" i="14"/>
  <c r="R83" i="14"/>
  <c r="R84" i="14" s="1"/>
  <c r="Q83" i="14"/>
  <c r="Q84" i="14" s="1"/>
  <c r="S81" i="14"/>
  <c r="S80" i="14"/>
  <c r="S79" i="14"/>
  <c r="S78" i="14"/>
  <c r="S77" i="14"/>
  <c r="S76" i="14"/>
  <c r="O83" i="14"/>
  <c r="O84" i="14" s="1"/>
  <c r="P80" i="14"/>
  <c r="D77" i="14"/>
  <c r="D78" i="14"/>
  <c r="D76" i="14"/>
  <c r="E24" i="14"/>
  <c r="H22" i="14"/>
  <c r="F21" i="14"/>
  <c r="I17" i="14"/>
  <c r="I18" i="14" s="1"/>
  <c r="I19" i="14" s="1"/>
  <c r="I20" i="14" s="1"/>
  <c r="U120" i="14"/>
  <c r="R120" i="14"/>
  <c r="R121" i="14" s="1"/>
  <c r="Q120" i="14"/>
  <c r="Q121" i="14" s="1"/>
  <c r="S121" i="14" s="1"/>
  <c r="O120" i="14"/>
  <c r="O121" i="14" s="1"/>
  <c r="N120" i="14"/>
  <c r="N121" i="14" s="1"/>
  <c r="L120" i="14"/>
  <c r="L121" i="14" s="1"/>
  <c r="S119" i="14"/>
  <c r="P119" i="14"/>
  <c r="M119" i="14"/>
  <c r="J119" i="14"/>
  <c r="G119" i="14"/>
  <c r="H17" i="14" s="1"/>
  <c r="S118" i="14"/>
  <c r="P118" i="14"/>
  <c r="M118" i="14"/>
  <c r="S117" i="14"/>
  <c r="P117" i="14"/>
  <c r="M117" i="14"/>
  <c r="S116" i="14"/>
  <c r="P116" i="14"/>
  <c r="S115" i="14"/>
  <c r="P115" i="14"/>
  <c r="S114" i="14"/>
  <c r="P114" i="14"/>
  <c r="S113" i="14"/>
  <c r="P113" i="14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A32" i="13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B32" i="13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M43" i="9"/>
  <c r="H97" i="14"/>
  <c r="E77" i="14"/>
  <c r="E78" i="14"/>
  <c r="K80" i="14"/>
  <c r="E96" i="14"/>
  <c r="K79" i="14"/>
  <c r="H80" i="14"/>
  <c r="K78" i="14"/>
  <c r="K94" i="14"/>
  <c r="N79" i="14"/>
  <c r="K93" i="14"/>
  <c r="E79" i="14"/>
  <c r="E95" i="14"/>
  <c r="B79" i="14"/>
  <c r="L98" i="14"/>
  <c r="H78" i="14"/>
  <c r="K97" i="14"/>
  <c r="H77" i="14"/>
  <c r="K96" i="14"/>
  <c r="H76" i="14"/>
  <c r="N97" i="14"/>
  <c r="K77" i="14"/>
  <c r="E97" i="14"/>
  <c r="N94" i="14"/>
  <c r="E93" i="14"/>
  <c r="H93" i="14"/>
  <c r="N76" i="14"/>
  <c r="L81" i="14"/>
  <c r="N96" i="14"/>
  <c r="H96" i="14"/>
  <c r="E76" i="14"/>
  <c r="H95" i="14"/>
  <c r="C81" i="14"/>
  <c r="H94" i="14"/>
  <c r="B80" i="14"/>
  <c r="K95" i="14"/>
  <c r="K76" i="14"/>
  <c r="N77" i="14"/>
  <c r="I98" i="14"/>
  <c r="N93" i="14"/>
  <c r="H79" i="14"/>
  <c r="E80" i="14"/>
  <c r="E94" i="14"/>
  <c r="N78" i="14"/>
  <c r="F98" i="14"/>
  <c r="B96" i="14"/>
  <c r="F81" i="14"/>
  <c r="N95" i="14"/>
  <c r="I81" i="14"/>
  <c r="S85" i="14" l="1"/>
  <c r="S102" i="14"/>
  <c r="J81" i="14"/>
  <c r="G81" i="14"/>
  <c r="D81" i="14"/>
  <c r="M81" i="14"/>
  <c r="P97" i="14"/>
  <c r="P96" i="14"/>
  <c r="P95" i="14"/>
  <c r="P94" i="14"/>
  <c r="P93" i="14"/>
  <c r="N100" i="14"/>
  <c r="N101" i="14" s="1"/>
  <c r="P101" i="14" s="1"/>
  <c r="L100" i="14"/>
  <c r="L101" i="14" s="1"/>
  <c r="M98" i="14"/>
  <c r="M97" i="14"/>
  <c r="M96" i="14"/>
  <c r="M95" i="14"/>
  <c r="M94" i="14"/>
  <c r="M93" i="14"/>
  <c r="K100" i="14"/>
  <c r="J98" i="14"/>
  <c r="I100" i="14"/>
  <c r="I101" i="14" s="1"/>
  <c r="J97" i="14"/>
  <c r="J96" i="14"/>
  <c r="J95" i="14"/>
  <c r="J94" i="14"/>
  <c r="J93" i="14"/>
  <c r="H100" i="14"/>
  <c r="H101" i="14" s="1"/>
  <c r="F100" i="14"/>
  <c r="F101" i="14" s="1"/>
  <c r="G98" i="14"/>
  <c r="G97" i="14"/>
  <c r="G96" i="14"/>
  <c r="G95" i="14"/>
  <c r="G94" i="14"/>
  <c r="E100" i="14"/>
  <c r="E101" i="14" s="1"/>
  <c r="G93" i="14"/>
  <c r="D96" i="14"/>
  <c r="D102" i="14" s="1"/>
  <c r="S100" i="14"/>
  <c r="P79" i="14"/>
  <c r="P78" i="14"/>
  <c r="P77" i="14"/>
  <c r="N83" i="14"/>
  <c r="N84" i="14" s="1"/>
  <c r="P84" i="14" s="1"/>
  <c r="P76" i="14"/>
  <c r="L83" i="14"/>
  <c r="L84" i="14" s="1"/>
  <c r="M80" i="14"/>
  <c r="M79" i="14"/>
  <c r="M78" i="14"/>
  <c r="M77" i="14"/>
  <c r="M76" i="14"/>
  <c r="K83" i="14"/>
  <c r="K84" i="14" s="1"/>
  <c r="I83" i="14"/>
  <c r="I84" i="14" s="1"/>
  <c r="J80" i="14"/>
  <c r="J79" i="14"/>
  <c r="J78" i="14"/>
  <c r="J77" i="14"/>
  <c r="J76" i="14"/>
  <c r="H83" i="14"/>
  <c r="F83" i="14"/>
  <c r="F84" i="14" s="1"/>
  <c r="G80" i="14"/>
  <c r="G79" i="14"/>
  <c r="G78" i="14"/>
  <c r="G77" i="14"/>
  <c r="G76" i="14"/>
  <c r="E83" i="14"/>
  <c r="E84" i="14" s="1"/>
  <c r="D80" i="14"/>
  <c r="D79" i="14"/>
  <c r="S84" i="14"/>
  <c r="S83" i="14"/>
  <c r="B83" i="14"/>
  <c r="B84" i="14" s="1"/>
  <c r="B100" i="14"/>
  <c r="K120" i="14"/>
  <c r="M113" i="14"/>
  <c r="J114" i="14"/>
  <c r="G115" i="14"/>
  <c r="I120" i="14"/>
  <c r="I121" i="14" s="1"/>
  <c r="J118" i="14"/>
  <c r="J115" i="14"/>
  <c r="M114" i="14"/>
  <c r="C100" i="14"/>
  <c r="C101" i="14" s="1"/>
  <c r="E120" i="14"/>
  <c r="B120" i="14"/>
  <c r="M115" i="14"/>
  <c r="J116" i="14"/>
  <c r="G117" i="14"/>
  <c r="F120" i="14"/>
  <c r="F121" i="14" s="1"/>
  <c r="G118" i="14"/>
  <c r="G116" i="14"/>
  <c r="C83" i="14"/>
  <c r="C84" i="14" s="1"/>
  <c r="C120" i="14"/>
  <c r="C121" i="14" s="1"/>
  <c r="J113" i="14"/>
  <c r="H120" i="14"/>
  <c r="G114" i="14"/>
  <c r="M116" i="14"/>
  <c r="J117" i="14"/>
  <c r="P121" i="14"/>
  <c r="I21" i="14"/>
  <c r="I22" i="14" s="1"/>
  <c r="I23" i="14" s="1"/>
  <c r="J23" i="14" s="1"/>
  <c r="P120" i="14"/>
  <c r="S120" i="14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A31" i="6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B31" i="6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R172" i="14" l="1"/>
  <c r="Q172" i="14"/>
  <c r="R136" i="14"/>
  <c r="Q136" i="14"/>
  <c r="B86" i="14"/>
  <c r="B104" i="14"/>
  <c r="J101" i="14"/>
  <c r="B103" i="14"/>
  <c r="D120" i="14"/>
  <c r="B121" i="14"/>
  <c r="D121" i="14" s="1"/>
  <c r="G84" i="14"/>
  <c r="B34" i="14"/>
  <c r="P85" i="14"/>
  <c r="P102" i="14"/>
  <c r="P100" i="14"/>
  <c r="M102" i="14"/>
  <c r="M100" i="14"/>
  <c r="K101" i="14"/>
  <c r="M101" i="14" s="1"/>
  <c r="J100" i="14"/>
  <c r="J102" i="14"/>
  <c r="G101" i="14"/>
  <c r="G102" i="14"/>
  <c r="G100" i="14"/>
  <c r="D100" i="14"/>
  <c r="B101" i="14"/>
  <c r="P83" i="14"/>
  <c r="M84" i="14"/>
  <c r="M85" i="14"/>
  <c r="M83" i="14"/>
  <c r="J85" i="14"/>
  <c r="B31" i="14" s="1"/>
  <c r="J83" i="14"/>
  <c r="H84" i="14"/>
  <c r="J84" i="14" s="1"/>
  <c r="G85" i="14"/>
  <c r="B30" i="14" s="1"/>
  <c r="G83" i="14"/>
  <c r="D85" i="14"/>
  <c r="T83" i="14"/>
  <c r="E121" i="14"/>
  <c r="G121" i="14" s="1"/>
  <c r="G120" i="14"/>
  <c r="H18" i="14" s="1"/>
  <c r="T100" i="14"/>
  <c r="H21" i="14"/>
  <c r="D83" i="14"/>
  <c r="D84" i="14"/>
  <c r="H121" i="14"/>
  <c r="J121" i="14" s="1"/>
  <c r="J120" i="14"/>
  <c r="T120" i="14"/>
  <c r="M120" i="14"/>
  <c r="H20" i="14" s="1"/>
  <c r="K121" i="14"/>
  <c r="M121" i="14" s="1"/>
  <c r="J44" i="9"/>
  <c r="J45" i="9"/>
  <c r="J46" i="9"/>
  <c r="J47" i="9"/>
  <c r="I50" i="9"/>
  <c r="I51" i="9" s="1"/>
  <c r="J51" i="9" s="1"/>
  <c r="M45" i="9"/>
  <c r="M46" i="9"/>
  <c r="M47" i="9"/>
  <c r="P43" i="9"/>
  <c r="P44" i="9"/>
  <c r="P45" i="9"/>
  <c r="P46" i="9"/>
  <c r="P47" i="9"/>
  <c r="J61" i="9"/>
  <c r="J62" i="9"/>
  <c r="J63" i="9"/>
  <c r="J64" i="9"/>
  <c r="Z87" i="9"/>
  <c r="H67" i="9"/>
  <c r="H68" i="9" s="1"/>
  <c r="I67" i="9"/>
  <c r="M52" i="9" l="1"/>
  <c r="I19" i="9" s="1"/>
  <c r="D6" i="9" s="1"/>
  <c r="G6" i="9" s="1"/>
  <c r="B32" i="14"/>
  <c r="G22" i="14"/>
  <c r="D22" i="14"/>
  <c r="B28" i="14"/>
  <c r="D19" i="14" s="1"/>
  <c r="G19" i="14" s="1"/>
  <c r="S136" i="14"/>
  <c r="T136" i="14" s="1"/>
  <c r="B29" i="14"/>
  <c r="B33" i="14"/>
  <c r="D21" i="14" s="1"/>
  <c r="G21" i="14" s="1"/>
  <c r="S172" i="14"/>
  <c r="T172" i="14" s="1"/>
  <c r="J52" i="9"/>
  <c r="P52" i="9"/>
  <c r="I20" i="9" s="1"/>
  <c r="F6" i="9"/>
  <c r="H6" i="9" s="1"/>
  <c r="F7" i="9"/>
  <c r="F8" i="9"/>
  <c r="H8" i="9" s="1"/>
  <c r="T84" i="14"/>
  <c r="J69" i="9"/>
  <c r="T121" i="14"/>
  <c r="D101" i="14"/>
  <c r="H19" i="14"/>
  <c r="J22" i="14"/>
  <c r="J50" i="9"/>
  <c r="Z88" i="9"/>
  <c r="Z67" i="9"/>
  <c r="I68" i="9"/>
  <c r="J68" i="9" s="1"/>
  <c r="M50" i="9"/>
  <c r="M51" i="9"/>
  <c r="J67" i="9"/>
  <c r="Z50" i="9"/>
  <c r="I18" i="9" l="1"/>
  <c r="D18" i="14"/>
  <c r="G18" i="14" s="1"/>
  <c r="D17" i="14"/>
  <c r="J21" i="14"/>
  <c r="H7" i="9"/>
  <c r="H5" i="9"/>
  <c r="H11" i="9" s="1"/>
  <c r="I5" i="9"/>
  <c r="K5" i="9" s="1"/>
  <c r="D5" i="9"/>
  <c r="J6" i="9"/>
  <c r="H23" i="14"/>
  <c r="I25" i="14" s="1"/>
  <c r="D20" i="14"/>
  <c r="G20" i="14" s="1"/>
  <c r="J18" i="14"/>
  <c r="J19" i="14"/>
  <c r="T101" i="14"/>
  <c r="I23" i="9"/>
  <c r="D10" i="9" s="1"/>
  <c r="G10" i="9" s="1"/>
  <c r="G17" i="14" l="1"/>
  <c r="E17" i="14"/>
  <c r="E18" i="14" s="1"/>
  <c r="J17" i="14"/>
  <c r="E19" i="14"/>
  <c r="F24" i="14"/>
  <c r="G5" i="9"/>
  <c r="E5" i="9"/>
  <c r="E6" i="9" s="1"/>
  <c r="J5" i="9"/>
  <c r="D9" i="9"/>
  <c r="G9" i="9" s="1"/>
  <c r="I6" i="9"/>
  <c r="I7" i="9" s="1"/>
  <c r="J20" i="14"/>
  <c r="D7" i="9"/>
  <c r="Z68" i="9"/>
  <c r="E20" i="14" l="1"/>
  <c r="E21" i="14"/>
  <c r="E22" i="14" s="1"/>
  <c r="E7" i="9"/>
  <c r="G7" i="9"/>
  <c r="J7" i="9"/>
  <c r="K6" i="9"/>
  <c r="D8" i="9"/>
  <c r="Z51" i="9"/>
  <c r="F25" i="14" l="1"/>
  <c r="G8" i="9"/>
  <c r="F12" i="9" s="1"/>
  <c r="J8" i="9"/>
  <c r="E8" i="9"/>
  <c r="E9" i="9" s="1"/>
  <c r="E10" i="9" s="1"/>
  <c r="G13" i="9" s="1"/>
  <c r="K7" i="9"/>
  <c r="I8" i="9"/>
  <c r="K8" i="9" l="1"/>
  <c r="L9" i="9"/>
  <c r="M10" i="9" s="1"/>
  <c r="I9" i="9"/>
  <c r="Y116" i="9"/>
  <c r="I10" i="9" l="1"/>
  <c r="K9" i="9"/>
  <c r="K10" i="9" l="1"/>
  <c r="I11" i="9"/>
  <c r="Z115" i="9"/>
  <c r="J11" i="9" l="1"/>
</calcChain>
</file>

<file path=xl/sharedStrings.xml><?xml version="1.0" encoding="utf-8"?>
<sst xmlns="http://schemas.openxmlformats.org/spreadsheetml/2006/main" count="1688" uniqueCount="87">
  <si>
    <t>Tabla dinámica de Microsoft Office 10.0</t>
  </si>
  <si>
    <t>ClasComercial</t>
  </si>
  <si>
    <t>ClasProducto</t>
  </si>
  <si>
    <t>UbicacionCliente</t>
  </si>
  <si>
    <t>Producto</t>
  </si>
  <si>
    <t>Cliente</t>
  </si>
  <si>
    <t>Sucursal</t>
  </si>
  <si>
    <t>Vendedor</t>
  </si>
  <si>
    <t>Hidraulica</t>
  </si>
  <si>
    <t>All ClasProducto</t>
  </si>
  <si>
    <t>All UbicacionCliente</t>
  </si>
  <si>
    <t>All Producto</t>
  </si>
  <si>
    <t>All Cliente</t>
  </si>
  <si>
    <t>All Sucursal</t>
  </si>
  <si>
    <t>All Vendedor</t>
  </si>
  <si>
    <t>Year</t>
  </si>
  <si>
    <t>Month</t>
  </si>
  <si>
    <t>Day</t>
  </si>
  <si>
    <t>Marca</t>
  </si>
  <si>
    <t>Valor Neto</t>
  </si>
  <si>
    <t>Margen</t>
  </si>
  <si>
    <t>Mar%</t>
  </si>
  <si>
    <t>Cantidad</t>
  </si>
  <si>
    <t>2017</t>
  </si>
  <si>
    <t>Octubre</t>
  </si>
  <si>
    <t>Noviembre</t>
  </si>
  <si>
    <t>2018</t>
  </si>
  <si>
    <t>2019</t>
  </si>
  <si>
    <t>Etiquetas de columna</t>
  </si>
  <si>
    <t>Total general</t>
  </si>
  <si>
    <t>Suma de Valor Neto</t>
  </si>
  <si>
    <t>Etiquetas de fila</t>
  </si>
  <si>
    <t>semana 1</t>
  </si>
  <si>
    <t>Fin de semana</t>
  </si>
  <si>
    <t>semana 2</t>
  </si>
  <si>
    <t>fin de semana</t>
  </si>
  <si>
    <t xml:space="preserve">Semana 3 </t>
  </si>
  <si>
    <t xml:space="preserve">Semana 4 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</si>
  <si>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</si>
  <si>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</si>
  <si>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</si>
  <si>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</si>
  <si>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</si>
  <si>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</si>
  <si>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</si>
  <si>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>total</t>
  </si>
  <si>
    <t>Semana 5</t>
  </si>
  <si>
    <t>Total</t>
  </si>
  <si>
    <t>Porcentaje semanal</t>
  </si>
  <si>
    <t xml:space="preserve">Porcentaje </t>
  </si>
  <si>
    <t>Peso</t>
  </si>
  <si>
    <t>Meta</t>
  </si>
  <si>
    <t>logrado</t>
  </si>
  <si>
    <t>All Marca</t>
  </si>
  <si>
    <t>Semana 6</t>
  </si>
  <si>
    <t>sumatoria %</t>
  </si>
  <si>
    <t>Diferencia</t>
  </si>
  <si>
    <t>Promedio Dia</t>
  </si>
  <si>
    <t>Promedio fin de semana</t>
  </si>
  <si>
    <t>Promedio ultimo dia</t>
  </si>
  <si>
    <t>Proyeccion</t>
  </si>
  <si>
    <t>promedios de dia</t>
  </si>
  <si>
    <t>ultimo dia</t>
  </si>
  <si>
    <t>Ultimo dia</t>
  </si>
  <si>
    <t>fines de semana</t>
  </si>
  <si>
    <t>Dias</t>
  </si>
  <si>
    <t>Logrado</t>
  </si>
  <si>
    <t>Requerido</t>
  </si>
  <si>
    <t>Pronostico al dia</t>
  </si>
  <si>
    <t>Sumatoria %</t>
  </si>
  <si>
    <t>Meta 2017</t>
  </si>
  <si>
    <t>Meta 2019</t>
  </si>
  <si>
    <t>Falta</t>
  </si>
  <si>
    <t>Penultimo</t>
  </si>
  <si>
    <t>Suma de Margen</t>
  </si>
  <si>
    <t>Pronostico al ultimo dia</t>
  </si>
  <si>
    <t>A lograr</t>
  </si>
  <si>
    <t>Costo Promedio</t>
  </si>
  <si>
    <t>Agosto</t>
  </si>
  <si>
    <t>Septiembre</t>
  </si>
  <si>
    <t>2019- Agosto</t>
  </si>
  <si>
    <t>2019- Septiembre</t>
  </si>
  <si>
    <t>sumat: ultimo día 2017, 2018+ agost y sept (del 2019</t>
  </si>
  <si>
    <t xml:space="preserve"> A lograr </t>
  </si>
  <si>
    <t>Diciembre</t>
  </si>
  <si>
    <t>margen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</si>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</sst>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 ;_ * \-#,##0_ ;_ * &quot;-&quot;_ ;_ @_ "/>
    <numFmt numFmtId="43" formatCode="_ * #,##0.00_ ;_ * \-#,##0.00_ ;_ * &quot;-&quot;??_ ;_ @_ "/>
    <numFmt numFmtId="164" formatCode="&quot;$&quot;#,##0"/>
    <numFmt numFmtId="165" formatCode="[$$-340A]\ #,##0;[Red]\-[$$-340A]\ #,##0"/>
    <numFmt numFmtId="166" formatCode="[$$-340A]\ #,##0.00;[Red]\-[$$-340A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/>
    <xf numFmtId="0" fontId="0" fillId="0" borderId="0" xfId="0" applyNumberFormat="1"/>
    <xf numFmtId="41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9" fontId="0" fillId="0" borderId="1" xfId="2" applyFont="1" applyBorder="1"/>
    <xf numFmtId="0" fontId="0" fillId="0" borderId="0" xfId="0" applyFill="1" applyBorder="1" applyAlignment="1">
      <alignment wrapText="1"/>
    </xf>
    <xf numFmtId="10" fontId="0" fillId="0" borderId="1" xfId="2" applyNumberFormat="1" applyFont="1" applyBorder="1"/>
    <xf numFmtId="0" fontId="0" fillId="0" borderId="1" xfId="2" applyNumberFormat="1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0" borderId="1" xfId="0" applyFont="1" applyBorder="1"/>
    <xf numFmtId="10" fontId="0" fillId="0" borderId="1" xfId="0" applyNumberFormat="1" applyBorder="1"/>
    <xf numFmtId="10" fontId="0" fillId="9" borderId="6" xfId="0" applyNumberFormat="1" applyFill="1" applyBorder="1"/>
    <xf numFmtId="0" fontId="3" fillId="8" borderId="1" xfId="0" applyFont="1" applyFill="1" applyBorder="1"/>
    <xf numFmtId="0" fontId="3" fillId="6" borderId="1" xfId="0" applyFont="1" applyFill="1" applyBorder="1"/>
    <xf numFmtId="41" fontId="0" fillId="4" borderId="6" xfId="0" applyNumberFormat="1" applyFill="1" applyBorder="1"/>
    <xf numFmtId="10" fontId="5" fillId="10" borderId="1" xfId="2" applyNumberFormat="1" applyFont="1" applyFill="1" applyBorder="1"/>
    <xf numFmtId="41" fontId="7" fillId="0" borderId="1" xfId="0" applyNumberFormat="1" applyFont="1" applyFill="1" applyBorder="1"/>
    <xf numFmtId="0" fontId="6" fillId="0" borderId="0" xfId="0" applyFont="1"/>
    <xf numFmtId="41" fontId="2" fillId="6" borderId="1" xfId="2" applyNumberFormat="1" applyFont="1" applyFill="1" applyBorder="1"/>
    <xf numFmtId="10" fontId="2" fillId="6" borderId="1" xfId="2" applyNumberFormat="1" applyFont="1" applyFill="1" applyBorder="1"/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10" fontId="2" fillId="10" borderId="1" xfId="0" applyNumberFormat="1" applyFont="1" applyFill="1" applyBorder="1"/>
    <xf numFmtId="41" fontId="3" fillId="8" borderId="4" xfId="1" applyFont="1" applyFill="1" applyBorder="1"/>
    <xf numFmtId="41" fontId="3" fillId="8" borderId="8" xfId="1" applyFont="1" applyFill="1" applyBorder="1"/>
    <xf numFmtId="0" fontId="3" fillId="5" borderId="3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10" fontId="0" fillId="0" borderId="0" xfId="2" applyNumberFormat="1" applyFont="1" applyBorder="1"/>
    <xf numFmtId="10" fontId="2" fillId="6" borderId="0" xfId="2" applyNumberFormat="1" applyFont="1" applyFill="1" applyBorder="1"/>
    <xf numFmtId="9" fontId="0" fillId="0" borderId="0" xfId="2" applyFont="1" applyBorder="1"/>
    <xf numFmtId="10" fontId="3" fillId="10" borderId="1" xfId="2" applyNumberFormat="1" applyFont="1" applyFill="1" applyBorder="1"/>
    <xf numFmtId="10" fontId="3" fillId="10" borderId="1" xfId="0" applyNumberFormat="1" applyFont="1" applyFill="1" applyBorder="1"/>
    <xf numFmtId="41" fontId="3" fillId="8" borderId="1" xfId="1" applyFont="1" applyFill="1" applyBorder="1"/>
    <xf numFmtId="10" fontId="3" fillId="6" borderId="1" xfId="2" applyNumberFormat="1" applyFont="1" applyFill="1" applyBorder="1"/>
    <xf numFmtId="0" fontId="3" fillId="6" borderId="3" xfId="0" applyFont="1" applyFill="1" applyBorder="1"/>
    <xf numFmtId="0" fontId="3" fillId="2" borderId="1" xfId="0" applyFont="1" applyFill="1" applyBorder="1"/>
    <xf numFmtId="43" fontId="3" fillId="0" borderId="3" xfId="0" applyNumberFormat="1" applyFont="1" applyFill="1" applyBorder="1"/>
    <xf numFmtId="3" fontId="3" fillId="5" borderId="1" xfId="0" applyNumberFormat="1" applyFont="1" applyFill="1" applyBorder="1"/>
    <xf numFmtId="43" fontId="3" fillId="6" borderId="1" xfId="0" applyNumberFormat="1" applyFont="1" applyFill="1" applyBorder="1"/>
    <xf numFmtId="10" fontId="2" fillId="10" borderId="3" xfId="0" applyNumberFormat="1" applyFont="1" applyFill="1" applyBorder="1"/>
    <xf numFmtId="0" fontId="3" fillId="0" borderId="11" xfId="0" applyFont="1" applyBorder="1"/>
    <xf numFmtId="0" fontId="3" fillId="6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10" fontId="3" fillId="6" borderId="0" xfId="0" applyNumberFormat="1" applyFont="1" applyFill="1" applyBorder="1"/>
    <xf numFmtId="10" fontId="3" fillId="0" borderId="16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9" xfId="0" applyBorder="1"/>
    <xf numFmtId="0" fontId="3" fillId="6" borderId="14" xfId="0" applyFont="1" applyFill="1" applyBorder="1"/>
    <xf numFmtId="0" fontId="3" fillId="4" borderId="0" xfId="0" applyFont="1" applyFill="1"/>
    <xf numFmtId="41" fontId="3" fillId="8" borderId="6" xfId="1" applyFont="1" applyFill="1" applyBorder="1"/>
    <xf numFmtId="0" fontId="3" fillId="9" borderId="5" xfId="0" applyFont="1" applyFill="1" applyBorder="1"/>
    <xf numFmtId="0" fontId="0" fillId="0" borderId="9" xfId="0" applyBorder="1"/>
    <xf numFmtId="0" fontId="4" fillId="6" borderId="20" xfId="0" applyFont="1" applyFill="1" applyBorder="1"/>
    <xf numFmtId="0" fontId="6" fillId="8" borderId="6" xfId="0" applyFont="1" applyFill="1" applyBorder="1"/>
    <xf numFmtId="10" fontId="4" fillId="6" borderId="21" xfId="0" applyNumberFormat="1" applyFont="1" applyFill="1" applyBorder="1"/>
    <xf numFmtId="10" fontId="2" fillId="10" borderId="5" xfId="0" applyNumberFormat="1" applyFont="1" applyFill="1" applyBorder="1"/>
    <xf numFmtId="10" fontId="2" fillId="10" borderId="22" xfId="0" applyNumberFormat="1" applyFont="1" applyFill="1" applyBorder="1"/>
    <xf numFmtId="0" fontId="2" fillId="10" borderId="23" xfId="0" applyFont="1" applyFill="1" applyBorder="1"/>
    <xf numFmtId="41" fontId="3" fillId="8" borderId="0" xfId="1" applyFont="1" applyFill="1" applyBorder="1"/>
    <xf numFmtId="10" fontId="2" fillId="12" borderId="1" xfId="0" applyNumberFormat="1" applyFont="1" applyFill="1" applyBorder="1"/>
    <xf numFmtId="0" fontId="2" fillId="10" borderId="24" xfId="0" applyFont="1" applyFill="1" applyBorder="1"/>
    <xf numFmtId="10" fontId="2" fillId="12" borderId="5" xfId="0" applyNumberFormat="1" applyFont="1" applyFill="1" applyBorder="1"/>
    <xf numFmtId="0" fontId="2" fillId="10" borderId="9" xfId="0" applyFont="1" applyFill="1" applyBorder="1"/>
    <xf numFmtId="0" fontId="3" fillId="0" borderId="25" xfId="0" applyFont="1" applyBorder="1"/>
    <xf numFmtId="10" fontId="0" fillId="9" borderId="8" xfId="0" applyNumberFormat="1" applyFill="1" applyBorder="1"/>
    <xf numFmtId="0" fontId="0" fillId="13" borderId="26" xfId="0" applyFill="1" applyBorder="1"/>
    <xf numFmtId="0" fontId="3" fillId="13" borderId="27" xfId="0" applyFont="1" applyFill="1" applyBorder="1"/>
    <xf numFmtId="43" fontId="3" fillId="13" borderId="13" xfId="0" applyNumberFormat="1" applyFont="1" applyFill="1" applyBorder="1"/>
    <xf numFmtId="10" fontId="2" fillId="13" borderId="19" xfId="2" applyNumberFormat="1" applyFont="1" applyFill="1" applyBorder="1"/>
    <xf numFmtId="0" fontId="4" fillId="4" borderId="28" xfId="0" applyFont="1" applyFill="1" applyBorder="1"/>
    <xf numFmtId="43" fontId="4" fillId="4" borderId="24" xfId="0" applyNumberFormat="1" applyFont="1" applyFill="1" applyBorder="1"/>
    <xf numFmtId="10" fontId="4" fillId="4" borderId="9" xfId="2" applyNumberFormat="1" applyFont="1" applyFill="1" applyBorder="1"/>
    <xf numFmtId="10" fontId="0" fillId="0" borderId="2" xfId="2" applyNumberFormat="1" applyFont="1" applyBorder="1"/>
    <xf numFmtId="0" fontId="3" fillId="5" borderId="9" xfId="0" applyFont="1" applyFill="1" applyBorder="1" applyAlignment="1">
      <alignment wrapText="1"/>
    </xf>
    <xf numFmtId="0" fontId="3" fillId="6" borderId="5" xfId="0" applyFont="1" applyFill="1" applyBorder="1"/>
    <xf numFmtId="10" fontId="3" fillId="3" borderId="5" xfId="0" applyNumberFormat="1" applyFont="1" applyFill="1" applyBorder="1"/>
    <xf numFmtId="0" fontId="3" fillId="5" borderId="4" xfId="0" applyFont="1" applyFill="1" applyBorder="1"/>
    <xf numFmtId="41" fontId="3" fillId="5" borderId="1" xfId="1" applyFont="1" applyFill="1" applyBorder="1"/>
    <xf numFmtId="10" fontId="4" fillId="13" borderId="19" xfId="2" applyNumberFormat="1" applyFont="1" applyFill="1" applyBorder="1"/>
    <xf numFmtId="0" fontId="0" fillId="0" borderId="24" xfId="0" applyBorder="1"/>
    <xf numFmtId="0" fontId="3" fillId="9" borderId="7" xfId="0" applyFont="1" applyFill="1" applyBorder="1"/>
    <xf numFmtId="0" fontId="0" fillId="0" borderId="29" xfId="0" applyBorder="1"/>
    <xf numFmtId="0" fontId="0" fillId="0" borderId="16" xfId="0" applyBorder="1"/>
    <xf numFmtId="0" fontId="2" fillId="10" borderId="31" xfId="0" applyFont="1" applyFill="1" applyBorder="1"/>
    <xf numFmtId="10" fontId="2" fillId="10" borderId="32" xfId="0" applyNumberFormat="1" applyFont="1" applyFill="1" applyBorder="1"/>
    <xf numFmtId="0" fontId="0" fillId="0" borderId="11" xfId="0" applyBorder="1"/>
    <xf numFmtId="0" fontId="0" fillId="0" borderId="18" xfId="0" applyBorder="1"/>
    <xf numFmtId="0" fontId="3" fillId="2" borderId="16" xfId="0" applyFont="1" applyFill="1" applyBorder="1"/>
    <xf numFmtId="9" fontId="3" fillId="7" borderId="9" xfId="0" applyNumberFormat="1" applyFont="1" applyFill="1" applyBorder="1"/>
    <xf numFmtId="10" fontId="4" fillId="11" borderId="1" xfId="0" applyNumberFormat="1" applyFont="1" applyFill="1" applyBorder="1"/>
    <xf numFmtId="10" fontId="4" fillId="11" borderId="30" xfId="0" applyNumberFormat="1" applyFont="1" applyFill="1" applyBorder="1"/>
    <xf numFmtId="10" fontId="2" fillId="11" borderId="14" xfId="0" applyNumberFormat="1" applyFont="1" applyFill="1" applyBorder="1"/>
    <xf numFmtId="10" fontId="2" fillId="11" borderId="17" xfId="0" applyNumberFormat="1" applyFont="1" applyFill="1" applyBorder="1"/>
    <xf numFmtId="0" fontId="3" fillId="2" borderId="10" xfId="0" applyFont="1" applyFill="1" applyBorder="1"/>
    <xf numFmtId="41" fontId="0" fillId="0" borderId="2" xfId="1" applyFont="1" applyBorder="1"/>
    <xf numFmtId="164" fontId="0" fillId="0" borderId="1" xfId="0" applyNumberFormat="1" applyBorder="1"/>
    <xf numFmtId="0" fontId="3" fillId="5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41" fontId="2" fillId="10" borderId="22" xfId="0" applyNumberFormat="1" applyFont="1" applyFill="1" applyBorder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wrapText="1"/>
    </xf>
    <xf numFmtId="43" fontId="3" fillId="13" borderId="12" xfId="0" applyNumberFormat="1" applyFont="1" applyFill="1" applyBorder="1"/>
    <xf numFmtId="10" fontId="4" fillId="13" borderId="33" xfId="2" applyNumberFormat="1" applyFont="1" applyFill="1" applyBorder="1"/>
    <xf numFmtId="41" fontId="0" fillId="4" borderId="8" xfId="0" applyNumberFormat="1" applyFill="1" applyBorder="1"/>
    <xf numFmtId="10" fontId="5" fillId="10" borderId="4" xfId="2" applyNumberFormat="1" applyFont="1" applyFill="1" applyBorder="1"/>
    <xf numFmtId="10" fontId="2" fillId="10" borderId="11" xfId="0" applyNumberFormat="1" applyFont="1" applyFill="1" applyBorder="1"/>
    <xf numFmtId="43" fontId="4" fillId="4" borderId="18" xfId="0" applyNumberFormat="1" applyFont="1" applyFill="1" applyBorder="1"/>
    <xf numFmtId="10" fontId="4" fillId="4" borderId="30" xfId="2" applyNumberFormat="1" applyFont="1" applyFill="1" applyBorder="1"/>
    <xf numFmtId="0" fontId="4" fillId="10" borderId="23" xfId="0" applyFont="1" applyFill="1" applyBorder="1"/>
    <xf numFmtId="0" fontId="4" fillId="10" borderId="9" xfId="0" applyFont="1" applyFill="1" applyBorder="1"/>
    <xf numFmtId="0" fontId="4" fillId="10" borderId="24" xfId="0" applyFont="1" applyFill="1" applyBorder="1"/>
    <xf numFmtId="0" fontId="3" fillId="6" borderId="4" xfId="0" applyFont="1" applyFill="1" applyBorder="1"/>
    <xf numFmtId="41" fontId="3" fillId="5" borderId="4" xfId="1" applyFont="1" applyFill="1" applyBorder="1"/>
    <xf numFmtId="0" fontId="3" fillId="9" borderId="35" xfId="0" applyFont="1" applyFill="1" applyBorder="1"/>
    <xf numFmtId="0" fontId="3" fillId="6" borderId="36" xfId="0" applyFont="1" applyFill="1" applyBorder="1"/>
    <xf numFmtId="10" fontId="3" fillId="6" borderId="5" xfId="2" applyNumberFormat="1" applyFont="1" applyFill="1" applyBorder="1"/>
    <xf numFmtId="10" fontId="0" fillId="9" borderId="32" xfId="0" applyNumberFormat="1" applyFill="1" applyBorder="1"/>
    <xf numFmtId="43" fontId="3" fillId="6" borderId="5" xfId="0" applyNumberFormat="1" applyFont="1" applyFill="1" applyBorder="1"/>
    <xf numFmtId="0" fontId="3" fillId="6" borderId="23" xfId="0" applyFont="1" applyFill="1" applyBorder="1"/>
    <xf numFmtId="0" fontId="3" fillId="6" borderId="37" xfId="0" applyFont="1" applyFill="1" applyBorder="1"/>
    <xf numFmtId="0" fontId="3" fillId="8" borderId="37" xfId="0" applyFont="1" applyFill="1" applyBorder="1"/>
    <xf numFmtId="0" fontId="3" fillId="9" borderId="37" xfId="0" applyFont="1" applyFill="1" applyBorder="1"/>
    <xf numFmtId="0" fontId="6" fillId="8" borderId="38" xfId="0" applyFont="1" applyFill="1" applyBorder="1"/>
    <xf numFmtId="0" fontId="0" fillId="0" borderId="26" xfId="0" applyBorder="1"/>
    <xf numFmtId="0" fontId="0" fillId="0" borderId="33" xfId="0" applyBorder="1"/>
    <xf numFmtId="41" fontId="6" fillId="0" borderId="5" xfId="0" applyNumberFormat="1" applyFont="1" applyFill="1" applyBorder="1"/>
    <xf numFmtId="41" fontId="6" fillId="0" borderId="1" xfId="0" applyNumberFormat="1" applyFont="1" applyFill="1" applyBorder="1"/>
    <xf numFmtId="165" fontId="8" fillId="6" borderId="0" xfId="0" applyNumberFormat="1" applyFont="1" applyFill="1" applyBorder="1" applyAlignment="1">
      <alignment horizontal="right" vertical="center"/>
    </xf>
    <xf numFmtId="164" fontId="0" fillId="0" borderId="1" xfId="1" applyNumberFormat="1" applyFont="1" applyBorder="1"/>
    <xf numFmtId="164" fontId="2" fillId="6" borderId="1" xfId="2" applyNumberFormat="1" applyFont="1" applyFill="1" applyBorder="1"/>
    <xf numFmtId="165" fontId="9" fillId="6" borderId="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/>
    <xf numFmtId="166" fontId="12" fillId="0" borderId="0" xfId="0" applyNumberFormat="1" applyFont="1" applyAlignment="1">
      <alignment vertical="top"/>
    </xf>
    <xf numFmtId="10" fontId="12" fillId="0" borderId="0" xfId="0" applyNumberFormat="1" applyFont="1" applyAlignment="1">
      <alignment vertical="top"/>
    </xf>
    <xf numFmtId="4" fontId="1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/>
    <xf numFmtId="0" fontId="11" fillId="0" borderId="0" xfId="0" applyFont="1" applyAlignment="1">
      <alignment vertical="top"/>
    </xf>
    <xf numFmtId="41" fontId="11" fillId="0" borderId="0" xfId="1" applyFont="1" applyAlignment="1">
      <alignment horizontal="left" vertical="top"/>
    </xf>
    <xf numFmtId="0" fontId="3" fillId="6" borderId="34" xfId="0" applyFont="1" applyFill="1" applyBorder="1" applyAlignment="1">
      <alignment horizontal="center" wrapText="1"/>
    </xf>
    <xf numFmtId="41" fontId="0" fillId="0" borderId="0" xfId="0" applyNumberFormat="1" applyAlignment="1">
      <alignment horizontal="left"/>
    </xf>
    <xf numFmtId="0" fontId="3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4" fontId="0" fillId="0" borderId="0" xfId="0" applyNumberFormat="1"/>
    <xf numFmtId="0" fontId="12" fillId="0" borderId="0" xfId="0" applyFont="1" applyAlignment="1"/>
    <xf numFmtId="0" fontId="10" fillId="0" borderId="0" xfId="0" applyFont="1" applyAlignment="1">
      <alignment horizontal="left" vertical="top"/>
    </xf>
    <xf numFmtId="0" fontId="12" fillId="0" borderId="0" xfId="0" applyNumberFormat="1" applyFont="1" applyAlignment="1">
      <alignment vertical="top"/>
    </xf>
    <xf numFmtId="41" fontId="0" fillId="0" borderId="0" xfId="0" applyNumberFormat="1"/>
    <xf numFmtId="41" fontId="1" fillId="0" borderId="1" xfId="1" applyFont="1" applyBorder="1"/>
    <xf numFmtId="0" fontId="6" fillId="8" borderId="1" xfId="0" applyFont="1" applyFill="1" applyBorder="1"/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wrapText="1"/>
    </xf>
    <xf numFmtId="17" fontId="3" fillId="5" borderId="1" xfId="0" applyNumberFormat="1" applyFont="1" applyFill="1" applyBorder="1"/>
    <xf numFmtId="0" fontId="3" fillId="5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10" fillId="0" borderId="0" xfId="0" applyFont="1" applyAlignment="1">
      <alignment vertical="top"/>
    </xf>
    <xf numFmtId="0" fontId="12" fillId="0" borderId="0" xfId="0" applyFont="1"/>
    <xf numFmtId="0" fontId="3" fillId="6" borderId="34" xfId="0" applyFont="1" applyFill="1" applyBorder="1" applyAlignment="1">
      <alignment horizontal="center" wrapText="1"/>
    </xf>
    <xf numFmtId="0" fontId="3" fillId="9" borderId="24" xfId="0" applyFont="1" applyFill="1" applyBorder="1"/>
    <xf numFmtId="0" fontId="3" fillId="9" borderId="39" xfId="0" applyFont="1" applyFill="1" applyBorder="1"/>
    <xf numFmtId="10" fontId="0" fillId="9" borderId="40" xfId="0" applyNumberFormat="1" applyFill="1" applyBorder="1"/>
    <xf numFmtId="10" fontId="0" fillId="9" borderId="41" xfId="0" applyNumberFormat="1" applyFill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13" borderId="45" xfId="0" applyFont="1" applyFill="1" applyBorder="1"/>
    <xf numFmtId="0" fontId="3" fillId="0" borderId="13" xfId="0" applyFont="1" applyBorder="1"/>
    <xf numFmtId="41" fontId="3" fillId="8" borderId="15" xfId="1" applyFont="1" applyFill="1" applyBorder="1"/>
    <xf numFmtId="10" fontId="2" fillId="10" borderId="16" xfId="0" applyNumberFormat="1" applyFont="1" applyFill="1" applyBorder="1"/>
    <xf numFmtId="0" fontId="3" fillId="6" borderId="17" xfId="0" applyFont="1" applyFill="1" applyBorder="1"/>
    <xf numFmtId="0" fontId="3" fillId="6" borderId="43" xfId="0" applyFont="1" applyFill="1" applyBorder="1"/>
    <xf numFmtId="10" fontId="3" fillId="6" borderId="33" xfId="0" applyNumberFormat="1" applyFont="1" applyFill="1" applyBorder="1"/>
    <xf numFmtId="10" fontId="3" fillId="6" borderId="19" xfId="0" applyNumberFormat="1" applyFont="1" applyFill="1" applyBorder="1"/>
    <xf numFmtId="41" fontId="2" fillId="8" borderId="1" xfId="2" applyNumberFormat="1" applyFont="1" applyFill="1" applyBorder="1"/>
    <xf numFmtId="10" fontId="2" fillId="8" borderId="1" xfId="2" applyNumberFormat="1" applyFont="1" applyFill="1" applyBorder="1"/>
    <xf numFmtId="41" fontId="2" fillId="5" borderId="1" xfId="2" applyNumberFormat="1" applyFont="1" applyFill="1" applyBorder="1"/>
    <xf numFmtId="10" fontId="2" fillId="5" borderId="1" xfId="2" applyNumberFormat="1" applyFont="1" applyFill="1" applyBorder="1"/>
    <xf numFmtId="2" fontId="0" fillId="0" borderId="1" xfId="0" applyNumberFormat="1" applyBorder="1"/>
    <xf numFmtId="10" fontId="7" fillId="0" borderId="1" xfId="0" applyNumberFormat="1" applyFont="1" applyFill="1" applyBorder="1"/>
    <xf numFmtId="0" fontId="0" fillId="0" borderId="0" xfId="0" applyFill="1"/>
    <xf numFmtId="0" fontId="3" fillId="0" borderId="0" xfId="0" applyFont="1" applyFill="1"/>
    <xf numFmtId="0" fontId="3" fillId="5" borderId="0" xfId="0" applyFont="1" applyFill="1"/>
    <xf numFmtId="41" fontId="0" fillId="0" borderId="0" xfId="0" pivotButton="1" applyNumberForma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0" borderId="2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wrapText="1"/>
    </xf>
    <xf numFmtId="0" fontId="10" fillId="0" borderId="0" xfId="0" applyFont="1" applyAlignment="1">
      <alignment vertical="top"/>
    </xf>
    <xf numFmtId="0" fontId="12" fillId="0" borderId="0" xfId="0" applyFont="1"/>
    <xf numFmtId="0" fontId="3" fillId="6" borderId="34" xfId="0" applyFont="1" applyFill="1" applyBorder="1" applyAlignment="1">
      <alignment horizontal="center" wrapText="1"/>
    </xf>
  </cellXfs>
  <cellStyles count="3">
    <cellStyle name="Millares [0]" xfId="1" builtinId="6"/>
    <cellStyle name="Normal" xfId="0" builtinId="0"/>
    <cellStyle name="Porcentaje" xfId="2" builtinId="5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33" formatCode="_ * #,##0_ ;_ * \-#,##0_ ;_ * &quot;-&quot;_ ;_ @_ "/>
    </dxf>
    <dxf>
      <numFmt numFmtId="33" formatCode="_ * #,##0_ ;_ * \-#,##0_ ;_ * &quot;-&quot;_ ;_ @_ "/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$-340A]\ #,##0.00;[Red]\-[$$-340A]\ 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microsoft.com/office/2007/relationships/slicerCache" Target="slicerCaches/slicerCache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microsoft.com/office/2007/relationships/slicerCache" Target="slicerCaches/slicerCache4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[Proyecciones octubre noviembre.xlsx]Hoja8!Tabla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Hoja8!$B$3:$B$4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Hoja8!$A$5:$A$35</c:f>
              <c:strCache>
                <c:ptCount val="30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6 </c:v>
                </c:pt>
                <c:pt idx="6">
                  <c:v> 7 </c:v>
                </c:pt>
                <c:pt idx="7">
                  <c:v> 8 </c:v>
                </c:pt>
                <c:pt idx="8">
                  <c:v> 9 </c:v>
                </c:pt>
                <c:pt idx="9">
                  <c:v> 10 </c:v>
                </c:pt>
                <c:pt idx="10">
                  <c:v> 11 </c:v>
                </c:pt>
                <c:pt idx="11">
                  <c:v> 12 </c:v>
                </c:pt>
                <c:pt idx="12">
                  <c:v> 13 </c:v>
                </c:pt>
                <c:pt idx="13">
                  <c:v> 14 </c:v>
                </c:pt>
                <c:pt idx="14">
                  <c:v> 15 </c:v>
                </c:pt>
                <c:pt idx="15">
                  <c:v> 16 </c:v>
                </c:pt>
                <c:pt idx="16">
                  <c:v> 17 </c:v>
                </c:pt>
                <c:pt idx="17">
                  <c:v> 19 </c:v>
                </c:pt>
                <c:pt idx="18">
                  <c:v> 20 </c:v>
                </c:pt>
                <c:pt idx="19">
                  <c:v> 21 </c:v>
                </c:pt>
                <c:pt idx="20">
                  <c:v> 22 </c:v>
                </c:pt>
                <c:pt idx="21">
                  <c:v> 23 </c:v>
                </c:pt>
                <c:pt idx="22">
                  <c:v> 24 </c:v>
                </c:pt>
                <c:pt idx="23">
                  <c:v> 25 </c:v>
                </c:pt>
                <c:pt idx="24">
                  <c:v> 26 </c:v>
                </c:pt>
                <c:pt idx="25">
                  <c:v> 27 </c:v>
                </c:pt>
                <c:pt idx="26">
                  <c:v> 28 </c:v>
                </c:pt>
                <c:pt idx="27">
                  <c:v> 29 </c:v>
                </c:pt>
                <c:pt idx="28">
                  <c:v> 30 </c:v>
                </c:pt>
                <c:pt idx="29">
                  <c:v> 31 </c:v>
                </c:pt>
              </c:strCache>
            </c:strRef>
          </c:cat>
          <c:val>
            <c:numRef>
              <c:f>Hoja8!$B$5:$B$35</c:f>
              <c:numCache>
                <c:formatCode>General</c:formatCode>
                <c:ptCount val="30"/>
                <c:pt idx="0">
                  <c:v>7361068.5938999997</c:v>
                </c:pt>
                <c:pt idx="1">
                  <c:v>18371772.540100001</c:v>
                </c:pt>
                <c:pt idx="2">
                  <c:v>1012347.4528</c:v>
                </c:pt>
                <c:pt idx="4">
                  <c:v>13396878.318399999</c:v>
                </c:pt>
                <c:pt idx="5">
                  <c:v>13554910.7051</c:v>
                </c:pt>
                <c:pt idx="6">
                  <c:v>28886104.2995</c:v>
                </c:pt>
                <c:pt idx="7">
                  <c:v>12316883.320800001</c:v>
                </c:pt>
                <c:pt idx="8">
                  <c:v>17005265.7172</c:v>
                </c:pt>
                <c:pt idx="9">
                  <c:v>2853945.9158000001</c:v>
                </c:pt>
                <c:pt idx="11">
                  <c:v>23124136.27</c:v>
                </c:pt>
                <c:pt idx="12">
                  <c:v>16042970.5307</c:v>
                </c:pt>
                <c:pt idx="13">
                  <c:v>22264055.363400001</c:v>
                </c:pt>
                <c:pt idx="14">
                  <c:v>3978713.0395</c:v>
                </c:pt>
                <c:pt idx="15">
                  <c:v>15892122.2688</c:v>
                </c:pt>
                <c:pt idx="16">
                  <c:v>2012759.8117</c:v>
                </c:pt>
                <c:pt idx="17">
                  <c:v>14143508.686100001</c:v>
                </c:pt>
                <c:pt idx="18">
                  <c:v>17575997.904899999</c:v>
                </c:pt>
                <c:pt idx="19">
                  <c:v>20802372.248199999</c:v>
                </c:pt>
                <c:pt idx="20">
                  <c:v>20648562.776999999</c:v>
                </c:pt>
                <c:pt idx="21">
                  <c:v>18560891.699099999</c:v>
                </c:pt>
                <c:pt idx="22">
                  <c:v>5676001.1677000001</c:v>
                </c:pt>
                <c:pt idx="24">
                  <c:v>19562924.886799999</c:v>
                </c:pt>
                <c:pt idx="25">
                  <c:v>17792256.758499999</c:v>
                </c:pt>
                <c:pt idx="26">
                  <c:v>28966192.047800001</c:v>
                </c:pt>
                <c:pt idx="27">
                  <c:v>22580362.7282</c:v>
                </c:pt>
                <c:pt idx="28">
                  <c:v>40514184.584100001</c:v>
                </c:pt>
                <c:pt idx="29">
                  <c:v>710136.23930000002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1-4DA1-A43B-8CCC65804D69}"/>
            </c:ext>
          </c:extLst>
        </c:ser>
        <c:ser>
          <c:idx val="1"/>
          <c:order val="1"/>
          <c:tx>
            <c:strRef>
              <c:f>Hoja8!$C$3:$C$4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Hoja8!$A$5:$A$35</c:f>
              <c:strCache>
                <c:ptCount val="30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6 </c:v>
                </c:pt>
                <c:pt idx="6">
                  <c:v> 7 </c:v>
                </c:pt>
                <c:pt idx="7">
                  <c:v> 8 </c:v>
                </c:pt>
                <c:pt idx="8">
                  <c:v> 9 </c:v>
                </c:pt>
                <c:pt idx="9">
                  <c:v> 10 </c:v>
                </c:pt>
                <c:pt idx="10">
                  <c:v> 11 </c:v>
                </c:pt>
                <c:pt idx="11">
                  <c:v> 12 </c:v>
                </c:pt>
                <c:pt idx="12">
                  <c:v> 13 </c:v>
                </c:pt>
                <c:pt idx="13">
                  <c:v> 14 </c:v>
                </c:pt>
                <c:pt idx="14">
                  <c:v> 15 </c:v>
                </c:pt>
                <c:pt idx="15">
                  <c:v> 16 </c:v>
                </c:pt>
                <c:pt idx="16">
                  <c:v> 17 </c:v>
                </c:pt>
                <c:pt idx="17">
                  <c:v> 19 </c:v>
                </c:pt>
                <c:pt idx="18">
                  <c:v> 20 </c:v>
                </c:pt>
                <c:pt idx="19">
                  <c:v> 21 </c:v>
                </c:pt>
                <c:pt idx="20">
                  <c:v> 22 </c:v>
                </c:pt>
                <c:pt idx="21">
                  <c:v> 23 </c:v>
                </c:pt>
                <c:pt idx="22">
                  <c:v> 24 </c:v>
                </c:pt>
                <c:pt idx="23">
                  <c:v> 25 </c:v>
                </c:pt>
                <c:pt idx="24">
                  <c:v> 26 </c:v>
                </c:pt>
                <c:pt idx="25">
                  <c:v> 27 </c:v>
                </c:pt>
                <c:pt idx="26">
                  <c:v> 28 </c:v>
                </c:pt>
                <c:pt idx="27">
                  <c:v> 29 </c:v>
                </c:pt>
                <c:pt idx="28">
                  <c:v> 30 </c:v>
                </c:pt>
                <c:pt idx="29">
                  <c:v> 31 </c:v>
                </c:pt>
              </c:strCache>
            </c:strRef>
          </c:cat>
          <c:val>
            <c:numRef>
              <c:f>Hoja8!$C$5:$C$35</c:f>
              <c:numCache>
                <c:formatCode>General</c:formatCode>
                <c:ptCount val="30"/>
                <c:pt idx="1">
                  <c:v>8287509.0689000003</c:v>
                </c:pt>
                <c:pt idx="2">
                  <c:v>18979502.990699999</c:v>
                </c:pt>
                <c:pt idx="3">
                  <c:v>23470865.778299998</c:v>
                </c:pt>
                <c:pt idx="4">
                  <c:v>23004120.541200001</c:v>
                </c:pt>
                <c:pt idx="5">
                  <c:v>16922199.014899999</c:v>
                </c:pt>
                <c:pt idx="6">
                  <c:v>1256896.5499</c:v>
                </c:pt>
                <c:pt idx="8">
                  <c:v>14086808.649900001</c:v>
                </c:pt>
                <c:pt idx="9">
                  <c:v>27737928.7733</c:v>
                </c:pt>
                <c:pt idx="10">
                  <c:v>29681348.749699999</c:v>
                </c:pt>
                <c:pt idx="11">
                  <c:v>18491637.784600001</c:v>
                </c:pt>
                <c:pt idx="12">
                  <c:v>23522435.9921</c:v>
                </c:pt>
                <c:pt idx="13">
                  <c:v>2305541.1028999998</c:v>
                </c:pt>
                <c:pt idx="15">
                  <c:v>12531383.2535</c:v>
                </c:pt>
                <c:pt idx="16">
                  <c:v>6045133.5570999999</c:v>
                </c:pt>
                <c:pt idx="21">
                  <c:v>25489417.118299998</c:v>
                </c:pt>
                <c:pt idx="22">
                  <c:v>16781484.137200002</c:v>
                </c:pt>
                <c:pt idx="23">
                  <c:v>30210995.447900001</c:v>
                </c:pt>
                <c:pt idx="24">
                  <c:v>21990286.069600001</c:v>
                </c:pt>
                <c:pt idx="25">
                  <c:v>20986148.230999999</c:v>
                </c:pt>
                <c:pt idx="26">
                  <c:v>2243859.1461999998</c:v>
                </c:pt>
                <c:pt idx="28">
                  <c:v>36571375.835199997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1-4DA1-A43B-8CCC6580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10600"/>
        <c:axId val="605208640"/>
      </c:barChart>
      <c:catAx>
        <c:axId val="60521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8640"/>
        <c:crosses val="autoZero"/>
        <c:auto val="1"/>
        <c:lblAlgn val="ctr"/>
        <c:lblOffset val="100"/>
        <c:noMultiLvlLbl val="0"/>
      </c:catAx>
      <c:valAx>
        <c:axId val="605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[Proyecciones octubre noviembre.xlsx]Noviembre Ventas!Tabla 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'Noviembre Ventas'!$B$39:$B$40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'Noviembre Ventas'!$A$41:$A$71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'Noviembre Ventas'!$B$41:$B$71</c:f>
              <c:numCache>
                <c:formatCode>"$"#,##0</c:formatCode>
                <c:ptCount val="30"/>
                <c:pt idx="1">
                  <c:v>22573203</c:v>
                </c:pt>
                <c:pt idx="2">
                  <c:v>43008309</c:v>
                </c:pt>
                <c:pt idx="3">
                  <c:v>6908039</c:v>
                </c:pt>
                <c:pt idx="5">
                  <c:v>27465678</c:v>
                </c:pt>
                <c:pt idx="6">
                  <c:v>53210249</c:v>
                </c:pt>
                <c:pt idx="7">
                  <c:v>32854907</c:v>
                </c:pt>
                <c:pt idx="8">
                  <c:v>42247501</c:v>
                </c:pt>
                <c:pt idx="9">
                  <c:v>44152427</c:v>
                </c:pt>
                <c:pt idx="10">
                  <c:v>6501029</c:v>
                </c:pt>
                <c:pt idx="12">
                  <c:v>41855457</c:v>
                </c:pt>
                <c:pt idx="13">
                  <c:v>61781317</c:v>
                </c:pt>
                <c:pt idx="14">
                  <c:v>37128554.049999997</c:v>
                </c:pt>
                <c:pt idx="15">
                  <c:v>48441226</c:v>
                </c:pt>
                <c:pt idx="16">
                  <c:v>43911461</c:v>
                </c:pt>
                <c:pt idx="17">
                  <c:v>7012852</c:v>
                </c:pt>
                <c:pt idx="19">
                  <c:v>36279957</c:v>
                </c:pt>
                <c:pt idx="20">
                  <c:v>65150836</c:v>
                </c:pt>
                <c:pt idx="21">
                  <c:v>46244791</c:v>
                </c:pt>
                <c:pt idx="22">
                  <c:v>50049674</c:v>
                </c:pt>
                <c:pt idx="23">
                  <c:v>50088601</c:v>
                </c:pt>
                <c:pt idx="24">
                  <c:v>7896211</c:v>
                </c:pt>
                <c:pt idx="26">
                  <c:v>64032478</c:v>
                </c:pt>
                <c:pt idx="27">
                  <c:v>102192683</c:v>
                </c:pt>
                <c:pt idx="28">
                  <c:v>38732689.049999997</c:v>
                </c:pt>
                <c:pt idx="29">
                  <c:v>140237465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86C-90CE-FD0174DDD0FF}"/>
            </c:ext>
          </c:extLst>
        </c:ser>
        <c:ser>
          <c:idx val="1"/>
          <c:order val="1"/>
          <c:tx>
            <c:strRef>
              <c:f>'Noviembre Ventas'!$C$39:$C$40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'Noviembre Ventas'!$A$41:$A$71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'Noviembre Ventas'!$C$41:$C$71</c:f>
              <c:numCache>
                <c:formatCode>"$"#,##0</c:formatCode>
                <c:ptCount val="30"/>
                <c:pt idx="0">
                  <c:v>119400</c:v>
                </c:pt>
                <c:pt idx="4">
                  <c:v>19958625</c:v>
                </c:pt>
                <c:pt idx="5">
                  <c:v>41133675</c:v>
                </c:pt>
                <c:pt idx="6">
                  <c:v>39846540</c:v>
                </c:pt>
                <c:pt idx="7">
                  <c:v>43155991.530000001</c:v>
                </c:pt>
                <c:pt idx="8">
                  <c:v>52572804</c:v>
                </c:pt>
                <c:pt idx="9">
                  <c:v>4633238</c:v>
                </c:pt>
                <c:pt idx="11">
                  <c:v>29803056</c:v>
                </c:pt>
                <c:pt idx="12">
                  <c:v>55397821.289999999</c:v>
                </c:pt>
                <c:pt idx="13">
                  <c:v>53565881</c:v>
                </c:pt>
                <c:pt idx="14">
                  <c:v>35146774</c:v>
                </c:pt>
                <c:pt idx="15">
                  <c:v>44841397</c:v>
                </c:pt>
                <c:pt idx="16">
                  <c:v>6257115</c:v>
                </c:pt>
                <c:pt idx="18">
                  <c:v>30274879</c:v>
                </c:pt>
                <c:pt idx="19">
                  <c:v>51088803</c:v>
                </c:pt>
                <c:pt idx="20">
                  <c:v>55959951.020000003</c:v>
                </c:pt>
                <c:pt idx="21">
                  <c:v>44408036</c:v>
                </c:pt>
                <c:pt idx="22">
                  <c:v>78254589</c:v>
                </c:pt>
                <c:pt idx="23">
                  <c:v>2803572</c:v>
                </c:pt>
                <c:pt idx="25">
                  <c:v>51022407</c:v>
                </c:pt>
                <c:pt idx="26">
                  <c:v>38448220.799999997</c:v>
                </c:pt>
                <c:pt idx="27">
                  <c:v>67109100</c:v>
                </c:pt>
                <c:pt idx="28">
                  <c:v>43294266</c:v>
                </c:pt>
                <c:pt idx="29">
                  <c:v>133543105.98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86C-90CE-FD0174DD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16088"/>
        <c:axId val="605214520"/>
      </c:lineChart>
      <c:catAx>
        <c:axId val="60521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4520"/>
        <c:crosses val="autoZero"/>
        <c:auto val="1"/>
        <c:lblAlgn val="ctr"/>
        <c:lblOffset val="100"/>
        <c:noMultiLvlLbl val="0"/>
      </c:catAx>
      <c:valAx>
        <c:axId val="6052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[Proyecciones octubre noviembre.xlsx]Noviembre margen!Tabla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'Noviembre margen'!$B$12:$B$13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'Noviembre margen'!$A$14:$A$44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'Noviembre margen'!$B$14:$B$44</c:f>
              <c:numCache>
                <c:formatCode>"$"#,##0</c:formatCode>
                <c:ptCount val="30"/>
                <c:pt idx="1">
                  <c:v>7449886.1591999996</c:v>
                </c:pt>
                <c:pt idx="2">
                  <c:v>18019505.718199998</c:v>
                </c:pt>
                <c:pt idx="3">
                  <c:v>3207201.8881999999</c:v>
                </c:pt>
                <c:pt idx="5">
                  <c:v>11169648.837099999</c:v>
                </c:pt>
                <c:pt idx="6">
                  <c:v>22805585.074700002</c:v>
                </c:pt>
                <c:pt idx="7">
                  <c:v>12522122.968499999</c:v>
                </c:pt>
                <c:pt idx="8">
                  <c:v>16519679.7576</c:v>
                </c:pt>
                <c:pt idx="9">
                  <c:v>17606238.522999998</c:v>
                </c:pt>
                <c:pt idx="10">
                  <c:v>2276680.2601999999</c:v>
                </c:pt>
                <c:pt idx="12">
                  <c:v>17192987.295400001</c:v>
                </c:pt>
                <c:pt idx="13">
                  <c:v>26115470.889400002</c:v>
                </c:pt>
                <c:pt idx="14">
                  <c:v>15167963.7502</c:v>
                </c:pt>
                <c:pt idx="15">
                  <c:v>18868043.355099998</c:v>
                </c:pt>
                <c:pt idx="16">
                  <c:v>19566761.335000001</c:v>
                </c:pt>
                <c:pt idx="17">
                  <c:v>2480928.3256999999</c:v>
                </c:pt>
                <c:pt idx="19">
                  <c:v>14043186.734099999</c:v>
                </c:pt>
                <c:pt idx="20">
                  <c:v>27000534.603100002</c:v>
                </c:pt>
                <c:pt idx="21">
                  <c:v>17347879.491099998</c:v>
                </c:pt>
                <c:pt idx="22">
                  <c:v>19442299.063099999</c:v>
                </c:pt>
                <c:pt idx="23">
                  <c:v>20699577.570799999</c:v>
                </c:pt>
                <c:pt idx="24">
                  <c:v>3017735.8985000001</c:v>
                </c:pt>
                <c:pt idx="26">
                  <c:v>24529911.351399999</c:v>
                </c:pt>
                <c:pt idx="27">
                  <c:v>37169922.141199999</c:v>
                </c:pt>
                <c:pt idx="28">
                  <c:v>15890934.2152</c:v>
                </c:pt>
                <c:pt idx="29">
                  <c:v>42592851.4881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E-4B8A-8FAE-6AC72BCAF59B}"/>
            </c:ext>
          </c:extLst>
        </c:ser>
        <c:ser>
          <c:idx val="1"/>
          <c:order val="1"/>
          <c:tx>
            <c:strRef>
              <c:f>'Noviembre margen'!$C$12:$C$13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'Noviembre margen'!$A$14:$A$44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'Noviembre margen'!$C$14:$C$44</c:f>
              <c:numCache>
                <c:formatCode>"$"#,##0</c:formatCode>
                <c:ptCount val="30"/>
                <c:pt idx="0">
                  <c:v>88448.46</c:v>
                </c:pt>
                <c:pt idx="4">
                  <c:v>9253451.6076999996</c:v>
                </c:pt>
                <c:pt idx="5">
                  <c:v>18547382.547499999</c:v>
                </c:pt>
                <c:pt idx="6">
                  <c:v>18213752.7579</c:v>
                </c:pt>
                <c:pt idx="7">
                  <c:v>19480220.478100002</c:v>
                </c:pt>
                <c:pt idx="8">
                  <c:v>23519783.299199998</c:v>
                </c:pt>
                <c:pt idx="9">
                  <c:v>1751722.3291</c:v>
                </c:pt>
                <c:pt idx="11">
                  <c:v>15260938.712300001</c:v>
                </c:pt>
                <c:pt idx="12">
                  <c:v>25516902.567200001</c:v>
                </c:pt>
                <c:pt idx="13">
                  <c:v>23055295.3948</c:v>
                </c:pt>
                <c:pt idx="14">
                  <c:v>15805838.5679</c:v>
                </c:pt>
                <c:pt idx="15">
                  <c:v>19514879.669399999</c:v>
                </c:pt>
                <c:pt idx="16">
                  <c:v>2745805.7176000001</c:v>
                </c:pt>
                <c:pt idx="18">
                  <c:v>13093427.305500001</c:v>
                </c:pt>
                <c:pt idx="19">
                  <c:v>23106060.925099999</c:v>
                </c:pt>
                <c:pt idx="20">
                  <c:v>24459130.485199999</c:v>
                </c:pt>
                <c:pt idx="21">
                  <c:v>19886703.545600001</c:v>
                </c:pt>
                <c:pt idx="22">
                  <c:v>35873847.113300003</c:v>
                </c:pt>
                <c:pt idx="23">
                  <c:v>1170888.0737000001</c:v>
                </c:pt>
                <c:pt idx="25">
                  <c:v>22567906.655499998</c:v>
                </c:pt>
                <c:pt idx="26">
                  <c:v>17084154.353599999</c:v>
                </c:pt>
                <c:pt idx="27">
                  <c:v>30374203.277600002</c:v>
                </c:pt>
                <c:pt idx="28">
                  <c:v>20064318.8103</c:v>
                </c:pt>
                <c:pt idx="29">
                  <c:v>49907924.488600001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E-4B8A-8FAE-6AC72BCA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215304"/>
        <c:axId val="605209032"/>
      </c:lineChart>
      <c:catAx>
        <c:axId val="6052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9032"/>
        <c:crosses val="autoZero"/>
        <c:auto val="1"/>
        <c:lblAlgn val="ctr"/>
        <c:lblOffset val="100"/>
        <c:noMultiLvlLbl val="0"/>
      </c:catAx>
      <c:valAx>
        <c:axId val="6052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114301</xdr:rowOff>
    </xdr:from>
    <xdr:to>
      <xdr:col>0</xdr:col>
      <xdr:colOff>1123950</xdr:colOff>
      <xdr:row>7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114301"/>
              <a:ext cx="81915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733426</xdr:colOff>
      <xdr:row>0</xdr:row>
      <xdr:rowOff>85726</xdr:rowOff>
    </xdr:from>
    <xdr:to>
      <xdr:col>5</xdr:col>
      <xdr:colOff>476251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1" y="85726"/>
              <a:ext cx="3771900" cy="1819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1</xdr:row>
      <xdr:rowOff>109536</xdr:rowOff>
    </xdr:from>
    <xdr:to>
      <xdr:col>11</xdr:col>
      <xdr:colOff>95251</xdr:colOff>
      <xdr:row>11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0</xdr:row>
      <xdr:rowOff>114300</xdr:rowOff>
    </xdr:from>
    <xdr:to>
      <xdr:col>0</xdr:col>
      <xdr:colOff>990600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114300"/>
              <a:ext cx="7429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523876</xdr:colOff>
      <xdr:row>0</xdr:row>
      <xdr:rowOff>95249</xdr:rowOff>
    </xdr:from>
    <xdr:to>
      <xdr:col>4</xdr:col>
      <xdr:colOff>28575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651" y="95249"/>
              <a:ext cx="3086099" cy="1733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33336</xdr:rowOff>
    </xdr:from>
    <xdr:to>
      <xdr:col>14</xdr:col>
      <xdr:colOff>323850</xdr:colOff>
      <xdr:row>17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209550</xdr:colOff>
      <xdr:row>0</xdr:row>
      <xdr:rowOff>123825</xdr:rowOff>
    </xdr:from>
    <xdr:to>
      <xdr:col>0</xdr:col>
      <xdr:colOff>1000125</xdr:colOff>
      <xdr:row>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23825"/>
              <a:ext cx="790575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19049</xdr:colOff>
      <xdr:row>0</xdr:row>
      <xdr:rowOff>123825</xdr:rowOff>
    </xdr:from>
    <xdr:to>
      <xdr:col>5</xdr:col>
      <xdr:colOff>581025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y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" y="123825"/>
              <a:ext cx="30480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114300</xdr:rowOff>
    </xdr:from>
    <xdr:to>
      <xdr:col>0</xdr:col>
      <xdr:colOff>990600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114300"/>
              <a:ext cx="7429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523876</xdr:colOff>
      <xdr:row>0</xdr:row>
      <xdr:rowOff>95249</xdr:rowOff>
    </xdr:from>
    <xdr:to>
      <xdr:col>4</xdr:col>
      <xdr:colOff>28575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y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651" y="95249"/>
              <a:ext cx="3086099" cy="1733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Cesar Sanchez Garcia" refreshedDate="43763.671223032405" createdVersion="5" refreshedVersion="5" minRefreshableVersion="3" recordCount="49">
  <cacheSource type="worksheet">
    <worksheetSource name="Tabla5"/>
  </cacheSource>
  <cacheFields count="7">
    <cacheField name="Year" numFmtId="0">
      <sharedItems count="2">
        <s v="2017"/>
        <s v="2018"/>
      </sharedItems>
    </cacheField>
    <cacheField name="Month" numFmtId="0">
      <sharedItems/>
    </cacheField>
    <cacheField name="Day" numFmtId="0">
      <sharedItems containsSemiMixedTypes="0" containsString="0" containsNumber="1" containsInteger="1" minValue="1" maxValue="30" count="30">
        <n v="2"/>
        <n v="3"/>
        <n v="4"/>
        <n v="6"/>
        <n v="7"/>
        <n v="8"/>
        <n v="9"/>
        <n v="10"/>
        <n v="11"/>
        <n v="13"/>
        <n v="14"/>
        <n v="15"/>
        <n v="16"/>
        <n v="17"/>
        <n v="18"/>
        <n v="20"/>
        <n v="21"/>
        <n v="22"/>
        <n v="23"/>
        <n v="24"/>
        <n v="25"/>
        <n v="27"/>
        <n v="28"/>
        <n v="29"/>
        <n v="30"/>
        <n v="1"/>
        <n v="5"/>
        <n v="12"/>
        <n v="19"/>
        <n v="26"/>
      </sharedItems>
    </cacheField>
    <cacheField name="Valor Neto" numFmtId="0">
      <sharedItems containsSemiMixedTypes="0" containsString="0" containsNumber="1" minValue="119400" maxValue="140237465"/>
    </cacheField>
    <cacheField name="Margen" numFmtId="0">
      <sharedItems containsSemiMixedTypes="0" containsString="0" containsNumber="1" minValue="88448.46" maxValue="49907924.488600001"/>
    </cacheField>
    <cacheField name="Mar%" numFmtId="0">
      <sharedItems containsSemiMixedTypes="0" containsString="0" containsNumber="1" minValue="0.30371949099407924" maxValue="0.74077437185929651"/>
    </cacheField>
    <cacheField name="Cantidad" numFmtId="0">
      <sharedItems containsSemiMixedTypes="0" containsString="0" containsNumber="1" minValue="600" maxValue="113821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sar Sanchez Garcia" refreshedDate="43766.891438425926" createdVersion="5" refreshedVersion="5" minRefreshableVersion="3" recordCount="49">
  <cacheSource type="worksheet">
    <worksheetSource name="Tabla53"/>
  </cacheSource>
  <cacheFields count="7">
    <cacheField name="Year" numFmtId="0">
      <sharedItems count="2">
        <s v="2017"/>
        <s v="2018"/>
      </sharedItems>
    </cacheField>
    <cacheField name="Month" numFmtId="0">
      <sharedItems/>
    </cacheField>
    <cacheField name="Day" numFmtId="0">
      <sharedItems containsSemiMixedTypes="0" containsString="0" containsNumber="1" containsInteger="1" minValue="1" maxValue="30" count="30">
        <n v="2"/>
        <n v="3"/>
        <n v="4"/>
        <n v="6"/>
        <n v="7"/>
        <n v="8"/>
        <n v="9"/>
        <n v="10"/>
        <n v="11"/>
        <n v="13"/>
        <n v="14"/>
        <n v="15"/>
        <n v="16"/>
        <n v="17"/>
        <n v="18"/>
        <n v="20"/>
        <n v="21"/>
        <n v="22"/>
        <n v="23"/>
        <n v="24"/>
        <n v="25"/>
        <n v="27"/>
        <n v="28"/>
        <n v="29"/>
        <n v="30"/>
        <n v="1"/>
        <n v="5"/>
        <n v="12"/>
        <n v="19"/>
        <n v="26"/>
      </sharedItems>
    </cacheField>
    <cacheField name="Valor Neto" numFmtId="0">
      <sharedItems containsSemiMixedTypes="0" containsString="0" containsNumber="1" minValue="119400" maxValue="140237465"/>
    </cacheField>
    <cacheField name="Margen" numFmtId="0">
      <sharedItems containsSemiMixedTypes="0" containsString="0" containsNumber="1" minValue="88448.46" maxValue="49907924.488600001"/>
    </cacheField>
    <cacheField name="Mar%" numFmtId="0">
      <sharedItems containsSemiMixedTypes="0" containsString="0" containsNumber="1" minValue="0.30371949099407924" maxValue="0.74077437185929651"/>
    </cacheField>
    <cacheField name="Cantidad" numFmtId="0">
      <sharedItems containsSemiMixedTypes="0" containsString="0" containsNumber="1" minValue="600" maxValue="113821"/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sar Sanchez Garcia" refreshedDate="43766.927378935186" createdVersion="5" refreshedVersion="5" minRefreshableVersion="3" recordCount="48">
  <cacheSource type="worksheet">
    <worksheetSource name="Tabla3"/>
  </cacheSource>
  <cacheFields count="8">
    <cacheField name="Year" numFmtId="0">
      <sharedItems count="1">
        <s v="2019"/>
      </sharedItems>
    </cacheField>
    <cacheField name="Month" numFmtId="0">
      <sharedItems count="2">
        <s v="Agosto"/>
        <s v="Septiembre"/>
      </sharedItems>
    </cacheField>
    <cacheField name="Day" numFmtId="41">
      <sharedItems containsSemiMixedTypes="0" containsString="0" containsNumber="1" containsInteger="1" minValue="1" maxValue="31" count="30">
        <n v="1"/>
        <n v="2"/>
        <n v="3"/>
        <n v="5"/>
        <n v="6"/>
        <n v="7"/>
        <n v="8"/>
        <n v="9"/>
        <n v="10"/>
        <n v="12"/>
        <n v="13"/>
        <n v="14"/>
        <n v="15"/>
        <n v="16"/>
        <n v="17"/>
        <n v="19"/>
        <n v="20"/>
        <n v="21"/>
        <n v="22"/>
        <n v="23"/>
        <n v="24"/>
        <n v="26"/>
        <n v="27"/>
        <n v="28"/>
        <n v="29"/>
        <n v="30"/>
        <n v="31"/>
        <n v="4"/>
        <n v="11"/>
        <n v="25"/>
      </sharedItems>
    </cacheField>
    <cacheField name="Valor Neto" numFmtId="166">
      <sharedItems containsSemiMixedTypes="0" containsString="0" containsNumber="1" minValue="2085748" maxValue="119593343"/>
    </cacheField>
    <cacheField name="Margen" numFmtId="166">
      <sharedItems containsSemiMixedTypes="0" containsString="0" containsNumber="1" minValue="710136.23930000002" maxValue="40514184.584100001"/>
    </cacheField>
    <cacheField name="Mar%" numFmtId="10">
      <sharedItems containsSemiMixedTypes="0" containsString="0" containsNumber="1" minValue="0.27213504957391793" maxValue="0.58357506643727386"/>
    </cacheField>
    <cacheField name="Cantidad" numFmtId="4">
      <sharedItems containsSemiMixedTypes="0" containsString="0" containsNumber="1" minValue="1058" maxValue="80546.463000000003"/>
    </cacheField>
    <cacheField name="Costo Promedio" numFmtId="166">
      <sharedItems containsSemiMixedTypes="0" containsString="0" containsNumber="1" minValue="1089258.5472000001" maxValue="79079158.415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esar Sanchez Garcia" refreshedDate="43773.494676736111" createdVersion="5" refreshedVersion="5" minRefreshableVersion="3" recordCount="76">
  <cacheSource type="worksheet">
    <worksheetSource name="Tabla4"/>
  </cacheSource>
  <cacheFields count="7">
    <cacheField name="Year" numFmtId="0">
      <sharedItems count="3">
        <s v="2017"/>
        <s v="2018"/>
        <s v="2019"/>
      </sharedItems>
    </cacheField>
    <cacheField name="Month" numFmtId="0">
      <sharedItems count="1">
        <s v="Octubre"/>
      </sharedItems>
    </cacheField>
    <cacheField name="Day" numFmtId="0">
      <sharedItems containsSemiMixedTypes="0" containsString="0" containsNumber="1" containsInteger="1" minValue="1" maxValue="31" count="31">
        <n v="2"/>
        <n v="3"/>
        <n v="4"/>
        <n v="5"/>
        <n v="6"/>
        <n v="7"/>
        <n v="10"/>
        <n v="11"/>
        <n v="12"/>
        <n v="13"/>
        <n v="14"/>
        <n v="16"/>
        <n v="17"/>
        <n v="18"/>
        <n v="19"/>
        <n v="20"/>
        <n v="21"/>
        <n v="23"/>
        <n v="24"/>
        <n v="25"/>
        <n v="26"/>
        <n v="27"/>
        <n v="30"/>
        <n v="31"/>
        <n v="1"/>
        <n v="8"/>
        <n v="9"/>
        <n v="22"/>
        <n v="29"/>
        <n v="15"/>
        <n v="28"/>
      </sharedItems>
    </cacheField>
    <cacheField name="Valor Neto" numFmtId="41">
      <sharedItems containsSemiMixedTypes="0" containsString="0" containsNumber="1" minValue="-4793237" maxValue="119900146.2"/>
    </cacheField>
    <cacheField name="Margen" numFmtId="41">
      <sharedItems containsSemiMixedTypes="0" containsString="0" containsNumber="1" minValue="-241822.32699999999" maxValue="44239273.388400003"/>
    </cacheField>
    <cacheField name="Mar%" numFmtId="9">
      <sharedItems containsSemiMixedTypes="0" containsString="0" containsNumber="1" minValue="5.0450734441046835E-2" maxValue="0.59616153800487104"/>
    </cacheField>
    <cacheField name="Cantidad" numFmtId="0">
      <sharedItems containsSemiMixedTypes="0" containsString="0" containsNumber="1" minValue="603" maxValue="97273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esar Sanchez Garcia" refreshedDate="43773.498219907407" createdVersion="5" refreshedVersion="5" minRefreshableVersion="3" recordCount="76">
  <cacheSource type="worksheet">
    <worksheetSource name="Tabla6"/>
  </cacheSource>
  <cacheFields count="8">
    <cacheField name="Year" numFmtId="0">
      <sharedItems count="3">
        <s v="2017"/>
        <s v="2018"/>
        <s v="2019"/>
      </sharedItems>
    </cacheField>
    <cacheField name="Month" numFmtId="41">
      <sharedItems/>
    </cacheField>
    <cacheField name="Day" numFmtId="0">
      <sharedItems containsSemiMixedTypes="0" containsString="0" containsNumber="1" containsInteger="1" minValue="1" maxValue="31" count="31">
        <n v="2"/>
        <n v="3"/>
        <n v="4"/>
        <n v="5"/>
        <n v="6"/>
        <n v="7"/>
        <n v="10"/>
        <n v="11"/>
        <n v="12"/>
        <n v="13"/>
        <n v="14"/>
        <n v="16"/>
        <n v="17"/>
        <n v="18"/>
        <n v="19"/>
        <n v="20"/>
        <n v="21"/>
        <n v="23"/>
        <n v="24"/>
        <n v="25"/>
        <n v="26"/>
        <n v="27"/>
        <n v="30"/>
        <n v="31"/>
        <n v="1"/>
        <n v="8"/>
        <n v="9"/>
        <n v="22"/>
        <n v="29"/>
        <n v="15"/>
        <n v="28"/>
      </sharedItems>
    </cacheField>
    <cacheField name="Valor Neto" numFmtId="166">
      <sharedItems containsSemiMixedTypes="0" containsString="0" containsNumber="1" minValue="-4793237" maxValue="119900146.2"/>
    </cacheField>
    <cacheField name="Margen" numFmtId="10">
      <sharedItems containsSemiMixedTypes="0" containsString="0" containsNumber="1" minValue="-241822.32699999999" maxValue="44239273.388400003"/>
    </cacheField>
    <cacheField name="Mar%" numFmtId="4">
      <sharedItems containsSemiMixedTypes="0" containsString="0" containsNumber="1" minValue="5.0450734441046835E-2" maxValue="0.59616153801723915"/>
    </cacheField>
    <cacheField name="Cantidad" numFmtId="166">
      <sharedItems containsSemiMixedTypes="0" containsString="0" containsNumber="1" minValue="603" maxValue="97273"/>
    </cacheField>
    <cacheField name="Costo Promedio" numFmtId="166">
      <sharedItems containsString="0" containsBlank="1" containsNumber="1" minValue="-4551414.6730999965" maxValue="81200061.5144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esar Sanchez Garcia" refreshedDate="43773.538558217595" createdVersion="5" refreshedVersion="5" minRefreshableVersion="3" recordCount="48">
  <cacheSource type="worksheet">
    <worksheetSource name="Tabla7"/>
  </cacheSource>
  <cacheFields count="7">
    <cacheField name="Year" numFmtId="0">
      <sharedItems count="2">
        <s v="2017"/>
        <s v="2018"/>
      </sharedItems>
    </cacheField>
    <cacheField name="Month" numFmtId="0">
      <sharedItems count="1">
        <s v="Diciembre"/>
      </sharedItems>
    </cacheField>
    <cacheField name="Day" numFmtId="0">
      <sharedItems containsSemiMixedTypes="0" containsString="0" containsNumber="1" containsInteger="1" minValue="1" maxValue="31" count="28">
        <n v="1"/>
        <n v="2"/>
        <n v="4"/>
        <n v="5"/>
        <n v="6"/>
        <n v="7"/>
        <n v="8"/>
        <n v="11"/>
        <n v="12"/>
        <n v="13"/>
        <n v="14"/>
        <n v="15"/>
        <n v="16"/>
        <n v="18"/>
        <n v="19"/>
        <n v="20"/>
        <n v="21"/>
        <n v="22"/>
        <n v="23"/>
        <n v="26"/>
        <n v="27"/>
        <n v="28"/>
        <n v="29"/>
        <n v="3"/>
        <n v="10"/>
        <n v="17"/>
        <n v="24"/>
        <n v="31"/>
      </sharedItems>
    </cacheField>
    <cacheField name="Valor Neto" numFmtId="0">
      <sharedItems containsSemiMixedTypes="0" containsString="0" containsNumber="1" minValue="27588" maxValue="147587690.63999999"/>
    </cacheField>
    <cacheField name="Margen" numFmtId="0">
      <sharedItems containsSemiMixedTypes="0" containsString="0" containsNumber="1" minValue="15166.8385" maxValue="44626956.423100002"/>
    </cacheField>
    <cacheField name="Mar%" numFmtId="9">
      <sharedItems containsSemiMixedTypes="0" containsString="0" containsNumber="1" minValue="0.30237587043729353" maxValue="0.54976216108452947"/>
    </cacheField>
    <cacheField name="Cantidad" numFmtId="0">
      <sharedItems containsSemiMixedTypes="0" containsString="0" containsNumber="1" containsInteger="1" minValue="12" maxValue="100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esar Sanchez Garcia" refreshedDate="43773.54116886574" createdVersion="5" refreshedVersion="5" minRefreshableVersion="3" recordCount="21">
  <cacheSource type="worksheet">
    <worksheetSource name="Tabla8"/>
  </cacheSource>
  <cacheFields count="7">
    <cacheField name="Year" numFmtId="0">
      <sharedItems containsSemiMixedTypes="0" containsString="0" containsNumber="1" containsInteger="1" minValue="2019" maxValue="2019"/>
    </cacheField>
    <cacheField name="Month" numFmtId="0">
      <sharedItems count="1">
        <s v="Septiembre"/>
      </sharedItems>
    </cacheField>
    <cacheField name="Day" numFmtId="41">
      <sharedItems containsSemiMixedTypes="0" containsString="0" containsNumber="1" containsInteger="1" minValue="2" maxValue="30" count="21">
        <n v="2"/>
        <n v="3"/>
        <n v="4"/>
        <n v="5"/>
        <n v="6"/>
        <n v="7"/>
        <n v="9"/>
        <n v="10"/>
        <n v="11"/>
        <n v="12"/>
        <n v="13"/>
        <n v="14"/>
        <n v="16"/>
        <n v="17"/>
        <n v="23"/>
        <n v="24"/>
        <n v="25"/>
        <n v="26"/>
        <n v="27"/>
        <n v="28"/>
        <n v="30"/>
      </sharedItems>
    </cacheField>
    <cacheField name="Valor Neto" numFmtId="166">
      <sharedItems containsSemiMixedTypes="0" containsString="0" containsNumber="1" minValue="2723067" maxValue="96175955"/>
    </cacheField>
    <cacheField name="Margen" numFmtId="166">
      <sharedItems containsSemiMixedTypes="0" containsString="0" containsNumber="1" minValue="1256896.55" maxValue="36571375.835299999"/>
    </cacheField>
    <cacheField name="Mar%" numFmtId="10">
      <sharedItems containsSemiMixedTypes="0" containsString="0" containsNumber="1" minValue="0.37264168507074352" maxValue="0.58357506643727386"/>
    </cacheField>
    <cacheField name="Cantidad" numFmtId="4">
      <sharedItems containsSemiMixedTypes="0" containsString="0" containsNumber="1" minValue="3595" maxValue="80546.463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esar Sanchez Garcia" refreshedDate="43773.650349421296" createdVersion="5" refreshedVersion="5" minRefreshableVersion="3" recordCount="47">
  <cacheSource type="worksheet">
    <worksheetSource name="Tabla1"/>
  </cacheSource>
  <cacheFields count="7">
    <cacheField name="Year" numFmtId="0">
      <sharedItems/>
    </cacheField>
    <cacheField name="Month" numFmtId="0">
      <sharedItems count="2">
        <s v="Septiembre"/>
        <s v="Octubre"/>
      </sharedItems>
    </cacheField>
    <cacheField name="Day" numFmtId="41">
      <sharedItems containsSemiMixedTypes="0" containsString="0" containsNumber="1" containsInteger="1" minValue="1" maxValue="30" count="29">
        <n v="2"/>
        <n v="3"/>
        <n v="4"/>
        <n v="5"/>
        <n v="6"/>
        <n v="7"/>
        <n v="9"/>
        <n v="10"/>
        <n v="11"/>
        <n v="12"/>
        <n v="13"/>
        <n v="14"/>
        <n v="16"/>
        <n v="17"/>
        <n v="23"/>
        <n v="24"/>
        <n v="25"/>
        <n v="26"/>
        <n v="27"/>
        <n v="28"/>
        <n v="30"/>
        <n v="1"/>
        <n v="8"/>
        <n v="15"/>
        <n v="18"/>
        <n v="19"/>
        <n v="21"/>
        <n v="22"/>
        <n v="29"/>
      </sharedItems>
    </cacheField>
    <cacheField name="Valor Neto" numFmtId="166">
      <sharedItems containsSemiMixedTypes="0" containsString="0" containsNumber="1" minValue="2723067" maxValue="101586568"/>
    </cacheField>
    <cacheField name="Margen" numFmtId="166">
      <sharedItems containsSemiMixedTypes="0" containsString="0" containsNumber="1" minValue="1256896.55" maxValue="44239273.388400003"/>
    </cacheField>
    <cacheField name="Mar%" numFmtId="10">
      <sharedItems containsSemiMixedTypes="0" containsString="0" containsNumber="1" minValue="0.32556256566228187" maxValue="0.59616153801723915"/>
    </cacheField>
    <cacheField name="Cantidad" numFmtId="4">
      <sharedItems containsSemiMixedTypes="0" containsString="0" containsNumber="1" minValue="603" maxValue="896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s v="Noviembre"/>
    <x v="0"/>
    <n v="22573203"/>
    <n v="7449886.1591999996"/>
    <n v="0.33003230242513659"/>
    <n v="20060"/>
  </r>
  <r>
    <x v="0"/>
    <s v="Noviembre"/>
    <x v="1"/>
    <n v="43008309"/>
    <n v="18019505.718199998"/>
    <n v="0.41897731245839032"/>
    <n v="42303"/>
  </r>
  <r>
    <x v="0"/>
    <s v="Noviembre"/>
    <x v="2"/>
    <n v="6908039"/>
    <n v="3207201.8881999999"/>
    <n v="0.46427095854554384"/>
    <n v="3069"/>
  </r>
  <r>
    <x v="0"/>
    <s v="Noviembre"/>
    <x v="3"/>
    <n v="27465678"/>
    <n v="11169648.837099999"/>
    <n v="0.40667661060833815"/>
    <n v="23754"/>
  </r>
  <r>
    <x v="0"/>
    <s v="Noviembre"/>
    <x v="4"/>
    <n v="53210249"/>
    <n v="22805585.074700002"/>
    <n v="0.42859384241370491"/>
    <n v="49062"/>
  </r>
  <r>
    <x v="0"/>
    <s v="Noviembre"/>
    <x v="5"/>
    <n v="32854907"/>
    <n v="12522122.968499999"/>
    <n v="0.38113402568754801"/>
    <n v="33358"/>
  </r>
  <r>
    <x v="0"/>
    <s v="Noviembre"/>
    <x v="6"/>
    <n v="42247501"/>
    <n v="16519679.7576"/>
    <n v="0.39102146556786871"/>
    <n v="43301.464999999997"/>
  </r>
  <r>
    <x v="0"/>
    <s v="Noviembre"/>
    <x v="7"/>
    <n v="44152427"/>
    <n v="17606238.522999998"/>
    <n v="0.39876037897078681"/>
    <n v="33334"/>
  </r>
  <r>
    <x v="0"/>
    <s v="Noviembre"/>
    <x v="8"/>
    <n v="6501029"/>
    <n v="2276680.2601999999"/>
    <n v="0.3502030617306891"/>
    <n v="3395"/>
  </r>
  <r>
    <x v="0"/>
    <s v="Noviembre"/>
    <x v="9"/>
    <n v="41855457"/>
    <n v="17192987.295400001"/>
    <n v="0.41077050706673685"/>
    <n v="54147"/>
  </r>
  <r>
    <x v="0"/>
    <s v="Noviembre"/>
    <x v="10"/>
    <n v="61781317"/>
    <n v="26115470.889400002"/>
    <n v="0.42270822568253119"/>
    <n v="54800"/>
  </r>
  <r>
    <x v="0"/>
    <s v="Noviembre"/>
    <x v="11"/>
    <n v="37128554.049999997"/>
    <n v="15167963.7502"/>
    <n v="0.40852557117558957"/>
    <n v="40935.164000000004"/>
  </r>
  <r>
    <x v="0"/>
    <s v="Noviembre"/>
    <x v="12"/>
    <n v="48441226"/>
    <n v="18868043.355099998"/>
    <n v="0.38950383615600481"/>
    <n v="47574"/>
  </r>
  <r>
    <x v="0"/>
    <s v="Noviembre"/>
    <x v="13"/>
    <n v="43911461"/>
    <n v="19566761.335000001"/>
    <n v="0.44559577134088069"/>
    <n v="39675"/>
  </r>
  <r>
    <x v="0"/>
    <s v="Noviembre"/>
    <x v="14"/>
    <n v="7012852"/>
    <n v="2480928.3256999999"/>
    <n v="0.35376881270273491"/>
    <n v="14908"/>
  </r>
  <r>
    <x v="0"/>
    <s v="Noviembre"/>
    <x v="15"/>
    <n v="36279957"/>
    <n v="14043186.734099999"/>
    <n v="0.38707837316620852"/>
    <n v="33429"/>
  </r>
  <r>
    <x v="0"/>
    <s v="Noviembre"/>
    <x v="16"/>
    <n v="65150836"/>
    <n v="27000534.603100002"/>
    <n v="0.41443113029432194"/>
    <n v="64000"/>
  </r>
  <r>
    <x v="0"/>
    <s v="Noviembre"/>
    <x v="17"/>
    <n v="46244791"/>
    <n v="17347879.491099998"/>
    <n v="0.37513153624372525"/>
    <n v="36337.26"/>
  </r>
  <r>
    <x v="0"/>
    <s v="Noviembre"/>
    <x v="18"/>
    <n v="50049674"/>
    <n v="19442299.063099999"/>
    <n v="0.38846005396758426"/>
    <n v="57752"/>
  </r>
  <r>
    <x v="0"/>
    <s v="Noviembre"/>
    <x v="19"/>
    <n v="50088601"/>
    <n v="20699577.570799999"/>
    <n v="0.41325924776377765"/>
    <n v="35515"/>
  </r>
  <r>
    <x v="0"/>
    <s v="Noviembre"/>
    <x v="20"/>
    <n v="7896211"/>
    <n v="3017735.8985000001"/>
    <n v="0.38217518484498453"/>
    <n v="8170"/>
  </r>
  <r>
    <x v="0"/>
    <s v="Noviembre"/>
    <x v="21"/>
    <n v="64032478"/>
    <n v="24529911.351399999"/>
    <n v="0.38308546096560558"/>
    <n v="46275"/>
  </r>
  <r>
    <x v="0"/>
    <s v="Noviembre"/>
    <x v="22"/>
    <n v="102192683"/>
    <n v="37169922.141199999"/>
    <n v="0.3637239090904385"/>
    <n v="100082"/>
  </r>
  <r>
    <x v="0"/>
    <s v="Noviembre"/>
    <x v="23"/>
    <n v="38732689.049999997"/>
    <n v="15890934.2152"/>
    <n v="0.41027190739807412"/>
    <n v="62949"/>
  </r>
  <r>
    <x v="0"/>
    <s v="Noviembre"/>
    <x v="24"/>
    <n v="140237465"/>
    <n v="42592851.4881"/>
    <n v="0.30371949099407924"/>
    <n v="113821"/>
  </r>
  <r>
    <x v="1"/>
    <s v="Noviembre"/>
    <x v="25"/>
    <n v="119400"/>
    <n v="88448.46"/>
    <n v="0.74077437185929651"/>
    <n v="600"/>
  </r>
  <r>
    <x v="1"/>
    <s v="Noviembre"/>
    <x v="26"/>
    <n v="19958625"/>
    <n v="9253451.6076999996"/>
    <n v="0.46363171850265233"/>
    <n v="17338"/>
  </r>
  <r>
    <x v="1"/>
    <s v="Noviembre"/>
    <x v="3"/>
    <n v="41133675"/>
    <n v="18547382.547499999"/>
    <n v="0.45090506859647234"/>
    <n v="40124"/>
  </r>
  <r>
    <x v="1"/>
    <s v="Noviembre"/>
    <x v="4"/>
    <n v="39846540"/>
    <n v="18213752.7579"/>
    <n v="0.45709747340421525"/>
    <n v="32441"/>
  </r>
  <r>
    <x v="1"/>
    <s v="Noviembre"/>
    <x v="5"/>
    <n v="43155991.530000001"/>
    <n v="19480220.478100002"/>
    <n v="0.45139086804570983"/>
    <n v="38897"/>
  </r>
  <r>
    <x v="1"/>
    <s v="Noviembre"/>
    <x v="6"/>
    <n v="52572804"/>
    <n v="23519783.299199998"/>
    <n v="0.44737547761766711"/>
    <n v="50826"/>
  </r>
  <r>
    <x v="1"/>
    <s v="Noviembre"/>
    <x v="7"/>
    <n v="4633238"/>
    <n v="1751722.3291"/>
    <n v="0.37807734657705905"/>
    <n v="2327"/>
  </r>
  <r>
    <x v="1"/>
    <s v="Noviembre"/>
    <x v="27"/>
    <n v="29803056"/>
    <n v="15260938.712300001"/>
    <n v="0.51205952544933642"/>
    <n v="22532"/>
  </r>
  <r>
    <x v="1"/>
    <s v="Noviembre"/>
    <x v="9"/>
    <n v="55397821.289999999"/>
    <n v="25516902.567200001"/>
    <n v="0.46061202359606368"/>
    <n v="45663"/>
  </r>
  <r>
    <x v="1"/>
    <s v="Noviembre"/>
    <x v="10"/>
    <n v="53565881"/>
    <n v="23055295.3948"/>
    <n v="0.43041008500914973"/>
    <n v="39637"/>
  </r>
  <r>
    <x v="1"/>
    <s v="Noviembre"/>
    <x v="11"/>
    <n v="35146774"/>
    <n v="15805838.5679"/>
    <n v="0.44970951154435967"/>
    <n v="22941"/>
  </r>
  <r>
    <x v="1"/>
    <s v="Noviembre"/>
    <x v="12"/>
    <n v="44841397"/>
    <n v="19514879.669399999"/>
    <n v="0.43519785231936464"/>
    <n v="32030"/>
  </r>
  <r>
    <x v="1"/>
    <s v="Noviembre"/>
    <x v="13"/>
    <n v="6257115"/>
    <n v="2745805.7176000001"/>
    <n v="0.43882935148227259"/>
    <n v="10620"/>
  </r>
  <r>
    <x v="1"/>
    <s v="Noviembre"/>
    <x v="28"/>
    <n v="30274879"/>
    <n v="13093427.305500001"/>
    <n v="0.43248487650437845"/>
    <n v="21839.802"/>
  </r>
  <r>
    <x v="1"/>
    <s v="Noviembre"/>
    <x v="15"/>
    <n v="51088803"/>
    <n v="23106060.925099999"/>
    <n v="0.45227250529044494"/>
    <n v="32797"/>
  </r>
  <r>
    <x v="1"/>
    <s v="Noviembre"/>
    <x v="16"/>
    <n v="55959951.020000003"/>
    <n v="24459130.485199999"/>
    <n v="0.43708277150668601"/>
    <n v="41581"/>
  </r>
  <r>
    <x v="1"/>
    <s v="Noviembre"/>
    <x v="17"/>
    <n v="44408036"/>
    <n v="19886703.545600001"/>
    <n v="0.44781767753926338"/>
    <n v="32445"/>
  </r>
  <r>
    <x v="1"/>
    <s v="Noviembre"/>
    <x v="18"/>
    <n v="78254589"/>
    <n v="35873847.113300003"/>
    <n v="0.45842483580483695"/>
    <n v="37548"/>
  </r>
  <r>
    <x v="1"/>
    <s v="Noviembre"/>
    <x v="19"/>
    <n v="2803572"/>
    <n v="1170888.0737000001"/>
    <n v="0.41764152078134609"/>
    <n v="3658"/>
  </r>
  <r>
    <x v="1"/>
    <s v="Noviembre"/>
    <x v="29"/>
    <n v="51022407"/>
    <n v="22567906.655499998"/>
    <n v="0.44231364183779098"/>
    <n v="35286"/>
  </r>
  <r>
    <x v="1"/>
    <s v="Noviembre"/>
    <x v="21"/>
    <n v="38448220.799999997"/>
    <n v="17084154.353599999"/>
    <n v="0.44434187065425923"/>
    <n v="34700.067999999999"/>
  </r>
  <r>
    <x v="1"/>
    <s v="Noviembre"/>
    <x v="22"/>
    <n v="67109100"/>
    <n v="30374203.277600002"/>
    <n v="0.45260930749481071"/>
    <n v="56946"/>
  </r>
  <r>
    <x v="1"/>
    <s v="Noviembre"/>
    <x v="23"/>
    <n v="43294266"/>
    <n v="20064318.8103"/>
    <n v="0.46344055839403769"/>
    <n v="26451.955000000002"/>
  </r>
  <r>
    <x v="1"/>
    <s v="Noviembre"/>
    <x v="24"/>
    <n v="133543105.98"/>
    <n v="49907924.488600001"/>
    <n v="0.37372145961675046"/>
    <n v="112080.682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15340261.6"/>
    <n v="7361068.5938999997"/>
    <n v="0.47985287251555087"/>
    <n v="13160"/>
    <n v="7979193.0061999988"/>
  </r>
  <r>
    <x v="0"/>
    <x v="0"/>
    <x v="1"/>
    <n v="39796972"/>
    <n v="18371772.540100001"/>
    <n v="0.46163744669066781"/>
    <n v="33947"/>
    <n v="21425199.459900007"/>
  </r>
  <r>
    <x v="0"/>
    <x v="0"/>
    <x v="2"/>
    <n v="2101606"/>
    <n v="1012347.4528"/>
    <n v="0.48170182841122455"/>
    <n v="1103"/>
    <n v="1089258.5472000001"/>
  </r>
  <r>
    <x v="0"/>
    <x v="0"/>
    <x v="3"/>
    <n v="32497245"/>
    <n v="13396878.318399999"/>
    <n v="0.41224658639216955"/>
    <n v="30877.887999999999"/>
    <n v="19100366.681699999"/>
  </r>
  <r>
    <x v="0"/>
    <x v="0"/>
    <x v="4"/>
    <n v="31950209"/>
    <n v="13554910.7051"/>
    <n v="0.42425108095850017"/>
    <n v="18363"/>
    <n v="18395298.294999998"/>
  </r>
  <r>
    <x v="0"/>
    <x v="0"/>
    <x v="5"/>
    <n v="59939040"/>
    <n v="28886104.2995"/>
    <n v="0.48192470716080871"/>
    <n v="48694"/>
    <n v="31052935.700599995"/>
  </r>
  <r>
    <x v="0"/>
    <x v="0"/>
    <x v="6"/>
    <n v="31659894"/>
    <n v="12316883.320800001"/>
    <n v="0.38903741499576722"/>
    <n v="19638"/>
    <n v="19343010.679299995"/>
  </r>
  <r>
    <x v="0"/>
    <x v="0"/>
    <x v="7"/>
    <n v="40950249.780000001"/>
    <n v="17005265.7172"/>
    <n v="0.41526647110966658"/>
    <n v="29794"/>
    <n v="23944984.062899999"/>
  </r>
  <r>
    <x v="0"/>
    <x v="0"/>
    <x v="8"/>
    <n v="5305883"/>
    <n v="2853945.9158000001"/>
    <n v="0.537883310996492"/>
    <n v="3642"/>
    <n v="2451937.0842999998"/>
  </r>
  <r>
    <x v="0"/>
    <x v="0"/>
    <x v="9"/>
    <n v="59121740"/>
    <n v="23124136.27"/>
    <n v="0.39112746461792225"/>
    <n v="31989"/>
    <n v="35997603.730099998"/>
  </r>
  <r>
    <x v="0"/>
    <x v="0"/>
    <x v="10"/>
    <n v="39894461"/>
    <n v="16042970.5307"/>
    <n v="0.40213528716931407"/>
    <n v="38758"/>
    <n v="23851490.4694"/>
  </r>
  <r>
    <x v="0"/>
    <x v="0"/>
    <x v="11"/>
    <n v="52807444"/>
    <n v="22264055.363400001"/>
    <n v="0.42160827483716123"/>
    <n v="50437"/>
    <n v="30543388.636600003"/>
  </r>
  <r>
    <x v="0"/>
    <x v="0"/>
    <x v="12"/>
    <n v="12447314"/>
    <n v="3978713.0395"/>
    <n v="0.31964430555057904"/>
    <n v="7288"/>
    <n v="8468600.9605999999"/>
  </r>
  <r>
    <x v="0"/>
    <x v="0"/>
    <x v="13"/>
    <n v="35578758"/>
    <n v="15892122.2688"/>
    <n v="0.44667445302053543"/>
    <n v="24508"/>
    <n v="19686635.731299993"/>
  </r>
  <r>
    <x v="0"/>
    <x v="0"/>
    <x v="14"/>
    <n v="4548285"/>
    <n v="2012759.8117"/>
    <n v="0.44253159415032262"/>
    <n v="1252"/>
    <n v="2535525.1883"/>
  </r>
  <r>
    <x v="0"/>
    <x v="0"/>
    <x v="15"/>
    <n v="38971189"/>
    <n v="14143508.686100001"/>
    <n v="0.36292217530494131"/>
    <n v="24411"/>
    <n v="24827680.313900001"/>
  </r>
  <r>
    <x v="0"/>
    <x v="0"/>
    <x v="16"/>
    <n v="42248623.979999997"/>
    <n v="17575997.904899999"/>
    <n v="0.41601349935610377"/>
    <n v="29147"/>
    <n v="24672626.075100005"/>
  </r>
  <r>
    <x v="0"/>
    <x v="0"/>
    <x v="17"/>
    <n v="47769594.57"/>
    <n v="20802372.248199999"/>
    <n v="0.43547307519465933"/>
    <n v="49090"/>
    <n v="26967222.321800001"/>
  </r>
  <r>
    <x v="0"/>
    <x v="0"/>
    <x v="18"/>
    <n v="60573320"/>
    <n v="20648562.776999999"/>
    <n v="0.34088543895233081"/>
    <n v="36411.728000000003"/>
    <n v="39924757.223099992"/>
  </r>
  <r>
    <x v="0"/>
    <x v="0"/>
    <x v="19"/>
    <n v="48173721"/>
    <n v="18560891.699099999"/>
    <n v="0.38529080406929744"/>
    <n v="43291"/>
    <n v="29612829.300999999"/>
  </r>
  <r>
    <x v="0"/>
    <x v="0"/>
    <x v="20"/>
    <n v="13224506"/>
    <n v="5676001.1677000001"/>
    <n v="0.42920326609553505"/>
    <n v="8825"/>
    <n v="7548504.8323000008"/>
  </r>
  <r>
    <x v="0"/>
    <x v="0"/>
    <x v="21"/>
    <n v="65651976"/>
    <n v="19562924.886799999"/>
    <n v="0.29797922436942342"/>
    <n v="26560.772000000001"/>
    <n v="46089051.113299996"/>
  </r>
  <r>
    <x v="0"/>
    <x v="0"/>
    <x v="22"/>
    <n v="65380247"/>
    <n v="17792256.758499999"/>
    <n v="0.27213504957391793"/>
    <n v="37159"/>
    <n v="47587990.241599999"/>
  </r>
  <r>
    <x v="0"/>
    <x v="0"/>
    <x v="23"/>
    <n v="67584323"/>
    <n v="28966192.047800001"/>
    <n v="0.42859335955470029"/>
    <n v="62701"/>
    <n v="38618130.952299997"/>
  </r>
  <r>
    <x v="0"/>
    <x v="0"/>
    <x v="24"/>
    <n v="54053958"/>
    <n v="22580362.7282"/>
    <n v="0.4177374527911536"/>
    <n v="38156"/>
    <n v="31473595.271899994"/>
  </r>
  <r>
    <x v="0"/>
    <x v="0"/>
    <x v="25"/>
    <n v="119593343"/>
    <n v="40514184.584100001"/>
    <n v="0.33876621865232082"/>
    <n v="79665.536999999997"/>
    <n v="79079158.415999994"/>
  </r>
  <r>
    <x v="0"/>
    <x v="0"/>
    <x v="26"/>
    <n v="2085748"/>
    <n v="710136.23930000002"/>
    <n v="0.34047077561622979"/>
    <n v="1058"/>
    <n v="1375611.7607999998"/>
  </r>
  <r>
    <x v="0"/>
    <x v="1"/>
    <x v="1"/>
    <n v="17910126"/>
    <n v="8287509.0689000003"/>
    <n v="0.4627275692476982"/>
    <n v="13945"/>
    <n v="9622616.9311000034"/>
  </r>
  <r>
    <x v="0"/>
    <x v="1"/>
    <x v="2"/>
    <n v="42837453"/>
    <n v="18979502.990699999"/>
    <n v="0.44305862420671932"/>
    <n v="30111"/>
    <n v="23857950.009399999"/>
  </r>
  <r>
    <x v="0"/>
    <x v="1"/>
    <x v="27"/>
    <n v="55471865"/>
    <n v="23470865.778299998"/>
    <n v="0.42311297408695381"/>
    <n v="65286"/>
    <n v="32000999.221799992"/>
  </r>
  <r>
    <x v="0"/>
    <x v="1"/>
    <x v="3"/>
    <n v="51574320"/>
    <n v="23004120.541200001"/>
    <n v="0.4460382713955317"/>
    <n v="46776"/>
    <n v="28570199.458899993"/>
  </r>
  <r>
    <x v="0"/>
    <x v="1"/>
    <x v="4"/>
    <n v="39337699"/>
    <n v="16922199.014899999"/>
    <n v="0.43017765261003194"/>
    <n v="37117"/>
    <n v="22415499.985100001"/>
  </r>
  <r>
    <x v="0"/>
    <x v="1"/>
    <x v="5"/>
    <n v="2723067"/>
    <n v="1256896.5499"/>
    <n v="0.46157386134825179"/>
    <n v="3790"/>
    <n v="1466170.4501"/>
  </r>
  <r>
    <x v="0"/>
    <x v="1"/>
    <x v="7"/>
    <n v="30219166"/>
    <n v="14086808.649900001"/>
    <n v="0.46615477905313468"/>
    <n v="15752"/>
    <n v="16132357.350100005"/>
  </r>
  <r>
    <x v="0"/>
    <x v="1"/>
    <x v="8"/>
    <n v="68500230"/>
    <n v="27737928.7733"/>
    <n v="0.40493190713812199"/>
    <n v="80546.463000000003"/>
    <n v="40762301.226700008"/>
  </r>
  <r>
    <x v="0"/>
    <x v="1"/>
    <x v="28"/>
    <n v="69644414"/>
    <n v="29681348.749699999"/>
    <n v="0.42618419834360299"/>
    <n v="71269.966"/>
    <n v="39963065.250300005"/>
  </r>
  <r>
    <x v="0"/>
    <x v="1"/>
    <x v="9"/>
    <n v="41541452"/>
    <n v="18491637.784600001"/>
    <n v="0.4451370112099115"/>
    <n v="29151"/>
    <n v="23049814.215499997"/>
  </r>
  <r>
    <x v="0"/>
    <x v="1"/>
    <x v="10"/>
    <n v="53527343"/>
    <n v="23522435.9921"/>
    <n v="0.43944710635272893"/>
    <n v="43620"/>
    <n v="30004907.007999994"/>
  </r>
  <r>
    <x v="0"/>
    <x v="1"/>
    <x v="11"/>
    <n v="3950719"/>
    <n v="2305541.1028999998"/>
    <n v="0.58357506643727386"/>
    <n v="3595"/>
    <n v="1645177.8971000002"/>
  </r>
  <r>
    <x v="0"/>
    <x v="1"/>
    <x v="13"/>
    <n v="27649026"/>
    <n v="12531383.2535"/>
    <n v="0.45323054973075722"/>
    <n v="16163"/>
    <n v="15117642.7465"/>
  </r>
  <r>
    <x v="0"/>
    <x v="1"/>
    <x v="14"/>
    <n v="13065978"/>
    <n v="6045133.5570999999"/>
    <n v="0.46266215641110064"/>
    <n v="16972"/>
    <n v="7020844.442999999"/>
  </r>
  <r>
    <x v="0"/>
    <x v="1"/>
    <x v="19"/>
    <n v="56822600.479999997"/>
    <n v="25489417.118299998"/>
    <n v="0.44857885600064323"/>
    <n v="55881"/>
    <n v="31333183.36170001"/>
  </r>
  <r>
    <x v="0"/>
    <x v="1"/>
    <x v="20"/>
    <n v="36418222"/>
    <n v="16781484.137200002"/>
    <n v="0.4607991059310913"/>
    <n v="34202"/>
    <n v="19636737.862899996"/>
  </r>
  <r>
    <x v="0"/>
    <x v="1"/>
    <x v="29"/>
    <n v="65025146"/>
    <n v="30210995.447900001"/>
    <n v="0.46460480762165457"/>
    <n v="75484"/>
    <n v="34814150.552199997"/>
  </r>
  <r>
    <x v="0"/>
    <x v="1"/>
    <x v="21"/>
    <n v="54112048"/>
    <n v="21990286.069600001"/>
    <n v="0.40638428746219324"/>
    <n v="67966"/>
    <n v="32121761.930499993"/>
  </r>
  <r>
    <x v="0"/>
    <x v="1"/>
    <x v="22"/>
    <n v="56317232"/>
    <n v="20986148.230999999"/>
    <n v="0.37264168507074352"/>
    <n v="38773"/>
    <n v="35331083.769099988"/>
  </r>
  <r>
    <x v="0"/>
    <x v="1"/>
    <x v="23"/>
    <n v="5252953"/>
    <n v="2243859.1461999998"/>
    <n v="0.42716147397473381"/>
    <n v="4187"/>
    <n v="3009093.8538000002"/>
  </r>
  <r>
    <x v="0"/>
    <x v="1"/>
    <x v="25"/>
    <n v="96175955"/>
    <n v="36571375.835199997"/>
    <n v="0.38025487592194951"/>
    <n v="70677.135000000009"/>
    <n v="59604579.1648000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x v="0"/>
    <x v="0"/>
    <x v="0"/>
    <n v="-4793237"/>
    <n v="-241822.32699999999"/>
    <n v="5.0450734441046835E-2"/>
    <n v="10482"/>
  </r>
  <r>
    <x v="0"/>
    <x v="0"/>
    <x v="1"/>
    <n v="59780701.939999998"/>
    <n v="24808387.6283"/>
    <n v="0.41498990181144735"/>
    <n v="52098"/>
  </r>
  <r>
    <x v="0"/>
    <x v="0"/>
    <x v="2"/>
    <n v="44752658.460000001"/>
    <n v="17442807.539700001"/>
    <n v="0.38976025424926231"/>
    <n v="28084"/>
  </r>
  <r>
    <x v="0"/>
    <x v="0"/>
    <x v="3"/>
    <n v="28834125"/>
    <n v="11842154.6457"/>
    <n v="0.41069928932124694"/>
    <n v="27537"/>
  </r>
  <r>
    <x v="0"/>
    <x v="0"/>
    <x v="4"/>
    <n v="50214254.170000002"/>
    <n v="20140711.6428"/>
    <n v="0.40109550516500281"/>
    <n v="37183"/>
  </r>
  <r>
    <x v="0"/>
    <x v="0"/>
    <x v="5"/>
    <n v="19883230"/>
    <n v="8148278.1514999997"/>
    <n v="0.40980656319420938"/>
    <n v="13416"/>
  </r>
  <r>
    <x v="0"/>
    <x v="0"/>
    <x v="6"/>
    <n v="39537951"/>
    <n v="16181965.946799999"/>
    <n v="0.40927679703988706"/>
    <n v="35406"/>
  </r>
  <r>
    <x v="0"/>
    <x v="0"/>
    <x v="7"/>
    <n v="43026809"/>
    <n v="16905335.167199999"/>
    <n v="0.39290236854887378"/>
    <n v="42281"/>
  </r>
  <r>
    <x v="0"/>
    <x v="0"/>
    <x v="8"/>
    <n v="40448794"/>
    <n v="14699730.1434"/>
    <n v="0.36341578301197314"/>
    <n v="45195"/>
  </r>
  <r>
    <x v="0"/>
    <x v="0"/>
    <x v="9"/>
    <n v="36826164"/>
    <n v="15650088.2634"/>
    <n v="0.42497199174478234"/>
    <n v="47241"/>
  </r>
  <r>
    <x v="0"/>
    <x v="0"/>
    <x v="10"/>
    <n v="5728373"/>
    <n v="2025306.2949999999"/>
    <n v="0.35355698642529038"/>
    <n v="4799"/>
  </r>
  <r>
    <x v="0"/>
    <x v="0"/>
    <x v="11"/>
    <n v="47208260"/>
    <n v="20154435.324299999"/>
    <n v="0.42692603633982695"/>
    <n v="34418"/>
  </r>
  <r>
    <x v="0"/>
    <x v="0"/>
    <x v="12"/>
    <n v="57168735.640000001"/>
    <n v="25428436.1074"/>
    <n v="0.44479619538075199"/>
    <n v="51564"/>
  </r>
  <r>
    <x v="0"/>
    <x v="0"/>
    <x v="13"/>
    <n v="87617806"/>
    <n v="28946892.3796"/>
    <n v="0.33037682294395732"/>
    <n v="53473"/>
  </r>
  <r>
    <x v="0"/>
    <x v="0"/>
    <x v="14"/>
    <n v="48317732"/>
    <n v="17573978.1908"/>
    <n v="0.36371695159036022"/>
    <n v="46449"/>
  </r>
  <r>
    <x v="0"/>
    <x v="0"/>
    <x v="15"/>
    <n v="42291818"/>
    <n v="16317264.317500001"/>
    <n v="0.38582555891780296"/>
    <n v="31079"/>
  </r>
  <r>
    <x v="0"/>
    <x v="0"/>
    <x v="16"/>
    <n v="6226380"/>
    <n v="2559089.1973999999"/>
    <n v="0.41100755132195593"/>
    <n v="6223"/>
  </r>
  <r>
    <x v="0"/>
    <x v="0"/>
    <x v="17"/>
    <n v="42247258"/>
    <n v="17364965.2993"/>
    <n v="0.41103177156018028"/>
    <n v="31268"/>
  </r>
  <r>
    <x v="0"/>
    <x v="0"/>
    <x v="18"/>
    <n v="51096433"/>
    <n v="20628050.5746"/>
    <n v="0.40370823095616087"/>
    <n v="85232"/>
  </r>
  <r>
    <x v="0"/>
    <x v="0"/>
    <x v="19"/>
    <n v="50191595"/>
    <n v="18354754.6076"/>
    <n v="0.36569379011764819"/>
    <n v="41633"/>
  </r>
  <r>
    <x v="0"/>
    <x v="0"/>
    <x v="20"/>
    <n v="41532934.420000002"/>
    <n v="16369968.062999999"/>
    <n v="0.39414426867746466"/>
    <n v="41187.175000000003"/>
  </r>
  <r>
    <x v="0"/>
    <x v="0"/>
    <x v="21"/>
    <n v="4132831"/>
    <n v="1564643.3285000001"/>
    <n v="0.37858875151197813"/>
    <n v="3957"/>
  </r>
  <r>
    <x v="0"/>
    <x v="0"/>
    <x v="22"/>
    <n v="48218081.100000001"/>
    <n v="20274217.853700001"/>
    <n v="0.42046919726343068"/>
    <n v="38009"/>
  </r>
  <r>
    <x v="0"/>
    <x v="0"/>
    <x v="23"/>
    <n v="119900146.2"/>
    <n v="41933701.365199998"/>
    <n v="0.34973853405693345"/>
    <n v="89385"/>
  </r>
  <r>
    <x v="1"/>
    <x v="0"/>
    <x v="24"/>
    <n v="16376958"/>
    <n v="6992908.5510999998"/>
    <n v="0.42699679336663132"/>
    <n v="14633"/>
  </r>
  <r>
    <x v="1"/>
    <x v="0"/>
    <x v="0"/>
    <n v="54308440"/>
    <n v="24667943.804200001"/>
    <n v="0.45421934057026864"/>
    <n v="97273"/>
  </r>
  <r>
    <x v="1"/>
    <x v="0"/>
    <x v="1"/>
    <n v="37871930"/>
    <n v="15059311.4124"/>
    <n v="0.39763781281809507"/>
    <n v="36502"/>
  </r>
  <r>
    <x v="1"/>
    <x v="0"/>
    <x v="2"/>
    <n v="40139015"/>
    <n v="16271589.6231"/>
    <n v="0.40538088996703081"/>
    <n v="28842"/>
  </r>
  <r>
    <x v="1"/>
    <x v="0"/>
    <x v="3"/>
    <n v="51865723"/>
    <n v="18785153.0779"/>
    <n v="0.36218820429631338"/>
    <n v="29096"/>
  </r>
  <r>
    <x v="1"/>
    <x v="0"/>
    <x v="4"/>
    <n v="9150085"/>
    <n v="3827079.5624000002"/>
    <n v="0.41825617602459431"/>
    <n v="3740"/>
  </r>
  <r>
    <x v="1"/>
    <x v="0"/>
    <x v="25"/>
    <n v="37963692"/>
    <n v="15454715.7127"/>
    <n v="0.40709201077439994"/>
    <n v="35648"/>
  </r>
  <r>
    <x v="1"/>
    <x v="0"/>
    <x v="26"/>
    <n v="50592991"/>
    <n v="17974351.078499999"/>
    <n v="0.35527354131919181"/>
    <n v="35246.999999999993"/>
  </r>
  <r>
    <x v="1"/>
    <x v="0"/>
    <x v="6"/>
    <n v="36782303"/>
    <n v="13866114.004000001"/>
    <n v="0.37697786362099189"/>
    <n v="43885.191999999995"/>
  </r>
  <r>
    <x v="1"/>
    <x v="0"/>
    <x v="7"/>
    <n v="41477370"/>
    <n v="17898680.686900001"/>
    <n v="0.43152882371519696"/>
    <n v="43259"/>
  </r>
  <r>
    <x v="1"/>
    <x v="0"/>
    <x v="8"/>
    <n v="40029024"/>
    <n v="15867309.9504"/>
    <n v="0.39639512445769348"/>
    <n v="28126"/>
  </r>
  <r>
    <x v="1"/>
    <x v="0"/>
    <x v="9"/>
    <n v="4866218"/>
    <n v="1690739.5981999999"/>
    <n v="0.34744427771217812"/>
    <n v="4463"/>
  </r>
  <r>
    <x v="1"/>
    <x v="0"/>
    <x v="11"/>
    <n v="38554662"/>
    <n v="16114488.084000001"/>
    <n v="0.41796470901495647"/>
    <n v="31134"/>
  </r>
  <r>
    <x v="1"/>
    <x v="0"/>
    <x v="12"/>
    <n v="37075501"/>
    <n v="15345959.5931"/>
    <n v="0.41391105121141858"/>
    <n v="25804"/>
  </r>
  <r>
    <x v="1"/>
    <x v="0"/>
    <x v="13"/>
    <n v="45535661"/>
    <n v="17278099.537300002"/>
    <n v="0.37944106131016742"/>
    <n v="58172.38"/>
  </r>
  <r>
    <x v="1"/>
    <x v="0"/>
    <x v="14"/>
    <n v="67199517.819999993"/>
    <n v="22367052.0165"/>
    <n v="0.3328454242248014"/>
    <n v="38948.383999999998"/>
  </r>
  <r>
    <x v="1"/>
    <x v="0"/>
    <x v="15"/>
    <n v="2807542"/>
    <n v="1177071.6481000001"/>
    <n v="0.41925344237058609"/>
    <n v="1189"/>
  </r>
  <r>
    <x v="1"/>
    <x v="0"/>
    <x v="27"/>
    <n v="34960206"/>
    <n v="14283942.0601"/>
    <n v="0.40857717085820378"/>
    <n v="26266"/>
  </r>
  <r>
    <x v="1"/>
    <x v="0"/>
    <x v="17"/>
    <n v="37348302.979999997"/>
    <n v="15497289.425799999"/>
    <n v="0.41493958732472508"/>
    <n v="40379"/>
  </r>
  <r>
    <x v="1"/>
    <x v="0"/>
    <x v="18"/>
    <n v="49690269"/>
    <n v="19363498.797200002"/>
    <n v="0.38968391974694283"/>
    <n v="49520"/>
  </r>
  <r>
    <x v="1"/>
    <x v="0"/>
    <x v="19"/>
    <n v="48344607"/>
    <n v="19061335.866700001"/>
    <n v="0.39428050096053113"/>
    <n v="36846"/>
  </r>
  <r>
    <x v="1"/>
    <x v="0"/>
    <x v="20"/>
    <n v="44578822"/>
    <n v="17809872.8651"/>
    <n v="0.39951421024763734"/>
    <n v="33869"/>
  </r>
  <r>
    <x v="1"/>
    <x v="0"/>
    <x v="21"/>
    <n v="3665279"/>
    <n v="1537837.6425999999"/>
    <n v="0.41956905397924688"/>
    <n v="4180"/>
  </r>
  <r>
    <x v="1"/>
    <x v="0"/>
    <x v="28"/>
    <n v="46145297"/>
    <n v="17616005.9892"/>
    <n v="0.38175084211073557"/>
    <n v="39457"/>
  </r>
  <r>
    <x v="1"/>
    <x v="0"/>
    <x v="22"/>
    <n v="63936152"/>
    <n v="26800005.596700002"/>
    <n v="0.41916826018400355"/>
    <n v="54383"/>
  </r>
  <r>
    <x v="1"/>
    <x v="0"/>
    <x v="23"/>
    <n v="117339512"/>
    <n v="36139450.485600002"/>
    <n v="0.30799046177727413"/>
    <n v="77896.034440000003"/>
  </r>
  <r>
    <x v="2"/>
    <x v="0"/>
    <x v="24"/>
    <n v="17181285"/>
    <n v="7765435.2489999998"/>
    <n v="0.45197057431967397"/>
    <n v="10927"/>
  </r>
  <r>
    <x v="2"/>
    <x v="0"/>
    <x v="0"/>
    <n v="49492470"/>
    <n v="23677951.581700001"/>
    <n v="0.4784152333011466"/>
    <n v="51249"/>
  </r>
  <r>
    <x v="2"/>
    <x v="0"/>
    <x v="1"/>
    <n v="42588503"/>
    <n v="18422109.656800002"/>
    <n v="0.4325606292571495"/>
    <n v="46196"/>
  </r>
  <r>
    <x v="2"/>
    <x v="0"/>
    <x v="2"/>
    <n v="52775835"/>
    <n v="21288529.495999999"/>
    <n v="0.40337646000295402"/>
    <n v="43897.582000000002"/>
  </r>
  <r>
    <x v="2"/>
    <x v="0"/>
    <x v="3"/>
    <n v="5400472"/>
    <n v="2365282.0912000001"/>
    <n v="0.43797691964702345"/>
    <n v="10826"/>
  </r>
  <r>
    <x v="2"/>
    <x v="0"/>
    <x v="5"/>
    <n v="27393983"/>
    <n v="12171865.591"/>
    <n v="0.44432624459904208"/>
    <n v="21358"/>
  </r>
  <r>
    <x v="2"/>
    <x v="0"/>
    <x v="25"/>
    <n v="57584507"/>
    <n v="24472335.067699999"/>
    <n v="0.42498123788226577"/>
    <n v="45322"/>
  </r>
  <r>
    <x v="2"/>
    <x v="0"/>
    <x v="26"/>
    <n v="56881270"/>
    <n v="25713335.597199999"/>
    <n v="0.45205276881476097"/>
    <n v="36051"/>
  </r>
  <r>
    <x v="2"/>
    <x v="0"/>
    <x v="6"/>
    <n v="52265575"/>
    <n v="24495806.681600001"/>
    <n v="0.46867955975993758"/>
    <n v="33374"/>
  </r>
  <r>
    <x v="2"/>
    <x v="0"/>
    <x v="7"/>
    <n v="40501950"/>
    <n v="19983152.810800001"/>
    <n v="0.49338742482275544"/>
    <n v="33317"/>
  </r>
  <r>
    <x v="2"/>
    <x v="0"/>
    <x v="8"/>
    <n v="8085332"/>
    <n v="4820163.9604000002"/>
    <n v="0.59616153800487104"/>
    <n v="4348"/>
  </r>
  <r>
    <x v="2"/>
    <x v="0"/>
    <x v="10"/>
    <n v="56539305"/>
    <n v="19723117.765099999"/>
    <n v="0.34883905568170676"/>
    <n v="27623"/>
  </r>
  <r>
    <x v="2"/>
    <x v="0"/>
    <x v="29"/>
    <n v="62483572.600000001"/>
    <n v="27382067.318999998"/>
    <n v="0.43822826031877699"/>
    <n v="55103"/>
  </r>
  <r>
    <x v="2"/>
    <x v="0"/>
    <x v="11"/>
    <n v="55916198"/>
    <n v="25605705.429299999"/>
    <n v="0.45793001572281433"/>
    <n v="45717"/>
  </r>
  <r>
    <x v="2"/>
    <x v="0"/>
    <x v="12"/>
    <n v="44772199"/>
    <n v="19766219.163600001"/>
    <n v="0.44148421576523411"/>
    <n v="32307"/>
  </r>
  <r>
    <x v="2"/>
    <x v="0"/>
    <x v="13"/>
    <n v="44687767"/>
    <n v="20252423.278200001"/>
    <n v="0.45319837257028306"/>
    <n v="32495"/>
  </r>
  <r>
    <x v="2"/>
    <x v="0"/>
    <x v="14"/>
    <n v="5625065"/>
    <n v="2760188.8535000002"/>
    <n v="0.49069457037385344"/>
    <n v="603"/>
  </r>
  <r>
    <x v="2"/>
    <x v="0"/>
    <x v="16"/>
    <n v="22479666"/>
    <n v="8126116.8492000001"/>
    <n v="0.36148743709982167"/>
    <n v="13805"/>
  </r>
  <r>
    <x v="2"/>
    <x v="0"/>
    <x v="27"/>
    <n v="33863850"/>
    <n v="14670331.6603"/>
    <n v="0.43321511465175994"/>
    <n v="25591"/>
  </r>
  <r>
    <x v="2"/>
    <x v="0"/>
    <x v="17"/>
    <n v="45124370.880000003"/>
    <n v="21283013.4351"/>
    <n v="0.47165230273676895"/>
    <n v="36077"/>
  </r>
  <r>
    <x v="2"/>
    <x v="0"/>
    <x v="18"/>
    <n v="47009732"/>
    <n v="20086207.592300002"/>
    <n v="0.42727764523950063"/>
    <n v="38792"/>
  </r>
  <r>
    <x v="2"/>
    <x v="0"/>
    <x v="19"/>
    <n v="47678243"/>
    <n v="21599322.135299999"/>
    <n v="0.45302261107440556"/>
    <n v="40140"/>
  </r>
  <r>
    <x v="2"/>
    <x v="0"/>
    <x v="20"/>
    <n v="7419905"/>
    <n v="3561904.2189000002"/>
    <n v="0.48004714600793408"/>
    <n v="3660"/>
  </r>
  <r>
    <x v="2"/>
    <x v="0"/>
    <x v="30"/>
    <n v="38484405"/>
    <n v="15989352.105599999"/>
    <n v="0.41547614171506614"/>
    <n v="47519"/>
  </r>
  <r>
    <x v="2"/>
    <x v="0"/>
    <x v="28"/>
    <n v="60826587"/>
    <n v="19802859.724199999"/>
    <n v="0.32556256566228187"/>
    <n v="34607"/>
  </r>
  <r>
    <x v="2"/>
    <x v="0"/>
    <x v="22"/>
    <n v="101586568"/>
    <n v="44239273.388400003"/>
    <n v="0.4354834921522302"/>
    <n v="896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x v="0"/>
    <s v="Octubre"/>
    <x v="0"/>
    <n v="-4793237"/>
    <n v="-241822.32699999999"/>
    <n v="5.0450734441046835E-2"/>
    <n v="10482"/>
    <n v="-4551414.6730999965"/>
  </r>
  <r>
    <x v="0"/>
    <s v="Octubre"/>
    <x v="1"/>
    <n v="59780701.939999998"/>
    <n v="24808387.628400002"/>
    <n v="0.41498990181312012"/>
    <n v="52098"/>
    <n v="34972314.311699986"/>
  </r>
  <r>
    <x v="0"/>
    <s v="Octubre"/>
    <x v="2"/>
    <n v="44752658.460000001"/>
    <n v="17442807.539700001"/>
    <n v="0.38976025424926231"/>
    <n v="28084"/>
    <n v="27309850.920300003"/>
  </r>
  <r>
    <x v="0"/>
    <s v="Octubre"/>
    <x v="3"/>
    <n v="28834125"/>
    <n v="11842154.6457"/>
    <n v="0.41069928932124694"/>
    <n v="27537"/>
    <n v="16991970.354399998"/>
  </r>
  <r>
    <x v="0"/>
    <s v="Octubre"/>
    <x v="4"/>
    <n v="50214254.170000002"/>
    <n v="20140711.642700002"/>
    <n v="0.40109550516301135"/>
    <n v="37183"/>
    <n v="30073542.527300008"/>
  </r>
  <r>
    <x v="0"/>
    <s v="Octubre"/>
    <x v="5"/>
    <n v="19883230"/>
    <n v="8148278.1514999997"/>
    <n v="0.40980656319420938"/>
    <n v="13416"/>
    <n v="11734951.8485"/>
  </r>
  <r>
    <x v="0"/>
    <s v="Octubre"/>
    <x v="6"/>
    <n v="39537951"/>
    <n v="16181965.946900001"/>
    <n v="0.40927679704241626"/>
    <n v="35406"/>
    <n v="23355985.053199999"/>
  </r>
  <r>
    <x v="0"/>
    <s v="Octubre"/>
    <x v="7"/>
    <n v="43026809"/>
    <n v="16905335.167199999"/>
    <n v="0.39290236854887378"/>
    <n v="42281"/>
    <n v="26121473.832800001"/>
  </r>
  <r>
    <x v="0"/>
    <s v="Octubre"/>
    <x v="8"/>
    <n v="40448794"/>
    <n v="14699730.1434"/>
    <n v="0.36341578301197314"/>
    <n v="45195"/>
    <n v="25749063.856699999"/>
  </r>
  <r>
    <x v="0"/>
    <s v="Octubre"/>
    <x v="9"/>
    <n v="36826164"/>
    <n v="15650088.263499999"/>
    <n v="0.42497199174749778"/>
    <n v="47241"/>
    <n v="21176075.736599989"/>
  </r>
  <r>
    <x v="0"/>
    <s v="Octubre"/>
    <x v="10"/>
    <n v="5728373"/>
    <n v="2025306.2949999999"/>
    <n v="0.35355698642529038"/>
    <n v="4799"/>
    <n v="3703066.7050999999"/>
  </r>
  <r>
    <x v="0"/>
    <s v="Octubre"/>
    <x v="11"/>
    <n v="47208260"/>
    <n v="20154435.324299999"/>
    <n v="0.42692603633982695"/>
    <n v="34418"/>
    <n v="27053824.675700001"/>
  </r>
  <r>
    <x v="0"/>
    <s v="Octubre"/>
    <x v="12"/>
    <n v="57168735.640000001"/>
    <n v="25428436.1074"/>
    <n v="0.44479619538075199"/>
    <n v="51564"/>
    <n v="31740299.532699987"/>
  </r>
  <r>
    <x v="0"/>
    <s v="Octubre"/>
    <x v="13"/>
    <n v="87617806"/>
    <n v="28946892.379500002"/>
    <n v="0.33037682294281601"/>
    <n v="53473"/>
    <n v="58670913.620500021"/>
  </r>
  <r>
    <x v="0"/>
    <s v="Octubre"/>
    <x v="14"/>
    <n v="48317732"/>
    <n v="17573978.190699998"/>
    <n v="0.36371695158829059"/>
    <n v="46449"/>
    <n v="30743753.809300002"/>
  </r>
  <r>
    <x v="0"/>
    <s v="Octubre"/>
    <x v="15"/>
    <n v="42291818"/>
    <n v="16317264.317500001"/>
    <n v="0.38582555891780296"/>
    <n v="31079"/>
    <n v="25974553.682500012"/>
  </r>
  <r>
    <x v="0"/>
    <s v="Octubre"/>
    <x v="16"/>
    <n v="6226380"/>
    <n v="2559089.1973999999"/>
    <n v="0.41100755132195593"/>
    <n v="6223"/>
    <n v="3667290.802600001"/>
  </r>
  <r>
    <x v="0"/>
    <s v="Octubre"/>
    <x v="17"/>
    <n v="42247258"/>
    <n v="17364965.299199998"/>
    <n v="0.41103177155781329"/>
    <n v="31268"/>
    <n v="24882292.700800005"/>
  </r>
  <r>
    <x v="0"/>
    <s v="Octubre"/>
    <x v="18"/>
    <n v="51096433"/>
    <n v="20628050.574700002"/>
    <n v="0.40370823095811798"/>
    <n v="85232"/>
    <n v="30468382.425399993"/>
  </r>
  <r>
    <x v="0"/>
    <s v="Octubre"/>
    <x v="19"/>
    <n v="50191595"/>
    <n v="18354754.607500002"/>
    <n v="0.36569379011565584"/>
    <n v="41633"/>
    <n v="31836840.392500002"/>
  </r>
  <r>
    <x v="0"/>
    <s v="Octubre"/>
    <x v="20"/>
    <n v="41532934.420000002"/>
    <n v="16369968.063100001"/>
    <n v="0.3941442686798724"/>
    <n v="41187.174999999996"/>
    <n v="25162966.356999993"/>
  </r>
  <r>
    <x v="0"/>
    <s v="Octubre"/>
    <x v="21"/>
    <n v="4132831"/>
    <n v="1564643.3285000001"/>
    <n v="0.37858875151197813"/>
    <n v="3957"/>
    <n v="2568187.6715999995"/>
  </r>
  <r>
    <x v="0"/>
    <s v="Octubre"/>
    <x v="22"/>
    <n v="48218081.100000001"/>
    <n v="20274217.853799999"/>
    <n v="0.42046919726550464"/>
    <n v="38009"/>
    <n v="27943863.246299997"/>
  </r>
  <r>
    <x v="0"/>
    <s v="Octubre"/>
    <x v="23"/>
    <n v="119900146.2"/>
    <n v="41933701.365199998"/>
    <n v="0.34973853405693345"/>
    <n v="89385"/>
    <n v="77966444.834899992"/>
  </r>
  <r>
    <x v="1"/>
    <s v="Octubre"/>
    <x v="24"/>
    <n v="16376958"/>
    <n v="6992908.5511999996"/>
    <n v="0.42699679337273749"/>
    <n v="14633"/>
    <n v="9384049.4488999974"/>
  </r>
  <r>
    <x v="1"/>
    <s v="Octubre"/>
    <x v="0"/>
    <n v="54308440"/>
    <n v="24667943.804099999"/>
    <n v="0.45421934056842728"/>
    <n v="97273"/>
    <n v="29640496.195900001"/>
  </r>
  <r>
    <x v="1"/>
    <s v="Octubre"/>
    <x v="1"/>
    <n v="37871930"/>
    <n v="15059311.4124"/>
    <n v="0.39763781281809507"/>
    <n v="36502"/>
    <n v="22812618.5876"/>
  </r>
  <r>
    <x v="1"/>
    <s v="Octubre"/>
    <x v="2"/>
    <n v="40139015"/>
    <n v="16271589.623"/>
    <n v="0.40538088996453947"/>
    <n v="28842"/>
    <n v="23867425.377"/>
  </r>
  <r>
    <x v="1"/>
    <s v="Octubre"/>
    <x v="3"/>
    <n v="51865723"/>
    <n v="18785153.0779"/>
    <n v="0.36218820429631338"/>
    <n v="29096"/>
    <n v="33080569.922199994"/>
  </r>
  <r>
    <x v="1"/>
    <s v="Octubre"/>
    <x v="4"/>
    <n v="9150085"/>
    <n v="3827079.5624000002"/>
    <n v="0.41825617602459431"/>
    <n v="3740"/>
    <n v="5323005.4376999997"/>
  </r>
  <r>
    <x v="1"/>
    <s v="Octubre"/>
    <x v="25"/>
    <n v="37963692"/>
    <n v="15454715.7127"/>
    <n v="0.40709201077439994"/>
    <n v="35648"/>
    <n v="22508976.2874"/>
  </r>
  <r>
    <x v="1"/>
    <s v="Octubre"/>
    <x v="26"/>
    <n v="50592991"/>
    <n v="17974351.078600001"/>
    <n v="0.3552735413211684"/>
    <n v="35246.999999999993"/>
    <n v="32618639.921499997"/>
  </r>
  <r>
    <x v="1"/>
    <s v="Octubre"/>
    <x v="6"/>
    <n v="36782303"/>
    <n v="13866114.004000001"/>
    <n v="0.37697786362099189"/>
    <n v="43885.192000000003"/>
    <n v="22916188.996099997"/>
  </r>
  <r>
    <x v="1"/>
    <s v="Octubre"/>
    <x v="7"/>
    <n v="41477370"/>
    <n v="17898680.686999999"/>
    <n v="0.43152882371760792"/>
    <n v="43259"/>
    <n v="23578689.313099999"/>
  </r>
  <r>
    <x v="1"/>
    <s v="Octubre"/>
    <x v="8"/>
    <n v="40029024"/>
    <n v="15867309.9504"/>
    <n v="0.39639512445769348"/>
    <n v="28126"/>
    <n v="24161714.049600001"/>
  </r>
  <r>
    <x v="1"/>
    <s v="Octubre"/>
    <x v="9"/>
    <n v="4866218"/>
    <n v="1690739.5981999999"/>
    <n v="0.34744427771217812"/>
    <n v="4463"/>
    <n v="3175478.4018999999"/>
  </r>
  <r>
    <x v="1"/>
    <s v="Octubre"/>
    <x v="11"/>
    <n v="38554662"/>
    <n v="16114488.083900001"/>
    <n v="0.41796470901236277"/>
    <n v="31134"/>
    <n v="22440173.916100003"/>
  </r>
  <r>
    <x v="1"/>
    <s v="Octubre"/>
    <x v="12"/>
    <n v="37075501"/>
    <n v="15345959.5931"/>
    <n v="0.41391105121141858"/>
    <n v="25804"/>
    <n v="21729541.406900004"/>
  </r>
  <r>
    <x v="1"/>
    <s v="Octubre"/>
    <x v="13"/>
    <n v="45535661"/>
    <n v="17278099.537300002"/>
    <n v="0.37944106131016742"/>
    <n v="58172.38"/>
    <n v="28257561.462700006"/>
  </r>
  <r>
    <x v="1"/>
    <s v="Octubre"/>
    <x v="14"/>
    <n v="67199517.819999993"/>
    <n v="22367052.0165"/>
    <n v="0.3328454242248014"/>
    <n v="38948.383999999998"/>
    <n v="44832465.803500004"/>
  </r>
  <r>
    <x v="1"/>
    <s v="Octubre"/>
    <x v="15"/>
    <n v="2807542"/>
    <n v="1177071.6481000001"/>
    <n v="0.41925344237058609"/>
    <n v="1189"/>
    <n v="1630470.3519000001"/>
  </r>
  <r>
    <x v="1"/>
    <s v="Octubre"/>
    <x v="27"/>
    <n v="34960206"/>
    <n v="14283942.060000001"/>
    <n v="0.40857717085534334"/>
    <n v="26266"/>
    <n v="20676263.940000001"/>
  </r>
  <r>
    <x v="1"/>
    <s v="Octubre"/>
    <x v="17"/>
    <n v="37348302.979999997"/>
    <n v="15497289.425799999"/>
    <n v="0.41493958732472508"/>
    <n v="40379"/>
    <n v="21851013.554299995"/>
  </r>
  <r>
    <x v="1"/>
    <s v="Octubre"/>
    <x v="18"/>
    <n v="49690269"/>
    <n v="19363498.797200002"/>
    <n v="0.38968391974694283"/>
    <n v="49520"/>
    <n v="30326770.202800002"/>
  </r>
  <r>
    <x v="1"/>
    <s v="Octubre"/>
    <x v="19"/>
    <n v="48344607"/>
    <n v="19061335.866700001"/>
    <n v="0.39428050096053113"/>
    <n v="36846"/>
    <n v="29283271.133399993"/>
  </r>
  <r>
    <x v="1"/>
    <s v="Octubre"/>
    <x v="20"/>
    <n v="44578822"/>
    <n v="17809872.8651"/>
    <n v="0.39951421024763734"/>
    <n v="33869"/>
    <n v="26768949.134999998"/>
  </r>
  <r>
    <x v="1"/>
    <s v="Octubre"/>
    <x v="21"/>
    <n v="3665279"/>
    <n v="1537837.6427"/>
    <n v="0.41956905400652994"/>
    <n v="4180"/>
    <n v="2127441.3573999996"/>
  </r>
  <r>
    <x v="1"/>
    <s v="Octubre"/>
    <x v="28"/>
    <n v="46145297"/>
    <n v="17616005.9892"/>
    <n v="0.38175084211073557"/>
    <n v="39457"/>
    <n v="28529291.010899998"/>
  </r>
  <r>
    <x v="1"/>
    <s v="Octubre"/>
    <x v="22"/>
    <n v="63936152"/>
    <n v="26800005.596700002"/>
    <n v="0.41916826018400355"/>
    <n v="54383"/>
    <n v="37136146.403399996"/>
  </r>
  <r>
    <x v="1"/>
    <s v="Octubre"/>
    <x v="23"/>
    <n v="117339512"/>
    <n v="36139450.485600002"/>
    <n v="0.30799046177727413"/>
    <n v="77896.034440000003"/>
    <n v="81200061.51440002"/>
  </r>
  <r>
    <x v="2"/>
    <s v="Octubre"/>
    <x v="24"/>
    <n v="17181285"/>
    <n v="7765435.2489999998"/>
    <n v="0.45197057431967397"/>
    <n v="10927"/>
    <n v="9415849.7510000002"/>
  </r>
  <r>
    <x v="2"/>
    <s v="Octubre"/>
    <x v="0"/>
    <n v="49492470"/>
    <n v="23677951.581700001"/>
    <n v="0.4784152333011466"/>
    <n v="51249"/>
    <n v="25814518.418300007"/>
  </r>
  <r>
    <x v="2"/>
    <s v="Octubre"/>
    <x v="1"/>
    <n v="42588503"/>
    <n v="18422109.6569"/>
    <n v="0.43256062925949756"/>
    <n v="46196"/>
    <n v="24166393.343199994"/>
  </r>
  <r>
    <x v="2"/>
    <s v="Octubre"/>
    <x v="2"/>
    <n v="52775835"/>
    <n v="21288529.495999999"/>
    <n v="0.40337646000295402"/>
    <n v="43897.582000000002"/>
    <n v="31487305.504000001"/>
  </r>
  <r>
    <x v="2"/>
    <s v="Octubre"/>
    <x v="3"/>
    <n v="5400472"/>
    <n v="2365282.0910999998"/>
    <n v="0.43797691962850654"/>
    <n v="10826"/>
    <n v="3035189.9089000002"/>
  </r>
  <r>
    <x v="2"/>
    <s v="Octubre"/>
    <x v="5"/>
    <n v="27393983"/>
    <n v="12171865.591"/>
    <n v="0.44432624459904208"/>
    <n v="21358"/>
    <n v="15222117.409000002"/>
  </r>
  <r>
    <x v="2"/>
    <s v="Octubre"/>
    <x v="25"/>
    <n v="57584507"/>
    <n v="24472335.067600001"/>
    <n v="0.42498123788052922"/>
    <n v="45322"/>
    <n v="33112171.932400007"/>
  </r>
  <r>
    <x v="2"/>
    <s v="Octubre"/>
    <x v="26"/>
    <n v="56881270"/>
    <n v="25713335.597100001"/>
    <n v="0.45205276881300294"/>
    <n v="36051"/>
    <n v="31167934.402900003"/>
  </r>
  <r>
    <x v="2"/>
    <s v="Octubre"/>
    <x v="6"/>
    <n v="52265575"/>
    <n v="24495806.681499999"/>
    <n v="0.46867955975802428"/>
    <n v="33374"/>
    <n v="27769768.318500005"/>
  </r>
  <r>
    <x v="2"/>
    <s v="Octubre"/>
    <x v="7"/>
    <n v="40501950"/>
    <n v="19983152.810699999"/>
    <n v="0.49338742482028641"/>
    <n v="33317"/>
    <n v="20518797.189300001"/>
  </r>
  <r>
    <x v="2"/>
    <s v="Octubre"/>
    <x v="8"/>
    <n v="8085332"/>
    <n v="4820163.9605"/>
    <n v="0.59616153801723915"/>
    <n v="4348"/>
    <n v="3265168.0395999998"/>
  </r>
  <r>
    <x v="2"/>
    <s v="Octubre"/>
    <x v="10"/>
    <n v="56539305"/>
    <n v="19723117.765099999"/>
    <n v="0.34883905568170676"/>
    <n v="27623"/>
    <n v="36816187.234999992"/>
  </r>
  <r>
    <x v="2"/>
    <s v="Octubre"/>
    <x v="29"/>
    <n v="62483572.600000001"/>
    <n v="27382067.318999998"/>
    <n v="0.43822826031877699"/>
    <n v="55103"/>
    <n v="35101505.281099997"/>
  </r>
  <r>
    <x v="2"/>
    <s v="Octubre"/>
    <x v="11"/>
    <n v="55916198"/>
    <n v="25605705.429299999"/>
    <n v="0.45793001572281433"/>
    <n v="45717"/>
    <n v="30310492.570799995"/>
  </r>
  <r>
    <x v="2"/>
    <s v="Octubre"/>
    <x v="12"/>
    <n v="44772199"/>
    <n v="19766219.1635"/>
    <n v="0.44148421576300062"/>
    <n v="32307"/>
    <n v="25005979.836500004"/>
  </r>
  <r>
    <x v="2"/>
    <s v="Octubre"/>
    <x v="13"/>
    <n v="44687767"/>
    <n v="20252423.278299998"/>
    <n v="0.45319837257252082"/>
    <n v="32495"/>
    <n v="24435343.721799999"/>
  </r>
  <r>
    <x v="2"/>
    <s v="Octubre"/>
    <x v="14"/>
    <n v="5625065"/>
    <n v="2760188.8535000002"/>
    <n v="0.49069457037385344"/>
    <n v="603"/>
    <n v="2864876.1465000003"/>
  </r>
  <r>
    <x v="2"/>
    <s v="Octubre"/>
    <x v="16"/>
    <n v="22479666"/>
    <n v="8126116.8492000001"/>
    <n v="0.36148743709982167"/>
    <n v="13805"/>
    <n v="14353549.150899995"/>
  </r>
  <r>
    <x v="2"/>
    <s v="Octubre"/>
    <x v="27"/>
    <n v="33863850"/>
    <n v="14670331.6603"/>
    <n v="0.43321511465175994"/>
    <n v="25591"/>
    <n v="19193518.339799996"/>
  </r>
  <r>
    <x v="2"/>
    <s v="Octubre"/>
    <x v="17"/>
    <n v="45124370.880000003"/>
    <n v="21283013.434999999"/>
    <n v="0.47165230273455283"/>
    <n v="36077"/>
    <n v="23841357.445000004"/>
  </r>
  <r>
    <x v="2"/>
    <s v="Octubre"/>
    <x v="18"/>
    <n v="47009732"/>
    <n v="20086207.592300002"/>
    <n v="0.42727764523950063"/>
    <n v="38792"/>
    <n v="26923524.40770001"/>
  </r>
  <r>
    <x v="2"/>
    <s v="Octubre"/>
    <x v="19"/>
    <n v="47678243"/>
    <n v="21599322.135299999"/>
    <n v="0.45302261107440556"/>
    <n v="40140"/>
    <n v="26078920.864799991"/>
  </r>
  <r>
    <x v="2"/>
    <s v="Octubre"/>
    <x v="20"/>
    <n v="7419905"/>
    <n v="3561904.2189000002"/>
    <n v="0.48004714600793408"/>
    <n v="3660"/>
    <n v="3858000.7812000001"/>
  </r>
  <r>
    <x v="2"/>
    <s v="Octubre"/>
    <x v="30"/>
    <n v="38484405"/>
    <n v="15989352.105599999"/>
    <n v="0.41547614171506614"/>
    <n v="47519"/>
    <n v="22495052.894499999"/>
  </r>
  <r>
    <x v="2"/>
    <s v="Octubre"/>
    <x v="28"/>
    <n v="60826587"/>
    <n v="19802859.724199999"/>
    <n v="0.32556256566228187"/>
    <n v="34607"/>
    <m/>
  </r>
  <r>
    <x v="2"/>
    <s v="Octubre"/>
    <x v="22"/>
    <n v="101586568"/>
    <n v="44239273.388400003"/>
    <n v="0.4354834921522302"/>
    <n v="89627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21946956"/>
    <n v="9355198.5958999991"/>
    <n v="0.42626406121650767"/>
    <n v="16862"/>
  </r>
  <r>
    <x v="0"/>
    <x v="0"/>
    <x v="1"/>
    <n v="5317516"/>
    <n v="2259373.0603"/>
    <n v="0.42489257395746433"/>
    <n v="4554"/>
  </r>
  <r>
    <x v="0"/>
    <x v="0"/>
    <x v="2"/>
    <n v="34415142"/>
    <n v="15022613.936100001"/>
    <n v="0.43651175218454713"/>
    <n v="28264"/>
  </r>
  <r>
    <x v="0"/>
    <x v="0"/>
    <x v="3"/>
    <n v="37828514"/>
    <n v="12893759.4099"/>
    <n v="0.34084763175999988"/>
    <n v="75093"/>
  </r>
  <r>
    <x v="0"/>
    <x v="0"/>
    <x v="4"/>
    <n v="55846502"/>
    <n v="23547998.333299998"/>
    <n v="0.42165574369008824"/>
    <n v="100476"/>
  </r>
  <r>
    <x v="0"/>
    <x v="0"/>
    <x v="5"/>
    <n v="42221333.600000001"/>
    <n v="16555929.6394"/>
    <n v="0.3921223757697696"/>
    <n v="38438"/>
  </r>
  <r>
    <x v="0"/>
    <x v="0"/>
    <x v="6"/>
    <n v="6450673"/>
    <n v="2609045.6979999999"/>
    <n v="0.40446100709181815"/>
    <n v="7956"/>
  </r>
  <r>
    <x v="0"/>
    <x v="0"/>
    <x v="7"/>
    <n v="33599291"/>
    <n v="14466058.7512"/>
    <n v="0.43054654787804897"/>
    <n v="40892"/>
  </r>
  <r>
    <x v="0"/>
    <x v="0"/>
    <x v="8"/>
    <n v="50994792"/>
    <n v="20863380.199299999"/>
    <n v="0.40912766541532319"/>
    <n v="50364"/>
  </r>
  <r>
    <x v="0"/>
    <x v="0"/>
    <x v="9"/>
    <n v="52494646.68"/>
    <n v="21768369.8572"/>
    <n v="0.41467790020374701"/>
    <n v="50637"/>
  </r>
  <r>
    <x v="0"/>
    <x v="0"/>
    <x v="10"/>
    <n v="55943278"/>
    <n v="22567277.372900002"/>
    <n v="0.40339569256023933"/>
    <n v="42910"/>
  </r>
  <r>
    <x v="0"/>
    <x v="0"/>
    <x v="11"/>
    <n v="48235540"/>
    <n v="20316350.002500001"/>
    <n v="0.42119047495892031"/>
    <n v="38890"/>
  </r>
  <r>
    <x v="0"/>
    <x v="0"/>
    <x v="12"/>
    <n v="1652354"/>
    <n v="601111.19779999997"/>
    <n v="0.36379080862817531"/>
    <n v="2165"/>
  </r>
  <r>
    <x v="0"/>
    <x v="0"/>
    <x v="13"/>
    <n v="42853445"/>
    <n v="17290862.965399999"/>
    <n v="0.40348828350672855"/>
    <n v="45283"/>
  </r>
  <r>
    <x v="0"/>
    <x v="0"/>
    <x v="14"/>
    <n v="43271942.68"/>
    <n v="15688820.4252"/>
    <n v="0.36256334829291748"/>
    <n v="44420"/>
  </r>
  <r>
    <x v="0"/>
    <x v="0"/>
    <x v="15"/>
    <n v="43708061"/>
    <n v="17831525.857700001"/>
    <n v="0.40796881512771754"/>
    <n v="47995"/>
  </r>
  <r>
    <x v="0"/>
    <x v="0"/>
    <x v="16"/>
    <n v="45138795"/>
    <n v="19020401.191"/>
    <n v="0.42137591823175607"/>
    <n v="49010"/>
  </r>
  <r>
    <x v="0"/>
    <x v="0"/>
    <x v="17"/>
    <n v="39394022"/>
    <n v="12544620.902899999"/>
    <n v="0.31843970902234864"/>
    <n v="38104"/>
  </r>
  <r>
    <x v="0"/>
    <x v="0"/>
    <x v="18"/>
    <n v="1629907"/>
    <n v="563786.88740000001"/>
    <n v="0.34590126148301714"/>
    <n v="2191"/>
  </r>
  <r>
    <x v="0"/>
    <x v="0"/>
    <x v="19"/>
    <n v="34928377.5"/>
    <n v="14303691.092399999"/>
    <n v="0.40951490209930308"/>
    <n v="41705"/>
  </r>
  <r>
    <x v="0"/>
    <x v="0"/>
    <x v="20"/>
    <n v="109852887.12"/>
    <n v="42779108.751599997"/>
    <n v="0.38942179739772687"/>
    <n v="91696"/>
  </r>
  <r>
    <x v="0"/>
    <x v="0"/>
    <x v="21"/>
    <n v="44998185.219999999"/>
    <n v="17010142.021400001"/>
    <n v="0.37801840092519179"/>
    <n v="48906"/>
  </r>
  <r>
    <x v="0"/>
    <x v="0"/>
    <x v="22"/>
    <n v="147587690.63999999"/>
    <n v="44626956.423100002"/>
    <n v="0.30237587043729353"/>
    <n v="95032"/>
  </r>
  <r>
    <x v="1"/>
    <x v="0"/>
    <x v="0"/>
    <n v="27588"/>
    <n v="15166.8385"/>
    <n v="0.54976216108452947"/>
    <n v="12"/>
  </r>
  <r>
    <x v="1"/>
    <x v="0"/>
    <x v="23"/>
    <n v="25106935"/>
    <n v="11843156.960100001"/>
    <n v="0.47170859207227006"/>
    <n v="34837"/>
  </r>
  <r>
    <x v="1"/>
    <x v="0"/>
    <x v="2"/>
    <n v="36927744"/>
    <n v="16959816.355799999"/>
    <n v="0.45927030786933531"/>
    <n v="27209"/>
  </r>
  <r>
    <x v="1"/>
    <x v="0"/>
    <x v="3"/>
    <n v="50503600"/>
    <n v="20721321.079999998"/>
    <n v="0.41029394102598626"/>
    <n v="52661"/>
  </r>
  <r>
    <x v="1"/>
    <x v="0"/>
    <x v="4"/>
    <n v="46399663"/>
    <n v="21296639.300000001"/>
    <n v="0.45898262881779983"/>
    <n v="36538"/>
  </r>
  <r>
    <x v="1"/>
    <x v="0"/>
    <x v="5"/>
    <n v="40796864"/>
    <n v="18303844.779599998"/>
    <n v="0.44865813165443302"/>
    <n v="44703"/>
  </r>
  <r>
    <x v="1"/>
    <x v="0"/>
    <x v="6"/>
    <n v="3866441"/>
    <n v="1819261.8822999999"/>
    <n v="0.47052622354770191"/>
    <n v="970"/>
  </r>
  <r>
    <x v="1"/>
    <x v="0"/>
    <x v="24"/>
    <n v="31843012.039999999"/>
    <n v="14904538.256899999"/>
    <n v="0.4680630789002459"/>
    <n v="27242"/>
  </r>
  <r>
    <x v="1"/>
    <x v="0"/>
    <x v="7"/>
    <n v="58929179"/>
    <n v="26245694.266600002"/>
    <n v="0.44537688649285273"/>
    <n v="39861"/>
  </r>
  <r>
    <x v="1"/>
    <x v="0"/>
    <x v="8"/>
    <n v="49558528"/>
    <n v="22686711.360300001"/>
    <n v="0.45777613411560569"/>
    <n v="56777"/>
  </r>
  <r>
    <x v="1"/>
    <x v="0"/>
    <x v="9"/>
    <n v="57105781"/>
    <n v="24527866.709399998"/>
    <n v="0.42951635158268825"/>
    <n v="57218"/>
  </r>
  <r>
    <x v="1"/>
    <x v="0"/>
    <x v="10"/>
    <n v="38378568"/>
    <n v="17717054.314800002"/>
    <n v="0.46163927520172199"/>
    <n v="25087"/>
  </r>
  <r>
    <x v="1"/>
    <x v="0"/>
    <x v="11"/>
    <n v="7809616"/>
    <n v="2406200.4794999999"/>
    <n v="0.30810739983886531"/>
    <n v="2552"/>
  </r>
  <r>
    <x v="1"/>
    <x v="0"/>
    <x v="25"/>
    <n v="41464035.450000003"/>
    <n v="18973966.1184"/>
    <n v="0.4576005666713272"/>
    <n v="29962"/>
  </r>
  <r>
    <x v="1"/>
    <x v="0"/>
    <x v="13"/>
    <n v="43330487"/>
    <n v="19947037.2929"/>
    <n v="0.46034648290244234"/>
    <n v="38688"/>
  </r>
  <r>
    <x v="1"/>
    <x v="0"/>
    <x v="14"/>
    <n v="65831152"/>
    <n v="26952100.375300001"/>
    <n v="0.40941255859080211"/>
    <n v="60138"/>
  </r>
  <r>
    <x v="1"/>
    <x v="0"/>
    <x v="15"/>
    <n v="41603696.579999998"/>
    <n v="17204209.044399999"/>
    <n v="0.41352597145587583"/>
    <n v="30376"/>
  </r>
  <r>
    <x v="1"/>
    <x v="0"/>
    <x v="16"/>
    <n v="37530020.409999996"/>
    <n v="16852256.7038"/>
    <n v="0.44903404047469314"/>
    <n v="42344"/>
  </r>
  <r>
    <x v="1"/>
    <x v="0"/>
    <x v="17"/>
    <n v="3506383"/>
    <n v="1375752.6237000001"/>
    <n v="0.39235663180548158"/>
    <n v="2518"/>
  </r>
  <r>
    <x v="1"/>
    <x v="0"/>
    <x v="26"/>
    <n v="19548765.960000001"/>
    <n v="9354631.0872000009"/>
    <n v="0.47852795958277461"/>
    <n v="12616"/>
  </r>
  <r>
    <x v="1"/>
    <x v="0"/>
    <x v="19"/>
    <n v="27078433"/>
    <n v="11963932.919500001"/>
    <n v="0.44182515729399852"/>
    <n v="22952"/>
  </r>
  <r>
    <x v="1"/>
    <x v="0"/>
    <x v="20"/>
    <n v="57761668"/>
    <n v="26061909.199499998"/>
    <n v="0.4511973095981231"/>
    <n v="67080"/>
  </r>
  <r>
    <x v="1"/>
    <x v="0"/>
    <x v="21"/>
    <n v="59185521.289999999"/>
    <n v="24079332.235599998"/>
    <n v="0.40684498017031828"/>
    <n v="35681"/>
  </r>
  <r>
    <x v="1"/>
    <x v="0"/>
    <x v="22"/>
    <n v="2506310"/>
    <n v="1077231.7010999999"/>
    <n v="0.42980784543811418"/>
    <n v="2967"/>
  </r>
  <r>
    <x v="1"/>
    <x v="0"/>
    <x v="27"/>
    <n v="50794663"/>
    <n v="17226963.101599999"/>
    <n v="0.33914907756352275"/>
    <n v="3454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">
  <r>
    <n v="2019"/>
    <x v="0"/>
    <x v="0"/>
    <n v="17910126"/>
    <n v="8287509.0690000001"/>
    <n v="0.46272756925328162"/>
    <n v="13945"/>
  </r>
  <r>
    <n v="2019"/>
    <x v="0"/>
    <x v="1"/>
    <n v="42837453"/>
    <n v="18979502.990699999"/>
    <n v="0.44305862420671932"/>
    <n v="30111"/>
  </r>
  <r>
    <n v="2019"/>
    <x v="0"/>
    <x v="2"/>
    <n v="55471865"/>
    <n v="23470865.778299998"/>
    <n v="0.42311297408695381"/>
    <n v="65286"/>
  </r>
  <r>
    <n v="2019"/>
    <x v="0"/>
    <x v="3"/>
    <n v="51574320"/>
    <n v="23004120.541200001"/>
    <n v="0.4460382713955317"/>
    <n v="46776"/>
  </r>
  <r>
    <n v="2019"/>
    <x v="0"/>
    <x v="4"/>
    <n v="39337699"/>
    <n v="16922199.014899999"/>
    <n v="0.43017765261003194"/>
    <n v="37117"/>
  </r>
  <r>
    <n v="2019"/>
    <x v="0"/>
    <x v="5"/>
    <n v="2723067"/>
    <n v="1256896.55"/>
    <n v="0.46157386138497508"/>
    <n v="3790"/>
  </r>
  <r>
    <n v="2019"/>
    <x v="0"/>
    <x v="6"/>
    <n v="30219166"/>
    <n v="14086808.65"/>
    <n v="0.46615477905644387"/>
    <n v="15752"/>
  </r>
  <r>
    <n v="2019"/>
    <x v="0"/>
    <x v="7"/>
    <n v="68500230"/>
    <n v="27737928.773400001"/>
    <n v="0.40493190713958188"/>
    <n v="80546.463000000003"/>
  </r>
  <r>
    <n v="2019"/>
    <x v="0"/>
    <x v="8"/>
    <n v="69644414"/>
    <n v="29681348.749699999"/>
    <n v="0.42618419834360299"/>
    <n v="71269.966"/>
  </r>
  <r>
    <n v="2019"/>
    <x v="0"/>
    <x v="9"/>
    <n v="41541452"/>
    <n v="18491637.784600001"/>
    <n v="0.4451370112099115"/>
    <n v="29151"/>
  </r>
  <r>
    <n v="2019"/>
    <x v="0"/>
    <x v="10"/>
    <n v="53527343"/>
    <n v="23522435.9921"/>
    <n v="0.43944710635272893"/>
    <n v="43620"/>
  </r>
  <r>
    <n v="2019"/>
    <x v="0"/>
    <x v="11"/>
    <n v="3950719"/>
    <n v="2305541.1028999998"/>
    <n v="0.58357506643727386"/>
    <n v="3595"/>
  </r>
  <r>
    <n v="2019"/>
    <x v="0"/>
    <x v="12"/>
    <n v="27649026"/>
    <n v="12531383.2535"/>
    <n v="0.45323054973075722"/>
    <n v="16163"/>
  </r>
  <r>
    <n v="2019"/>
    <x v="0"/>
    <x v="13"/>
    <n v="13065978"/>
    <n v="6045133.5570999999"/>
    <n v="0.46266215641110064"/>
    <n v="16972"/>
  </r>
  <r>
    <n v="2019"/>
    <x v="0"/>
    <x v="14"/>
    <n v="56822600.479999997"/>
    <n v="25489417.118299998"/>
    <n v="0.44857885600064323"/>
    <n v="55881"/>
  </r>
  <r>
    <n v="2019"/>
    <x v="0"/>
    <x v="15"/>
    <n v="36418222"/>
    <n v="16781484.1371"/>
    <n v="0.46079910592834544"/>
    <n v="34202"/>
  </r>
  <r>
    <n v="2019"/>
    <x v="0"/>
    <x v="16"/>
    <n v="65025146"/>
    <n v="30210995.447799999"/>
    <n v="0.46460480762011669"/>
    <n v="75484"/>
  </r>
  <r>
    <n v="2019"/>
    <x v="0"/>
    <x v="17"/>
    <n v="54112048"/>
    <n v="21990286.069499999"/>
    <n v="0.40638428746034527"/>
    <n v="67966"/>
  </r>
  <r>
    <n v="2019"/>
    <x v="0"/>
    <x v="18"/>
    <n v="56317232"/>
    <n v="20986148.230999999"/>
    <n v="0.37264168507074352"/>
    <n v="38773"/>
  </r>
  <r>
    <n v="2019"/>
    <x v="0"/>
    <x v="19"/>
    <n v="5252953"/>
    <n v="2243859.1461999998"/>
    <n v="0.42716147397473381"/>
    <n v="4187"/>
  </r>
  <r>
    <n v="2019"/>
    <x v="0"/>
    <x v="20"/>
    <n v="96175955"/>
    <n v="36571375.835299999"/>
    <n v="0.38025487592298929"/>
    <n v="70677.13500000000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7">
  <r>
    <s v="2019"/>
    <x v="0"/>
    <x v="0"/>
    <n v="17910126"/>
    <n v="8287509.0690000001"/>
    <n v="0.46272756925328162"/>
    <n v="13945"/>
  </r>
  <r>
    <s v="2019"/>
    <x v="0"/>
    <x v="1"/>
    <n v="42837453"/>
    <n v="18979502.990699999"/>
    <n v="0.44305862420671932"/>
    <n v="30111"/>
  </r>
  <r>
    <s v="2019"/>
    <x v="0"/>
    <x v="2"/>
    <n v="55471865"/>
    <n v="23470865.778299998"/>
    <n v="0.42311297408695381"/>
    <n v="65286"/>
  </r>
  <r>
    <s v="2019"/>
    <x v="0"/>
    <x v="3"/>
    <n v="51574320"/>
    <n v="23004120.541200001"/>
    <n v="0.4460382713955317"/>
    <n v="46776"/>
  </r>
  <r>
    <s v="2019"/>
    <x v="0"/>
    <x v="4"/>
    <n v="39337699"/>
    <n v="16922199.014899999"/>
    <n v="0.43017765261003194"/>
    <n v="37117"/>
  </r>
  <r>
    <s v="2019"/>
    <x v="0"/>
    <x v="5"/>
    <n v="2723067"/>
    <n v="1256896.55"/>
    <n v="0.46157386138497508"/>
    <n v="3790"/>
  </r>
  <r>
    <s v="2019"/>
    <x v="0"/>
    <x v="6"/>
    <n v="30219166"/>
    <n v="14086808.65"/>
    <n v="0.46615477905644387"/>
    <n v="15752"/>
  </r>
  <r>
    <s v="2019"/>
    <x v="0"/>
    <x v="7"/>
    <n v="68500230"/>
    <n v="27737928.773400001"/>
    <n v="0.40493190713958188"/>
    <n v="80546.463000000003"/>
  </r>
  <r>
    <s v="2019"/>
    <x v="0"/>
    <x v="8"/>
    <n v="69644414"/>
    <n v="29681348.749699999"/>
    <n v="0.42618419834360299"/>
    <n v="71269.966"/>
  </r>
  <r>
    <s v="2019"/>
    <x v="0"/>
    <x v="9"/>
    <n v="41541452"/>
    <n v="18491637.784600001"/>
    <n v="0.4451370112099115"/>
    <n v="29151"/>
  </r>
  <r>
    <s v="2019"/>
    <x v="0"/>
    <x v="10"/>
    <n v="53527343"/>
    <n v="23522435.9921"/>
    <n v="0.43944710635272893"/>
    <n v="43620"/>
  </r>
  <r>
    <s v="2019"/>
    <x v="0"/>
    <x v="11"/>
    <n v="3950719"/>
    <n v="2305541.1028999998"/>
    <n v="0.58357506643727386"/>
    <n v="3595"/>
  </r>
  <r>
    <s v="2019"/>
    <x v="0"/>
    <x v="12"/>
    <n v="27649026"/>
    <n v="12531383.2535"/>
    <n v="0.45323054973075722"/>
    <n v="16163"/>
  </r>
  <r>
    <s v="2019"/>
    <x v="0"/>
    <x v="13"/>
    <n v="13065978"/>
    <n v="6045133.5570999999"/>
    <n v="0.46266215641110064"/>
    <n v="16972"/>
  </r>
  <r>
    <s v="2019"/>
    <x v="0"/>
    <x v="14"/>
    <n v="56822600.479999997"/>
    <n v="25489417.118299998"/>
    <n v="0.44857885600064323"/>
    <n v="55881"/>
  </r>
  <r>
    <s v="2019"/>
    <x v="0"/>
    <x v="15"/>
    <n v="36418222"/>
    <n v="16781484.1371"/>
    <n v="0.46079910592834544"/>
    <n v="34202"/>
  </r>
  <r>
    <s v="2019"/>
    <x v="0"/>
    <x v="16"/>
    <n v="65025146"/>
    <n v="30210995.447799999"/>
    <n v="0.46460480762011669"/>
    <n v="75484"/>
  </r>
  <r>
    <s v="2019"/>
    <x v="0"/>
    <x v="17"/>
    <n v="54112048"/>
    <n v="21990286.069499999"/>
    <n v="0.40638428746034527"/>
    <n v="67966"/>
  </r>
  <r>
    <s v="2019"/>
    <x v="0"/>
    <x v="18"/>
    <n v="56317232"/>
    <n v="20986148.230999999"/>
    <n v="0.37264168507074352"/>
    <n v="38773"/>
  </r>
  <r>
    <s v="2019"/>
    <x v="0"/>
    <x v="19"/>
    <n v="5252953"/>
    <n v="2243859.1461999998"/>
    <n v="0.42716147397473381"/>
    <n v="4187"/>
  </r>
  <r>
    <s v="2019"/>
    <x v="0"/>
    <x v="20"/>
    <n v="96175955"/>
    <n v="36571375.835299999"/>
    <n v="0.38025487592298929"/>
    <n v="70677.135000000009"/>
  </r>
  <r>
    <s v="2019"/>
    <x v="1"/>
    <x v="21"/>
    <n v="17181285"/>
    <n v="7765435.2489999998"/>
    <n v="0.45197057431967397"/>
    <n v="10927"/>
  </r>
  <r>
    <s v="2019"/>
    <x v="1"/>
    <x v="0"/>
    <n v="49492470"/>
    <n v="23677951.581799999"/>
    <n v="0.47841523330316715"/>
    <n v="51249"/>
  </r>
  <r>
    <s v="2019"/>
    <x v="1"/>
    <x v="1"/>
    <n v="42588503"/>
    <n v="18422109.656800002"/>
    <n v="0.4325606292571495"/>
    <n v="46196"/>
  </r>
  <r>
    <s v="2019"/>
    <x v="1"/>
    <x v="2"/>
    <n v="52775835"/>
    <n v="21288529.496100001"/>
    <n v="0.40337646000484884"/>
    <n v="43897.582000000002"/>
  </r>
  <r>
    <s v="2019"/>
    <x v="1"/>
    <x v="3"/>
    <n v="5400472"/>
    <n v="2365282.0910999998"/>
    <n v="0.43797691962850654"/>
    <n v="10826"/>
  </r>
  <r>
    <s v="2019"/>
    <x v="1"/>
    <x v="5"/>
    <n v="27393983"/>
    <n v="12171865.5911"/>
    <n v="0.44432624460269249"/>
    <n v="21358"/>
  </r>
  <r>
    <s v="2019"/>
    <x v="1"/>
    <x v="22"/>
    <n v="57584507"/>
    <n v="24472335.067699999"/>
    <n v="0.42498123788226577"/>
    <n v="45322"/>
  </r>
  <r>
    <s v="2019"/>
    <x v="1"/>
    <x v="6"/>
    <n v="56881270"/>
    <n v="25713335.597100001"/>
    <n v="0.45205276881300294"/>
    <n v="36051"/>
  </r>
  <r>
    <s v="2019"/>
    <x v="1"/>
    <x v="7"/>
    <n v="52265575"/>
    <n v="24495806.681499999"/>
    <n v="0.46867955975802428"/>
    <n v="33374"/>
  </r>
  <r>
    <s v="2019"/>
    <x v="1"/>
    <x v="8"/>
    <n v="40501950"/>
    <n v="19983152.810800001"/>
    <n v="0.49338742482275544"/>
    <n v="33317"/>
  </r>
  <r>
    <s v="2019"/>
    <x v="1"/>
    <x v="9"/>
    <n v="8085332"/>
    <n v="4820163.9605"/>
    <n v="0.59616153801723915"/>
    <n v="4348"/>
  </r>
  <r>
    <s v="2019"/>
    <x v="1"/>
    <x v="11"/>
    <n v="56539305"/>
    <n v="19723117.765000001"/>
    <n v="0.34883905567993806"/>
    <n v="27623"/>
  </r>
  <r>
    <s v="2019"/>
    <x v="1"/>
    <x v="23"/>
    <n v="62483572.600000001"/>
    <n v="27382067.3189"/>
    <n v="0.43822826031717654"/>
    <n v="55103"/>
  </r>
  <r>
    <s v="2019"/>
    <x v="1"/>
    <x v="12"/>
    <n v="55916198"/>
    <n v="25605705.429299999"/>
    <n v="0.45793001572281433"/>
    <n v="45717"/>
  </r>
  <r>
    <s v="2019"/>
    <x v="1"/>
    <x v="13"/>
    <n v="44772199"/>
    <n v="19766219.1635"/>
    <n v="0.44148421576300062"/>
    <n v="32307"/>
  </r>
  <r>
    <s v="2019"/>
    <x v="1"/>
    <x v="24"/>
    <n v="44687767"/>
    <n v="20252423.278299998"/>
    <n v="0.45319837257252082"/>
    <n v="32495"/>
  </r>
  <r>
    <s v="2019"/>
    <x v="1"/>
    <x v="25"/>
    <n v="5625065"/>
    <n v="2760188.8535000002"/>
    <n v="0.49069457037385344"/>
    <n v="603"/>
  </r>
  <r>
    <s v="2019"/>
    <x v="1"/>
    <x v="26"/>
    <n v="22479666"/>
    <n v="8126116.8492000001"/>
    <n v="0.36148743709982167"/>
    <n v="13805"/>
  </r>
  <r>
    <s v="2019"/>
    <x v="1"/>
    <x v="27"/>
    <n v="33863850"/>
    <n v="14670331.6602"/>
    <n v="0.43321511464880691"/>
    <n v="25591"/>
  </r>
  <r>
    <s v="2019"/>
    <x v="1"/>
    <x v="14"/>
    <n v="45124370.880000003"/>
    <n v="21283013.434999999"/>
    <n v="0.47165230273455283"/>
    <n v="36077"/>
  </r>
  <r>
    <s v="2019"/>
    <x v="1"/>
    <x v="15"/>
    <n v="47009732"/>
    <n v="20086207.592399999"/>
    <n v="0.42727764524162781"/>
    <n v="38792"/>
  </r>
  <r>
    <s v="2019"/>
    <x v="1"/>
    <x v="16"/>
    <n v="47678243"/>
    <n v="21599322.135200001"/>
    <n v="0.45302261107230818"/>
    <n v="40140"/>
  </r>
  <r>
    <s v="2019"/>
    <x v="1"/>
    <x v="17"/>
    <n v="7419905"/>
    <n v="3561904.2189000002"/>
    <n v="0.48004714600793408"/>
    <n v="3660"/>
  </r>
  <r>
    <s v="2019"/>
    <x v="1"/>
    <x v="19"/>
    <n v="38484405"/>
    <n v="15989352.105599999"/>
    <n v="0.41547614171506614"/>
    <n v="47519"/>
  </r>
  <r>
    <s v="2019"/>
    <x v="1"/>
    <x v="28"/>
    <n v="60826587"/>
    <n v="19802859.724199999"/>
    <n v="0.32556256566228187"/>
    <n v="34607"/>
  </r>
  <r>
    <s v="2019"/>
    <x v="1"/>
    <x v="20"/>
    <n v="101586568"/>
    <n v="44239273.388400003"/>
    <n v="0.4354834921522302"/>
    <n v="896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 dinámica5" cacheId="1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51:D83" firstHeaderRow="1" firstDataRow="2" firstDataCol="1"/>
  <pivotFields count="8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numFmtId="41" showAll="0">
      <items count="31">
        <item x="0"/>
        <item x="1"/>
        <item x="2"/>
        <item x="27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9"/>
        <item x="21"/>
        <item x="22"/>
        <item x="23"/>
        <item x="24"/>
        <item x="25"/>
        <item x="26"/>
        <item t="default"/>
      </items>
    </pivotField>
    <pivotField dataField="1" numFmtId="166" showAll="0"/>
    <pivotField numFmtId="166" showAll="0"/>
    <pivotField numFmtId="10" showAll="0"/>
    <pivotField numFmtId="4" showAll="0"/>
    <pivotField numFmtId="166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 Neto" fld="3" baseField="2" baseItem="0" numFmtId="164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1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2:D44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31">
        <item x="25"/>
        <item x="0"/>
        <item x="1"/>
        <item x="2"/>
        <item x="26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28"/>
        <item x="15"/>
        <item x="16"/>
        <item x="17"/>
        <item x="18"/>
        <item x="19"/>
        <item x="20"/>
        <item x="29"/>
        <item x="21"/>
        <item x="22"/>
        <item x="23"/>
        <item x="2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Margen" fld="4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3" cacheId="1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F39:H62" firstHeaderRow="1" firstDataRow="2" firstDataCol="1"/>
  <pivotFields count="7">
    <pivotField showAll="0"/>
    <pivotField axis="axisCol" showAll="0">
      <items count="2">
        <item x="0"/>
        <item t="default"/>
      </items>
    </pivotField>
    <pivotField axis="axisRow" numFmtId="4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/>
    <pivotField numFmtId="166" showAll="0"/>
    <pivotField numFmtId="10" showAll="0"/>
    <pivotField numFmtId="4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Valor Neto" fld="3" baseField="2" baseItem="1" numFmtId="164"/>
  </dataFields>
  <chartFormats count="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19" cacheId="1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9:D69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9">
        <item x="0"/>
        <item x="1"/>
        <item x="23"/>
        <item x="2"/>
        <item x="3"/>
        <item x="4"/>
        <item x="5"/>
        <item x="6"/>
        <item x="24"/>
        <item x="7"/>
        <item x="8"/>
        <item x="9"/>
        <item x="10"/>
        <item x="11"/>
        <item x="12"/>
        <item x="25"/>
        <item x="13"/>
        <item x="14"/>
        <item x="15"/>
        <item x="16"/>
        <item x="17"/>
        <item x="18"/>
        <item x="26"/>
        <item x="19"/>
        <item x="20"/>
        <item x="21"/>
        <item x="22"/>
        <item x="27"/>
        <item t="default"/>
      </items>
    </pivotField>
    <pivotField dataField="1" showAll="0"/>
    <pivotField showAll="0"/>
    <pivotField numFmtId="9"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Valor Neto" fld="3" baseField="2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29" cacheId="1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B26:E56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9">
        <item x="0"/>
        <item x="1"/>
        <item x="23"/>
        <item x="2"/>
        <item x="3"/>
        <item x="4"/>
        <item x="5"/>
        <item x="6"/>
        <item x="24"/>
        <item x="7"/>
        <item x="8"/>
        <item x="9"/>
        <item x="10"/>
        <item x="11"/>
        <item x="12"/>
        <item x="25"/>
        <item x="13"/>
        <item x="14"/>
        <item x="15"/>
        <item x="16"/>
        <item x="17"/>
        <item x="18"/>
        <item x="26"/>
        <item x="19"/>
        <item x="20"/>
        <item x="21"/>
        <item x="22"/>
        <item x="27"/>
        <item t="default"/>
      </items>
    </pivotField>
    <pivotField showAll="0"/>
    <pivotField dataField="1" showAll="0"/>
    <pivotField numFmtId="9"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Margen" fld="4" baseField="0" baseItem="0"/>
  </dataFields>
  <formats count="1">
    <format dxfId="2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30" cacheId="1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G26:I49" firstHeaderRow="1" firstDataRow="2" firstDataCol="1"/>
  <pivotFields count="7">
    <pivotField showAll="0"/>
    <pivotField axis="axisCol" showAll="0">
      <items count="2">
        <item x="0"/>
        <item t="default"/>
      </items>
    </pivotField>
    <pivotField axis="axisRow" numFmtId="4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dataField="1" numFmtId="166" showAll="0"/>
    <pivotField numFmtId="10" showAll="0"/>
    <pivotField numFmtId="4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Margen" fld="4" baseField="2" baseItem="0" numFmtId="41"/>
  </dataFields>
  <formats count="1">
    <format dxfId="2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21" cacheId="1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F120:H143" firstHeaderRow="1" firstDataRow="2" firstDataCol="1"/>
  <pivotFields count="7">
    <pivotField showAll="0"/>
    <pivotField axis="axisCol" showAll="0">
      <items count="2">
        <item x="0"/>
        <item t="default"/>
      </items>
    </pivotField>
    <pivotField axis="axisRow" numFmtId="4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dataField="1" numFmtId="166" showAll="0"/>
    <pivotField numFmtId="10" showAll="0"/>
    <pivotField numFmtId="4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Margen" fld="4" baseField="2" baseItem="0" numFmtId="164"/>
  </dataFields>
  <chartFormats count="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20" cacheId="1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20:C143" firstHeaderRow="1" firstDataRow="2" firstDataCol="1"/>
  <pivotFields count="7">
    <pivotField showAll="0"/>
    <pivotField axis="axisCol" showAll="0">
      <items count="2">
        <item x="0"/>
        <item t="default"/>
      </items>
    </pivotField>
    <pivotField axis="axisRow" numFmtId="4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/>
    <pivotField numFmtId="166" showAll="0"/>
    <pivotField numFmtId="10" showAll="0"/>
    <pivotField numFmtId="4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">
    <i>
      <x/>
    </i>
    <i t="grand">
      <x/>
    </i>
  </colItems>
  <dataFields count="1">
    <dataField name="Suma de Valor Neto" fld="3" baseField="2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18" cacheId="1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F58:I88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9">
        <item x="0"/>
        <item x="1"/>
        <item x="23"/>
        <item x="2"/>
        <item x="3"/>
        <item x="4"/>
        <item x="5"/>
        <item x="6"/>
        <item x="24"/>
        <item x="7"/>
        <item x="8"/>
        <item x="9"/>
        <item x="10"/>
        <item x="11"/>
        <item x="12"/>
        <item x="25"/>
        <item x="13"/>
        <item x="14"/>
        <item x="15"/>
        <item x="16"/>
        <item x="17"/>
        <item x="18"/>
        <item x="26"/>
        <item x="19"/>
        <item x="20"/>
        <item x="21"/>
        <item x="22"/>
        <item x="27"/>
        <item t="default"/>
      </items>
    </pivotField>
    <pivotField dataField="1" showAll="0"/>
    <pivotField showAll="0"/>
    <pivotField numFmtId="9"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Valor Neto" fld="3" baseField="2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17" cacheId="1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58:D88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9">
        <item x="0"/>
        <item x="1"/>
        <item x="23"/>
        <item x="2"/>
        <item x="3"/>
        <item x="4"/>
        <item x="5"/>
        <item x="6"/>
        <item x="24"/>
        <item x="7"/>
        <item x="8"/>
        <item x="9"/>
        <item x="10"/>
        <item x="11"/>
        <item x="12"/>
        <item x="25"/>
        <item x="13"/>
        <item x="14"/>
        <item x="15"/>
        <item x="16"/>
        <item x="17"/>
        <item x="18"/>
        <item x="26"/>
        <item x="19"/>
        <item x="20"/>
        <item x="21"/>
        <item x="22"/>
        <item x="27"/>
        <item t="default"/>
      </items>
    </pivotField>
    <pivotField showAll="0"/>
    <pivotField dataField="1" showAll="0"/>
    <pivotField numFmtId="9"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Marge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1" cacheId="1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6:E49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Row" showAll="0">
      <items count="32">
        <item x="24"/>
        <item x="0"/>
        <item x="1"/>
        <item x="2"/>
        <item x="3"/>
        <item x="4"/>
        <item x="5"/>
        <item x="25"/>
        <item x="26"/>
        <item x="6"/>
        <item x="7"/>
        <item x="8"/>
        <item x="9"/>
        <item x="10"/>
        <item x="29"/>
        <item x="11"/>
        <item x="12"/>
        <item x="13"/>
        <item x="14"/>
        <item x="15"/>
        <item x="16"/>
        <item x="27"/>
        <item x="17"/>
        <item x="18"/>
        <item x="19"/>
        <item x="20"/>
        <item x="21"/>
        <item x="30"/>
        <item x="28"/>
        <item x="22"/>
        <item x="23"/>
        <item t="default"/>
      </items>
    </pivotField>
    <pivotField dataField="1" numFmtId="41" showAll="0"/>
    <pivotField numFmtId="41" showAll="0"/>
    <pivotField numFmtId="9" showAll="0"/>
    <pivotField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Valor Ne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0" cacheId="1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45:E78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2">
        <item x="24"/>
        <item x="0"/>
        <item x="1"/>
        <item x="2"/>
        <item x="3"/>
        <item x="4"/>
        <item x="5"/>
        <item x="25"/>
        <item x="26"/>
        <item x="6"/>
        <item x="7"/>
        <item x="8"/>
        <item x="9"/>
        <item x="10"/>
        <item x="29"/>
        <item x="11"/>
        <item x="12"/>
        <item x="13"/>
        <item x="14"/>
        <item x="15"/>
        <item x="16"/>
        <item x="27"/>
        <item x="17"/>
        <item x="18"/>
        <item x="19"/>
        <item x="20"/>
        <item x="21"/>
        <item x="30"/>
        <item x="28"/>
        <item x="22"/>
        <item x="23"/>
        <item t="default"/>
      </items>
    </pivotField>
    <pivotField numFmtId="166" showAll="0"/>
    <pivotField dataField="1" numFmtId="10" showAll="0"/>
    <pivotField numFmtId="4" showAll="0"/>
    <pivotField numFmtId="166" showAll="0"/>
    <pivotField numFmtId="166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Margen" fld="4" baseField="2" baseItem="0" numFmtId="164"/>
  </dataField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1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84:D116" firstHeaderRow="1" firstDataRow="2" firstDataCol="1"/>
  <pivotFields count="8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numFmtId="41" showAll="0">
      <items count="31">
        <item x="0"/>
        <item x="1"/>
        <item x="2"/>
        <item x="27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9"/>
        <item x="21"/>
        <item x="22"/>
        <item x="23"/>
        <item x="24"/>
        <item x="25"/>
        <item x="26"/>
        <item t="default"/>
      </items>
    </pivotField>
    <pivotField numFmtId="166" showAll="0"/>
    <pivotField dataField="1" numFmtId="166" showAll="0"/>
    <pivotField numFmtId="10" showAll="0"/>
    <pivotField numFmtId="4" showAll="0"/>
    <pivotField numFmtId="166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Margen" fld="4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9" cacheId="1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92:E125" firstHeaderRow="1" firstDataRow="2" firstDataCol="1"/>
  <pivotFields count="8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2">
        <item x="24"/>
        <item x="0"/>
        <item x="1"/>
        <item x="2"/>
        <item x="3"/>
        <item x="4"/>
        <item x="5"/>
        <item x="25"/>
        <item x="26"/>
        <item x="6"/>
        <item x="7"/>
        <item x="8"/>
        <item x="9"/>
        <item x="10"/>
        <item x="29"/>
        <item x="11"/>
        <item x="12"/>
        <item x="13"/>
        <item x="14"/>
        <item x="15"/>
        <item x="16"/>
        <item x="27"/>
        <item x="17"/>
        <item x="18"/>
        <item x="19"/>
        <item x="20"/>
        <item x="21"/>
        <item x="30"/>
        <item x="28"/>
        <item x="22"/>
        <item x="23"/>
        <item t="default"/>
      </items>
    </pivotField>
    <pivotField numFmtId="166" showAll="0"/>
    <pivotField dataField="1" numFmtId="10" showAll="0"/>
    <pivotField numFmtId="4" showAll="0"/>
    <pivotField numFmtId="166" showAll="0"/>
    <pivotField numFmtId="166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Margen" fld="4" baseField="2" baseItem="0" numFmtId="164"/>
  </dataField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1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D35" firstHeaderRow="1" firstDataRow="2" firstDataCol="1"/>
  <pivotFields count="8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numFmtId="41" showAll="0">
      <items count="31">
        <item x="0"/>
        <item x="1"/>
        <item x="2"/>
        <item x="27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9"/>
        <item x="21"/>
        <item x="22"/>
        <item x="23"/>
        <item x="24"/>
        <item x="25"/>
        <item x="26"/>
        <item t="default"/>
      </items>
    </pivotField>
    <pivotField numFmtId="166" showAll="0"/>
    <pivotField dataField="1" numFmtId="166" showAll="0"/>
    <pivotField numFmtId="10" showAll="0"/>
    <pivotField numFmtId="4" showAll="0"/>
    <pivotField numFmtId="166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Margen" fld="4" baseField="0" baseItem="0"/>
  </dataFields>
  <chartFormats count="3"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13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F39:I71" firstHeaderRow="1" firstDataRow="2" firstDataCol="1"/>
  <pivotFields count="8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numFmtId="41" showAll="0">
      <items count="31">
        <item x="0"/>
        <item x="1"/>
        <item x="2"/>
        <item x="27"/>
        <item x="3"/>
        <item x="4"/>
        <item x="5"/>
        <item x="6"/>
        <item x="7"/>
        <item x="8"/>
        <item x="2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9"/>
        <item x="21"/>
        <item x="22"/>
        <item x="23"/>
        <item x="24"/>
        <item x="25"/>
        <item x="26"/>
        <item t="default"/>
      </items>
    </pivotField>
    <pivotField dataField="1" numFmtId="166" showAll="0"/>
    <pivotField numFmtId="166" showAll="0"/>
    <pivotField numFmtId="10" showAll="0"/>
    <pivotField numFmtId="4" showAll="0"/>
    <pivotField numFmtId="166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alor Neto" fld="3" baseField="2" baseItem="0" numFmtId="164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12" cacheId="13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>
  <location ref="A39:D71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31">
        <item x="25"/>
        <item x="0"/>
        <item x="1"/>
        <item x="2"/>
        <item x="26"/>
        <item x="3"/>
        <item x="4"/>
        <item x="5"/>
        <item x="6"/>
        <item x="7"/>
        <item x="8"/>
        <item x="27"/>
        <item x="9"/>
        <item x="10"/>
        <item x="11"/>
        <item x="12"/>
        <item x="13"/>
        <item x="14"/>
        <item x="28"/>
        <item x="15"/>
        <item x="16"/>
        <item x="17"/>
        <item x="18"/>
        <item x="19"/>
        <item x="20"/>
        <item x="29"/>
        <item x="21"/>
        <item x="22"/>
        <item x="23"/>
        <item x="2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Valor Neto" fld="3" baseField="2" baseItem="0" numFmtId="164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4" cacheId="13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47:D78" firstHeaderRow="1" firstDataRow="2" firstDataCol="1"/>
  <pivotFields count="7">
    <pivotField showAll="0"/>
    <pivotField axis="axisCol" showAll="0">
      <items count="3">
        <item x="0"/>
        <item x="1"/>
        <item t="default"/>
      </items>
    </pivotField>
    <pivotField axis="axisRow" numFmtId="41" showAll="0">
      <items count="30">
        <item x="21"/>
        <item x="0"/>
        <item x="1"/>
        <item x="2"/>
        <item x="3"/>
        <item x="4"/>
        <item x="5"/>
        <item x="22"/>
        <item x="6"/>
        <item x="7"/>
        <item x="8"/>
        <item x="9"/>
        <item x="10"/>
        <item x="11"/>
        <item x="23"/>
        <item x="12"/>
        <item x="13"/>
        <item x="24"/>
        <item x="25"/>
        <item x="26"/>
        <item x="27"/>
        <item x="14"/>
        <item x="15"/>
        <item x="16"/>
        <item x="17"/>
        <item x="18"/>
        <item x="19"/>
        <item x="28"/>
        <item x="20"/>
        <item t="default"/>
      </items>
    </pivotField>
    <pivotField numFmtId="166" showAll="0"/>
    <pivotField dataField="1" numFmtId="166" showAll="0"/>
    <pivotField numFmtId="10" showAll="0"/>
    <pivotField numFmtId="4"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Margen" fld="4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" sourceName="Year">
  <pivotTables>
    <pivotTable tabId="14" name="Tabla dinámica12"/>
  </pivotTables>
  <data>
    <tabular pivotCacheId="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y" sourceName="Day">
  <pivotTables>
    <pivotTable tabId="14" name="Tabla dinámica12"/>
  </pivotTables>
  <data>
    <tabular pivotCacheId="4">
      <items count="30">
        <i x="25" s="1"/>
        <i x="0" s="1"/>
        <i x="1" s="1"/>
        <i x="2" s="1"/>
        <i x="26" s="1"/>
        <i x="3" s="1"/>
        <i x="4" s="1"/>
        <i x="5" s="1"/>
        <i x="6" s="1"/>
        <i x="7" s="1"/>
        <i x="8" s="1"/>
        <i x="27" s="1"/>
        <i x="9" s="1"/>
        <i x="10" s="1"/>
        <i x="11" s="1"/>
        <i x="12" s="1"/>
        <i x="13" s="1"/>
        <i x="14" s="1"/>
        <i x="28" s="1"/>
        <i x="15" s="1"/>
        <i x="16" s="1"/>
        <i x="17" s="1"/>
        <i x="18" s="1"/>
        <i x="19" s="1"/>
        <i x="20" s="1"/>
        <i x="29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1" sourceName="Year">
  <data>
    <tabular pivotCacheId="3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y1" sourceName="Day">
  <data>
    <tabular pivotCacheId="3">
      <items count="31">
        <i x="24" s="1"/>
        <i x="0" s="1"/>
        <i x="1" s="1"/>
        <i x="2" s="1"/>
        <i x="3" s="1"/>
        <i x="4" s="1"/>
        <i x="5" s="1"/>
        <i x="25" s="1"/>
        <i x="26" s="1"/>
        <i x="6" s="1"/>
        <i x="7" s="1"/>
        <i x="8" s="1"/>
        <i x="9" s="1"/>
        <i x="10" s="1"/>
        <i x="29" s="1"/>
        <i x="11" s="1"/>
        <i x="12" s="1"/>
        <i x="13" s="1"/>
        <i x="14" s="1"/>
        <i x="15" s="1"/>
        <i x="16" s="1"/>
        <i x="27" s="1"/>
        <i x="17" s="1"/>
        <i x="18" s="1"/>
        <i x="19" s="1"/>
        <i x="20" s="1"/>
        <i x="21" s="1"/>
        <i x="30" s="1"/>
        <i x="28" s="1"/>
        <i x="22" s="1"/>
        <i x="2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3" sourceName="Year">
  <pivotTables>
    <pivotTable tabId="19" name="Tabla dinámica1"/>
  </pivotTables>
  <data>
    <tabular pivotCacheId="5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y3" sourceName="Day">
  <pivotTables>
    <pivotTable tabId="19" name="Tabla dinámica1"/>
  </pivotTables>
  <data>
    <tabular pivotCacheId="5">
      <items count="30">
        <i x="25" s="1"/>
        <i x="0" s="1"/>
        <i x="1" s="1"/>
        <i x="2" s="1"/>
        <i x="26" s="1"/>
        <i x="3" s="1"/>
        <i x="4" s="1"/>
        <i x="5" s="1"/>
        <i x="6" s="1"/>
        <i x="7" s="1"/>
        <i x="8" s="1"/>
        <i x="27" s="1"/>
        <i x="9" s="1"/>
        <i x="10" s="1"/>
        <i x="11" s="1"/>
        <i x="12" s="1"/>
        <i x="13" s="1"/>
        <i x="14" s="1"/>
        <i x="28" s="1"/>
        <i x="15" s="1"/>
        <i x="16" s="1"/>
        <i x="17" s="1"/>
        <i x="18" s="1"/>
        <i x="19" s="1"/>
        <i x="20" s="1"/>
        <i x="29" s="1"/>
        <i x="21" s="1"/>
        <i x="22" s="1"/>
        <i x="23" s="1"/>
        <i x="24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2" sourceName="Year">
  <data>
    <tabular pivotCacheId="4">
      <items count="2"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y2" sourceName="Day">
  <data>
    <tabular pivotCacheId="4">
      <items count="30">
        <i x="25" s="1"/>
        <i x="0" s="1"/>
        <i x="1" s="1"/>
        <i x="2" s="1"/>
        <i x="26" s="1"/>
        <i x="3" s="1"/>
        <i x="4" s="1"/>
        <i x="5" s="1"/>
        <i x="6" s="1"/>
        <i x="7" s="1"/>
        <i x="8" s="1"/>
        <i x="27" s="1"/>
        <i x="9" s="1"/>
        <i x="10" s="1"/>
        <i x="11" s="1"/>
        <i x="12" s="1"/>
        <i x="13" s="1"/>
        <i x="14" s="1"/>
        <i x="28" s="1"/>
        <i x="15" s="1"/>
        <i x="16" s="1"/>
        <i x="17" s="1"/>
        <i x="18" s="1"/>
        <i x="19" s="1"/>
        <i x="20" s="1"/>
        <i x="29" s="1"/>
        <i x="21" s="1"/>
        <i x="22" s="1"/>
        <i x="23" s="1"/>
        <i x="2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1" cache="SegmentaciónDeDatos_Year1" caption="Year" rowHeight="241300"/>
  <slicer name="Day 1" cache="SegmentaciónDeDatos_Day1" caption="Day" columnCount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egmentaciónDeDatos_Year" caption="Year" rowHeight="241300"/>
  <slicer name="Day" cache="SegmentaciónDeDatos_Day" caption="Day" columnCount="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3" cache="SegmentaciónDeDatos_Year3" caption="Year" rowHeight="241300"/>
  <slicer name="Day 3" cache="SegmentaciónDeDatos_Day3" caption="Day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 2" cache="SegmentaciónDeDatos_Year2" caption="Year" rowHeight="241300"/>
  <slicer name="Day 2" cache="SegmentaciónDeDatos_Day2" caption="Day" columnCount="6" rowHeight="241300"/>
</slicers>
</file>

<file path=xl/tables/table1.xml><?xml version="1.0" encoding="utf-8"?>
<table xmlns="http://schemas.openxmlformats.org/spreadsheetml/2006/main" id="6" name="Tabla6" displayName="Tabla6" ref="A5:H81" totalsRowShown="0" headerRowDxfId="91" dataDxfId="90">
  <autoFilter ref="A5:H81"/>
  <tableColumns count="8">
    <tableColumn id="1" name="Year" dataDxfId="89">
      <calculatedColumnFormula>+A5</calculatedColumnFormula>
    </tableColumn>
    <tableColumn id="2" name="Month" dataDxfId="88" dataCellStyle="Millares [0]">
      <calculatedColumnFormula>+B5</calculatedColumnFormula>
    </tableColumn>
    <tableColumn id="3" name="Day" dataDxfId="87"/>
    <tableColumn id="4" name="Valor Neto" dataDxfId="86"/>
    <tableColumn id="5" name="Margen" dataDxfId="85"/>
    <tableColumn id="6" name="Mar%" dataDxfId="84"/>
    <tableColumn id="7" name="Cantidad" dataDxfId="83"/>
    <tableColumn id="8" name="Costo Promedio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5:G81" totalsRowShown="0" headerRowDxfId="81">
  <autoFilter ref="A5:G81"/>
  <tableColumns count="7">
    <tableColumn id="1" name="Year">
      <calculatedColumnFormula>+A5</calculatedColumnFormula>
    </tableColumn>
    <tableColumn id="2" name="Month">
      <calculatedColumnFormula>+B5</calculatedColumnFormula>
    </tableColumn>
    <tableColumn id="3" name="Day"/>
    <tableColumn id="4" name="Valor Neto" dataCellStyle="Millares [0]"/>
    <tableColumn id="5" name="Margen" dataCellStyle="Millares [0]"/>
    <tableColumn id="6" name="Mar%" dataCellStyle="Porcentaje"/>
    <tableColumn id="7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5:H53" totalsRowShown="0" headerRowDxfId="80" dataDxfId="79">
  <autoFilter ref="A5:H53"/>
  <tableColumns count="8">
    <tableColumn id="1" name="Year" dataDxfId="78">
      <calculatedColumnFormula>+A5</calculatedColumnFormula>
    </tableColumn>
    <tableColumn id="2" name="Month" dataDxfId="77">
      <calculatedColumnFormula>+B5</calculatedColumnFormula>
    </tableColumn>
    <tableColumn id="3" name="Day" dataDxfId="76" dataCellStyle="Millares [0]"/>
    <tableColumn id="4" name="Valor Neto" dataDxfId="75"/>
    <tableColumn id="5" name="Margen" dataDxfId="74"/>
    <tableColumn id="6" name="Mar%" dataDxfId="73"/>
    <tableColumn id="7" name="Cantidad" dataDxfId="72"/>
    <tableColumn id="8" name="Costo Promedio" dataDxfId="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A5:G53" totalsRowShown="0" headerRowDxfId="20">
  <autoFilter ref="A5:G53"/>
  <tableColumns count="7">
    <tableColumn id="1" name="Year">
      <calculatedColumnFormula>+A5</calculatedColumnFormula>
    </tableColumn>
    <tableColumn id="2" name="Month">
      <calculatedColumnFormula>+B5</calculatedColumnFormula>
    </tableColumn>
    <tableColumn id="3" name="Day"/>
    <tableColumn id="4" name="Valor Neto"/>
    <tableColumn id="5" name="Margen"/>
    <tableColumn id="6" name="Mar%" dataCellStyle="Porcentaje"/>
    <tableColumn id="7" name="Cantid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95:G116" totalsRowShown="0" headerRowDxfId="19" dataDxfId="18">
  <autoFilter ref="A95:G116"/>
  <tableColumns count="7">
    <tableColumn id="1" name="Year" dataDxfId="17"/>
    <tableColumn id="2" name="Month" dataDxfId="16">
      <calculatedColumnFormula>+B95</calculatedColumnFormula>
    </tableColumn>
    <tableColumn id="3" name="Day" dataDxfId="15" dataCellStyle="Millares [0]"/>
    <tableColumn id="4" name="Valor Neto" dataDxfId="14"/>
    <tableColumn id="5" name="Margen" dataDxfId="13"/>
    <tableColumn id="6" name="Mar%" dataDxfId="12"/>
    <tableColumn id="7" name="Cantidad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53" displayName="Tabla53" ref="A5:G54" totalsRowShown="0" headerRowDxfId="10">
  <autoFilter ref="A5:G54"/>
  <tableColumns count="7">
    <tableColumn id="1" name="Year">
      <calculatedColumnFormula>+A5</calculatedColumnFormula>
    </tableColumn>
    <tableColumn id="2" name="Month">
      <calculatedColumnFormula>+B5</calculatedColumnFormula>
    </tableColumn>
    <tableColumn id="3" name="Day"/>
    <tableColumn id="4" name="Valor Neto"/>
    <tableColumn id="5" name="Margen"/>
    <tableColumn id="6" name="Mar%"/>
    <tableColumn id="7" name="Cant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a5" displayName="Tabla5" ref="A5:G54" totalsRowShown="0" headerRowDxfId="9">
  <autoFilter ref="A5:G54"/>
  <tableColumns count="7">
    <tableColumn id="1" name="Year">
      <calculatedColumnFormula>+A5</calculatedColumnFormula>
    </tableColumn>
    <tableColumn id="2" name="Month">
      <calculatedColumnFormula>+B5</calculatedColumnFormula>
    </tableColumn>
    <tableColumn id="3" name="Day"/>
    <tableColumn id="4" name="Valor Neto"/>
    <tableColumn id="5" name="Margen"/>
    <tableColumn id="6" name="Mar%"/>
    <tableColumn id="7" name="Cantida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a1" displayName="Tabla1" ref="A62:G109" totalsRowShown="0" headerRowDxfId="8" dataDxfId="7">
  <autoFilter ref="A62:G109"/>
  <tableColumns count="7">
    <tableColumn id="1" name="Year" dataDxfId="6">
      <calculatedColumnFormula>+A62</calculatedColumnFormula>
    </tableColumn>
    <tableColumn id="2" name="Month" dataDxfId="5">
      <calculatedColumnFormula>+B62</calculatedColumnFormula>
    </tableColumn>
    <tableColumn id="3" name="Day" dataDxfId="4" dataCellStyle="Millares [0]"/>
    <tableColumn id="4" name="Valor Neto" dataDxfId="3"/>
    <tableColumn id="5" name="Margen" dataDxfId="2"/>
    <tableColumn id="6" name="Mar%" dataDxfId="1"/>
    <tableColumn id="7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microsoft.com/office/2007/relationships/slicer" Target="../slicers/slicer2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microsoft.com/office/2007/relationships/slicer" Target="../slicers/slicer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opLeftCell="B1" workbookViewId="0">
      <selection activeCell="G78" sqref="G78:Z88"/>
    </sheetView>
  </sheetViews>
  <sheetFormatPr baseColWidth="10" defaultRowHeight="15" x14ac:dyDescent="0.25"/>
  <cols>
    <col min="1" max="1" width="18.7109375" customWidth="1"/>
    <col min="2" max="2" width="22.42578125" bestFit="1" customWidth="1"/>
    <col min="3" max="3" width="12" customWidth="1"/>
    <col min="4" max="4" width="13.7109375" bestFit="1" customWidth="1"/>
    <col min="5" max="5" width="12.5703125" customWidth="1"/>
    <col min="6" max="6" width="16.7109375" bestFit="1" customWidth="1"/>
    <col min="7" max="7" width="15.42578125" bestFit="1" customWidth="1"/>
    <col min="8" max="8" width="13.5703125" bestFit="1" customWidth="1"/>
    <col min="9" max="12" width="16.28515625" bestFit="1" customWidth="1"/>
    <col min="13" max="14" width="12" bestFit="1" customWidth="1"/>
    <col min="16" max="17" width="12" bestFit="1" customWidth="1"/>
    <col min="19" max="20" width="12" bestFit="1" customWidth="1"/>
    <col min="22" max="22" width="12" bestFit="1" customWidth="1"/>
    <col min="23" max="25" width="11.42578125" customWidth="1"/>
    <col min="26" max="27" width="13.5703125" bestFit="1" customWidth="1"/>
  </cols>
  <sheetData>
    <row r="1" spans="1:13" ht="15.75" thickBot="1" x14ac:dyDescent="0.3"/>
    <row r="2" spans="1:13" ht="15.75" thickBot="1" x14ac:dyDescent="0.3">
      <c r="A2" s="218" t="s">
        <v>64</v>
      </c>
      <c r="B2" s="53"/>
      <c r="C2" s="53" t="s">
        <v>60</v>
      </c>
      <c r="D2" s="52"/>
      <c r="E2" s="189"/>
      <c r="F2" s="54"/>
      <c r="G2" s="67"/>
      <c r="H2" s="54"/>
      <c r="I2" s="68" t="s">
        <v>67</v>
      </c>
    </row>
    <row r="3" spans="1:13" ht="15.75" thickBot="1" x14ac:dyDescent="0.3">
      <c r="A3" s="219"/>
      <c r="B3" s="25" t="s">
        <v>65</v>
      </c>
      <c r="C3" s="44" t="s">
        <v>51</v>
      </c>
      <c r="D3" s="65">
        <v>1189280738</v>
      </c>
      <c r="E3" s="190"/>
      <c r="F3" s="181" t="s">
        <v>66</v>
      </c>
      <c r="H3" s="56"/>
      <c r="I3" s="70">
        <v>0.90959999999999996</v>
      </c>
      <c r="J3" s="57"/>
      <c r="K3" s="104">
        <v>1</v>
      </c>
    </row>
    <row r="4" spans="1:13" ht="15.75" thickBot="1" x14ac:dyDescent="0.3">
      <c r="A4" s="63"/>
      <c r="B4" s="25"/>
      <c r="C4" s="24"/>
      <c r="D4" s="24">
        <v>2019</v>
      </c>
      <c r="E4" s="78" t="s">
        <v>69</v>
      </c>
      <c r="F4" s="182">
        <v>2019</v>
      </c>
      <c r="G4" s="169" t="s">
        <v>76</v>
      </c>
      <c r="H4" s="69" t="s">
        <v>52</v>
      </c>
      <c r="I4" s="78" t="s">
        <v>55</v>
      </c>
      <c r="J4" s="99" t="s">
        <v>56</v>
      </c>
      <c r="K4" s="109" t="s">
        <v>72</v>
      </c>
      <c r="L4" s="101"/>
      <c r="M4" s="97"/>
    </row>
    <row r="5" spans="1:13" x14ac:dyDescent="0.25">
      <c r="A5" s="63">
        <v>1</v>
      </c>
      <c r="B5" s="25">
        <v>4</v>
      </c>
      <c r="C5" s="25" t="s">
        <v>32</v>
      </c>
      <c r="D5" s="45">
        <f>(I18*B5)+(I17*A5)</f>
        <v>0.13764319726711879</v>
      </c>
      <c r="E5" s="72">
        <f>D5</f>
        <v>0.13764319726711879</v>
      </c>
      <c r="F5" s="183">
        <f>$J$88</f>
        <v>0.14078977288539923</v>
      </c>
      <c r="G5" s="50">
        <f>$D$3*D5</f>
        <v>163696403.22651863</v>
      </c>
      <c r="H5" s="28">
        <f>F5*$D$3</f>
        <v>167438565</v>
      </c>
      <c r="I5" s="77">
        <f>F5</f>
        <v>0.14078977288539923</v>
      </c>
      <c r="J5" s="100">
        <f>F5-D5</f>
        <v>3.1465756182804394E-3</v>
      </c>
      <c r="K5" s="107" t="e">
        <f>I5-#REF!</f>
        <v>#REF!</v>
      </c>
      <c r="L5" s="9"/>
      <c r="M5" s="98"/>
    </row>
    <row r="6" spans="1:13" x14ac:dyDescent="0.25">
      <c r="A6" s="63">
        <v>1</v>
      </c>
      <c r="B6" s="25">
        <v>5</v>
      </c>
      <c r="C6" s="25" t="s">
        <v>34</v>
      </c>
      <c r="D6" s="45">
        <f>(I19*B6)+(I17*A6)</f>
        <v>0.22026508199117778</v>
      </c>
      <c r="E6" s="191">
        <f>D6+E5</f>
        <v>0.3579082792582966</v>
      </c>
      <c r="F6" s="183">
        <f>$M$88</f>
        <v>0.20408353490040296</v>
      </c>
      <c r="G6" s="50">
        <f t="shared" ref="G6:G10" si="0">$D$3*D6</f>
        <v>261957019.26609841</v>
      </c>
      <c r="H6" s="28">
        <f t="shared" ref="H6:H10" si="1">F6*$D$3</f>
        <v>242712617</v>
      </c>
      <c r="I6" s="75">
        <f>F6+I5</f>
        <v>0.34487330778580216</v>
      </c>
      <c r="J6" s="100">
        <f t="shared" ref="J6" si="2">F6-D6</f>
        <v>-1.6181547090774823E-2</v>
      </c>
      <c r="K6" s="107" t="e">
        <f>I6-#REF!</f>
        <v>#REF!</v>
      </c>
      <c r="L6" s="9"/>
      <c r="M6" s="98"/>
    </row>
    <row r="7" spans="1:13" x14ac:dyDescent="0.25">
      <c r="A7" s="63">
        <v>1</v>
      </c>
      <c r="B7" s="25">
        <v>5</v>
      </c>
      <c r="C7" s="25" t="s">
        <v>36</v>
      </c>
      <c r="D7" s="45">
        <f>(I20*B7)+(I17*A7)</f>
        <v>0.18787873411696843</v>
      </c>
      <c r="E7" s="191">
        <f>D7+E6</f>
        <v>0.54578701337526503</v>
      </c>
      <c r="F7" s="183">
        <f>$P$88</f>
        <v>0.22704824687070649</v>
      </c>
      <c r="G7" s="50">
        <f t="shared" si="0"/>
        <v>223440559.56513399</v>
      </c>
      <c r="H7" s="28">
        <f>F7*$D$3</f>
        <v>270024106.60000002</v>
      </c>
      <c r="I7" s="75">
        <f>F7+I6</f>
        <v>0.57192155465650862</v>
      </c>
      <c r="J7" s="100">
        <f>F7-D7</f>
        <v>3.9169512753738062E-2</v>
      </c>
      <c r="K7" s="107" t="e">
        <f>I7-#REF!</f>
        <v>#REF!</v>
      </c>
      <c r="L7" s="9"/>
      <c r="M7" s="98"/>
    </row>
    <row r="8" spans="1:13" x14ac:dyDescent="0.25">
      <c r="A8" s="63">
        <v>1</v>
      </c>
      <c r="B8" s="25">
        <v>5</v>
      </c>
      <c r="C8" s="25" t="s">
        <v>37</v>
      </c>
      <c r="D8" s="45">
        <f>(I21*B8)+(I17*A8)</f>
        <v>0.24084596961609733</v>
      </c>
      <c r="E8" s="191">
        <f>D8+E7</f>
        <v>0.78663298299136231</v>
      </c>
      <c r="F8" s="183">
        <f>$S$88</f>
        <v>0.17117553524187323</v>
      </c>
      <c r="G8" s="50">
        <f t="shared" si="0"/>
        <v>286433472.48935783</v>
      </c>
      <c r="H8" s="28">
        <f t="shared" si="1"/>
        <v>203575766.88</v>
      </c>
      <c r="I8" s="75">
        <f t="shared" ref="I8:I10" si="3">F8+I7</f>
        <v>0.74309708989838186</v>
      </c>
      <c r="J8" s="100">
        <f>F8-D8</f>
        <v>-6.9670434374224099E-2</v>
      </c>
      <c r="K8" s="107" t="e">
        <f>I8-#REF!</f>
        <v>#REF!</v>
      </c>
      <c r="L8" s="47" t="s">
        <v>73</v>
      </c>
      <c r="M8" s="98"/>
    </row>
    <row r="9" spans="1:13" x14ac:dyDescent="0.25">
      <c r="A9" s="63">
        <v>1</v>
      </c>
      <c r="B9" s="25">
        <v>2</v>
      </c>
      <c r="C9" s="25" t="s">
        <v>46</v>
      </c>
      <c r="D9" s="45">
        <f>(I22*B9)+(I17*A9)</f>
        <v>0.10063821726527425</v>
      </c>
      <c r="E9" s="191">
        <f>D9+E8</f>
        <v>0.88727120025663653</v>
      </c>
      <c r="F9" s="183">
        <f>$V$80+V81</f>
        <v>8.3505087425371216E-2</v>
      </c>
      <c r="G9" s="50">
        <f>$D$3*D9</f>
        <v>119687093.3002497</v>
      </c>
      <c r="H9" s="28">
        <f>F9*$D$3</f>
        <v>99310992</v>
      </c>
      <c r="I9" s="75">
        <f t="shared" si="3"/>
        <v>0.82660217732375307</v>
      </c>
      <c r="J9" s="100"/>
      <c r="K9" s="107" t="e">
        <f>I9-#REF!</f>
        <v>#REF!</v>
      </c>
      <c r="L9" s="105">
        <f>D9+I8</f>
        <v>0.84373530716365608</v>
      </c>
      <c r="M9" s="103" t="s">
        <v>62</v>
      </c>
    </row>
    <row r="10" spans="1:13" ht="15.75" thickBot="1" x14ac:dyDescent="0.3">
      <c r="A10" s="63"/>
      <c r="B10" s="25">
        <v>1</v>
      </c>
      <c r="C10" s="25" t="s">
        <v>63</v>
      </c>
      <c r="D10" s="45">
        <f>(I23*B10)+(I17*A10)</f>
        <v>0.1140761649632149</v>
      </c>
      <c r="E10" s="191">
        <f>D10+E9</f>
        <v>1.0013473652198515</v>
      </c>
      <c r="F10" s="183">
        <f>V82</f>
        <v>8.5418492668801638E-2</v>
      </c>
      <c r="G10" s="50">
        <f t="shared" si="0"/>
        <v>135668585.65566197</v>
      </c>
      <c r="H10" s="28">
        <f t="shared" si="1"/>
        <v>101586568</v>
      </c>
      <c r="I10" s="75">
        <f t="shared" si="3"/>
        <v>0.91202066999255471</v>
      </c>
      <c r="J10" s="100"/>
      <c r="K10" s="108" t="e">
        <f>I10-#REF!</f>
        <v>#REF!</v>
      </c>
      <c r="L10" s="102"/>
      <c r="M10" s="106">
        <f>D10+L9</f>
        <v>0.95781147212687101</v>
      </c>
    </row>
    <row r="11" spans="1:13" ht="19.5" thickBot="1" x14ac:dyDescent="0.35">
      <c r="A11" s="192"/>
      <c r="B11" s="193"/>
      <c r="C11" s="193"/>
      <c r="D11" s="194"/>
      <c r="E11" s="195"/>
      <c r="F11" s="184"/>
      <c r="G11" s="48"/>
      <c r="H11" s="26">
        <f>SUM(H5:H10)</f>
        <v>1084648615.48</v>
      </c>
      <c r="I11" s="27">
        <f>I10</f>
        <v>0.91202066999255471</v>
      </c>
      <c r="J11" s="59">
        <f>I11-I3</f>
        <v>2.420669992554747E-3</v>
      </c>
    </row>
    <row r="12" spans="1:13" ht="15.75" thickBot="1" x14ac:dyDescent="0.3">
      <c r="A12" s="185"/>
      <c r="B12" s="186"/>
      <c r="C12" s="186"/>
      <c r="D12" s="187"/>
      <c r="E12" s="188" t="str">
        <f>C2</f>
        <v>Proyeccion</v>
      </c>
      <c r="F12" s="83">
        <f>SUM(G5:G11)</f>
        <v>1190883133.5030205</v>
      </c>
      <c r="H12" s="51"/>
      <c r="I12" s="62"/>
      <c r="L12">
        <f>60826587</f>
        <v>60826587</v>
      </c>
    </row>
    <row r="13" spans="1:13" ht="15.75" thickBot="1" x14ac:dyDescent="0.3">
      <c r="G13" s="84">
        <f>E10</f>
        <v>1.0013473652198515</v>
      </c>
      <c r="H13" s="85"/>
      <c r="I13" s="86"/>
      <c r="J13" s="87"/>
    </row>
    <row r="15" spans="1:13" ht="15.75" thickBot="1" x14ac:dyDescent="0.3"/>
    <row r="16" spans="1:13" ht="15.75" thickBot="1" x14ac:dyDescent="0.3">
      <c r="A16" s="5" t="s">
        <v>30</v>
      </c>
      <c r="B16" s="5" t="s">
        <v>28</v>
      </c>
      <c r="H16" s="214" t="s">
        <v>61</v>
      </c>
      <c r="I16" s="215"/>
    </row>
    <row r="17" spans="1:9" x14ac:dyDescent="0.25">
      <c r="A17" s="5" t="s">
        <v>31</v>
      </c>
      <c r="B17" t="s">
        <v>23</v>
      </c>
      <c r="C17" t="s">
        <v>26</v>
      </c>
      <c r="D17" t="s">
        <v>27</v>
      </c>
      <c r="E17" t="s">
        <v>29</v>
      </c>
      <c r="H17" s="90" t="s">
        <v>64</v>
      </c>
      <c r="I17" s="91">
        <f>(H70+H53+H104+H117)/4</f>
        <v>5.9425015793216299E-3</v>
      </c>
    </row>
    <row r="18" spans="1:9" x14ac:dyDescent="0.25">
      <c r="A18" s="6">
        <v>1</v>
      </c>
      <c r="B18" s="2"/>
      <c r="C18" s="2">
        <v>16376958</v>
      </c>
      <c r="D18" s="2">
        <v>17181285</v>
      </c>
      <c r="E18" s="2">
        <v>33558243</v>
      </c>
      <c r="H18" s="25" t="s">
        <v>32</v>
      </c>
      <c r="I18" s="42">
        <f>(J52+J103+J116+J69)/4</f>
        <v>3.292517392194929E-2</v>
      </c>
    </row>
    <row r="19" spans="1:9" x14ac:dyDescent="0.25">
      <c r="A19" s="6">
        <v>2</v>
      </c>
      <c r="B19" s="2">
        <v>-4793237</v>
      </c>
      <c r="C19" s="2">
        <v>54308440</v>
      </c>
      <c r="D19" s="2">
        <v>49492470</v>
      </c>
      <c r="E19" s="2">
        <v>99007673</v>
      </c>
      <c r="H19" s="25" t="s">
        <v>34</v>
      </c>
      <c r="I19" s="42">
        <f>(M52+M69+M103+M116)/4</f>
        <v>4.2864516082371226E-2</v>
      </c>
    </row>
    <row r="20" spans="1:9" x14ac:dyDescent="0.25">
      <c r="A20" s="6">
        <v>3</v>
      </c>
      <c r="B20" s="2">
        <v>59780701.939999998</v>
      </c>
      <c r="C20" s="2">
        <v>37871930</v>
      </c>
      <c r="D20" s="2">
        <v>42588503</v>
      </c>
      <c r="E20" s="2">
        <v>140241134.94</v>
      </c>
      <c r="H20" s="25" t="s">
        <v>36</v>
      </c>
      <c r="I20" s="42">
        <f>(P52+P69+P103+P116)/4</f>
        <v>3.6387246507529357E-2</v>
      </c>
    </row>
    <row r="21" spans="1:9" x14ac:dyDescent="0.25">
      <c r="A21" s="6">
        <v>4</v>
      </c>
      <c r="B21" s="2">
        <v>44752658.460000001</v>
      </c>
      <c r="C21" s="2">
        <v>40139015</v>
      </c>
      <c r="D21" s="2">
        <v>52775835</v>
      </c>
      <c r="E21" s="2">
        <v>137667508.46000001</v>
      </c>
      <c r="H21" s="25" t="s">
        <v>37</v>
      </c>
      <c r="I21" s="42">
        <f>(S69+S52+S103+S116)/4</f>
        <v>4.6980693607355142E-2</v>
      </c>
    </row>
    <row r="22" spans="1:9" x14ac:dyDescent="0.25">
      <c r="A22" s="6">
        <v>5</v>
      </c>
      <c r="B22" s="2">
        <v>28834125</v>
      </c>
      <c r="C22" s="2">
        <v>51865723</v>
      </c>
      <c r="D22" s="2">
        <v>5400472</v>
      </c>
      <c r="E22" s="2">
        <v>86100320</v>
      </c>
      <c r="H22" s="25" t="s">
        <v>46</v>
      </c>
      <c r="I22" s="42">
        <f>(V69+V52)/2</f>
        <v>4.7347857842976307E-2</v>
      </c>
    </row>
    <row r="23" spans="1:9" x14ac:dyDescent="0.25">
      <c r="A23" s="6">
        <v>6</v>
      </c>
      <c r="B23" s="2">
        <v>50214254.170000002</v>
      </c>
      <c r="C23" s="2">
        <v>9150085</v>
      </c>
      <c r="D23" s="2"/>
      <c r="E23" s="2">
        <v>59364339.170000002</v>
      </c>
      <c r="H23" s="25" t="s">
        <v>62</v>
      </c>
      <c r="I23" s="43">
        <f>(H71)</f>
        <v>0.1140761649632149</v>
      </c>
    </row>
    <row r="24" spans="1:9" x14ac:dyDescent="0.25">
      <c r="A24" s="6">
        <v>7</v>
      </c>
      <c r="B24" s="2">
        <v>19883230</v>
      </c>
      <c r="C24" s="2"/>
      <c r="D24" s="2">
        <v>27393983</v>
      </c>
      <c r="E24" s="2">
        <v>47277213</v>
      </c>
    </row>
    <row r="25" spans="1:9" x14ac:dyDescent="0.25">
      <c r="A25" s="6">
        <v>8</v>
      </c>
      <c r="B25" s="2"/>
      <c r="C25" s="2">
        <v>37963692</v>
      </c>
      <c r="D25" s="2">
        <v>57584507</v>
      </c>
      <c r="E25" s="2">
        <v>95548199</v>
      </c>
    </row>
    <row r="26" spans="1:9" x14ac:dyDescent="0.25">
      <c r="A26" s="6">
        <v>9</v>
      </c>
      <c r="B26" s="2"/>
      <c r="C26" s="2">
        <v>50592991</v>
      </c>
      <c r="D26" s="2">
        <v>56881270</v>
      </c>
      <c r="E26" s="2">
        <v>107474261</v>
      </c>
    </row>
    <row r="27" spans="1:9" x14ac:dyDescent="0.25">
      <c r="A27" s="6">
        <v>10</v>
      </c>
      <c r="B27" s="2">
        <v>39537951</v>
      </c>
      <c r="C27" s="2">
        <v>36782303</v>
      </c>
      <c r="D27" s="2">
        <v>52265575</v>
      </c>
      <c r="E27" s="2">
        <v>128585829</v>
      </c>
    </row>
    <row r="28" spans="1:9" x14ac:dyDescent="0.25">
      <c r="A28" s="6">
        <v>11</v>
      </c>
      <c r="B28" s="2">
        <v>43026809</v>
      </c>
      <c r="C28" s="2">
        <v>41477370</v>
      </c>
      <c r="D28" s="2">
        <v>40501950</v>
      </c>
      <c r="E28" s="2">
        <v>125006129</v>
      </c>
    </row>
    <row r="29" spans="1:9" x14ac:dyDescent="0.25">
      <c r="A29" s="6">
        <v>12</v>
      </c>
      <c r="B29" s="2">
        <v>40448794</v>
      </c>
      <c r="C29" s="2">
        <v>40029024</v>
      </c>
      <c r="D29" s="2">
        <v>8085332</v>
      </c>
      <c r="E29" s="2">
        <v>88563150</v>
      </c>
    </row>
    <row r="30" spans="1:9" x14ac:dyDescent="0.25">
      <c r="A30" s="6">
        <v>13</v>
      </c>
      <c r="B30" s="2">
        <v>36826164</v>
      </c>
      <c r="C30" s="2">
        <v>4866218</v>
      </c>
      <c r="D30" s="2"/>
      <c r="E30" s="2">
        <v>41692382</v>
      </c>
    </row>
    <row r="31" spans="1:9" x14ac:dyDescent="0.25">
      <c r="A31" s="6">
        <v>14</v>
      </c>
      <c r="B31" s="2">
        <v>5728373</v>
      </c>
      <c r="C31" s="2"/>
      <c r="D31" s="2">
        <v>56539305</v>
      </c>
      <c r="E31" s="2">
        <v>62267678</v>
      </c>
    </row>
    <row r="32" spans="1:9" x14ac:dyDescent="0.25">
      <c r="A32" s="6">
        <v>15</v>
      </c>
      <c r="B32" s="2"/>
      <c r="C32" s="2"/>
      <c r="D32" s="2">
        <v>62483572.600000001</v>
      </c>
      <c r="E32" s="2">
        <v>62483572.600000001</v>
      </c>
    </row>
    <row r="33" spans="1:26" x14ac:dyDescent="0.25">
      <c r="A33" s="6">
        <v>16</v>
      </c>
      <c r="B33" s="2">
        <v>47208260</v>
      </c>
      <c r="C33" s="2">
        <v>38554662</v>
      </c>
      <c r="D33" s="2">
        <v>55916198</v>
      </c>
      <c r="E33" s="2">
        <v>141679120</v>
      </c>
    </row>
    <row r="34" spans="1:26" x14ac:dyDescent="0.25">
      <c r="A34" s="6">
        <v>17</v>
      </c>
      <c r="B34" s="2">
        <v>57168735.640000001</v>
      </c>
      <c r="C34" s="2">
        <v>37075501</v>
      </c>
      <c r="D34" s="2">
        <v>44772199</v>
      </c>
      <c r="E34" s="2">
        <v>139016435.63999999</v>
      </c>
    </row>
    <row r="35" spans="1:26" x14ac:dyDescent="0.25">
      <c r="A35" s="6">
        <v>18</v>
      </c>
      <c r="B35" s="2">
        <v>87617806</v>
      </c>
      <c r="C35" s="2">
        <v>45535661</v>
      </c>
      <c r="D35" s="2">
        <v>44687767</v>
      </c>
      <c r="E35" s="2">
        <v>177841234</v>
      </c>
    </row>
    <row r="36" spans="1:26" x14ac:dyDescent="0.25">
      <c r="A36" s="6">
        <v>19</v>
      </c>
      <c r="B36" s="2">
        <v>48317732</v>
      </c>
      <c r="C36" s="2">
        <v>67199517.819999993</v>
      </c>
      <c r="D36" s="2">
        <v>5625065</v>
      </c>
      <c r="E36" s="2">
        <v>121142314.81999999</v>
      </c>
    </row>
    <row r="37" spans="1:26" x14ac:dyDescent="0.25">
      <c r="A37" s="6">
        <v>20</v>
      </c>
      <c r="B37" s="2">
        <v>42291818</v>
      </c>
      <c r="C37" s="2">
        <v>2807542</v>
      </c>
      <c r="D37" s="2"/>
      <c r="E37" s="2">
        <v>45099360</v>
      </c>
    </row>
    <row r="38" spans="1:26" x14ac:dyDescent="0.25">
      <c r="A38" s="6">
        <v>21</v>
      </c>
      <c r="B38" s="2">
        <v>6226380</v>
      </c>
      <c r="C38" s="2"/>
      <c r="D38" s="2">
        <v>22479666</v>
      </c>
      <c r="E38" s="2">
        <v>28706046</v>
      </c>
    </row>
    <row r="39" spans="1:26" x14ac:dyDescent="0.25">
      <c r="A39" s="6">
        <v>22</v>
      </c>
      <c r="B39" s="2"/>
      <c r="C39" s="2">
        <v>34960206</v>
      </c>
      <c r="D39" s="2">
        <v>33863850</v>
      </c>
      <c r="E39" s="2">
        <v>68824056</v>
      </c>
    </row>
    <row r="40" spans="1:26" x14ac:dyDescent="0.25">
      <c r="A40" s="6">
        <v>23</v>
      </c>
      <c r="B40" s="2">
        <v>42247258</v>
      </c>
      <c r="C40" s="2">
        <v>37348302.979999997</v>
      </c>
      <c r="D40" s="2">
        <v>45124370.880000003</v>
      </c>
      <c r="E40" s="2">
        <v>124719931.85999998</v>
      </c>
      <c r="G40" s="16">
        <v>2017</v>
      </c>
    </row>
    <row r="41" spans="1:26" ht="15" customHeight="1" x14ac:dyDescent="0.25">
      <c r="A41" s="6">
        <v>24</v>
      </c>
      <c r="B41" s="2">
        <v>51096433</v>
      </c>
      <c r="C41" s="2">
        <v>49690269</v>
      </c>
      <c r="D41" s="2">
        <v>47009732</v>
      </c>
      <c r="E41" s="2">
        <v>147796434</v>
      </c>
      <c r="G41" s="117" t="s">
        <v>51</v>
      </c>
      <c r="H41" s="208" t="s">
        <v>32</v>
      </c>
      <c r="I41" s="208" t="s">
        <v>33</v>
      </c>
      <c r="J41" s="17" t="s">
        <v>49</v>
      </c>
      <c r="K41" s="208" t="s">
        <v>34</v>
      </c>
      <c r="L41" s="208" t="s">
        <v>35</v>
      </c>
      <c r="M41" s="17" t="s">
        <v>49</v>
      </c>
      <c r="N41" s="208" t="s">
        <v>36</v>
      </c>
      <c r="O41" s="208" t="s">
        <v>33</v>
      </c>
      <c r="P41" s="17" t="s">
        <v>49</v>
      </c>
      <c r="Q41" s="208" t="s">
        <v>37</v>
      </c>
      <c r="R41" s="208" t="s">
        <v>33</v>
      </c>
      <c r="S41" s="17" t="s">
        <v>49</v>
      </c>
      <c r="T41" s="208" t="s">
        <v>46</v>
      </c>
      <c r="U41" s="208" t="s">
        <v>33</v>
      </c>
      <c r="V41" s="17" t="s">
        <v>49</v>
      </c>
      <c r="W41" s="216" t="s">
        <v>54</v>
      </c>
      <c r="X41" s="216" t="s">
        <v>33</v>
      </c>
      <c r="Y41" s="17" t="s">
        <v>49</v>
      </c>
      <c r="Z41" s="206" t="s">
        <v>47</v>
      </c>
    </row>
    <row r="42" spans="1:26" x14ac:dyDescent="0.25">
      <c r="A42" s="6">
        <v>25</v>
      </c>
      <c r="B42" s="2">
        <v>50191595</v>
      </c>
      <c r="C42" s="2">
        <v>48344607</v>
      </c>
      <c r="D42" s="2">
        <v>47678243</v>
      </c>
      <c r="E42" s="2">
        <v>146214445</v>
      </c>
      <c r="G42" s="49">
        <v>1050843103</v>
      </c>
      <c r="H42" s="208"/>
      <c r="I42" s="208"/>
      <c r="J42" s="17" t="s">
        <v>50</v>
      </c>
      <c r="K42" s="208"/>
      <c r="L42" s="208"/>
      <c r="M42" s="17" t="s">
        <v>50</v>
      </c>
      <c r="N42" s="208"/>
      <c r="O42" s="208"/>
      <c r="P42" s="17" t="s">
        <v>50</v>
      </c>
      <c r="Q42" s="208"/>
      <c r="R42" s="208"/>
      <c r="S42" s="17" t="s">
        <v>50</v>
      </c>
      <c r="T42" s="208"/>
      <c r="U42" s="208"/>
      <c r="V42" s="17" t="s">
        <v>50</v>
      </c>
      <c r="W42" s="217"/>
      <c r="X42" s="217"/>
      <c r="Y42" s="17" t="s">
        <v>50</v>
      </c>
      <c r="Z42" s="207"/>
    </row>
    <row r="43" spans="1:26" x14ac:dyDescent="0.25">
      <c r="A43" s="6">
        <v>26</v>
      </c>
      <c r="B43" s="2">
        <v>41532934.420000002</v>
      </c>
      <c r="C43" s="2">
        <v>44578822</v>
      </c>
      <c r="D43" s="2">
        <v>7419905</v>
      </c>
      <c r="E43" s="2">
        <v>93531661.420000002</v>
      </c>
      <c r="G43" s="16" t="s">
        <v>38</v>
      </c>
      <c r="H43" s="10">
        <v>-4793237</v>
      </c>
      <c r="I43" s="10"/>
      <c r="J43" s="14">
        <f>H43/$G$42</f>
        <v>-4.5613250791826342E-3</v>
      </c>
      <c r="K43" s="10"/>
      <c r="L43" s="10"/>
      <c r="M43" s="14">
        <f>K43/$G$42</f>
        <v>0</v>
      </c>
      <c r="N43" s="10">
        <v>47208260</v>
      </c>
      <c r="O43" s="10"/>
      <c r="P43" s="14">
        <f>N43/$G$42</f>
        <v>4.4924175516999135E-2</v>
      </c>
      <c r="Q43" s="10">
        <v>42247258</v>
      </c>
      <c r="R43" s="10"/>
      <c r="S43" s="14">
        <f>Q43/$G$42</f>
        <v>4.0203202437538388E-2</v>
      </c>
      <c r="T43" s="10">
        <v>48218081.100000001</v>
      </c>
      <c r="U43" s="9"/>
      <c r="V43" s="14">
        <f>T43/$G$42</f>
        <v>4.5885138287861039E-2</v>
      </c>
      <c r="W43" s="10"/>
      <c r="X43" s="9"/>
      <c r="Y43" s="14">
        <f>W43/$G$42</f>
        <v>0</v>
      </c>
      <c r="Z43" s="9"/>
    </row>
    <row r="44" spans="1:26" x14ac:dyDescent="0.25">
      <c r="A44" s="6">
        <v>27</v>
      </c>
      <c r="B44" s="2">
        <v>4132831</v>
      </c>
      <c r="C44" s="2">
        <v>3665279</v>
      </c>
      <c r="D44" s="2"/>
      <c r="E44" s="2">
        <v>7798110</v>
      </c>
      <c r="G44" s="16" t="s">
        <v>39</v>
      </c>
      <c r="H44" s="10">
        <v>59780701.939999998</v>
      </c>
      <c r="I44" s="10"/>
      <c r="J44" s="14">
        <f t="shared" ref="J44:J47" si="4">H44/$G$42</f>
        <v>5.6888323070623033E-2</v>
      </c>
      <c r="K44" s="10">
        <v>39537951</v>
      </c>
      <c r="L44" s="10"/>
      <c r="M44" s="14">
        <f>K44/$G$42</f>
        <v>3.7624980253593579E-2</v>
      </c>
      <c r="N44" s="10">
        <v>57168735.640000001</v>
      </c>
      <c r="O44" s="10"/>
      <c r="P44" s="14">
        <f t="shared" ref="P44:P47" si="5">N44/$G$42</f>
        <v>5.4402731936662861E-2</v>
      </c>
      <c r="Q44" s="10">
        <v>51096433</v>
      </c>
      <c r="R44" s="10"/>
      <c r="S44" s="14">
        <f t="shared" ref="S44:S47" si="6">Q44/$G$42</f>
        <v>4.8624226446485987E-2</v>
      </c>
      <c r="T44" s="10">
        <v>119900146.2</v>
      </c>
      <c r="U44" s="9"/>
      <c r="V44" s="14">
        <f t="shared" ref="V44:V47" si="7">T44/$G$42</f>
        <v>0.11409899903963114</v>
      </c>
      <c r="W44" s="10"/>
      <c r="X44" s="9"/>
      <c r="Y44" s="14">
        <f t="shared" ref="Y44:Y47" si="8">W44/$G$42</f>
        <v>0</v>
      </c>
      <c r="Z44" s="9"/>
    </row>
    <row r="45" spans="1:26" x14ac:dyDescent="0.25">
      <c r="A45" s="6">
        <v>28</v>
      </c>
      <c r="B45" s="2"/>
      <c r="C45" s="2"/>
      <c r="D45" s="2">
        <v>38484405</v>
      </c>
      <c r="E45" s="2">
        <v>38484405</v>
      </c>
      <c r="G45" s="16" t="s">
        <v>40</v>
      </c>
      <c r="H45" s="10">
        <v>44752658.460000001</v>
      </c>
      <c r="I45" s="10"/>
      <c r="J45" s="14">
        <f t="shared" si="4"/>
        <v>4.258738372287723E-2</v>
      </c>
      <c r="K45" s="10">
        <v>43026809</v>
      </c>
      <c r="L45" s="10"/>
      <c r="M45" s="14">
        <f t="shared" ref="M45:M47" si="9">K45/$G$42</f>
        <v>4.0945036301960676E-2</v>
      </c>
      <c r="N45" s="10">
        <v>87617806</v>
      </c>
      <c r="O45" s="10"/>
      <c r="P45" s="14">
        <f t="shared" si="5"/>
        <v>8.3378580256047982E-2</v>
      </c>
      <c r="Q45" s="10">
        <v>50191595</v>
      </c>
      <c r="R45" s="10"/>
      <c r="S45" s="14">
        <f t="shared" si="6"/>
        <v>4.7763167362197552E-2</v>
      </c>
      <c r="T45" s="10"/>
      <c r="U45" s="9"/>
      <c r="V45" s="14">
        <f t="shared" si="7"/>
        <v>0</v>
      </c>
      <c r="W45" s="10"/>
      <c r="X45" s="9"/>
      <c r="Y45" s="14">
        <f t="shared" si="8"/>
        <v>0</v>
      </c>
      <c r="Z45" s="9"/>
    </row>
    <row r="46" spans="1:26" x14ac:dyDescent="0.25">
      <c r="A46" s="6">
        <v>29</v>
      </c>
      <c r="B46" s="2"/>
      <c r="C46" s="2">
        <v>46145297</v>
      </c>
      <c r="D46" s="2">
        <v>60826587</v>
      </c>
      <c r="E46" s="2">
        <v>106971884</v>
      </c>
      <c r="G46" s="16" t="s">
        <v>41</v>
      </c>
      <c r="H46" s="10">
        <v>28834125</v>
      </c>
      <c r="I46" s="10"/>
      <c r="J46" s="14">
        <f t="shared" si="4"/>
        <v>2.7439039108391045E-2</v>
      </c>
      <c r="K46" s="10">
        <v>40448794</v>
      </c>
      <c r="L46" s="10"/>
      <c r="M46" s="14">
        <f t="shared" si="9"/>
        <v>3.8491753797046141E-2</v>
      </c>
      <c r="N46" s="10">
        <v>48317732</v>
      </c>
      <c r="O46" s="10"/>
      <c r="P46" s="14">
        <f t="shared" si="5"/>
        <v>4.59799677630848E-2</v>
      </c>
      <c r="Q46" s="10">
        <v>41532934.420000002</v>
      </c>
      <c r="R46" s="10"/>
      <c r="S46" s="14">
        <f t="shared" si="6"/>
        <v>3.9523440084851563E-2</v>
      </c>
      <c r="T46" s="10"/>
      <c r="U46" s="9"/>
      <c r="V46" s="14">
        <f t="shared" si="7"/>
        <v>0</v>
      </c>
      <c r="W46" s="10"/>
      <c r="X46" s="9"/>
      <c r="Y46" s="14">
        <f t="shared" si="8"/>
        <v>0</v>
      </c>
      <c r="Z46" s="9"/>
    </row>
    <row r="47" spans="1:26" x14ac:dyDescent="0.25">
      <c r="A47" s="6">
        <v>30</v>
      </c>
      <c r="B47" s="2">
        <v>48218081.100000001</v>
      </c>
      <c r="C47" s="2">
        <v>63936152</v>
      </c>
      <c r="D47" s="2">
        <v>101586568</v>
      </c>
      <c r="E47" s="2">
        <v>213740801.09999999</v>
      </c>
      <c r="G47" s="16" t="s">
        <v>42</v>
      </c>
      <c r="H47" s="10">
        <v>50214254.170000002</v>
      </c>
      <c r="I47" s="10"/>
      <c r="J47" s="14">
        <f t="shared" si="4"/>
        <v>4.7784730210100643E-2</v>
      </c>
      <c r="K47" s="10">
        <v>36826164</v>
      </c>
      <c r="L47" s="10"/>
      <c r="M47" s="14">
        <f t="shared" si="9"/>
        <v>3.5044398059869079E-2</v>
      </c>
      <c r="N47" s="10">
        <v>42291818</v>
      </c>
      <c r="O47" s="10"/>
      <c r="P47" s="14">
        <f t="shared" si="5"/>
        <v>4.024560648422508E-2</v>
      </c>
      <c r="Q47" s="10">
        <v>4132831</v>
      </c>
      <c r="R47" s="10"/>
      <c r="S47" s="14">
        <f t="shared" si="6"/>
        <v>3.9328716039543727E-3</v>
      </c>
      <c r="T47" s="10"/>
      <c r="U47" s="9"/>
      <c r="V47" s="14">
        <f t="shared" si="7"/>
        <v>0</v>
      </c>
      <c r="W47" s="10"/>
      <c r="X47" s="9"/>
      <c r="Y47" s="14">
        <f t="shared" si="8"/>
        <v>0</v>
      </c>
      <c r="Z47" s="9"/>
    </row>
    <row r="48" spans="1:26" x14ac:dyDescent="0.25">
      <c r="A48" s="6">
        <v>31</v>
      </c>
      <c r="B48" s="2">
        <v>119900146.2</v>
      </c>
      <c r="C48" s="2">
        <v>117339512</v>
      </c>
      <c r="D48" s="2"/>
      <c r="E48" s="2">
        <v>237239658.19999999</v>
      </c>
      <c r="G48" s="16" t="s">
        <v>43</v>
      </c>
      <c r="H48" s="10"/>
      <c r="I48" s="10">
        <v>19883230</v>
      </c>
      <c r="J48" s="14">
        <f>I48/$G$42</f>
        <v>1.8921216633802279E-2</v>
      </c>
      <c r="K48" s="10"/>
      <c r="L48" s="10">
        <v>5728373</v>
      </c>
      <c r="M48" s="14">
        <f>L48/$G$42</f>
        <v>5.4512162506908509E-3</v>
      </c>
      <c r="N48" s="10"/>
      <c r="O48" s="10">
        <v>6226380</v>
      </c>
      <c r="P48" s="14">
        <f>O48/$G$42</f>
        <v>5.9251281016401173E-3</v>
      </c>
      <c r="Q48" s="10"/>
      <c r="R48" s="10"/>
      <c r="S48" s="14">
        <f>R48/$G$42</f>
        <v>0</v>
      </c>
      <c r="T48" s="10"/>
      <c r="U48" s="9"/>
      <c r="V48" s="14">
        <f>U48/$G$42</f>
        <v>0</v>
      </c>
      <c r="W48" s="10"/>
      <c r="X48" s="9"/>
      <c r="Y48" s="14">
        <f>X48/$G$42</f>
        <v>0</v>
      </c>
      <c r="Z48" s="9"/>
    </row>
    <row r="49" spans="1:26" x14ac:dyDescent="0.25">
      <c r="A49" s="6" t="s">
        <v>29</v>
      </c>
      <c r="B49" s="2">
        <v>1010389833.9300001</v>
      </c>
      <c r="C49" s="2">
        <v>1058605079.8</v>
      </c>
      <c r="D49" s="2">
        <v>1084648615.48</v>
      </c>
      <c r="E49" s="2">
        <v>3153643529.2099996</v>
      </c>
      <c r="G49" s="16" t="s">
        <v>44</v>
      </c>
      <c r="H49" s="10"/>
      <c r="I49" s="10"/>
      <c r="J49" s="1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9"/>
      <c r="V49" s="10"/>
      <c r="W49" s="10"/>
      <c r="X49" s="9"/>
      <c r="Y49" s="10"/>
      <c r="Z49" s="9"/>
    </row>
    <row r="50" spans="1:26" x14ac:dyDescent="0.25">
      <c r="G50" s="16" t="s">
        <v>45</v>
      </c>
      <c r="H50" s="146">
        <f>SUM(H43:H49)</f>
        <v>178788502.56999999</v>
      </c>
      <c r="I50" s="10">
        <f>SUM(I43:I49)</f>
        <v>19883230</v>
      </c>
      <c r="J50" s="30">
        <f>SUM(H50:I50)</f>
        <v>198671732.56999999</v>
      </c>
      <c r="K50" s="10">
        <f>SUM(K43:K49)</f>
        <v>159839718</v>
      </c>
      <c r="L50" s="10">
        <f>SUM(L43:L49)</f>
        <v>5728373</v>
      </c>
      <c r="M50" s="30">
        <f>SUM(K50:L50)</f>
        <v>165568091</v>
      </c>
      <c r="N50" s="146">
        <f>SUM(N43:N49)</f>
        <v>282604351.63999999</v>
      </c>
      <c r="O50" s="10">
        <f>SUM(O43:O49)</f>
        <v>6226380</v>
      </c>
      <c r="P50" s="147">
        <f>SUM(N50:O50)</f>
        <v>288830731.63999999</v>
      </c>
      <c r="Q50" s="146">
        <f>SUM(Q43:Q49)</f>
        <v>189201051.42000002</v>
      </c>
      <c r="R50" s="10">
        <f>SUM(R43:R49)</f>
        <v>0</v>
      </c>
      <c r="S50" s="147">
        <f>SUM(Q50:R50)</f>
        <v>189201051.42000002</v>
      </c>
      <c r="T50" s="146">
        <f>SUM(T43:T49)</f>
        <v>168118227.30000001</v>
      </c>
      <c r="U50" s="10">
        <f>SUM(U43:U49)</f>
        <v>0</v>
      </c>
      <c r="V50" s="147">
        <f>SUM(T50:U50)</f>
        <v>168118227.30000001</v>
      </c>
      <c r="W50" s="146">
        <f>SUM(W43:W49)</f>
        <v>0</v>
      </c>
      <c r="X50" s="10">
        <f>SUM(X43:X49)</f>
        <v>0</v>
      </c>
      <c r="Y50" s="147">
        <f>SUM(W50:X50)</f>
        <v>0</v>
      </c>
      <c r="Z50" s="11">
        <f>I50+H50+K50+L50+N50+O50+Q50+R50+T50+U50+W50+X50</f>
        <v>1010389833.9300001</v>
      </c>
    </row>
    <row r="51" spans="1:26" ht="30" x14ac:dyDescent="0.25">
      <c r="A51" s="5" t="s">
        <v>30</v>
      </c>
      <c r="B51" s="5" t="s">
        <v>28</v>
      </c>
      <c r="G51" s="18" t="s">
        <v>48</v>
      </c>
      <c r="H51" s="14">
        <f>H50/$G$42</f>
        <v>0.17013815103280933</v>
      </c>
      <c r="I51" s="14">
        <f>I50/$G$42</f>
        <v>1.8921216633802279E-2</v>
      </c>
      <c r="J51" s="31">
        <f>H51+I51</f>
        <v>0.18905936766661161</v>
      </c>
      <c r="K51" s="14">
        <f>K50/$G$42</f>
        <v>0.15210616841246946</v>
      </c>
      <c r="L51" s="14">
        <f>L50/$G$42</f>
        <v>5.4512162506908509E-3</v>
      </c>
      <c r="M51" s="31">
        <f>K51+L51</f>
        <v>0.1575573846631603</v>
      </c>
      <c r="N51" s="14">
        <f>N50/$G$42</f>
        <v>0.26893106195701982</v>
      </c>
      <c r="O51" s="14">
        <f>O50/$G$42</f>
        <v>5.9251281016401173E-3</v>
      </c>
      <c r="P51" s="31">
        <f>N51+O51</f>
        <v>0.27485619005865997</v>
      </c>
      <c r="Q51" s="14">
        <f>Q50/$G$42</f>
        <v>0.18004690793502787</v>
      </c>
      <c r="R51" s="14">
        <f>R50/$G$42</f>
        <v>0</v>
      </c>
      <c r="S51" s="31">
        <f>Q51+R51</f>
        <v>0.18004690793502787</v>
      </c>
      <c r="T51" s="14">
        <f>T50/$G$42</f>
        <v>0.15998413732749217</v>
      </c>
      <c r="U51" s="14">
        <f>U50/$G$42</f>
        <v>0</v>
      </c>
      <c r="V51" s="31">
        <f>T51+U51</f>
        <v>0.15998413732749217</v>
      </c>
      <c r="W51" s="14">
        <f>W50/$G$42</f>
        <v>0</v>
      </c>
      <c r="X51" s="14">
        <f>X50/$G$42</f>
        <v>0</v>
      </c>
      <c r="Y51" s="31">
        <f>W51+X51</f>
        <v>0</v>
      </c>
      <c r="Z51" s="14">
        <f>SUM(J51+M51+P51+S51+V51+Y51)</f>
        <v>0.96150398765095191</v>
      </c>
    </row>
    <row r="52" spans="1:26" x14ac:dyDescent="0.25">
      <c r="A52" s="5" t="s">
        <v>31</v>
      </c>
      <c r="B52" t="s">
        <v>78</v>
      </c>
      <c r="C52" t="s">
        <v>79</v>
      </c>
      <c r="D52" t="s">
        <v>29</v>
      </c>
      <c r="G52" s="16" t="s">
        <v>57</v>
      </c>
      <c r="J52" s="22">
        <f>AVERAGE(J43:J47)</f>
        <v>3.4027630206561868E-2</v>
      </c>
      <c r="M52" s="22">
        <f>AVERAGE(M43:M47)</f>
        <v>3.0421233682493897E-2</v>
      </c>
      <c r="P52" s="22">
        <f>AVERAGE(P43:P47)</f>
        <v>5.3786212391403965E-2</v>
      </c>
      <c r="S52" s="22">
        <f>AVERAGE(S43:S47)</f>
        <v>3.6009381587005569E-2</v>
      </c>
      <c r="V52" s="22">
        <f>AVERAGE(V43)</f>
        <v>4.5885138287861039E-2</v>
      </c>
      <c r="W52" s="39"/>
      <c r="X52" s="39"/>
      <c r="Y52" s="22">
        <f>AVERAGE(Y43:Y47)</f>
        <v>0</v>
      </c>
      <c r="Z52" s="41"/>
    </row>
    <row r="53" spans="1:26" ht="30" x14ac:dyDescent="0.25">
      <c r="A53" s="160">
        <v>1</v>
      </c>
      <c r="B53" s="7">
        <v>15340261.6</v>
      </c>
      <c r="C53" s="7"/>
      <c r="D53" s="7">
        <v>15340261.6</v>
      </c>
      <c r="G53" s="18" t="s">
        <v>58</v>
      </c>
      <c r="H53" s="14">
        <f>(J48+M48+P48)/3</f>
        <v>1.009918699537775E-2</v>
      </c>
      <c r="W53" s="39"/>
      <c r="X53" s="39"/>
      <c r="Y53" s="40"/>
      <c r="Z53" s="41"/>
    </row>
    <row r="54" spans="1:26" x14ac:dyDescent="0.25">
      <c r="A54" s="160">
        <v>2</v>
      </c>
      <c r="B54" s="7">
        <v>39796972</v>
      </c>
      <c r="C54" s="7">
        <v>17910126</v>
      </c>
      <c r="D54" s="7">
        <v>57707098</v>
      </c>
      <c r="G54" s="38"/>
      <c r="H54" s="39"/>
      <c r="I54" s="39"/>
      <c r="J54" s="40"/>
      <c r="K54" s="39"/>
      <c r="L54" s="39"/>
      <c r="M54" s="40"/>
      <c r="N54" s="39"/>
      <c r="O54" s="39"/>
      <c r="P54" s="40"/>
      <c r="Q54" s="39"/>
      <c r="R54" s="39"/>
      <c r="S54" s="40"/>
      <c r="T54" s="39"/>
      <c r="U54" s="39"/>
      <c r="V54" s="40"/>
      <c r="W54" s="39"/>
      <c r="X54" s="39"/>
      <c r="Y54" s="40"/>
      <c r="Z54" s="41"/>
    </row>
    <row r="55" spans="1:26" x14ac:dyDescent="0.25">
      <c r="A55" s="160">
        <v>3</v>
      </c>
      <c r="B55" s="7">
        <v>2101606</v>
      </c>
      <c r="C55" s="7">
        <v>42837453</v>
      </c>
      <c r="D55" s="7">
        <v>44939059</v>
      </c>
      <c r="G55" s="38"/>
      <c r="H55" s="39"/>
      <c r="I55" s="39"/>
      <c r="J55" s="40"/>
      <c r="K55" s="39"/>
      <c r="L55" s="39"/>
      <c r="M55" s="40"/>
      <c r="N55" s="39"/>
      <c r="O55" s="39"/>
      <c r="P55" s="40"/>
      <c r="Q55" s="39"/>
      <c r="R55" s="39"/>
      <c r="S55" s="40"/>
      <c r="T55" s="39"/>
      <c r="U55" s="39"/>
      <c r="V55" s="40"/>
      <c r="W55" s="39"/>
      <c r="X55" s="39"/>
      <c r="Y55" s="40"/>
      <c r="Z55" s="41"/>
    </row>
    <row r="56" spans="1:26" x14ac:dyDescent="0.25">
      <c r="A56" s="160">
        <v>4</v>
      </c>
      <c r="B56" s="7"/>
      <c r="C56" s="7">
        <v>55471865</v>
      </c>
      <c r="D56" s="7">
        <v>55471865</v>
      </c>
      <c r="G56" s="13"/>
    </row>
    <row r="57" spans="1:26" x14ac:dyDescent="0.25">
      <c r="A57" s="160">
        <v>5</v>
      </c>
      <c r="B57" s="7">
        <v>32497245</v>
      </c>
      <c r="C57" s="7">
        <v>51574320</v>
      </c>
      <c r="D57" s="7">
        <v>84071565</v>
      </c>
      <c r="G57" s="16">
        <v>2018</v>
      </c>
    </row>
    <row r="58" spans="1:26" x14ac:dyDescent="0.25">
      <c r="A58" s="160">
        <v>6</v>
      </c>
      <c r="B58" s="7">
        <v>31950209</v>
      </c>
      <c r="C58" s="7">
        <v>39337699</v>
      </c>
      <c r="D58" s="7">
        <v>71287908</v>
      </c>
      <c r="G58" s="25" t="s">
        <v>51</v>
      </c>
      <c r="H58" s="208" t="s">
        <v>32</v>
      </c>
      <c r="I58" s="208" t="s">
        <v>33</v>
      </c>
      <c r="J58" s="17" t="s">
        <v>49</v>
      </c>
      <c r="K58" s="208" t="s">
        <v>34</v>
      </c>
      <c r="L58" s="208" t="s">
        <v>35</v>
      </c>
      <c r="M58" s="17" t="s">
        <v>49</v>
      </c>
      <c r="N58" s="208" t="s">
        <v>36</v>
      </c>
      <c r="O58" s="208" t="s">
        <v>33</v>
      </c>
      <c r="P58" s="17" t="s">
        <v>49</v>
      </c>
      <c r="Q58" s="208" t="s">
        <v>37</v>
      </c>
      <c r="R58" s="208" t="s">
        <v>33</v>
      </c>
      <c r="S58" s="17" t="s">
        <v>49</v>
      </c>
      <c r="T58" s="208" t="s">
        <v>46</v>
      </c>
      <c r="U58" s="208" t="s">
        <v>33</v>
      </c>
      <c r="V58" s="19" t="s">
        <v>49</v>
      </c>
      <c r="W58" s="216" t="s">
        <v>54</v>
      </c>
      <c r="X58" s="216" t="s">
        <v>33</v>
      </c>
      <c r="Y58" s="17" t="s">
        <v>49</v>
      </c>
      <c r="Z58" s="206" t="s">
        <v>47</v>
      </c>
    </row>
    <row r="59" spans="1:26" x14ac:dyDescent="0.25">
      <c r="A59" s="160">
        <v>7</v>
      </c>
      <c r="B59" s="7">
        <v>59939040</v>
      </c>
      <c r="C59" s="7">
        <v>2723067</v>
      </c>
      <c r="D59" s="7">
        <v>62662107</v>
      </c>
      <c r="G59" s="49">
        <v>1127639283</v>
      </c>
      <c r="H59" s="208"/>
      <c r="I59" s="208"/>
      <c r="J59" s="17" t="s">
        <v>50</v>
      </c>
      <c r="K59" s="208"/>
      <c r="L59" s="208"/>
      <c r="M59" s="17" t="s">
        <v>50</v>
      </c>
      <c r="N59" s="208"/>
      <c r="O59" s="208"/>
      <c r="P59" s="17" t="s">
        <v>50</v>
      </c>
      <c r="Q59" s="208"/>
      <c r="R59" s="208"/>
      <c r="S59" s="17" t="s">
        <v>50</v>
      </c>
      <c r="T59" s="208"/>
      <c r="U59" s="208"/>
      <c r="V59" s="20" t="s">
        <v>50</v>
      </c>
      <c r="W59" s="217"/>
      <c r="X59" s="217"/>
      <c r="Y59" s="17" t="s">
        <v>50</v>
      </c>
      <c r="Z59" s="207"/>
    </row>
    <row r="60" spans="1:26" x14ac:dyDescent="0.25">
      <c r="A60" s="160">
        <v>8</v>
      </c>
      <c r="B60" s="7">
        <v>31659894</v>
      </c>
      <c r="C60" s="7"/>
      <c r="D60" s="7">
        <v>31659894</v>
      </c>
      <c r="G60" s="16" t="s">
        <v>38</v>
      </c>
      <c r="H60" s="10">
        <v>16376958</v>
      </c>
      <c r="I60" s="10"/>
      <c r="J60" s="14">
        <f>H60/$G$59</f>
        <v>1.4523224090269654E-2</v>
      </c>
      <c r="K60" s="10">
        <v>37963692</v>
      </c>
      <c r="L60" s="10"/>
      <c r="M60" s="14">
        <f>K60/$G$59</f>
        <v>3.366652135335374E-2</v>
      </c>
      <c r="N60" s="10"/>
      <c r="O60" s="168"/>
      <c r="P60" s="14">
        <f>N60/$G$59</f>
        <v>0</v>
      </c>
      <c r="Q60" s="10">
        <v>34960206</v>
      </c>
      <c r="R60" s="10"/>
      <c r="S60" s="14">
        <f>Q60/$G$59</f>
        <v>3.100300470819976E-2</v>
      </c>
      <c r="T60" s="10">
        <v>46145297</v>
      </c>
      <c r="U60" s="10"/>
      <c r="V60" s="14">
        <f>T60/$G$59</f>
        <v>4.0922037477475852E-2</v>
      </c>
      <c r="W60" s="10"/>
      <c r="X60" s="10"/>
      <c r="Y60" s="14">
        <f>W60/$G$59</f>
        <v>0</v>
      </c>
      <c r="Z60" s="9"/>
    </row>
    <row r="61" spans="1:26" x14ac:dyDescent="0.25">
      <c r="A61" s="160">
        <v>9</v>
      </c>
      <c r="B61" s="7">
        <v>40950249.780000001</v>
      </c>
      <c r="C61" s="7">
        <v>30219166</v>
      </c>
      <c r="D61" s="7">
        <v>71169415.780000001</v>
      </c>
      <c r="G61" s="16" t="s">
        <v>39</v>
      </c>
      <c r="H61" s="10">
        <v>54308440</v>
      </c>
      <c r="I61" s="10"/>
      <c r="J61" s="14">
        <f t="shared" ref="J61:J64" si="10">H61/$G$59</f>
        <v>4.8161181344726176E-2</v>
      </c>
      <c r="K61" s="10">
        <v>50592991</v>
      </c>
      <c r="L61" s="10"/>
      <c r="M61" s="14">
        <f t="shared" ref="M61:M64" si="11">K61/$G$59</f>
        <v>4.4866289923317614E-2</v>
      </c>
      <c r="N61" s="10">
        <v>38554662</v>
      </c>
      <c r="O61" s="168"/>
      <c r="P61" s="14">
        <f t="shared" ref="P61:P64" si="12">N61/$G$59</f>
        <v>3.4190598519615423E-2</v>
      </c>
      <c r="Q61" s="10">
        <v>37348302.979999997</v>
      </c>
      <c r="R61" s="10"/>
      <c r="S61" s="14">
        <f t="shared" ref="S61:S64" si="13">Q61/$G$59</f>
        <v>3.3120789194783666E-2</v>
      </c>
      <c r="T61" s="10">
        <v>63936152</v>
      </c>
      <c r="U61" s="10"/>
      <c r="V61" s="14">
        <f t="shared" ref="V61:V64" si="14">T61/$G$59</f>
        <v>5.6699117318707318E-2</v>
      </c>
      <c r="W61" s="10"/>
      <c r="X61" s="10"/>
      <c r="Y61" s="14">
        <f t="shared" ref="Y61:Y64" si="15">W61/$G$59</f>
        <v>0</v>
      </c>
      <c r="Z61" s="9"/>
    </row>
    <row r="62" spans="1:26" x14ac:dyDescent="0.25">
      <c r="A62" s="160">
        <v>10</v>
      </c>
      <c r="B62" s="7">
        <v>5305883</v>
      </c>
      <c r="C62" s="7">
        <v>68500230</v>
      </c>
      <c r="D62" s="7">
        <v>73806113</v>
      </c>
      <c r="G62" s="16" t="s">
        <v>40</v>
      </c>
      <c r="H62" s="10">
        <v>37871930</v>
      </c>
      <c r="I62" s="10"/>
      <c r="J62" s="14">
        <f t="shared" si="10"/>
        <v>3.3585146040003643E-2</v>
      </c>
      <c r="K62" s="10">
        <v>36782303</v>
      </c>
      <c r="L62" s="10"/>
      <c r="M62" s="14">
        <f t="shared" si="11"/>
        <v>3.2618855652264467E-2</v>
      </c>
      <c r="N62" s="10">
        <v>37075501</v>
      </c>
      <c r="O62" s="168"/>
      <c r="P62" s="14">
        <f t="shared" si="12"/>
        <v>3.2878866104560853E-2</v>
      </c>
      <c r="Q62" s="10">
        <v>49690269</v>
      </c>
      <c r="R62" s="10"/>
      <c r="S62" s="14">
        <f t="shared" si="13"/>
        <v>4.4065748461514002E-2</v>
      </c>
      <c r="T62" s="10">
        <v>117339512</v>
      </c>
      <c r="U62" s="10"/>
      <c r="V62" s="14">
        <f t="shared" si="14"/>
        <v>0.10405766610739828</v>
      </c>
      <c r="W62" s="10"/>
      <c r="X62" s="10"/>
      <c r="Y62" s="14">
        <f t="shared" si="15"/>
        <v>0</v>
      </c>
      <c r="Z62" s="9"/>
    </row>
    <row r="63" spans="1:26" x14ac:dyDescent="0.25">
      <c r="A63" s="160">
        <v>11</v>
      </c>
      <c r="B63" s="7"/>
      <c r="C63" s="7">
        <v>69644414</v>
      </c>
      <c r="D63" s="7">
        <v>69644414</v>
      </c>
      <c r="G63" s="16" t="s">
        <v>41</v>
      </c>
      <c r="H63" s="10">
        <v>40139015</v>
      </c>
      <c r="I63" s="10"/>
      <c r="J63" s="14">
        <f t="shared" si="10"/>
        <v>3.5595616084971034E-2</v>
      </c>
      <c r="K63" s="10">
        <v>41477370</v>
      </c>
      <c r="L63" s="10"/>
      <c r="M63" s="14">
        <f t="shared" si="11"/>
        <v>3.6782480554998546E-2</v>
      </c>
      <c r="N63" s="10">
        <v>45535661</v>
      </c>
      <c r="O63" s="168"/>
      <c r="P63" s="14">
        <f t="shared" si="12"/>
        <v>4.0381407145426665E-2</v>
      </c>
      <c r="Q63" s="10">
        <v>48344607</v>
      </c>
      <c r="R63" s="10"/>
      <c r="S63" s="14">
        <f t="shared" si="13"/>
        <v>4.2872404082432092E-2</v>
      </c>
      <c r="T63" s="10"/>
      <c r="U63" s="10"/>
      <c r="V63" s="14">
        <f t="shared" si="14"/>
        <v>0</v>
      </c>
      <c r="W63" s="10"/>
      <c r="X63" s="10"/>
      <c r="Y63" s="14">
        <f t="shared" si="15"/>
        <v>0</v>
      </c>
      <c r="Z63" s="9"/>
    </row>
    <row r="64" spans="1:26" x14ac:dyDescent="0.25">
      <c r="A64" s="160">
        <v>12</v>
      </c>
      <c r="B64" s="7">
        <v>59121740</v>
      </c>
      <c r="C64" s="7">
        <v>41541452</v>
      </c>
      <c r="D64" s="7">
        <v>100663192</v>
      </c>
      <c r="G64" s="16" t="s">
        <v>42</v>
      </c>
      <c r="H64" s="10">
        <v>51865723</v>
      </c>
      <c r="I64" s="10"/>
      <c r="J64" s="14">
        <f t="shared" si="10"/>
        <v>4.5994959365033047E-2</v>
      </c>
      <c r="K64" s="10">
        <v>40029024</v>
      </c>
      <c r="L64" s="10"/>
      <c r="M64" s="14">
        <f t="shared" si="11"/>
        <v>3.5498075141108754E-2</v>
      </c>
      <c r="N64" s="10">
        <v>67199517.819999993</v>
      </c>
      <c r="O64" s="10"/>
      <c r="P64" s="14">
        <f t="shared" si="12"/>
        <v>5.959309757391628E-2</v>
      </c>
      <c r="Q64" s="10">
        <v>44578822</v>
      </c>
      <c r="R64" s="10"/>
      <c r="S64" s="14">
        <f t="shared" si="13"/>
        <v>3.9532874272880401E-2</v>
      </c>
      <c r="T64" s="10"/>
      <c r="U64" s="10"/>
      <c r="V64" s="14">
        <f t="shared" si="14"/>
        <v>0</v>
      </c>
      <c r="W64" s="10"/>
      <c r="X64" s="10"/>
      <c r="Y64" s="14">
        <f t="shared" si="15"/>
        <v>0</v>
      </c>
      <c r="Z64" s="9"/>
    </row>
    <row r="65" spans="1:26" x14ac:dyDescent="0.25">
      <c r="A65" s="160">
        <v>13</v>
      </c>
      <c r="B65" s="7">
        <v>39894461</v>
      </c>
      <c r="C65" s="7">
        <v>53527343</v>
      </c>
      <c r="D65" s="7">
        <v>93421804</v>
      </c>
      <c r="G65" s="16" t="s">
        <v>43</v>
      </c>
      <c r="H65" s="10"/>
      <c r="I65" s="10">
        <v>9150085</v>
      </c>
      <c r="J65" s="14">
        <f>I65/$G$59</f>
        <v>8.1143723333732074E-3</v>
      </c>
      <c r="K65" s="10"/>
      <c r="L65" s="10">
        <v>4866218</v>
      </c>
      <c r="M65" s="14">
        <f>L65/$G$59</f>
        <v>4.3154030489730641E-3</v>
      </c>
      <c r="N65" s="10"/>
      <c r="O65" s="10">
        <v>2807542</v>
      </c>
      <c r="P65" s="14">
        <f>O65/$G$59</f>
        <v>2.4897518579973061E-3</v>
      </c>
      <c r="Q65" s="10"/>
      <c r="R65" s="10">
        <v>3665279</v>
      </c>
      <c r="S65" s="14">
        <f>R65/$G$59</f>
        <v>3.2504002434615431E-3</v>
      </c>
      <c r="U65" s="10"/>
      <c r="V65" s="14">
        <f>U65/$G$59</f>
        <v>0</v>
      </c>
      <c r="X65" s="10"/>
      <c r="Y65" s="14">
        <f>X65/$G$59</f>
        <v>0</v>
      </c>
      <c r="Z65" s="9"/>
    </row>
    <row r="66" spans="1:26" x14ac:dyDescent="0.25">
      <c r="A66" s="160">
        <v>14</v>
      </c>
      <c r="B66" s="7">
        <v>52807444</v>
      </c>
      <c r="C66" s="7">
        <v>3950719</v>
      </c>
      <c r="D66" s="7">
        <v>56758163</v>
      </c>
      <c r="G66" s="16" t="s">
        <v>44</v>
      </c>
      <c r="H66" s="10"/>
      <c r="I66" s="10"/>
      <c r="J66" s="14"/>
      <c r="K66" s="10"/>
      <c r="L66" s="10"/>
      <c r="M66" s="14"/>
      <c r="N66" s="10"/>
      <c r="O66" s="10"/>
      <c r="P66" s="14"/>
      <c r="Q66" s="10"/>
      <c r="R66" s="10"/>
      <c r="S66" s="14"/>
      <c r="T66" s="10"/>
      <c r="U66" s="10"/>
      <c r="V66" s="14"/>
      <c r="W66" s="10"/>
      <c r="X66" s="10"/>
      <c r="Y66" s="14"/>
      <c r="Z66" s="9"/>
    </row>
    <row r="67" spans="1:26" x14ac:dyDescent="0.25">
      <c r="A67" s="160">
        <v>15</v>
      </c>
      <c r="B67" s="7">
        <v>12447314</v>
      </c>
      <c r="C67" s="7"/>
      <c r="D67" s="7">
        <v>12447314</v>
      </c>
      <c r="G67" s="16" t="s">
        <v>45</v>
      </c>
      <c r="H67" s="10">
        <f>SUM(H60:H66)</f>
        <v>200562066</v>
      </c>
      <c r="I67" s="10">
        <f>SUM(I60:I66)</f>
        <v>9150085</v>
      </c>
      <c r="J67" s="30">
        <f>SUM(H67:I67)</f>
        <v>209712151</v>
      </c>
      <c r="K67" s="10">
        <f>SUM(K60:K66)</f>
        <v>206845380</v>
      </c>
      <c r="L67" s="10">
        <f>SUM(L60:L66)</f>
        <v>4866218</v>
      </c>
      <c r="M67" s="30">
        <f>SUM(K67:L67)</f>
        <v>211711598</v>
      </c>
      <c r="N67" s="10">
        <f>SUM(N60:N66)</f>
        <v>188365341.81999999</v>
      </c>
      <c r="O67" s="10">
        <f>SUM(O60:O66)</f>
        <v>2807542</v>
      </c>
      <c r="P67" s="30">
        <f>SUM(N67:O67)</f>
        <v>191172883.81999999</v>
      </c>
      <c r="Q67" s="10">
        <f>SUM(Q60:Q66)</f>
        <v>214922206.97999999</v>
      </c>
      <c r="R67" s="10">
        <f>SUM(R60:R66)</f>
        <v>3665279</v>
      </c>
      <c r="S67" s="30">
        <f>SUM(Q67:R67)</f>
        <v>218587485.97999999</v>
      </c>
      <c r="T67" s="10">
        <f>SUM(T60:T66)</f>
        <v>227420961</v>
      </c>
      <c r="U67" s="10">
        <f>SUM(U60:U66)</f>
        <v>0</v>
      </c>
      <c r="V67" s="30">
        <f>SUM(T67:U67)</f>
        <v>227420961</v>
      </c>
      <c r="W67" s="10">
        <f>SUM(W60:W66)</f>
        <v>0</v>
      </c>
      <c r="X67" s="10">
        <f>SUM(X60:X66)</f>
        <v>0</v>
      </c>
      <c r="Y67" s="30">
        <f>SUM(W67:X67)</f>
        <v>0</v>
      </c>
      <c r="Z67" s="11">
        <f>I67+H67+K67+L67+N67+O67+Q67+R67+T67+U67+W67+X67</f>
        <v>1058605079.8</v>
      </c>
    </row>
    <row r="68" spans="1:26" ht="30" x14ac:dyDescent="0.25">
      <c r="A68" s="160">
        <v>16</v>
      </c>
      <c r="B68" s="7">
        <v>35578758</v>
      </c>
      <c r="C68" s="7">
        <v>27649026</v>
      </c>
      <c r="D68" s="7">
        <v>63227784</v>
      </c>
      <c r="G68" s="18" t="s">
        <v>48</v>
      </c>
      <c r="H68" s="14">
        <f>H67/$G$59</f>
        <v>0.17786012692500355</v>
      </c>
      <c r="I68" s="14">
        <f>I67/$G$59</f>
        <v>8.1143723333732074E-3</v>
      </c>
      <c r="J68" s="31">
        <f>H68+I68</f>
        <v>0.18597449925837675</v>
      </c>
      <c r="K68" s="14">
        <f>K67/$G$59</f>
        <v>0.18343222262504311</v>
      </c>
      <c r="L68" s="14">
        <f>L67/$G$59</f>
        <v>4.3154030489730641E-3</v>
      </c>
      <c r="M68" s="31">
        <f>K68+L68</f>
        <v>0.18774762567401618</v>
      </c>
      <c r="N68" s="14">
        <f>N67/$G$59</f>
        <v>0.16704396934351923</v>
      </c>
      <c r="O68" s="14">
        <f>O67/$G$59</f>
        <v>2.4897518579973061E-3</v>
      </c>
      <c r="P68" s="31">
        <f>N68+O68</f>
        <v>0.16953372120151652</v>
      </c>
      <c r="Q68" s="14">
        <f>Q67/$G$59</f>
        <v>0.1905948207198099</v>
      </c>
      <c r="R68" s="14">
        <f>R67/$G$59</f>
        <v>3.2504002434615431E-3</v>
      </c>
      <c r="S68" s="31">
        <f>Q68+R68</f>
        <v>0.19384522096327145</v>
      </c>
      <c r="T68" s="14">
        <f>T67/$G$59</f>
        <v>0.20167882090358144</v>
      </c>
      <c r="U68" s="14">
        <f>U67/$G$59</f>
        <v>0</v>
      </c>
      <c r="V68" s="31">
        <f>T68+U68</f>
        <v>0.20167882090358144</v>
      </c>
      <c r="W68" s="14">
        <f>W67/$G$59</f>
        <v>0</v>
      </c>
      <c r="X68" s="14">
        <f>X67/$G$59</f>
        <v>0</v>
      </c>
      <c r="Y68" s="31">
        <f>W68+X68</f>
        <v>0</v>
      </c>
      <c r="Z68" s="12">
        <f>SUM(J68+M68+P68+S68+V68+Y68)</f>
        <v>0.9387798880007624</v>
      </c>
    </row>
    <row r="69" spans="1:26" x14ac:dyDescent="0.25">
      <c r="A69" s="160">
        <v>17</v>
      </c>
      <c r="B69" s="7">
        <v>4548285</v>
      </c>
      <c r="C69" s="7">
        <v>13065978</v>
      </c>
      <c r="D69" s="7">
        <v>17614263</v>
      </c>
      <c r="G69" s="16" t="s">
        <v>57</v>
      </c>
      <c r="J69" s="22">
        <f>AVERAGE(J60:J64)</f>
        <v>3.5572025385000705E-2</v>
      </c>
      <c r="M69" s="22">
        <f>AVERAGE(M60:M64)</f>
        <v>3.6686444525008625E-2</v>
      </c>
      <c r="P69" s="22">
        <f>AVERAGE(P61:P64)</f>
        <v>4.1760992335879807E-2</v>
      </c>
      <c r="S69" s="22">
        <f>AVERAGE(S60:S64)</f>
        <v>3.8118964143961986E-2</v>
      </c>
      <c r="V69" s="22">
        <f>AVERAGE(V60:V61)</f>
        <v>4.8810577398091581E-2</v>
      </c>
    </row>
    <row r="70" spans="1:26" ht="30.75" thickBot="1" x14ac:dyDescent="0.3">
      <c r="A70" s="160">
        <v>19</v>
      </c>
      <c r="B70" s="7">
        <v>38971189</v>
      </c>
      <c r="C70" s="7"/>
      <c r="D70" s="7">
        <v>38971189</v>
      </c>
      <c r="G70" s="37" t="s">
        <v>58</v>
      </c>
      <c r="H70" s="14">
        <f>(J65+M65+P65+S65)/4</f>
        <v>4.54248187095128E-3</v>
      </c>
    </row>
    <row r="71" spans="1:26" ht="30.75" thickBot="1" x14ac:dyDescent="0.3">
      <c r="A71" s="160">
        <v>20</v>
      </c>
      <c r="B71" s="7">
        <v>42248623.979999997</v>
      </c>
      <c r="C71" s="7"/>
      <c r="D71" s="7">
        <v>42248623.979999997</v>
      </c>
      <c r="G71" s="89" t="s">
        <v>59</v>
      </c>
      <c r="H71" s="88">
        <f>(V62+V98+V44+V107)/4</f>
        <v>0.1140761649632149</v>
      </c>
      <c r="T71" s="8"/>
    </row>
    <row r="72" spans="1:26" x14ac:dyDescent="0.25">
      <c r="A72" s="160">
        <v>21</v>
      </c>
      <c r="B72" s="7">
        <v>47769594.57</v>
      </c>
      <c r="C72" s="7"/>
      <c r="D72" s="7">
        <v>47769594.57</v>
      </c>
    </row>
    <row r="73" spans="1:26" x14ac:dyDescent="0.25">
      <c r="A73" s="160">
        <v>22</v>
      </c>
      <c r="B73" s="7">
        <v>60573320</v>
      </c>
      <c r="C73" s="7"/>
      <c r="D73" s="7">
        <v>60573320</v>
      </c>
    </row>
    <row r="74" spans="1:26" x14ac:dyDescent="0.25">
      <c r="A74" s="160">
        <v>23</v>
      </c>
      <c r="B74" s="7">
        <v>48173721</v>
      </c>
      <c r="C74" s="7">
        <v>56822600.479999997</v>
      </c>
      <c r="D74" s="7">
        <v>104996321.47999999</v>
      </c>
    </row>
    <row r="75" spans="1:26" x14ac:dyDescent="0.25">
      <c r="A75" s="160">
        <v>24</v>
      </c>
      <c r="B75" s="7">
        <v>13224506</v>
      </c>
      <c r="C75" s="7">
        <v>36418222</v>
      </c>
      <c r="D75" s="7">
        <v>49642728</v>
      </c>
    </row>
    <row r="76" spans="1:26" x14ac:dyDescent="0.25">
      <c r="A76" s="160">
        <v>25</v>
      </c>
      <c r="B76" s="7"/>
      <c r="C76" s="7">
        <v>65025146</v>
      </c>
      <c r="D76" s="7">
        <v>65025146</v>
      </c>
    </row>
    <row r="77" spans="1:26" x14ac:dyDescent="0.25">
      <c r="A77" s="160">
        <v>26</v>
      </c>
      <c r="B77" s="7">
        <v>65651976</v>
      </c>
      <c r="C77" s="7">
        <v>54112048</v>
      </c>
      <c r="D77" s="7">
        <v>119764024</v>
      </c>
    </row>
    <row r="78" spans="1:26" x14ac:dyDescent="0.25">
      <c r="A78" s="160">
        <v>27</v>
      </c>
      <c r="B78" s="7">
        <v>65380247</v>
      </c>
      <c r="C78" s="7">
        <v>56317232</v>
      </c>
      <c r="D78" s="7">
        <v>121697479</v>
      </c>
      <c r="G78" s="24">
        <v>2019</v>
      </c>
      <c r="H78" s="209" t="s">
        <v>32</v>
      </c>
      <c r="I78" s="209" t="s">
        <v>33</v>
      </c>
      <c r="J78" s="170" t="s">
        <v>49</v>
      </c>
      <c r="K78" s="209" t="s">
        <v>34</v>
      </c>
      <c r="L78" s="209" t="s">
        <v>35</v>
      </c>
      <c r="M78" s="170" t="s">
        <v>49</v>
      </c>
      <c r="N78" s="209" t="s">
        <v>36</v>
      </c>
      <c r="O78" s="209" t="s">
        <v>33</v>
      </c>
      <c r="P78" s="170" t="s">
        <v>49</v>
      </c>
      <c r="Q78" s="209" t="s">
        <v>37</v>
      </c>
      <c r="R78" s="209" t="s">
        <v>33</v>
      </c>
      <c r="S78" s="170" t="s">
        <v>49</v>
      </c>
      <c r="T78" s="209" t="s">
        <v>46</v>
      </c>
      <c r="U78" s="209" t="s">
        <v>33</v>
      </c>
      <c r="V78" s="170" t="s">
        <v>49</v>
      </c>
      <c r="W78" s="210" t="s">
        <v>54</v>
      </c>
      <c r="X78" s="210" t="s">
        <v>33</v>
      </c>
      <c r="Y78" s="170" t="s">
        <v>49</v>
      </c>
      <c r="Z78" s="212" t="s">
        <v>47</v>
      </c>
    </row>
    <row r="79" spans="1:26" x14ac:dyDescent="0.25">
      <c r="A79" s="160">
        <v>28</v>
      </c>
      <c r="B79" s="7">
        <v>67584323</v>
      </c>
      <c r="C79" s="7">
        <v>5252953</v>
      </c>
      <c r="D79" s="7">
        <v>72837276</v>
      </c>
      <c r="G79" s="44">
        <v>1189280738</v>
      </c>
      <c r="H79" s="209"/>
      <c r="I79" s="209"/>
      <c r="J79" s="170" t="s">
        <v>50</v>
      </c>
      <c r="K79" s="209"/>
      <c r="L79" s="209"/>
      <c r="M79" s="170" t="s">
        <v>50</v>
      </c>
      <c r="N79" s="209"/>
      <c r="O79" s="209"/>
      <c r="P79" s="170" t="s">
        <v>50</v>
      </c>
      <c r="Q79" s="209"/>
      <c r="R79" s="209"/>
      <c r="S79" s="170" t="s">
        <v>50</v>
      </c>
      <c r="T79" s="209"/>
      <c r="U79" s="209"/>
      <c r="V79" s="170" t="s">
        <v>50</v>
      </c>
      <c r="W79" s="211"/>
      <c r="X79" s="211"/>
      <c r="Y79" s="170" t="s">
        <v>50</v>
      </c>
      <c r="Z79" s="213"/>
    </row>
    <row r="80" spans="1:26" x14ac:dyDescent="0.25">
      <c r="A80" s="160">
        <v>29</v>
      </c>
      <c r="B80" s="7">
        <v>54053958</v>
      </c>
      <c r="C80" s="7"/>
      <c r="D80" s="7">
        <v>54053958</v>
      </c>
      <c r="G80" s="24" t="s">
        <v>38</v>
      </c>
      <c r="H80" s="10"/>
      <c r="I80" s="10"/>
      <c r="J80" s="14">
        <f>H80/$G$79</f>
        <v>0</v>
      </c>
      <c r="K80" s="10">
        <v>27393983</v>
      </c>
      <c r="L80" s="10"/>
      <c r="M80" s="14">
        <f>K80/$G$79</f>
        <v>2.3034076080361104E-2</v>
      </c>
      <c r="N80" s="10">
        <v>56539305</v>
      </c>
      <c r="O80" s="10"/>
      <c r="P80" s="14">
        <f>N80/$G$79</f>
        <v>4.7540755679841847E-2</v>
      </c>
      <c r="Q80" s="10">
        <v>22479666</v>
      </c>
      <c r="R80" s="10"/>
      <c r="S80" s="14">
        <f>Q80/$G$79</f>
        <v>1.890190035180743E-2</v>
      </c>
      <c r="T80" s="3">
        <v>38484405</v>
      </c>
      <c r="U80" s="10"/>
      <c r="V80" s="14">
        <f>T80/$G$79</f>
        <v>3.2359394859718983E-2</v>
      </c>
      <c r="W80" s="10"/>
      <c r="X80" s="10"/>
      <c r="Y80" s="14">
        <f>W80/$G$79</f>
        <v>0</v>
      </c>
      <c r="Z80" s="9"/>
    </row>
    <row r="81" spans="1:27" x14ac:dyDescent="0.25">
      <c r="A81" s="160">
        <v>30</v>
      </c>
      <c r="B81" s="7">
        <v>119593343</v>
      </c>
      <c r="C81" s="7">
        <v>96175955</v>
      </c>
      <c r="D81" s="7">
        <v>215769298</v>
      </c>
      <c r="G81" s="24" t="s">
        <v>39</v>
      </c>
      <c r="H81" s="10">
        <v>17181285</v>
      </c>
      <c r="I81" s="10"/>
      <c r="J81" s="14">
        <f t="shared" ref="J81:J86" si="16">H81/$G$79</f>
        <v>1.4446786575298926E-2</v>
      </c>
      <c r="K81" s="10">
        <v>57584507</v>
      </c>
      <c r="L81" s="10"/>
      <c r="M81" s="14">
        <f t="shared" ref="M81:M86" si="17">K81/$G$79</f>
        <v>4.8419607885720251E-2</v>
      </c>
      <c r="N81" s="10">
        <v>62483572.600000001</v>
      </c>
      <c r="O81" s="10"/>
      <c r="P81" s="14">
        <f t="shared" ref="P81:P86" si="18">N81/$G$79</f>
        <v>5.2538959560614697E-2</v>
      </c>
      <c r="Q81" s="10">
        <v>33863850</v>
      </c>
      <c r="R81" s="10"/>
      <c r="S81" s="14">
        <f t="shared" ref="S81:S86" si="19">Q81/$G$79</f>
        <v>2.8474227251799652E-2</v>
      </c>
      <c r="T81" s="10">
        <v>60826587</v>
      </c>
      <c r="U81" s="10"/>
      <c r="V81" s="14">
        <f t="shared" ref="V81:V86" si="20">T81/$G$79</f>
        <v>5.1145692565652233E-2</v>
      </c>
      <c r="W81" s="10"/>
      <c r="X81" s="10"/>
      <c r="Y81" s="14">
        <f t="shared" ref="Y81:Y86" si="21">W81/$G$79</f>
        <v>0</v>
      </c>
      <c r="Z81" s="9"/>
    </row>
    <row r="82" spans="1:27" x14ac:dyDescent="0.25">
      <c r="A82" s="160">
        <v>31</v>
      </c>
      <c r="B82" s="7">
        <v>2085748</v>
      </c>
      <c r="C82" s="7"/>
      <c r="D82" s="7">
        <v>2085748</v>
      </c>
      <c r="G82" s="24" t="s">
        <v>40</v>
      </c>
      <c r="H82" s="10">
        <v>49492470</v>
      </c>
      <c r="I82" s="10"/>
      <c r="J82" s="14">
        <f t="shared" si="16"/>
        <v>4.1615464220189864E-2</v>
      </c>
      <c r="K82" s="10">
        <v>56881270</v>
      </c>
      <c r="L82" s="10"/>
      <c r="M82" s="14">
        <f t="shared" si="17"/>
        <v>4.782829502112057E-2</v>
      </c>
      <c r="N82" s="10">
        <v>55916198</v>
      </c>
      <c r="O82" s="10"/>
      <c r="P82" s="14">
        <f t="shared" si="18"/>
        <v>4.7016819673741321E-2</v>
      </c>
      <c r="Q82" s="10">
        <v>45124370.880000003</v>
      </c>
      <c r="R82" s="10"/>
      <c r="S82" s="14">
        <f t="shared" si="19"/>
        <v>3.7942572714904262E-2</v>
      </c>
      <c r="T82" s="10">
        <v>101586568</v>
      </c>
      <c r="U82" s="10"/>
      <c r="V82" s="14">
        <f t="shared" si="20"/>
        <v>8.5418492668801638E-2</v>
      </c>
      <c r="W82" s="10"/>
      <c r="X82" s="10"/>
      <c r="Y82" s="14">
        <f t="shared" si="21"/>
        <v>0</v>
      </c>
      <c r="Z82" s="9"/>
    </row>
    <row r="83" spans="1:27" x14ac:dyDescent="0.25">
      <c r="A83" s="160" t="s">
        <v>29</v>
      </c>
      <c r="B83" s="7">
        <v>1089249911.9300001</v>
      </c>
      <c r="C83" s="7">
        <v>888077014.48000002</v>
      </c>
      <c r="D83" s="7">
        <v>1977326926.4100001</v>
      </c>
      <c r="G83" s="24" t="s">
        <v>41</v>
      </c>
      <c r="H83" s="10">
        <v>42588503</v>
      </c>
      <c r="I83" s="10"/>
      <c r="J83" s="14">
        <f t="shared" si="16"/>
        <v>3.5810302512441765E-2</v>
      </c>
      <c r="K83" s="10">
        <v>52265575</v>
      </c>
      <c r="L83" s="10"/>
      <c r="M83" s="14">
        <f t="shared" si="17"/>
        <v>4.3947213916786736E-2</v>
      </c>
      <c r="N83" s="10">
        <v>44772199</v>
      </c>
      <c r="O83" s="10"/>
      <c r="P83" s="14">
        <f t="shared" si="18"/>
        <v>3.7646450976152948E-2</v>
      </c>
      <c r="Q83" s="10">
        <v>47009732</v>
      </c>
      <c r="R83" s="10"/>
      <c r="S83" s="14">
        <f t="shared" si="19"/>
        <v>3.9527867977628001E-2</v>
      </c>
      <c r="T83" s="10"/>
      <c r="U83" s="10"/>
      <c r="V83" s="14">
        <f t="shared" si="20"/>
        <v>0</v>
      </c>
      <c r="W83" s="10"/>
      <c r="X83" s="10"/>
      <c r="Y83" s="14">
        <f t="shared" si="21"/>
        <v>0</v>
      </c>
      <c r="Z83" s="9"/>
    </row>
    <row r="84" spans="1:27" x14ac:dyDescent="0.25">
      <c r="G84" s="24" t="s">
        <v>42</v>
      </c>
      <c r="H84" s="10">
        <v>52775835</v>
      </c>
      <c r="I84" s="10"/>
      <c r="J84" s="14">
        <f t="shared" si="16"/>
        <v>4.4376263159489594E-2</v>
      </c>
      <c r="K84" s="10">
        <v>40501950</v>
      </c>
      <c r="L84" s="10"/>
      <c r="M84" s="14">
        <f t="shared" si="17"/>
        <v>3.4055836192312061E-2</v>
      </c>
      <c r="N84" s="10">
        <v>44687767</v>
      </c>
      <c r="O84" s="10"/>
      <c r="P84" s="14">
        <f t="shared" si="18"/>
        <v>3.7575456805220703E-2</v>
      </c>
      <c r="Q84" s="10">
        <v>47678243</v>
      </c>
      <c r="R84" s="10"/>
      <c r="S84" s="14">
        <f t="shared" si="19"/>
        <v>4.008998168101164E-2</v>
      </c>
      <c r="T84" s="10"/>
      <c r="U84" s="10"/>
      <c r="V84" s="14">
        <f t="shared" si="20"/>
        <v>0</v>
      </c>
      <c r="W84" s="10"/>
      <c r="X84" s="10"/>
      <c r="Y84" s="14">
        <f t="shared" si="21"/>
        <v>0</v>
      </c>
      <c r="Z84" s="9"/>
    </row>
    <row r="85" spans="1:27" x14ac:dyDescent="0.25">
      <c r="G85" s="24" t="s">
        <v>43</v>
      </c>
      <c r="H85" s="10"/>
      <c r="I85" s="10">
        <v>5400472</v>
      </c>
      <c r="J85" s="14">
        <f>I85/$G$79</f>
        <v>4.5409564179790824E-3</v>
      </c>
      <c r="K85" s="10"/>
      <c r="L85" s="10">
        <v>8085332</v>
      </c>
      <c r="M85" s="14">
        <f>L85/$G$79</f>
        <v>6.7985058041022438E-3</v>
      </c>
      <c r="N85" s="10"/>
      <c r="O85" s="10">
        <v>5625065</v>
      </c>
      <c r="P85" s="14">
        <f>O85/$G$79</f>
        <v>4.7298041751349714E-3</v>
      </c>
      <c r="Q85" s="10"/>
      <c r="R85" s="10">
        <v>7419905</v>
      </c>
      <c r="S85" s="14">
        <f>R85/$G$79</f>
        <v>6.2389852647222474E-3</v>
      </c>
      <c r="T85" s="10"/>
      <c r="U85" s="10"/>
      <c r="V85" s="14">
        <f>U85/$G$79</f>
        <v>0</v>
      </c>
      <c r="W85" s="10"/>
      <c r="X85" s="10"/>
      <c r="Y85" s="14">
        <f t="shared" si="21"/>
        <v>0</v>
      </c>
      <c r="Z85" s="9"/>
    </row>
    <row r="86" spans="1:27" x14ac:dyDescent="0.25">
      <c r="G86" s="24" t="s">
        <v>44</v>
      </c>
      <c r="H86" s="10"/>
      <c r="I86" s="10"/>
      <c r="J86" s="14">
        <f t="shared" si="16"/>
        <v>0</v>
      </c>
      <c r="K86" s="10"/>
      <c r="L86" s="10"/>
      <c r="M86" s="14">
        <f t="shared" si="17"/>
        <v>0</v>
      </c>
      <c r="N86" s="10"/>
      <c r="O86" s="10"/>
      <c r="P86" s="14">
        <f t="shared" si="18"/>
        <v>0</v>
      </c>
      <c r="Q86" s="10"/>
      <c r="R86" s="10"/>
      <c r="S86" s="14">
        <f t="shared" si="19"/>
        <v>0</v>
      </c>
      <c r="T86" s="10"/>
      <c r="U86" s="10"/>
      <c r="V86" s="14">
        <f t="shared" si="20"/>
        <v>0</v>
      </c>
      <c r="W86" s="10"/>
      <c r="X86" s="10"/>
      <c r="Y86" s="14">
        <f t="shared" si="21"/>
        <v>0</v>
      </c>
      <c r="Z86" s="9"/>
    </row>
    <row r="87" spans="1:27" x14ac:dyDescent="0.25">
      <c r="G87" s="24" t="s">
        <v>45</v>
      </c>
      <c r="H87" s="10">
        <f>SUM(H80:H86)</f>
        <v>162038093</v>
      </c>
      <c r="I87" s="10">
        <f>SUM(I80:I86)</f>
        <v>5400472</v>
      </c>
      <c r="J87" s="196">
        <f>SUM(H87:I87)</f>
        <v>167438565</v>
      </c>
      <c r="K87" s="10">
        <f>SUM(K80:K86)</f>
        <v>234627285</v>
      </c>
      <c r="L87" s="10">
        <f>SUM(L80:L86)</f>
        <v>8085332</v>
      </c>
      <c r="M87" s="196">
        <f>SUM(K87:L87)</f>
        <v>242712617</v>
      </c>
      <c r="N87" s="10">
        <f>SUM(N80:N86)</f>
        <v>264399041.59999999</v>
      </c>
      <c r="O87" s="10">
        <f>SUM(O80:O86)</f>
        <v>5625065</v>
      </c>
      <c r="P87" s="196">
        <f>SUM(N87:O87)</f>
        <v>270024106.60000002</v>
      </c>
      <c r="Q87" s="10">
        <f>SUM(Q80:Q86)</f>
        <v>196155861.88</v>
      </c>
      <c r="R87" s="10">
        <f>SUM(R80:R86)</f>
        <v>7419905</v>
      </c>
      <c r="S87" s="196">
        <f>SUM(Q87:R87)</f>
        <v>203575766.88</v>
      </c>
      <c r="T87" s="10">
        <f>SUM(T80:T86)</f>
        <v>200897560</v>
      </c>
      <c r="U87" s="10">
        <f>SUM(U80:U86)</f>
        <v>0</v>
      </c>
      <c r="V87" s="196">
        <f>SUM(T87:U87)</f>
        <v>200897560</v>
      </c>
      <c r="W87" s="10">
        <f>SUM(W80:W86)</f>
        <v>0</v>
      </c>
      <c r="X87" s="10">
        <f>SUM(X80:X86)</f>
        <v>0</v>
      </c>
      <c r="Y87" s="196">
        <f>SUM(W87:X87)</f>
        <v>0</v>
      </c>
      <c r="Z87" s="11">
        <f>I87+H87+K87+L87+N87+O87+Q87+R87+T87+U87+W87+X87</f>
        <v>1084648615.48</v>
      </c>
      <c r="AA87" s="11"/>
    </row>
    <row r="88" spans="1:27" ht="30" x14ac:dyDescent="0.25">
      <c r="G88" s="171" t="s">
        <v>48</v>
      </c>
      <c r="H88" s="14">
        <f>H87/$G$79</f>
        <v>0.13624881646742015</v>
      </c>
      <c r="I88" s="14">
        <f>I87/$G$79</f>
        <v>4.5409564179790824E-3</v>
      </c>
      <c r="J88" s="197">
        <f>H88+I88</f>
        <v>0.14078977288539923</v>
      </c>
      <c r="K88" s="14">
        <f>K87/$G$79</f>
        <v>0.19728502909630072</v>
      </c>
      <c r="L88" s="14">
        <f>L87/$G$79</f>
        <v>6.7985058041022438E-3</v>
      </c>
      <c r="M88" s="197">
        <f>K88+L88</f>
        <v>0.20408353490040296</v>
      </c>
      <c r="N88" s="14">
        <f>N87/$G$79</f>
        <v>0.22231844269557152</v>
      </c>
      <c r="O88" s="14">
        <f>O87/$G$79</f>
        <v>4.7298041751349714E-3</v>
      </c>
      <c r="P88" s="197">
        <f>N88+O88</f>
        <v>0.22704824687070649</v>
      </c>
      <c r="Q88" s="14">
        <f>Q87/$G$79</f>
        <v>0.16493654997715099</v>
      </c>
      <c r="R88" s="14">
        <f>R87/$G$79</f>
        <v>6.2389852647222474E-3</v>
      </c>
      <c r="S88" s="197">
        <f>Q88+R88</f>
        <v>0.17117553524187323</v>
      </c>
      <c r="T88" s="14">
        <f>T87/$G$79</f>
        <v>0.16892358009417285</v>
      </c>
      <c r="U88" s="14">
        <f>U87/$G$79</f>
        <v>0</v>
      </c>
      <c r="V88" s="197">
        <f>T88+U88</f>
        <v>0.16892358009417285</v>
      </c>
      <c r="W88" s="14">
        <f>W87/$G$79</f>
        <v>0</v>
      </c>
      <c r="X88" s="14">
        <f>X87/$G$79</f>
        <v>0</v>
      </c>
      <c r="Y88" s="197">
        <f>W88+X88</f>
        <v>0</v>
      </c>
      <c r="Z88" s="14">
        <f>SUM(J88+M88+P88+S88+V88+Y88)</f>
        <v>0.91202066999255471</v>
      </c>
      <c r="AA88" s="12"/>
    </row>
    <row r="92" spans="1:27" ht="15" customHeight="1" x14ac:dyDescent="0.25">
      <c r="G92" s="16" t="s">
        <v>80</v>
      </c>
      <c r="H92" s="216" t="s">
        <v>32</v>
      </c>
      <c r="I92" s="216" t="s">
        <v>33</v>
      </c>
      <c r="J92" s="161" t="s">
        <v>49</v>
      </c>
      <c r="K92" s="216" t="s">
        <v>34</v>
      </c>
      <c r="L92" s="216" t="s">
        <v>35</v>
      </c>
      <c r="M92" s="161" t="s">
        <v>49</v>
      </c>
      <c r="N92" s="216" t="s">
        <v>36</v>
      </c>
      <c r="O92" s="216" t="s">
        <v>33</v>
      </c>
      <c r="P92" s="161" t="s">
        <v>49</v>
      </c>
      <c r="Q92" s="216" t="s">
        <v>37</v>
      </c>
      <c r="R92" s="216" t="s">
        <v>33</v>
      </c>
      <c r="S92" s="161" t="s">
        <v>49</v>
      </c>
      <c r="T92" s="216" t="s">
        <v>46</v>
      </c>
      <c r="U92" s="216" t="s">
        <v>33</v>
      </c>
      <c r="V92" s="161" t="s">
        <v>49</v>
      </c>
      <c r="W92" s="216" t="s">
        <v>54</v>
      </c>
      <c r="X92" s="216" t="s">
        <v>33</v>
      </c>
      <c r="Y92" s="161" t="s">
        <v>49</v>
      </c>
      <c r="Z92" s="206" t="s">
        <v>47</v>
      </c>
    </row>
    <row r="93" spans="1:27" x14ac:dyDescent="0.25">
      <c r="G93" s="93">
        <v>1000198288</v>
      </c>
      <c r="H93" s="217"/>
      <c r="I93" s="217"/>
      <c r="J93" s="161" t="s">
        <v>50</v>
      </c>
      <c r="K93" s="217"/>
      <c r="L93" s="217"/>
      <c r="M93" s="161" t="s">
        <v>50</v>
      </c>
      <c r="N93" s="217"/>
      <c r="O93" s="217"/>
      <c r="P93" s="161" t="s">
        <v>50</v>
      </c>
      <c r="Q93" s="217"/>
      <c r="R93" s="217"/>
      <c r="S93" s="161" t="s">
        <v>50</v>
      </c>
      <c r="T93" s="217"/>
      <c r="U93" s="217"/>
      <c r="V93" s="161" t="s">
        <v>50</v>
      </c>
      <c r="W93" s="217"/>
      <c r="X93" s="217"/>
      <c r="Y93" s="161" t="s">
        <v>50</v>
      </c>
      <c r="Z93" s="207"/>
    </row>
    <row r="94" spans="1:27" x14ac:dyDescent="0.25">
      <c r="G94" s="16" t="s">
        <v>38</v>
      </c>
      <c r="H94" s="111"/>
      <c r="I94" s="10"/>
      <c r="J94" s="14">
        <f>H94/$G$93</f>
        <v>0</v>
      </c>
      <c r="K94" s="111">
        <v>32497245</v>
      </c>
      <c r="L94" s="10"/>
      <c r="M94" s="14">
        <f>K94/$G$93</f>
        <v>3.2490802463761063E-2</v>
      </c>
      <c r="N94" s="111">
        <v>59121740</v>
      </c>
      <c r="O94" s="10"/>
      <c r="P94" s="14">
        <f>N94/$G$93</f>
        <v>5.9110019192514351E-2</v>
      </c>
      <c r="Q94" s="7">
        <v>38971189</v>
      </c>
      <c r="R94" s="10"/>
      <c r="S94" s="14">
        <f>Q94/$G$93</f>
        <v>3.896346301284611E-2</v>
      </c>
      <c r="T94" s="7">
        <v>65651976</v>
      </c>
      <c r="U94" s="10"/>
      <c r="V94" s="14">
        <f>T94/$G$93</f>
        <v>6.5638960581784159E-2</v>
      </c>
      <c r="W94" s="111"/>
      <c r="X94" s="10"/>
      <c r="Y94" s="14">
        <f>W94/$G$93</f>
        <v>0</v>
      </c>
      <c r="Z94" s="9"/>
    </row>
    <row r="95" spans="1:27" x14ac:dyDescent="0.25">
      <c r="G95" s="16" t="s">
        <v>39</v>
      </c>
      <c r="H95" s="111"/>
      <c r="I95" s="10"/>
      <c r="J95" s="14">
        <f>H95/$G$93</f>
        <v>0</v>
      </c>
      <c r="K95" s="111">
        <v>31950209</v>
      </c>
      <c r="L95" s="10"/>
      <c r="M95" s="14">
        <f t="shared" ref="M95:M98" si="22">K95/$G$93</f>
        <v>3.1943874912931262E-2</v>
      </c>
      <c r="N95" s="111">
        <v>39894461</v>
      </c>
      <c r="O95" s="10"/>
      <c r="P95" s="14">
        <f t="shared" ref="P95:P98" si="23">N95/$G$93</f>
        <v>3.9886551975381906E-2</v>
      </c>
      <c r="Q95" s="7">
        <v>42248623.979999997</v>
      </c>
      <c r="R95" s="10"/>
      <c r="S95" s="14">
        <f t="shared" ref="S95:S98" si="24">Q95/$G$93</f>
        <v>4.2240248245655865E-2</v>
      </c>
      <c r="T95" s="7">
        <v>65380247</v>
      </c>
      <c r="U95" s="10"/>
      <c r="V95" s="14">
        <f t="shared" ref="V95:V98" si="25">T95/$G$93</f>
        <v>6.5367285451702353E-2</v>
      </c>
      <c r="W95" s="111"/>
      <c r="X95" s="10"/>
      <c r="Y95" s="14">
        <f t="shared" ref="Y95:Y98" si="26">W95/$G$93</f>
        <v>0</v>
      </c>
      <c r="Z95" s="9"/>
    </row>
    <row r="96" spans="1:27" x14ac:dyDescent="0.25">
      <c r="G96" s="16" t="s">
        <v>40</v>
      </c>
      <c r="H96" s="111"/>
      <c r="I96" s="10"/>
      <c r="J96" s="14">
        <f>H96/$G$93</f>
        <v>0</v>
      </c>
      <c r="K96" s="111">
        <v>59939040</v>
      </c>
      <c r="L96" s="10"/>
      <c r="M96" s="14">
        <f t="shared" si="22"/>
        <v>5.9927157163860295E-2</v>
      </c>
      <c r="N96" s="111">
        <v>52807444</v>
      </c>
      <c r="O96" s="10"/>
      <c r="P96" s="14">
        <f t="shared" si="23"/>
        <v>5.2796974993422507E-2</v>
      </c>
      <c r="Q96" s="7">
        <v>47769594.57</v>
      </c>
      <c r="R96" s="10"/>
      <c r="S96" s="14">
        <f t="shared" si="24"/>
        <v>4.7760124310470727E-2</v>
      </c>
      <c r="T96" s="7">
        <v>67584323</v>
      </c>
      <c r="U96" s="10"/>
      <c r="V96" s="14">
        <f t="shared" si="25"/>
        <v>6.7570924496523438E-2</v>
      </c>
      <c r="W96" s="111"/>
      <c r="X96" s="10"/>
      <c r="Y96" s="14">
        <f t="shared" si="26"/>
        <v>0</v>
      </c>
      <c r="Z96" s="9"/>
    </row>
    <row r="97" spans="7:26" x14ac:dyDescent="0.25">
      <c r="G97" s="16" t="s">
        <v>41</v>
      </c>
      <c r="H97" s="111">
        <v>15340261.6</v>
      </c>
      <c r="I97" s="10"/>
      <c r="J97" s="14">
        <f>H97/$G$93</f>
        <v>1.5337220413238699E-2</v>
      </c>
      <c r="K97" s="111">
        <v>31659894</v>
      </c>
      <c r="L97" s="10"/>
      <c r="M97" s="14">
        <f t="shared" si="22"/>
        <v>3.1653617467499603E-2</v>
      </c>
      <c r="N97" s="111">
        <v>12447314</v>
      </c>
      <c r="O97" s="10"/>
      <c r="P97" s="14">
        <f t="shared" si="23"/>
        <v>1.2444846336309667E-2</v>
      </c>
      <c r="Q97" s="7">
        <v>60573320</v>
      </c>
      <c r="R97" s="10"/>
      <c r="S97" s="14">
        <f t="shared" si="24"/>
        <v>6.0561311418681416E-2</v>
      </c>
      <c r="T97" s="7">
        <v>54053958</v>
      </c>
      <c r="U97" s="10"/>
      <c r="V97" s="14">
        <f t="shared" si="25"/>
        <v>5.4043241873655355E-2</v>
      </c>
      <c r="W97" s="111"/>
      <c r="X97" s="10"/>
      <c r="Y97" s="14">
        <f t="shared" si="26"/>
        <v>0</v>
      </c>
      <c r="Z97" s="9"/>
    </row>
    <row r="98" spans="7:26" x14ac:dyDescent="0.25">
      <c r="G98" s="16" t="s">
        <v>42</v>
      </c>
      <c r="H98" s="111">
        <v>39796972</v>
      </c>
      <c r="I98" s="10"/>
      <c r="J98" s="14">
        <f>H98/$G$93</f>
        <v>3.978908230244841E-2</v>
      </c>
      <c r="K98" s="111">
        <v>40950249.780000001</v>
      </c>
      <c r="L98" s="10"/>
      <c r="M98" s="14">
        <f t="shared" si="22"/>
        <v>4.0942131446639711E-2</v>
      </c>
      <c r="N98" s="111">
        <v>35578758</v>
      </c>
      <c r="O98" s="10"/>
      <c r="P98" s="14">
        <f t="shared" si="23"/>
        <v>3.5571704557846633E-2</v>
      </c>
      <c r="Q98" s="7">
        <v>48173721</v>
      </c>
      <c r="R98" s="10"/>
      <c r="S98" s="14">
        <f t="shared" si="24"/>
        <v>4.8164170622935522E-2</v>
      </c>
      <c r="T98" s="7">
        <v>119593343</v>
      </c>
      <c r="U98" s="10"/>
      <c r="V98" s="14">
        <f t="shared" si="25"/>
        <v>0.11956963377645774</v>
      </c>
      <c r="W98" s="111"/>
      <c r="X98" s="10"/>
      <c r="Y98" s="14">
        <f t="shared" si="26"/>
        <v>0</v>
      </c>
      <c r="Z98" s="9"/>
    </row>
    <row r="99" spans="7:26" x14ac:dyDescent="0.25">
      <c r="G99" s="16" t="s">
        <v>43</v>
      </c>
      <c r="H99" s="111"/>
      <c r="I99" s="111">
        <v>2101606</v>
      </c>
      <c r="J99" s="14">
        <f>I99/$G$93</f>
        <v>2.1011893593643103E-3</v>
      </c>
      <c r="K99" s="7"/>
      <c r="L99" s="7">
        <v>5305883</v>
      </c>
      <c r="M99" s="14">
        <f>L99/$G$93</f>
        <v>5.3048311156477408E-3</v>
      </c>
      <c r="N99" s="111"/>
      <c r="O99" s="111">
        <v>4548285</v>
      </c>
      <c r="P99" s="14">
        <f>O99/$G$93</f>
        <v>4.5473833084585325E-3</v>
      </c>
      <c r="Q99" s="7"/>
      <c r="R99" s="7">
        <v>13224506</v>
      </c>
      <c r="S99" s="14">
        <f>R99/$G$93</f>
        <v>1.3221884259014048E-2</v>
      </c>
      <c r="T99" s="7"/>
      <c r="U99" s="7">
        <v>2085748</v>
      </c>
      <c r="V99" s="14">
        <f>U99/$G$93</f>
        <v>2.0853345031920309E-3</v>
      </c>
      <c r="W99" s="9"/>
      <c r="X99" s="111"/>
      <c r="Y99" s="14">
        <f>X99/$G$93</f>
        <v>0</v>
      </c>
      <c r="Z99" s="9"/>
    </row>
    <row r="100" spans="7:26" x14ac:dyDescent="0.25">
      <c r="G100" s="16" t="s">
        <v>44</v>
      </c>
      <c r="H100" s="10"/>
      <c r="I100" s="10"/>
      <c r="J100" s="14">
        <f>H100/$G$93</f>
        <v>0</v>
      </c>
      <c r="K100" s="10"/>
      <c r="L100" s="10"/>
      <c r="M100" s="14">
        <f t="shared" ref="M100" si="27">K100/$G$93</f>
        <v>0</v>
      </c>
      <c r="N100" s="10"/>
      <c r="O100" s="10"/>
      <c r="P100" s="14">
        <f t="shared" ref="P100" si="28">N100/$G$93</f>
        <v>0</v>
      </c>
      <c r="Q100" s="10"/>
      <c r="R100" s="10"/>
      <c r="S100" s="14">
        <f t="shared" ref="S100" si="29">Q100/$G$93</f>
        <v>0</v>
      </c>
      <c r="T100" s="10"/>
      <c r="U100" s="10"/>
      <c r="V100" s="14">
        <f t="shared" ref="V100" si="30">T100/$G$93</f>
        <v>0</v>
      </c>
      <c r="W100" s="10"/>
      <c r="X100" s="10"/>
      <c r="Y100" s="14">
        <f t="shared" ref="Y100" si="31">W100/$G$93</f>
        <v>0</v>
      </c>
      <c r="Z100" s="9"/>
    </row>
    <row r="101" spans="7:26" x14ac:dyDescent="0.25">
      <c r="G101" s="16" t="s">
        <v>45</v>
      </c>
      <c r="H101" s="146">
        <f>SUM(H95:H100)</f>
        <v>55137233.600000001</v>
      </c>
      <c r="I101" s="10">
        <f>SUM(I94:I100)</f>
        <v>2101606</v>
      </c>
      <c r="J101" s="30">
        <f>SUM(H101:I101)</f>
        <v>57238839.600000001</v>
      </c>
      <c r="K101" s="146">
        <f>SUM(K94:K100)</f>
        <v>196996637.78</v>
      </c>
      <c r="L101" s="10">
        <f>SUM(L94:L100)</f>
        <v>5305883</v>
      </c>
      <c r="M101" s="30">
        <f>SUM(K101:L101)</f>
        <v>202302520.78</v>
      </c>
      <c r="N101" s="146">
        <f>SUM(N94:N100)</f>
        <v>199849717</v>
      </c>
      <c r="O101" s="10">
        <f>SUM(O94:O100)</f>
        <v>4548285</v>
      </c>
      <c r="P101" s="30">
        <f>SUM(N101:O101)</f>
        <v>204398002</v>
      </c>
      <c r="Q101" s="146">
        <f>SUM(Q94:Q100)</f>
        <v>237736448.54999998</v>
      </c>
      <c r="R101" s="10">
        <f>SUM(R94:R100)</f>
        <v>13224506</v>
      </c>
      <c r="S101" s="30">
        <f>SUM(Q101:R101)</f>
        <v>250960954.54999998</v>
      </c>
      <c r="T101" s="146">
        <f>SUM(T94:T100)</f>
        <v>372263847</v>
      </c>
      <c r="U101" s="10">
        <f>SUM(U94:U100)</f>
        <v>2085748</v>
      </c>
      <c r="V101" s="30">
        <f>SUM(T101:U101)</f>
        <v>374349595</v>
      </c>
      <c r="W101" s="10">
        <f>SUM(W95:W100)</f>
        <v>0</v>
      </c>
      <c r="X101" s="10">
        <f>SUM(X94:X100)</f>
        <v>0</v>
      </c>
      <c r="Y101" s="30">
        <f>SUM(W101:X101)</f>
        <v>0</v>
      </c>
      <c r="Z101" s="11">
        <f>I101+H101+K101+L101+N101+O101+Q101+R101+T101+U101+W101+X101</f>
        <v>1089249911.9299998</v>
      </c>
    </row>
    <row r="102" spans="7:26" ht="30" x14ac:dyDescent="0.25">
      <c r="G102" s="18" t="s">
        <v>48</v>
      </c>
      <c r="H102" s="14">
        <f>H101/$G$93</f>
        <v>5.5126302715687116E-2</v>
      </c>
      <c r="I102" s="14">
        <f>I101/$G$93</f>
        <v>2.1011893593643103E-3</v>
      </c>
      <c r="J102" s="31">
        <f>H102+I102</f>
        <v>5.7227492075051428E-2</v>
      </c>
      <c r="K102" s="14">
        <f>K101/$G$93</f>
        <v>0.19695758345469194</v>
      </c>
      <c r="L102" s="14">
        <f>L101/$G$93</f>
        <v>5.3048311156477408E-3</v>
      </c>
      <c r="M102" s="31">
        <f>K102+L102</f>
        <v>0.20226241457033969</v>
      </c>
      <c r="N102" s="14">
        <f>N101/$G$93</f>
        <v>0.19981009705547506</v>
      </c>
      <c r="O102" s="14">
        <f>O101/$G$93</f>
        <v>4.5473833084585325E-3</v>
      </c>
      <c r="P102" s="31">
        <f>N102+O102</f>
        <v>0.20435748036393359</v>
      </c>
      <c r="Q102" s="14">
        <f>Q101/$G$93</f>
        <v>0.23768931761058962</v>
      </c>
      <c r="R102" s="14">
        <f>R101/$G$93</f>
        <v>1.3221884259014048E-2</v>
      </c>
      <c r="S102" s="31">
        <f>Q102+R102</f>
        <v>0.25091120186960364</v>
      </c>
      <c r="T102" s="14">
        <f>T101/$G$93</f>
        <v>0.37219004618012302</v>
      </c>
      <c r="U102" s="14">
        <f>U101/$G$93</f>
        <v>2.0853345031920309E-3</v>
      </c>
      <c r="V102" s="31">
        <f>T102+U102</f>
        <v>0.37427538068331506</v>
      </c>
      <c r="W102" s="14">
        <f>W101/$G$93</f>
        <v>0</v>
      </c>
      <c r="X102" s="14">
        <f>X101/$G$93</f>
        <v>0</v>
      </c>
      <c r="Y102" s="31">
        <f>W102+X102</f>
        <v>0</v>
      </c>
      <c r="Z102" s="14">
        <f>SUM(J102+M102+P102+S102+V102+Y102)</f>
        <v>1.0890339695622433</v>
      </c>
    </row>
    <row r="103" spans="7:26" x14ac:dyDescent="0.25">
      <c r="G103" s="16" t="s">
        <v>57</v>
      </c>
      <c r="J103" s="22">
        <f>AVERAGE(J94:J98)</f>
        <v>1.1025260543137422E-2</v>
      </c>
      <c r="M103" s="22">
        <f>AVERAGE(M94:M98)</f>
        <v>3.9391516690938391E-2</v>
      </c>
      <c r="P103" s="22">
        <f>AVERAGE(P94:P98)</f>
        <v>3.9962019411095014E-2</v>
      </c>
      <c r="S103" s="22">
        <f>AVERAGE(S94:S98)</f>
        <v>4.7537863522117925E-2</v>
      </c>
      <c r="V103" s="22">
        <f>AVERAGE(V94:V97)</f>
        <v>6.3155103100916321E-2</v>
      </c>
    </row>
    <row r="104" spans="7:26" ht="30" x14ac:dyDescent="0.25">
      <c r="G104" s="37" t="s">
        <v>58</v>
      </c>
      <c r="H104" s="14">
        <f>(J99+M99+P99+S99+V99)/5</f>
        <v>5.452124509135332E-3</v>
      </c>
    </row>
    <row r="105" spans="7:26" x14ac:dyDescent="0.25">
      <c r="G105" s="16" t="s">
        <v>81</v>
      </c>
      <c r="H105" s="208" t="s">
        <v>32</v>
      </c>
      <c r="I105" s="208" t="s">
        <v>33</v>
      </c>
      <c r="J105" s="118" t="s">
        <v>49</v>
      </c>
      <c r="K105" s="208" t="s">
        <v>34</v>
      </c>
      <c r="L105" s="208" t="s">
        <v>35</v>
      </c>
      <c r="M105" s="118" t="s">
        <v>49</v>
      </c>
      <c r="N105" s="208" t="s">
        <v>36</v>
      </c>
      <c r="O105" s="208" t="s">
        <v>33</v>
      </c>
      <c r="P105" s="118" t="s">
        <v>49</v>
      </c>
      <c r="Q105" s="208" t="s">
        <v>37</v>
      </c>
      <c r="R105" s="208" t="s">
        <v>33</v>
      </c>
      <c r="S105" s="118" t="s">
        <v>49</v>
      </c>
      <c r="T105" s="208" t="s">
        <v>46</v>
      </c>
      <c r="U105" s="208" t="s">
        <v>33</v>
      </c>
      <c r="V105" s="118" t="s">
        <v>49</v>
      </c>
      <c r="W105" s="216" t="s">
        <v>54</v>
      </c>
      <c r="X105" s="216" t="s">
        <v>33</v>
      </c>
      <c r="Y105" s="118" t="s">
        <v>49</v>
      </c>
      <c r="Z105" s="206" t="s">
        <v>47</v>
      </c>
    </row>
    <row r="106" spans="7:26" x14ac:dyDescent="0.25">
      <c r="G106" s="93">
        <v>811075092</v>
      </c>
      <c r="H106" s="208"/>
      <c r="I106" s="208"/>
      <c r="J106" s="118" t="s">
        <v>50</v>
      </c>
      <c r="K106" s="208"/>
      <c r="L106" s="208"/>
      <c r="M106" s="118" t="s">
        <v>50</v>
      </c>
      <c r="N106" s="208"/>
      <c r="O106" s="208"/>
      <c r="P106" s="118" t="s">
        <v>50</v>
      </c>
      <c r="Q106" s="208"/>
      <c r="R106" s="208"/>
      <c r="S106" s="118" t="s">
        <v>50</v>
      </c>
      <c r="T106" s="208"/>
      <c r="U106" s="208"/>
      <c r="V106" s="118" t="s">
        <v>50</v>
      </c>
      <c r="W106" s="217"/>
      <c r="X106" s="217"/>
      <c r="Y106" s="118" t="s">
        <v>50</v>
      </c>
      <c r="Z106" s="207"/>
    </row>
    <row r="107" spans="7:26" x14ac:dyDescent="0.25">
      <c r="G107" s="16" t="s">
        <v>38</v>
      </c>
      <c r="H107" s="7">
        <v>17910126</v>
      </c>
      <c r="I107" s="10"/>
      <c r="J107" s="14">
        <f>H107/$G$106</f>
        <v>2.208195785649894E-2</v>
      </c>
      <c r="K107" s="7">
        <v>30219166</v>
      </c>
      <c r="L107" s="10"/>
      <c r="M107" s="14">
        <f>K107/$G$106</f>
        <v>3.7258160555126506E-2</v>
      </c>
      <c r="N107" s="111">
        <v>27649026</v>
      </c>
      <c r="O107" s="10"/>
      <c r="P107" s="14">
        <f>N107/$G$106</f>
        <v>3.4089354084122211E-2</v>
      </c>
      <c r="Q107" s="7">
        <v>56822600.479999997</v>
      </c>
      <c r="R107" s="10"/>
      <c r="S107" s="14">
        <f>Q107/$G$106</f>
        <v>7.0058371956514223E-2</v>
      </c>
      <c r="T107" s="111">
        <v>96175955</v>
      </c>
      <c r="U107" s="10"/>
      <c r="V107" s="14">
        <f>T107/$G$106</f>
        <v>0.11857836092937249</v>
      </c>
      <c r="W107" s="111"/>
      <c r="X107" s="10"/>
      <c r="Y107" s="14">
        <f>W107/$G$106</f>
        <v>0</v>
      </c>
      <c r="Z107" s="9"/>
    </row>
    <row r="108" spans="7:26" x14ac:dyDescent="0.25">
      <c r="G108" s="16" t="s">
        <v>39</v>
      </c>
      <c r="H108" s="7">
        <v>42837453</v>
      </c>
      <c r="I108" s="10"/>
      <c r="J108" s="14">
        <f t="shared" ref="J108:J113" si="32">H108/$G$106</f>
        <v>5.2815643609975385E-2</v>
      </c>
      <c r="K108" s="7">
        <v>68500230</v>
      </c>
      <c r="L108" s="10"/>
      <c r="M108" s="14">
        <f t="shared" ref="M108:M111" si="33">K108/$G$106</f>
        <v>8.4456088808112478E-2</v>
      </c>
      <c r="N108" s="111">
        <v>13065978</v>
      </c>
      <c r="O108" s="10"/>
      <c r="P108" s="14">
        <f t="shared" ref="P108:P111" si="34">N108/$G$106</f>
        <v>1.6109455374570914E-2</v>
      </c>
      <c r="Q108" s="7">
        <v>36418222</v>
      </c>
      <c r="R108" s="10"/>
      <c r="S108" s="14">
        <f t="shared" ref="S108:S111" si="35">Q108/$G$106</f>
        <v>4.4901171740088404E-2</v>
      </c>
      <c r="T108" s="111"/>
      <c r="U108" s="10"/>
      <c r="V108" s="14">
        <f t="shared" ref="V108:V111" si="36">T108/$G$106</f>
        <v>0</v>
      </c>
      <c r="W108" s="111"/>
      <c r="X108" s="10"/>
      <c r="Y108" s="14">
        <f t="shared" ref="Y108:Y111" si="37">W108/$G$106</f>
        <v>0</v>
      </c>
      <c r="Z108" s="9"/>
    </row>
    <row r="109" spans="7:26" x14ac:dyDescent="0.25">
      <c r="G109" s="16" t="s">
        <v>40</v>
      </c>
      <c r="H109" s="7">
        <v>55471865</v>
      </c>
      <c r="I109" s="10"/>
      <c r="J109" s="14">
        <f t="shared" si="32"/>
        <v>6.839300768466948E-2</v>
      </c>
      <c r="K109" s="7">
        <v>69644414</v>
      </c>
      <c r="L109" s="10"/>
      <c r="M109" s="14">
        <f t="shared" si="33"/>
        <v>8.5866789261480614E-2</v>
      </c>
      <c r="N109" s="111"/>
      <c r="O109" s="10"/>
      <c r="P109" s="14">
        <f t="shared" si="34"/>
        <v>0</v>
      </c>
      <c r="Q109" s="7">
        <v>65025146</v>
      </c>
      <c r="R109" s="10"/>
      <c r="S109" s="14">
        <f t="shared" si="35"/>
        <v>8.017154840701235E-2</v>
      </c>
      <c r="T109" s="111"/>
      <c r="U109" s="10"/>
      <c r="V109" s="14">
        <f t="shared" si="36"/>
        <v>0</v>
      </c>
      <c r="W109" s="111"/>
      <c r="X109" s="10"/>
      <c r="Y109" s="14">
        <f t="shared" si="37"/>
        <v>0</v>
      </c>
      <c r="Z109" s="9"/>
    </row>
    <row r="110" spans="7:26" x14ac:dyDescent="0.25">
      <c r="G110" s="16" t="s">
        <v>41</v>
      </c>
      <c r="H110" s="7">
        <v>51574320</v>
      </c>
      <c r="I110" s="10"/>
      <c r="J110" s="14">
        <f t="shared" si="32"/>
        <v>6.3587601824665579E-2</v>
      </c>
      <c r="K110" s="7">
        <v>41541452</v>
      </c>
      <c r="L110" s="10"/>
      <c r="M110" s="14">
        <f t="shared" si="33"/>
        <v>5.1217763200648254E-2</v>
      </c>
      <c r="N110" s="111"/>
      <c r="O110" s="10"/>
      <c r="P110" s="14">
        <f t="shared" si="34"/>
        <v>0</v>
      </c>
      <c r="Q110" s="7">
        <v>54112048</v>
      </c>
      <c r="R110" s="10"/>
      <c r="S110" s="14">
        <f t="shared" si="35"/>
        <v>6.6716446521082412E-2</v>
      </c>
      <c r="T110" s="111"/>
      <c r="U110" s="10"/>
      <c r="V110" s="14">
        <f t="shared" si="36"/>
        <v>0</v>
      </c>
      <c r="W110" s="111"/>
      <c r="X110" s="10"/>
      <c r="Y110" s="14">
        <f t="shared" si="37"/>
        <v>0</v>
      </c>
      <c r="Z110" s="9"/>
    </row>
    <row r="111" spans="7:26" x14ac:dyDescent="0.25">
      <c r="G111" s="16" t="s">
        <v>42</v>
      </c>
      <c r="H111" s="7">
        <v>39337699</v>
      </c>
      <c r="I111" s="10"/>
      <c r="J111" s="14">
        <f t="shared" si="32"/>
        <v>4.8500686789676437E-2</v>
      </c>
      <c r="K111" s="7">
        <v>53527343</v>
      </c>
      <c r="L111" s="10"/>
      <c r="M111" s="14">
        <f t="shared" si="33"/>
        <v>6.5995545329852148E-2</v>
      </c>
      <c r="N111" s="111"/>
      <c r="O111" s="10"/>
      <c r="P111" s="14">
        <f t="shared" si="34"/>
        <v>0</v>
      </c>
      <c r="Q111" s="7">
        <v>56317232</v>
      </c>
      <c r="R111" s="10"/>
      <c r="S111" s="14">
        <f t="shared" si="35"/>
        <v>6.9435287256978173E-2</v>
      </c>
      <c r="T111" s="111"/>
      <c r="U111" s="10"/>
      <c r="V111" s="14">
        <f t="shared" si="36"/>
        <v>0</v>
      </c>
      <c r="W111" s="111"/>
      <c r="X111" s="10"/>
      <c r="Y111" s="14">
        <f t="shared" si="37"/>
        <v>0</v>
      </c>
      <c r="Z111" s="9"/>
    </row>
    <row r="112" spans="7:26" x14ac:dyDescent="0.25">
      <c r="G112" s="16" t="s">
        <v>43</v>
      </c>
      <c r="H112" s="7"/>
      <c r="I112" s="7">
        <v>2723067</v>
      </c>
      <c r="J112" s="14">
        <f>I112/$G$106</f>
        <v>3.3573549808875156E-3</v>
      </c>
      <c r="K112" s="7"/>
      <c r="L112" s="7">
        <v>3950719</v>
      </c>
      <c r="M112" s="14">
        <f>L112/$G$106</f>
        <v>4.8709657576317235E-3</v>
      </c>
      <c r="N112" s="111"/>
      <c r="O112" s="111"/>
      <c r="P112" s="14">
        <f>O112/$G$106</f>
        <v>0</v>
      </c>
      <c r="Q112" s="7"/>
      <c r="R112" s="7">
        <v>5252953</v>
      </c>
      <c r="S112" s="14">
        <f>R112/$G$106</f>
        <v>6.476531028769405E-3</v>
      </c>
      <c r="T112" s="111"/>
      <c r="U112" s="111"/>
      <c r="V112" s="14">
        <f>U112/$G$106</f>
        <v>0</v>
      </c>
      <c r="W112" s="111"/>
      <c r="X112" s="111"/>
      <c r="Y112" s="14">
        <f>X112/$G$106</f>
        <v>0</v>
      </c>
      <c r="Z112" s="9"/>
    </row>
    <row r="113" spans="7:26" x14ac:dyDescent="0.25">
      <c r="G113" s="16" t="s">
        <v>44</v>
      </c>
      <c r="H113" s="10"/>
      <c r="I113" s="10"/>
      <c r="J113" s="14">
        <f t="shared" si="32"/>
        <v>0</v>
      </c>
      <c r="K113" s="10"/>
      <c r="L113" s="10"/>
      <c r="M113" s="14">
        <f t="shared" ref="M113" si="38">K113/$G$106</f>
        <v>0</v>
      </c>
      <c r="N113" s="10"/>
      <c r="O113" s="10"/>
      <c r="P113" s="14">
        <f t="shared" ref="P113" si="39">N113/$G$106</f>
        <v>0</v>
      </c>
      <c r="Q113" s="10"/>
      <c r="R113" s="10"/>
      <c r="S113" s="14">
        <f t="shared" ref="S113" si="40">Q113/$G$106</f>
        <v>0</v>
      </c>
      <c r="T113" s="10"/>
      <c r="U113" s="10"/>
      <c r="V113" s="14">
        <f t="shared" ref="V113" si="41">T113/$G$106</f>
        <v>0</v>
      </c>
      <c r="W113" s="10"/>
      <c r="X113" s="10"/>
      <c r="Y113" s="14">
        <f t="shared" ref="Y113" si="42">W113/$G$106</f>
        <v>0</v>
      </c>
      <c r="Z113" s="9"/>
    </row>
    <row r="114" spans="7:26" x14ac:dyDescent="0.25">
      <c r="G114" s="16" t="s">
        <v>45</v>
      </c>
      <c r="H114" s="146">
        <f>SUM(H107:H113)</f>
        <v>207131463</v>
      </c>
      <c r="I114" s="10">
        <f>SUM(I107:I113)</f>
        <v>2723067</v>
      </c>
      <c r="J114" s="147">
        <f>SUM(H114:I114)</f>
        <v>209854530</v>
      </c>
      <c r="K114" s="146">
        <f>SUM(K107:K113)</f>
        <v>263432605</v>
      </c>
      <c r="L114" s="10">
        <f>SUM(L107:L113)</f>
        <v>3950719</v>
      </c>
      <c r="M114" s="147">
        <f>SUM(K114:L114)</f>
        <v>267383324</v>
      </c>
      <c r="N114" s="146">
        <f>SUM(N107:N113)</f>
        <v>40715004</v>
      </c>
      <c r="O114" s="10">
        <f>SUM(O107:O113)</f>
        <v>0</v>
      </c>
      <c r="P114" s="147">
        <f>SUM(N114:O114)</f>
        <v>40715004</v>
      </c>
      <c r="Q114" s="146">
        <f>SUM(Q107:Q113)</f>
        <v>268695248.48000002</v>
      </c>
      <c r="R114" s="10">
        <f>SUM(R107:R113)</f>
        <v>5252953</v>
      </c>
      <c r="S114" s="147">
        <f>SUM(Q114:R114)</f>
        <v>273948201.48000002</v>
      </c>
      <c r="T114" s="146">
        <f>SUM(T107:T113)</f>
        <v>96175955</v>
      </c>
      <c r="U114" s="10">
        <f>SUM(U107:U113)</f>
        <v>0</v>
      </c>
      <c r="V114" s="147">
        <f>SUM(T114:U114)</f>
        <v>96175955</v>
      </c>
      <c r="W114" s="146">
        <f>SUM(W107:W113)</f>
        <v>0</v>
      </c>
      <c r="X114" s="10">
        <f>SUM(X107:X113)</f>
        <v>0</v>
      </c>
      <c r="Y114" s="147">
        <f>SUM(W114:X114)</f>
        <v>0</v>
      </c>
      <c r="Z114" s="11">
        <f>I114+H114+K114+L114+N114+O114+Q114+R114+T114+U114+W114+X114</f>
        <v>888077014.48000002</v>
      </c>
    </row>
    <row r="115" spans="7:26" ht="30" x14ac:dyDescent="0.25">
      <c r="G115" s="18" t="s">
        <v>48</v>
      </c>
      <c r="H115" s="14">
        <f>H114/$G$106</f>
        <v>0.25537889776548583</v>
      </c>
      <c r="I115" s="14">
        <f>I114/$G$106</f>
        <v>3.3573549808875156E-3</v>
      </c>
      <c r="J115" s="31">
        <f>H115+I115</f>
        <v>0.25873625274637335</v>
      </c>
      <c r="K115" s="14">
        <f>K114/$G$106</f>
        <v>0.32479434715521999</v>
      </c>
      <c r="L115" s="14">
        <f>L114/$G$106</f>
        <v>4.8709657576317235E-3</v>
      </c>
      <c r="M115" s="31">
        <f>K115+L115</f>
        <v>0.32966531291285173</v>
      </c>
      <c r="N115" s="14">
        <f>N114/$G$106</f>
        <v>5.0198809458693129E-2</v>
      </c>
      <c r="O115" s="14">
        <f>O114/$G$106</f>
        <v>0</v>
      </c>
      <c r="P115" s="31">
        <f>N115+O115</f>
        <v>5.0198809458693129E-2</v>
      </c>
      <c r="Q115" s="14">
        <f>Q114/$G$106</f>
        <v>0.33128282588167562</v>
      </c>
      <c r="R115" s="14">
        <f>R114/$G$106</f>
        <v>6.476531028769405E-3</v>
      </c>
      <c r="S115" s="31">
        <f>Q115+R115</f>
        <v>0.33775935691044501</v>
      </c>
      <c r="T115" s="14">
        <f>T114/$G$106</f>
        <v>0.11857836092937249</v>
      </c>
      <c r="U115" s="14">
        <f>U114/$G$106</f>
        <v>0</v>
      </c>
      <c r="V115" s="31">
        <f>T115+U115</f>
        <v>0.11857836092937249</v>
      </c>
      <c r="W115" s="14">
        <f>W114/$G$106</f>
        <v>0</v>
      </c>
      <c r="X115" s="14">
        <f>X114/$G$106</f>
        <v>0</v>
      </c>
      <c r="Y115" s="31">
        <f>W115+X115</f>
        <v>0</v>
      </c>
      <c r="Z115" s="14">
        <f>SUM(J115+M115+P115+S115+V115+Y115)</f>
        <v>1.0949380929577357</v>
      </c>
    </row>
    <row r="116" spans="7:26" x14ac:dyDescent="0.25">
      <c r="G116" s="16" t="s">
        <v>57</v>
      </c>
      <c r="J116" s="22">
        <f>AVERAGE(J107:J111)</f>
        <v>5.1075779553097167E-2</v>
      </c>
      <c r="M116" s="22">
        <f>AVERAGE(M107:M111)</f>
        <v>6.4958869431043995E-2</v>
      </c>
      <c r="P116" s="22">
        <f>AVERAGE(P107:P111)</f>
        <v>1.0039761891738625E-2</v>
      </c>
      <c r="S116" s="22">
        <f>AVERAGE(S107:S111)</f>
        <v>6.6256565176335117E-2</v>
      </c>
      <c r="V116" s="22">
        <f>AVERAGE(V107:V111)</f>
        <v>2.3715672185874496E-2</v>
      </c>
      <c r="Y116" s="22">
        <f>AVERAGE(Y107:Y111)</f>
        <v>0</v>
      </c>
    </row>
    <row r="117" spans="7:26" ht="30" x14ac:dyDescent="0.25">
      <c r="G117" s="37" t="s">
        <v>58</v>
      </c>
      <c r="H117" s="14">
        <f>(J112+M112+P112+S112)/4</f>
        <v>3.6762129418221609E-3</v>
      </c>
    </row>
  </sheetData>
  <mergeCells count="67">
    <mergeCell ref="A2:A3"/>
    <mergeCell ref="W92:W93"/>
    <mergeCell ref="X92:X93"/>
    <mergeCell ref="Z92:Z93"/>
    <mergeCell ref="H105:H106"/>
    <mergeCell ref="I105:I106"/>
    <mergeCell ref="K105:K106"/>
    <mergeCell ref="L105:L106"/>
    <mergeCell ref="N105:N106"/>
    <mergeCell ref="O105:O106"/>
    <mergeCell ref="Q105:Q106"/>
    <mergeCell ref="R105:R106"/>
    <mergeCell ref="T105:T106"/>
    <mergeCell ref="U105:U106"/>
    <mergeCell ref="W105:W106"/>
    <mergeCell ref="X105:X106"/>
    <mergeCell ref="Z105:Z106"/>
    <mergeCell ref="O92:O93"/>
    <mergeCell ref="Q92:Q93"/>
    <mergeCell ref="R92:R93"/>
    <mergeCell ref="T92:T93"/>
    <mergeCell ref="U92:U93"/>
    <mergeCell ref="H92:H93"/>
    <mergeCell ref="I92:I93"/>
    <mergeCell ref="K92:K93"/>
    <mergeCell ref="L92:L93"/>
    <mergeCell ref="N92:N93"/>
    <mergeCell ref="R41:R42"/>
    <mergeCell ref="X41:X42"/>
    <mergeCell ref="W78:W79"/>
    <mergeCell ref="W58:W59"/>
    <mergeCell ref="W41:W42"/>
    <mergeCell ref="X58:X59"/>
    <mergeCell ref="R58:R59"/>
    <mergeCell ref="T58:T59"/>
    <mergeCell ref="U58:U59"/>
    <mergeCell ref="T41:T42"/>
    <mergeCell ref="U41:U42"/>
    <mergeCell ref="H16:I16"/>
    <mergeCell ref="H78:H79"/>
    <mergeCell ref="I78:I79"/>
    <mergeCell ref="K78:K79"/>
    <mergeCell ref="L78:L79"/>
    <mergeCell ref="N78:N79"/>
    <mergeCell ref="O78:O79"/>
    <mergeCell ref="X78:X79"/>
    <mergeCell ref="Z78:Z79"/>
    <mergeCell ref="Q78:Q79"/>
    <mergeCell ref="R78:R79"/>
    <mergeCell ref="T78:T79"/>
    <mergeCell ref="U78:U79"/>
    <mergeCell ref="Z41:Z42"/>
    <mergeCell ref="H58:H59"/>
    <mergeCell ref="I58:I59"/>
    <mergeCell ref="K58:K59"/>
    <mergeCell ref="L58:L59"/>
    <mergeCell ref="N58:N59"/>
    <mergeCell ref="H41:H42"/>
    <mergeCell ref="I41:I42"/>
    <mergeCell ref="K41:K42"/>
    <mergeCell ref="L41:L42"/>
    <mergeCell ref="N41:N42"/>
    <mergeCell ref="O41:O42"/>
    <mergeCell ref="Z58:Z59"/>
    <mergeCell ref="Q58:Q59"/>
    <mergeCell ref="O58:O59"/>
    <mergeCell ref="Q41:Q42"/>
  </mergeCells>
  <conditionalFormatting sqref="J11">
    <cfRule type="cellIs" dxfId="101" priority="9" operator="lessThan">
      <formula>0</formula>
    </cfRule>
    <cfRule type="cellIs" dxfId="100" priority="10" operator="greaterThan">
      <formula>0</formula>
    </cfRule>
  </conditionalFormatting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workbookViewId="0">
      <selection activeCell="E16" sqref="E1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140625" customWidth="1"/>
    <col min="4" max="4" width="12.5703125" customWidth="1"/>
    <col min="5" max="5" width="12.5703125" bestFit="1" customWidth="1"/>
    <col min="6" max="6" width="15.42578125" bestFit="1" customWidth="1"/>
    <col min="7" max="7" width="22.42578125" bestFit="1" customWidth="1"/>
    <col min="8" max="8" width="22.140625" bestFit="1" customWidth="1"/>
    <col min="9" max="9" width="13.7109375" bestFit="1" customWidth="1"/>
    <col min="10" max="10" width="12" bestFit="1" customWidth="1"/>
    <col min="11" max="11" width="14.5703125" bestFit="1" customWidth="1"/>
    <col min="12" max="12" width="22.140625" bestFit="1" customWidth="1"/>
    <col min="13" max="13" width="14.5703125" bestFit="1" customWidth="1"/>
    <col min="14" max="14" width="12.140625" bestFit="1" customWidth="1"/>
    <col min="15" max="15" width="13.7109375" bestFit="1" customWidth="1"/>
    <col min="16" max="16" width="12" bestFit="1" customWidth="1"/>
    <col min="17" max="17" width="9.42578125" bestFit="1" customWidth="1"/>
    <col min="18" max="18" width="15.42578125" bestFit="1" customWidth="1"/>
    <col min="19" max="19" width="10.5703125" bestFit="1" customWidth="1"/>
    <col min="20" max="20" width="12" bestFit="1" customWidth="1"/>
  </cols>
  <sheetData>
    <row r="1" spans="2:11" ht="15.75" thickBot="1" x14ac:dyDescent="0.3"/>
    <row r="2" spans="2:11" ht="15.75" thickBot="1" x14ac:dyDescent="0.3">
      <c r="B2" s="177" t="s">
        <v>64</v>
      </c>
      <c r="C2" s="53"/>
      <c r="D2" s="53" t="s">
        <v>60</v>
      </c>
      <c r="E2" s="52"/>
      <c r="F2" s="54"/>
      <c r="G2" s="101"/>
      <c r="H2" s="95"/>
      <c r="I2" s="54"/>
      <c r="J2" s="68" t="s">
        <v>67</v>
      </c>
      <c r="K2" s="55"/>
    </row>
    <row r="3" spans="2:11" ht="15.75" thickBot="1" x14ac:dyDescent="0.3">
      <c r="B3" s="180"/>
      <c r="C3" s="129" t="s">
        <v>65</v>
      </c>
      <c r="D3" s="35" t="s">
        <v>51</v>
      </c>
      <c r="E3" s="36">
        <f>A101</f>
        <v>576652433.86691856</v>
      </c>
      <c r="F3" s="130"/>
      <c r="G3" s="131" t="s">
        <v>66</v>
      </c>
      <c r="H3" s="56"/>
      <c r="I3" s="56"/>
      <c r="J3" s="70">
        <v>0</v>
      </c>
      <c r="K3" s="57"/>
    </row>
    <row r="4" spans="2:11" ht="15.75" thickBot="1" x14ac:dyDescent="0.3">
      <c r="B4" s="136"/>
      <c r="C4" s="137"/>
      <c r="D4" s="138"/>
      <c r="E4" s="138">
        <v>2019</v>
      </c>
      <c r="F4" s="126" t="s">
        <v>69</v>
      </c>
      <c r="G4" s="139">
        <v>2019</v>
      </c>
      <c r="H4" s="138" t="s">
        <v>76</v>
      </c>
      <c r="I4" s="140" t="s">
        <v>52</v>
      </c>
      <c r="J4" s="127" t="s">
        <v>55</v>
      </c>
      <c r="K4" s="128" t="s">
        <v>56</v>
      </c>
    </row>
    <row r="5" spans="2:11" x14ac:dyDescent="0.25">
      <c r="B5" s="63">
        <v>1</v>
      </c>
      <c r="C5" s="25">
        <v>5</v>
      </c>
      <c r="D5" s="90" t="s">
        <v>32</v>
      </c>
      <c r="E5" s="133">
        <f>(G19*C5)+(G18*B5)</f>
        <v>0.16608879998016074</v>
      </c>
      <c r="F5" s="71">
        <f>E5</f>
        <v>0.16608879998016074</v>
      </c>
      <c r="G5" s="134">
        <f>$L$102</f>
        <v>0</v>
      </c>
      <c r="H5" s="135">
        <f t="shared" ref="H5:H10" si="0">$E$3*E5</f>
        <v>95775510.746595502</v>
      </c>
      <c r="I5" s="143">
        <f t="shared" ref="I5:I10" si="1">G5*$L$106</f>
        <v>0</v>
      </c>
      <c r="J5" s="77">
        <f>G5</f>
        <v>0</v>
      </c>
      <c r="K5" s="72">
        <f>G5-E5</f>
        <v>-0.16608879998016074</v>
      </c>
    </row>
    <row r="6" spans="2:11" x14ac:dyDescent="0.25">
      <c r="B6" s="63">
        <v>1</v>
      </c>
      <c r="C6" s="25">
        <v>5</v>
      </c>
      <c r="D6" s="25" t="s">
        <v>34</v>
      </c>
      <c r="E6" s="45">
        <f>(G20*C6)+(G18*B6)</f>
        <v>0.25293787251204064</v>
      </c>
      <c r="F6" s="34">
        <f>E6+F5</f>
        <v>0.41902667249220138</v>
      </c>
      <c r="G6" s="23">
        <f>$O$102</f>
        <v>0</v>
      </c>
      <c r="H6" s="135">
        <f t="shared" si="0"/>
        <v>145857239.80118859</v>
      </c>
      <c r="I6" s="144">
        <f t="shared" si="1"/>
        <v>0</v>
      </c>
      <c r="J6" s="77">
        <f>G6+J5</f>
        <v>0</v>
      </c>
      <c r="K6" s="72">
        <f t="shared" ref="K6:K9" si="2">G6-E6</f>
        <v>-0.25293787251204064</v>
      </c>
    </row>
    <row r="7" spans="2:11" x14ac:dyDescent="0.25">
      <c r="B7" s="63">
        <v>1</v>
      </c>
      <c r="C7" s="25">
        <v>5</v>
      </c>
      <c r="D7" s="25" t="s">
        <v>36</v>
      </c>
      <c r="E7" s="45">
        <f>(G21*C7)+(G18*B7)</f>
        <v>0.18564931423123843</v>
      </c>
      <c r="F7" s="34">
        <f>E7+F6</f>
        <v>0.60467598672343981</v>
      </c>
      <c r="G7" s="23">
        <f>$R$102</f>
        <v>0</v>
      </c>
      <c r="H7" s="135">
        <f t="shared" si="0"/>
        <v>107055128.897168</v>
      </c>
      <c r="I7" s="144">
        <f t="shared" si="1"/>
        <v>0</v>
      </c>
      <c r="J7" s="77">
        <f t="shared" ref="J7:J10" si="3">G7+J6</f>
        <v>0</v>
      </c>
      <c r="K7" s="72">
        <f t="shared" si="2"/>
        <v>-0.18564931423123843</v>
      </c>
    </row>
    <row r="8" spans="2:11" x14ac:dyDescent="0.25">
      <c r="B8" s="63">
        <v>1</v>
      </c>
      <c r="C8" s="25">
        <v>4</v>
      </c>
      <c r="D8" s="25" t="s">
        <v>37</v>
      </c>
      <c r="E8" s="45">
        <f>(G22*C8)+(G18*B8)</f>
        <v>0.1873268806362052</v>
      </c>
      <c r="F8" s="34">
        <f>E8+F7</f>
        <v>0.79200286735964498</v>
      </c>
      <c r="G8" s="23">
        <f>$U$102</f>
        <v>0</v>
      </c>
      <c r="H8" s="135">
        <f t="shared" si="0"/>
        <v>108022501.64756547</v>
      </c>
      <c r="I8" s="144">
        <f t="shared" si="1"/>
        <v>0</v>
      </c>
      <c r="J8" s="77">
        <f t="shared" si="3"/>
        <v>0</v>
      </c>
      <c r="K8" s="72">
        <f>G8-E8</f>
        <v>-0.1873268806362052</v>
      </c>
    </row>
    <row r="9" spans="2:11" x14ac:dyDescent="0.25">
      <c r="B9" s="63">
        <v>0</v>
      </c>
      <c r="C9" s="25">
        <v>1</v>
      </c>
      <c r="D9" s="25" t="s">
        <v>46</v>
      </c>
      <c r="E9" s="45">
        <f>(G23*C9)+(G18*B9)</f>
        <v>3.6607299618668224E-2</v>
      </c>
      <c r="F9" s="34">
        <f>E9+F8</f>
        <v>0.82861016697831325</v>
      </c>
      <c r="G9" s="23">
        <f>$X$94+$X$95</f>
        <v>0</v>
      </c>
      <c r="H9" s="135">
        <f t="shared" si="0"/>
        <v>21109688.422400553</v>
      </c>
      <c r="I9" s="144">
        <f t="shared" si="1"/>
        <v>0</v>
      </c>
      <c r="J9" s="77">
        <f t="shared" si="3"/>
        <v>0</v>
      </c>
      <c r="K9" s="72">
        <f t="shared" si="2"/>
        <v>-3.6607299618668224E-2</v>
      </c>
    </row>
    <row r="10" spans="2:11" x14ac:dyDescent="0.25">
      <c r="B10" s="63"/>
      <c r="C10" s="25">
        <v>1</v>
      </c>
      <c r="D10" s="25" t="s">
        <v>63</v>
      </c>
      <c r="E10" s="45">
        <f>G24</f>
        <v>8.586447443465868E-2</v>
      </c>
      <c r="F10" s="34">
        <f>E10+F9</f>
        <v>0.91447464141297197</v>
      </c>
      <c r="G10" s="23">
        <f>P104</f>
        <v>0</v>
      </c>
      <c r="H10" s="135">
        <f t="shared" si="0"/>
        <v>49513958.165449731</v>
      </c>
      <c r="I10" s="144">
        <f t="shared" si="1"/>
        <v>0</v>
      </c>
      <c r="J10" s="77">
        <f t="shared" si="3"/>
        <v>0</v>
      </c>
      <c r="K10" s="116">
        <f t="shared" ref="K10" si="4">I10-E10</f>
        <v>-8.586447443465868E-2</v>
      </c>
    </row>
    <row r="11" spans="2:11" ht="19.5" thickBot="1" x14ac:dyDescent="0.35">
      <c r="B11" s="63"/>
      <c r="C11" s="46"/>
      <c r="D11" s="46"/>
      <c r="E11" s="58"/>
      <c r="F11" s="58"/>
      <c r="G11" s="80"/>
      <c r="H11" s="48"/>
      <c r="I11" s="121">
        <f>SUM(I5:I10)</f>
        <v>0</v>
      </c>
      <c r="J11" s="122">
        <f>J10</f>
        <v>0</v>
      </c>
      <c r="K11" s="59">
        <f>J11-J3</f>
        <v>0</v>
      </c>
    </row>
    <row r="12" spans="2:11" ht="15.75" thickBot="1" x14ac:dyDescent="0.3">
      <c r="B12" s="60"/>
      <c r="C12" s="61"/>
      <c r="D12" s="61"/>
      <c r="E12" s="79"/>
      <c r="F12" s="82" t="str">
        <f>D2</f>
        <v>Proyeccion</v>
      </c>
      <c r="G12" s="119">
        <f>SUM(H5:H11)</f>
        <v>527334027.68036783</v>
      </c>
      <c r="H12" s="220" t="s">
        <v>75</v>
      </c>
      <c r="I12" s="123"/>
      <c r="J12" s="97"/>
      <c r="K12" s="57"/>
    </row>
    <row r="13" spans="2:11" ht="15.75" thickBot="1" x14ac:dyDescent="0.3">
      <c r="B13" s="141"/>
      <c r="C13" s="142"/>
      <c r="D13" s="142"/>
      <c r="E13" s="142"/>
      <c r="F13" s="81"/>
      <c r="G13" s="120">
        <f>F10</f>
        <v>0.91447464141297197</v>
      </c>
      <c r="H13" s="221"/>
      <c r="I13" s="124">
        <f>H9+H10+I11</f>
        <v>70623646.587850288</v>
      </c>
      <c r="J13" s="125">
        <f>I13/E3</f>
        <v>0.1224717740533269</v>
      </c>
      <c r="K13" s="62"/>
    </row>
    <row r="16" spans="2:11" ht="15.75" thickBot="1" x14ac:dyDescent="0.3"/>
    <row r="17" spans="1:9" ht="15.75" thickBot="1" x14ac:dyDescent="0.3">
      <c r="F17" s="214" t="s">
        <v>61</v>
      </c>
      <c r="G17" s="215"/>
    </row>
    <row r="18" spans="1:9" x14ac:dyDescent="0.25">
      <c r="F18" s="90" t="s">
        <v>64</v>
      </c>
      <c r="G18" s="91">
        <f>(B75+B92+B128+B145)/4</f>
        <v>4.6542919074499343E-3</v>
      </c>
    </row>
    <row r="19" spans="1:9" x14ac:dyDescent="0.25">
      <c r="F19" s="25" t="s">
        <v>32</v>
      </c>
      <c r="G19" s="42">
        <f>(D74+D91+D127+D144)/4</f>
        <v>3.228690161454216E-2</v>
      </c>
    </row>
    <row r="20" spans="1:9" x14ac:dyDescent="0.25">
      <c r="F20" s="25" t="s">
        <v>34</v>
      </c>
      <c r="G20" s="42">
        <f>(G74+G91+G127+G144)/4</f>
        <v>4.965671612091814E-2</v>
      </c>
    </row>
    <row r="21" spans="1:9" x14ac:dyDescent="0.25">
      <c r="F21" s="25" t="s">
        <v>36</v>
      </c>
      <c r="G21" s="42">
        <f>(J74+J91+J127+J144)/4</f>
        <v>3.6199004464757698E-2</v>
      </c>
    </row>
    <row r="22" spans="1:9" x14ac:dyDescent="0.25">
      <c r="F22" s="25" t="s">
        <v>37</v>
      </c>
      <c r="G22" s="42">
        <f>(M74+M91+M127+M144)/4</f>
        <v>4.5668147182188819E-2</v>
      </c>
    </row>
    <row r="23" spans="1:9" x14ac:dyDescent="0.25">
      <c r="F23" s="25" t="s">
        <v>46</v>
      </c>
      <c r="G23" s="42">
        <f>(P91+P74+P127+P144)/4</f>
        <v>3.6607299618668224E-2</v>
      </c>
    </row>
    <row r="24" spans="1:9" x14ac:dyDescent="0.25">
      <c r="F24" s="25" t="s">
        <v>62</v>
      </c>
      <c r="G24" s="43">
        <f>B93</f>
        <v>8.586447443465868E-2</v>
      </c>
    </row>
    <row r="25" spans="1:9" x14ac:dyDescent="0.25">
      <c r="A25" s="6"/>
      <c r="B25" s="7"/>
      <c r="C25" s="7"/>
      <c r="D25" s="7"/>
    </row>
    <row r="26" spans="1:9" x14ac:dyDescent="0.25">
      <c r="A26" s="6"/>
      <c r="B26" s="5" t="s">
        <v>74</v>
      </c>
      <c r="C26" s="5" t="s">
        <v>28</v>
      </c>
      <c r="G26" s="205" t="s">
        <v>74</v>
      </c>
      <c r="H26" s="205" t="s">
        <v>28</v>
      </c>
      <c r="I26" s="167"/>
    </row>
    <row r="27" spans="1:9" x14ac:dyDescent="0.25">
      <c r="A27" s="6"/>
      <c r="B27" s="5" t="s">
        <v>31</v>
      </c>
      <c r="C27" t="s">
        <v>23</v>
      </c>
      <c r="D27" t="s">
        <v>26</v>
      </c>
      <c r="E27" t="s">
        <v>29</v>
      </c>
      <c r="G27" s="205" t="s">
        <v>31</v>
      </c>
      <c r="H27" s="167" t="s">
        <v>79</v>
      </c>
      <c r="I27" s="167" t="s">
        <v>29</v>
      </c>
    </row>
    <row r="28" spans="1:9" x14ac:dyDescent="0.25">
      <c r="A28" s="6"/>
      <c r="B28" s="6">
        <v>1</v>
      </c>
      <c r="C28" s="167">
        <v>9355198.5958999991</v>
      </c>
      <c r="D28" s="167">
        <v>15166.8385</v>
      </c>
      <c r="E28" s="167">
        <v>9370365.4343999997</v>
      </c>
      <c r="G28" s="160">
        <v>2</v>
      </c>
      <c r="H28" s="167">
        <v>8287509.0690000001</v>
      </c>
      <c r="I28" s="167">
        <v>8287509.0690000001</v>
      </c>
    </row>
    <row r="29" spans="1:9" x14ac:dyDescent="0.25">
      <c r="A29" s="6"/>
      <c r="B29" s="6">
        <v>2</v>
      </c>
      <c r="C29" s="167">
        <v>2259373.0603</v>
      </c>
      <c r="D29" s="167"/>
      <c r="E29" s="167">
        <v>2259373.0603</v>
      </c>
      <c r="G29" s="160">
        <v>3</v>
      </c>
      <c r="H29" s="167">
        <v>18979502.990699999</v>
      </c>
      <c r="I29" s="167">
        <v>18979502.990699999</v>
      </c>
    </row>
    <row r="30" spans="1:9" x14ac:dyDescent="0.25">
      <c r="A30" s="6"/>
      <c r="B30" s="6">
        <v>3</v>
      </c>
      <c r="C30" s="167"/>
      <c r="D30" s="167">
        <v>11843156.960100001</v>
      </c>
      <c r="E30" s="167">
        <v>11843156.960100001</v>
      </c>
      <c r="G30" s="160">
        <v>4</v>
      </c>
      <c r="H30" s="167">
        <v>23470865.778299998</v>
      </c>
      <c r="I30" s="167">
        <v>23470865.778299998</v>
      </c>
    </row>
    <row r="31" spans="1:9" x14ac:dyDescent="0.25">
      <c r="A31" s="6"/>
      <c r="B31" s="6">
        <v>4</v>
      </c>
      <c r="C31" s="167">
        <v>15022613.936100001</v>
      </c>
      <c r="D31" s="167">
        <v>16959816.355799999</v>
      </c>
      <c r="E31" s="167">
        <v>31982430.291900001</v>
      </c>
      <c r="G31" s="160">
        <v>5</v>
      </c>
      <c r="H31" s="167">
        <v>23004120.541200001</v>
      </c>
      <c r="I31" s="167">
        <v>23004120.541200001</v>
      </c>
    </row>
    <row r="32" spans="1:9" x14ac:dyDescent="0.25">
      <c r="A32" s="6"/>
      <c r="B32" s="6">
        <v>5</v>
      </c>
      <c r="C32" s="167">
        <v>12893759.4099</v>
      </c>
      <c r="D32" s="167">
        <v>20721321.079999998</v>
      </c>
      <c r="E32" s="167">
        <v>33615080.4899</v>
      </c>
      <c r="G32" s="160">
        <v>6</v>
      </c>
      <c r="H32" s="167">
        <v>16922199.014899999</v>
      </c>
      <c r="I32" s="167">
        <v>16922199.014899999</v>
      </c>
    </row>
    <row r="33" spans="1:9" x14ac:dyDescent="0.25">
      <c r="A33" s="6"/>
      <c r="B33" s="6">
        <v>6</v>
      </c>
      <c r="C33" s="167">
        <v>23547998.333299998</v>
      </c>
      <c r="D33" s="167">
        <v>21296639.300000001</v>
      </c>
      <c r="E33" s="167">
        <v>44844637.633299999</v>
      </c>
      <c r="G33" s="160">
        <v>7</v>
      </c>
      <c r="H33" s="167">
        <v>1256896.55</v>
      </c>
      <c r="I33" s="167">
        <v>1256896.55</v>
      </c>
    </row>
    <row r="34" spans="1:9" x14ac:dyDescent="0.25">
      <c r="A34" s="6"/>
      <c r="B34" s="6">
        <v>7</v>
      </c>
      <c r="C34" s="167">
        <v>16555929.6394</v>
      </c>
      <c r="D34" s="167">
        <v>18303844.779599998</v>
      </c>
      <c r="E34" s="167">
        <v>34859774.419</v>
      </c>
      <c r="G34" s="160">
        <v>9</v>
      </c>
      <c r="H34" s="167">
        <v>14086808.65</v>
      </c>
      <c r="I34" s="167">
        <v>14086808.65</v>
      </c>
    </row>
    <row r="35" spans="1:9" x14ac:dyDescent="0.25">
      <c r="A35" s="6"/>
      <c r="B35" s="6">
        <v>8</v>
      </c>
      <c r="C35" s="167">
        <v>2609045.6979999999</v>
      </c>
      <c r="D35" s="167">
        <v>1819261.8822999999</v>
      </c>
      <c r="E35" s="167">
        <v>4428307.5802999996</v>
      </c>
      <c r="G35" s="160">
        <v>10</v>
      </c>
      <c r="H35" s="167">
        <v>27737928.773400001</v>
      </c>
      <c r="I35" s="167">
        <v>27737928.773400001</v>
      </c>
    </row>
    <row r="36" spans="1:9" x14ac:dyDescent="0.25">
      <c r="A36" s="6"/>
      <c r="B36" s="6">
        <v>10</v>
      </c>
      <c r="C36" s="167"/>
      <c r="D36" s="167">
        <v>14904538.256899999</v>
      </c>
      <c r="E36" s="167">
        <v>14904538.256899999</v>
      </c>
      <c r="G36" s="160">
        <v>11</v>
      </c>
      <c r="H36" s="167">
        <v>29681348.749699999</v>
      </c>
      <c r="I36" s="167">
        <v>29681348.749699999</v>
      </c>
    </row>
    <row r="37" spans="1:9" x14ac:dyDescent="0.25">
      <c r="A37" s="6"/>
      <c r="B37" s="6">
        <v>11</v>
      </c>
      <c r="C37" s="167">
        <v>14466058.7512</v>
      </c>
      <c r="D37" s="167">
        <v>26245694.266600002</v>
      </c>
      <c r="E37" s="167">
        <v>40711753.017800003</v>
      </c>
      <c r="G37" s="160">
        <v>12</v>
      </c>
      <c r="H37" s="167">
        <v>18491637.784600001</v>
      </c>
      <c r="I37" s="167">
        <v>18491637.784600001</v>
      </c>
    </row>
    <row r="38" spans="1:9" x14ac:dyDescent="0.25">
      <c r="A38" s="6"/>
      <c r="B38" s="6">
        <v>12</v>
      </c>
      <c r="C38" s="167">
        <v>20863380.199299999</v>
      </c>
      <c r="D38" s="167">
        <v>22686711.360300001</v>
      </c>
      <c r="E38" s="167">
        <v>43550091.559599996</v>
      </c>
      <c r="G38" s="160">
        <v>13</v>
      </c>
      <c r="H38" s="167">
        <v>23522435.9921</v>
      </c>
      <c r="I38" s="167">
        <v>23522435.9921</v>
      </c>
    </row>
    <row r="39" spans="1:9" x14ac:dyDescent="0.25">
      <c r="A39" s="6"/>
      <c r="B39" s="6">
        <v>13</v>
      </c>
      <c r="C39" s="167">
        <v>21768369.8572</v>
      </c>
      <c r="D39" s="167">
        <v>24527866.709399998</v>
      </c>
      <c r="E39" s="167">
        <v>46296236.566599995</v>
      </c>
      <c r="G39" s="160">
        <v>14</v>
      </c>
      <c r="H39" s="167">
        <v>2305541.1028999998</v>
      </c>
      <c r="I39" s="167">
        <v>2305541.1028999998</v>
      </c>
    </row>
    <row r="40" spans="1:9" x14ac:dyDescent="0.25">
      <c r="A40" s="6"/>
      <c r="B40" s="6">
        <v>14</v>
      </c>
      <c r="C40" s="167">
        <v>22567277.372900002</v>
      </c>
      <c r="D40" s="167">
        <v>17717054.314800002</v>
      </c>
      <c r="E40" s="167">
        <v>40284331.687700003</v>
      </c>
      <c r="G40" s="160">
        <v>16</v>
      </c>
      <c r="H40" s="167">
        <v>12531383.2535</v>
      </c>
      <c r="I40" s="167">
        <v>12531383.2535</v>
      </c>
    </row>
    <row r="41" spans="1:9" x14ac:dyDescent="0.25">
      <c r="A41" s="6"/>
      <c r="B41" s="6">
        <v>15</v>
      </c>
      <c r="C41" s="167">
        <v>20316350.002500001</v>
      </c>
      <c r="D41" s="167">
        <v>2406200.4794999999</v>
      </c>
      <c r="E41" s="167">
        <v>22722550.482000001</v>
      </c>
      <c r="G41" s="160">
        <v>17</v>
      </c>
      <c r="H41" s="167">
        <v>6045133.5570999999</v>
      </c>
      <c r="I41" s="167">
        <v>6045133.5570999999</v>
      </c>
    </row>
    <row r="42" spans="1:9" x14ac:dyDescent="0.25">
      <c r="A42" s="6"/>
      <c r="B42" s="6">
        <v>16</v>
      </c>
      <c r="C42" s="167">
        <v>601111.19779999997</v>
      </c>
      <c r="D42" s="167"/>
      <c r="E42" s="167">
        <v>601111.19779999997</v>
      </c>
      <c r="G42" s="160">
        <v>23</v>
      </c>
      <c r="H42" s="167">
        <v>25489417.118299998</v>
      </c>
      <c r="I42" s="167">
        <v>25489417.118299998</v>
      </c>
    </row>
    <row r="43" spans="1:9" x14ac:dyDescent="0.25">
      <c r="A43" s="6"/>
      <c r="B43" s="6">
        <v>17</v>
      </c>
      <c r="C43" s="167"/>
      <c r="D43" s="167">
        <v>18973966.1184</v>
      </c>
      <c r="E43" s="167">
        <v>18973966.1184</v>
      </c>
      <c r="G43" s="160">
        <v>24</v>
      </c>
      <c r="H43" s="167">
        <v>16781484.1371</v>
      </c>
      <c r="I43" s="167">
        <v>16781484.1371</v>
      </c>
    </row>
    <row r="44" spans="1:9" x14ac:dyDescent="0.25">
      <c r="A44" s="6"/>
      <c r="B44" s="6">
        <v>18</v>
      </c>
      <c r="C44" s="167">
        <v>17290862.965399999</v>
      </c>
      <c r="D44" s="167">
        <v>19947037.2929</v>
      </c>
      <c r="E44" s="167">
        <v>37237900.258299999</v>
      </c>
      <c r="G44" s="160">
        <v>25</v>
      </c>
      <c r="H44" s="167">
        <v>30210995.447799999</v>
      </c>
      <c r="I44" s="167">
        <v>30210995.447799999</v>
      </c>
    </row>
    <row r="45" spans="1:9" x14ac:dyDescent="0.25">
      <c r="A45" s="6"/>
      <c r="B45" s="6">
        <v>19</v>
      </c>
      <c r="C45" s="167">
        <v>15688820.4252</v>
      </c>
      <c r="D45" s="167">
        <v>26952100.375300001</v>
      </c>
      <c r="E45" s="167">
        <v>42640920.800500005</v>
      </c>
      <c r="G45" s="160">
        <v>26</v>
      </c>
      <c r="H45" s="167">
        <v>21990286.069499999</v>
      </c>
      <c r="I45" s="167">
        <v>21990286.069499999</v>
      </c>
    </row>
    <row r="46" spans="1:9" x14ac:dyDescent="0.25">
      <c r="A46" s="6"/>
      <c r="B46" s="6">
        <v>20</v>
      </c>
      <c r="C46" s="167">
        <v>17831525.857700001</v>
      </c>
      <c r="D46" s="167">
        <v>17204209.044399999</v>
      </c>
      <c r="E46" s="167">
        <v>35035734.902099997</v>
      </c>
      <c r="G46" s="160">
        <v>27</v>
      </c>
      <c r="H46" s="167">
        <v>20986148.230999999</v>
      </c>
      <c r="I46" s="167">
        <v>20986148.230999999</v>
      </c>
    </row>
    <row r="47" spans="1:9" x14ac:dyDescent="0.25">
      <c r="A47" s="6"/>
      <c r="B47" s="6">
        <v>21</v>
      </c>
      <c r="C47" s="167">
        <v>19020401.191</v>
      </c>
      <c r="D47" s="167">
        <v>16852256.7038</v>
      </c>
      <c r="E47" s="167">
        <v>35872657.8948</v>
      </c>
      <c r="G47" s="160">
        <v>28</v>
      </c>
      <c r="H47" s="167">
        <v>2243859.1461999998</v>
      </c>
      <c r="I47" s="167">
        <v>2243859.1461999998</v>
      </c>
    </row>
    <row r="48" spans="1:9" x14ac:dyDescent="0.25">
      <c r="A48" s="6"/>
      <c r="B48" s="6">
        <v>22</v>
      </c>
      <c r="C48" s="167">
        <v>12544620.902899999</v>
      </c>
      <c r="D48" s="167">
        <v>1375752.6237000001</v>
      </c>
      <c r="E48" s="167">
        <v>13920373.5266</v>
      </c>
      <c r="G48" s="160">
        <v>30</v>
      </c>
      <c r="H48" s="167">
        <v>36571375.835299999</v>
      </c>
      <c r="I48" s="167">
        <v>36571375.835299999</v>
      </c>
    </row>
    <row r="49" spans="1:20" x14ac:dyDescent="0.25">
      <c r="A49" s="6"/>
      <c r="B49" s="6">
        <v>23</v>
      </c>
      <c r="C49" s="167">
        <v>563786.88740000001</v>
      </c>
      <c r="D49" s="167"/>
      <c r="E49" s="167">
        <v>563786.88740000001</v>
      </c>
      <c r="G49" s="160" t="s">
        <v>29</v>
      </c>
      <c r="H49" s="167">
        <v>380596877.79259992</v>
      </c>
      <c r="I49" s="167">
        <v>380596877.79259992</v>
      </c>
    </row>
    <row r="50" spans="1:20" x14ac:dyDescent="0.25">
      <c r="A50" s="6"/>
      <c r="B50" s="6">
        <v>24</v>
      </c>
      <c r="C50" s="167"/>
      <c r="D50" s="167">
        <v>9354631.0872000009</v>
      </c>
      <c r="E50" s="167">
        <v>9354631.0872000009</v>
      </c>
    </row>
    <row r="51" spans="1:20" x14ac:dyDescent="0.25">
      <c r="A51" s="6"/>
      <c r="B51" s="6">
        <v>26</v>
      </c>
      <c r="C51" s="167">
        <v>14303691.092399999</v>
      </c>
      <c r="D51" s="167">
        <v>11963932.919500001</v>
      </c>
      <c r="E51" s="167">
        <v>26267624.0119</v>
      </c>
    </row>
    <row r="52" spans="1:20" x14ac:dyDescent="0.25">
      <c r="A52" s="6"/>
      <c r="B52" s="6">
        <v>27</v>
      </c>
      <c r="C52" s="167">
        <v>42779108.751599997</v>
      </c>
      <c r="D52" s="167">
        <v>26061909.199499998</v>
      </c>
      <c r="E52" s="167">
        <v>68841017.951099992</v>
      </c>
    </row>
    <row r="53" spans="1:20" x14ac:dyDescent="0.25">
      <c r="A53" s="6"/>
      <c r="B53" s="6">
        <v>28</v>
      </c>
      <c r="C53" s="167">
        <v>17010142.021400001</v>
      </c>
      <c r="D53" s="167">
        <v>24079332.235599998</v>
      </c>
      <c r="E53" s="167">
        <v>41089474.256999999</v>
      </c>
    </row>
    <row r="54" spans="1:20" x14ac:dyDescent="0.25">
      <c r="A54" s="6"/>
      <c r="B54" s="6">
        <v>29</v>
      </c>
      <c r="C54" s="167">
        <v>44626956.423100002</v>
      </c>
      <c r="D54" s="167">
        <v>1077231.7010999999</v>
      </c>
      <c r="E54" s="167">
        <v>45704188.124200001</v>
      </c>
    </row>
    <row r="55" spans="1:20" x14ac:dyDescent="0.25">
      <c r="A55" s="6"/>
      <c r="B55" s="6">
        <v>31</v>
      </c>
      <c r="C55" s="167"/>
      <c r="D55" s="167">
        <v>17226963.101599999</v>
      </c>
      <c r="E55" s="167">
        <v>17226963.101599999</v>
      </c>
    </row>
    <row r="56" spans="1:20" x14ac:dyDescent="0.25">
      <c r="A56" s="6"/>
      <c r="B56" s="6" t="s">
        <v>29</v>
      </c>
      <c r="C56" s="2">
        <v>384486382.57190001</v>
      </c>
      <c r="D56" s="2">
        <v>390516594.98680001</v>
      </c>
      <c r="E56" s="2">
        <v>775002977.55869997</v>
      </c>
    </row>
    <row r="57" spans="1:20" x14ac:dyDescent="0.25">
      <c r="F57" s="6"/>
      <c r="G57" s="7"/>
      <c r="H57" s="7"/>
      <c r="I57" s="7"/>
    </row>
    <row r="62" spans="1:20" x14ac:dyDescent="0.25">
      <c r="A62" s="16">
        <v>2017</v>
      </c>
    </row>
    <row r="63" spans="1:20" ht="15" customHeight="1" x14ac:dyDescent="0.25">
      <c r="A63" s="64" t="s">
        <v>51</v>
      </c>
      <c r="B63" s="18" t="s">
        <v>32</v>
      </c>
      <c r="C63" s="18" t="s">
        <v>33</v>
      </c>
      <c r="D63" s="173" t="s">
        <v>49</v>
      </c>
      <c r="E63" s="18" t="s">
        <v>34</v>
      </c>
      <c r="F63" s="208" t="s">
        <v>35</v>
      </c>
      <c r="G63" s="173" t="s">
        <v>49</v>
      </c>
      <c r="H63" s="208" t="s">
        <v>36</v>
      </c>
      <c r="I63" s="208" t="s">
        <v>33</v>
      </c>
      <c r="J63" s="173" t="s">
        <v>49</v>
      </c>
      <c r="K63" s="208" t="s">
        <v>37</v>
      </c>
      <c r="L63" s="208" t="s">
        <v>33</v>
      </c>
      <c r="M63" s="173" t="s">
        <v>49</v>
      </c>
      <c r="N63" s="208" t="s">
        <v>46</v>
      </c>
      <c r="O63" s="208" t="s">
        <v>33</v>
      </c>
      <c r="P63" s="173" t="s">
        <v>49</v>
      </c>
      <c r="Q63" s="216" t="s">
        <v>54</v>
      </c>
      <c r="R63" s="216" t="s">
        <v>33</v>
      </c>
      <c r="S63" s="173" t="s">
        <v>49</v>
      </c>
      <c r="T63" s="206" t="s">
        <v>47</v>
      </c>
    </row>
    <row r="64" spans="1:20" x14ac:dyDescent="0.25">
      <c r="A64" s="49">
        <v>465871035.90000004</v>
      </c>
      <c r="B64" s="18"/>
      <c r="C64" s="18"/>
      <c r="D64" s="173" t="s">
        <v>50</v>
      </c>
      <c r="E64" s="18"/>
      <c r="F64" s="208"/>
      <c r="G64" s="173" t="s">
        <v>50</v>
      </c>
      <c r="H64" s="208"/>
      <c r="I64" s="208"/>
      <c r="J64" s="173" t="s">
        <v>50</v>
      </c>
      <c r="K64" s="208"/>
      <c r="L64" s="208"/>
      <c r="M64" s="173" t="s">
        <v>50</v>
      </c>
      <c r="N64" s="208"/>
      <c r="O64" s="208"/>
      <c r="P64" s="173" t="s">
        <v>50</v>
      </c>
      <c r="Q64" s="217"/>
      <c r="R64" s="217"/>
      <c r="S64" s="173" t="s">
        <v>50</v>
      </c>
      <c r="T64" s="207"/>
    </row>
    <row r="65" spans="1:20" x14ac:dyDescent="0.25">
      <c r="A65" s="16" t="s">
        <v>38</v>
      </c>
      <c r="B65" s="10"/>
      <c r="C65" s="10"/>
      <c r="D65" s="14">
        <f>B65/$A$64</f>
        <v>0</v>
      </c>
      <c r="E65" s="111">
        <v>15022613.936100001</v>
      </c>
      <c r="F65" s="10"/>
      <c r="G65" s="14">
        <f>E65/$A$64</f>
        <v>3.2246293026305738E-2</v>
      </c>
      <c r="H65" s="167">
        <v>14466058.7512</v>
      </c>
      <c r="I65" s="10"/>
      <c r="J65" s="14">
        <f>H65/$A$64</f>
        <v>3.1051637977994328E-2</v>
      </c>
      <c r="K65" s="167">
        <v>17290862.965399999</v>
      </c>
      <c r="L65" s="10"/>
      <c r="M65" s="14">
        <f>K65/$A$64</f>
        <v>3.711512764899922E-2</v>
      </c>
      <c r="N65" s="111"/>
      <c r="O65" s="10"/>
      <c r="P65" s="14">
        <f>N65/$A$64</f>
        <v>0</v>
      </c>
      <c r="Q65" s="10"/>
      <c r="R65" s="10"/>
      <c r="S65" s="14">
        <f>Q65/$A$64</f>
        <v>0</v>
      </c>
      <c r="T65" s="9"/>
    </row>
    <row r="66" spans="1:20" x14ac:dyDescent="0.25">
      <c r="A66" s="16" t="s">
        <v>39</v>
      </c>
      <c r="B66" s="10"/>
      <c r="C66" s="10"/>
      <c r="D66" s="14">
        <f t="shared" ref="D66:D69" si="5">B66/$A$64</f>
        <v>0</v>
      </c>
      <c r="E66" s="111">
        <v>12893759.4099</v>
      </c>
      <c r="F66" s="10"/>
      <c r="G66" s="14">
        <f t="shared" ref="G66:G69" si="6">E66/$A$64</f>
        <v>2.7676671044790314E-2</v>
      </c>
      <c r="H66" s="167">
        <v>20863380.199299999</v>
      </c>
      <c r="I66" s="10"/>
      <c r="J66" s="14">
        <f t="shared" ref="J66:J69" si="7">H66/$A$64</f>
        <v>4.4783595870034637E-2</v>
      </c>
      <c r="K66" s="167">
        <v>15688820.4252</v>
      </c>
      <c r="L66" s="10"/>
      <c r="M66" s="14">
        <f t="shared" ref="M66:M69" si="8">K66/$A$64</f>
        <v>3.3676316440002144E-2</v>
      </c>
      <c r="N66" s="167">
        <v>14303691.092399999</v>
      </c>
      <c r="O66" s="10"/>
      <c r="P66" s="14">
        <f t="shared" ref="P66:P69" si="9">N66/$A$64</f>
        <v>3.0703113072413264E-2</v>
      </c>
      <c r="Q66" s="10"/>
      <c r="R66" s="10"/>
      <c r="S66" s="14">
        <f t="shared" ref="S66:S69" si="10">Q66/$A$64</f>
        <v>0</v>
      </c>
      <c r="T66" s="9"/>
    </row>
    <row r="67" spans="1:20" x14ac:dyDescent="0.25">
      <c r="A67" s="16" t="s">
        <v>40</v>
      </c>
      <c r="B67" s="10"/>
      <c r="C67" s="10"/>
      <c r="D67" s="14">
        <f t="shared" si="5"/>
        <v>0</v>
      </c>
      <c r="E67" s="111">
        <v>23547998.333299998</v>
      </c>
      <c r="F67" s="10"/>
      <c r="G67" s="14">
        <f t="shared" si="6"/>
        <v>5.0546173766326641E-2</v>
      </c>
      <c r="H67" s="167">
        <v>21768369.8572</v>
      </c>
      <c r="I67" s="10"/>
      <c r="J67" s="14">
        <f t="shared" si="7"/>
        <v>4.6726171364455928E-2</v>
      </c>
      <c r="K67" s="167">
        <v>17831525.857700001</v>
      </c>
      <c r="L67" s="10"/>
      <c r="M67" s="14">
        <f t="shared" si="8"/>
        <v>3.8275669624431359E-2</v>
      </c>
      <c r="N67" s="167">
        <v>42779108.751599997</v>
      </c>
      <c r="O67" s="10"/>
      <c r="P67" s="14">
        <f t="shared" si="9"/>
        <v>9.1826075147506278E-2</v>
      </c>
      <c r="Q67" s="10"/>
      <c r="R67" s="10"/>
      <c r="S67" s="14">
        <f t="shared" si="10"/>
        <v>0</v>
      </c>
      <c r="T67" s="9"/>
    </row>
    <row r="68" spans="1:20" x14ac:dyDescent="0.25">
      <c r="A68" s="16" t="s">
        <v>41</v>
      </c>
      <c r="B68" s="111"/>
      <c r="C68" s="10"/>
      <c r="D68" s="14">
        <f t="shared" si="5"/>
        <v>0</v>
      </c>
      <c r="E68" s="111">
        <v>16555929.6394</v>
      </c>
      <c r="F68" s="10"/>
      <c r="G68" s="14">
        <f t="shared" si="6"/>
        <v>3.5537580926052158E-2</v>
      </c>
      <c r="H68" s="167">
        <v>22567277.372900002</v>
      </c>
      <c r="I68" s="10"/>
      <c r="J68" s="14">
        <f t="shared" si="7"/>
        <v>4.8441039759647357E-2</v>
      </c>
      <c r="K68" s="167">
        <v>19020401.191</v>
      </c>
      <c r="L68" s="10"/>
      <c r="M68" s="14">
        <f t="shared" si="8"/>
        <v>4.0827610487213804E-2</v>
      </c>
      <c r="N68" s="167">
        <v>17010142.021400001</v>
      </c>
      <c r="O68" s="10"/>
      <c r="P68" s="14">
        <f t="shared" si="9"/>
        <v>3.6512555429720372E-2</v>
      </c>
      <c r="Q68" s="10"/>
      <c r="R68" s="10"/>
      <c r="S68" s="14">
        <f t="shared" si="10"/>
        <v>0</v>
      </c>
      <c r="T68" s="9"/>
    </row>
    <row r="69" spans="1:20" x14ac:dyDescent="0.25">
      <c r="A69" s="16" t="s">
        <v>42</v>
      </c>
      <c r="B69" s="3">
        <v>9355198.5958999991</v>
      </c>
      <c r="C69" s="10"/>
      <c r="D69" s="14">
        <f t="shared" si="5"/>
        <v>2.008109084915961E-2</v>
      </c>
      <c r="E69" s="111"/>
      <c r="F69" s="10"/>
      <c r="G69" s="14">
        <f t="shared" si="6"/>
        <v>0</v>
      </c>
      <c r="H69" s="167">
        <v>20316350.002500001</v>
      </c>
      <c r="I69" s="10"/>
      <c r="J69" s="14">
        <f t="shared" si="7"/>
        <v>4.3609386368593517E-2</v>
      </c>
      <c r="K69" s="167">
        <v>12544620.902899999</v>
      </c>
      <c r="L69" s="10"/>
      <c r="M69" s="14">
        <f t="shared" si="8"/>
        <v>2.6927239377879508E-2</v>
      </c>
      <c r="N69" s="167">
        <v>44626956.423100002</v>
      </c>
      <c r="O69" s="10"/>
      <c r="P69" s="14">
        <f t="shared" si="9"/>
        <v>9.5792511197625191E-2</v>
      </c>
      <c r="Q69" s="10"/>
      <c r="R69" s="10"/>
      <c r="S69" s="14">
        <f t="shared" si="10"/>
        <v>0</v>
      </c>
      <c r="T69" s="9"/>
    </row>
    <row r="70" spans="1:20" x14ac:dyDescent="0.25">
      <c r="A70" s="16" t="s">
        <v>43</v>
      </c>
      <c r="B70" s="3"/>
      <c r="C70" s="3">
        <v>2259373.0603</v>
      </c>
      <c r="D70" s="14">
        <f>C70/$A$64</f>
        <v>4.8497822062176406E-3</v>
      </c>
      <c r="F70" s="111">
        <v>2609045.6979999999</v>
      </c>
      <c r="G70" s="14">
        <f>F70/$A$64</f>
        <v>5.6003603936434368E-3</v>
      </c>
      <c r="H70" s="167"/>
      <c r="I70" s="167">
        <v>601111.19779999997</v>
      </c>
      <c r="J70" s="14">
        <f>I70/$A$64</f>
        <v>1.2902952780456381E-3</v>
      </c>
      <c r="K70" s="167"/>
      <c r="L70" s="167">
        <v>563786.88740000001</v>
      </c>
      <c r="M70" s="14">
        <f>L70/$A$64</f>
        <v>1.2101780191396527E-3</v>
      </c>
      <c r="N70" s="9"/>
      <c r="O70" s="10"/>
      <c r="P70" s="14">
        <f>O70/$A$64</f>
        <v>0</v>
      </c>
      <c r="R70" s="10"/>
      <c r="S70" s="14">
        <f>R70/$A$64</f>
        <v>0</v>
      </c>
      <c r="T70" s="9"/>
    </row>
    <row r="71" spans="1:20" x14ac:dyDescent="0.25">
      <c r="A71" s="16" t="s">
        <v>44</v>
      </c>
      <c r="B71" s="10"/>
      <c r="C71" s="10"/>
      <c r="D71" s="14"/>
      <c r="E71" s="10"/>
      <c r="F71" s="10"/>
      <c r="G71" s="14"/>
      <c r="H71" s="10"/>
      <c r="I71" s="10"/>
      <c r="J71" s="14"/>
      <c r="K71" s="10"/>
      <c r="L71" s="10"/>
      <c r="M71" s="14"/>
      <c r="N71" s="10"/>
      <c r="O71" s="10"/>
      <c r="P71" s="14"/>
      <c r="Q71" s="10"/>
      <c r="R71" s="10"/>
      <c r="S71" s="14"/>
      <c r="T71" s="9"/>
    </row>
    <row r="72" spans="1:20" x14ac:dyDescent="0.25">
      <c r="A72" s="16" t="s">
        <v>45</v>
      </c>
      <c r="B72" s="10">
        <f>SUM(B66:B71)</f>
        <v>9355198.5958999991</v>
      </c>
      <c r="C72" s="10">
        <f>SUM(C65:C71)</f>
        <v>2259373.0603</v>
      </c>
      <c r="D72" s="30">
        <f>SUM(B72:C72)</f>
        <v>11614571.656199999</v>
      </c>
      <c r="E72" s="146">
        <f>SUM(E65:E71)</f>
        <v>68020301.318700001</v>
      </c>
      <c r="F72" s="10">
        <f>SUM(F65:F71)</f>
        <v>2609045.6979999999</v>
      </c>
      <c r="G72" s="30">
        <f>SUM(E72:F72)</f>
        <v>70629347.0167</v>
      </c>
      <c r="H72" s="146">
        <f>SUM(H65:H71)</f>
        <v>99981436.183099985</v>
      </c>
      <c r="I72" s="10">
        <f>SUM(I65:I71)</f>
        <v>601111.19779999997</v>
      </c>
      <c r="J72" s="30">
        <f>SUM(H72:I72)</f>
        <v>100582547.38089998</v>
      </c>
      <c r="K72" s="146">
        <f>SUM(K65:K71)</f>
        <v>82376231.342199996</v>
      </c>
      <c r="L72" s="10">
        <f>SUM(L65:L71)</f>
        <v>563786.88740000001</v>
      </c>
      <c r="M72" s="30">
        <f>SUM(K72:L72)</f>
        <v>82940018.229599997</v>
      </c>
      <c r="N72" s="146">
        <f>SUM(N65:N71)</f>
        <v>118719898.28850001</v>
      </c>
      <c r="O72" s="10">
        <f>SUM(O65:O71)</f>
        <v>0</v>
      </c>
      <c r="P72" s="30">
        <f>SUM(N72:O72)</f>
        <v>118719898.28850001</v>
      </c>
      <c r="Q72" s="10">
        <f>SUM(Q66:Q71)</f>
        <v>0</v>
      </c>
      <c r="R72" s="10">
        <f>SUM(R65:R71)</f>
        <v>0</v>
      </c>
      <c r="S72" s="30">
        <f>SUM(Q72:R72)</f>
        <v>0</v>
      </c>
      <c r="T72" s="11">
        <f>C72+B72+E72+F72+H72+I72+K72+L72+N72+O72+Q72+R72</f>
        <v>384486382.57190001</v>
      </c>
    </row>
    <row r="73" spans="1:20" ht="30" x14ac:dyDescent="0.25">
      <c r="A73" s="18" t="s">
        <v>48</v>
      </c>
      <c r="B73" s="14">
        <f>B72/$A$64</f>
        <v>2.008109084915961E-2</v>
      </c>
      <c r="C73" s="14">
        <f>C72/$A$64</f>
        <v>4.8497822062176406E-3</v>
      </c>
      <c r="D73" s="31">
        <f>B73+C73</f>
        <v>2.4930873055377251E-2</v>
      </c>
      <c r="E73" s="14">
        <f>E72/$A$64</f>
        <v>0.14600671876347485</v>
      </c>
      <c r="F73" s="14">
        <f>F72/$A$64</f>
        <v>5.6003603936434368E-3</v>
      </c>
      <c r="G73" s="31">
        <f>E73+F73</f>
        <v>0.1516070791571183</v>
      </c>
      <c r="H73" s="14">
        <f>H72/$A$64</f>
        <v>0.21461183134072573</v>
      </c>
      <c r="I73" s="14">
        <f>I72/$A$64</f>
        <v>1.2902952780456381E-3</v>
      </c>
      <c r="J73" s="31">
        <f>H73+I73</f>
        <v>0.21590212661877137</v>
      </c>
      <c r="K73" s="14">
        <f>K72/$A$64</f>
        <v>0.17682196357852603</v>
      </c>
      <c r="L73" s="14">
        <f>L72/$A$64</f>
        <v>1.2101780191396527E-3</v>
      </c>
      <c r="M73" s="31">
        <f>K73+L73</f>
        <v>0.17803214159766567</v>
      </c>
      <c r="N73" s="14">
        <f>N72/$A$64</f>
        <v>0.25483425484726513</v>
      </c>
      <c r="O73" s="14">
        <f>O72/$A$64</f>
        <v>0</v>
      </c>
      <c r="P73" s="31">
        <f>N73+O73</f>
        <v>0.25483425484726513</v>
      </c>
      <c r="Q73" s="14">
        <f>Q72/$A$64</f>
        <v>0</v>
      </c>
      <c r="R73" s="14">
        <f>R72/$A$64</f>
        <v>0</v>
      </c>
      <c r="S73" s="31">
        <f>Q73+R73</f>
        <v>0</v>
      </c>
      <c r="T73" s="12">
        <f>SUM(D73+G73+J73+M73+P73+S73)</f>
        <v>0.8253064752761976</v>
      </c>
    </row>
    <row r="74" spans="1:20" x14ac:dyDescent="0.25">
      <c r="A74" s="16" t="s">
        <v>57</v>
      </c>
      <c r="D74" s="22">
        <f>AVERAGE(D65:D69)</f>
        <v>4.0162181698319222E-3</v>
      </c>
      <c r="G74" s="22">
        <f>AVERAGE(G65:G68)</f>
        <v>3.6501679690868712E-2</v>
      </c>
      <c r="J74" s="22">
        <f>AVERAGE(J65:J69)</f>
        <v>4.2922366268145155E-2</v>
      </c>
      <c r="M74" s="22">
        <f>AVERAGE(M65:M69)</f>
        <v>3.5364392715705205E-2</v>
      </c>
      <c r="P74" s="22">
        <f>AVERAGE(P66:P68)</f>
        <v>5.301391454987997E-2</v>
      </c>
      <c r="Q74" s="39"/>
      <c r="R74" s="39"/>
      <c r="S74" s="40"/>
      <c r="T74" s="41"/>
    </row>
    <row r="75" spans="1:20" ht="30" x14ac:dyDescent="0.25">
      <c r="A75" s="18" t="s">
        <v>58</v>
      </c>
      <c r="B75" s="14">
        <f>(D70+G70+J70+M70)/4</f>
        <v>3.237653974261592E-3</v>
      </c>
      <c r="Q75" s="39"/>
      <c r="R75" s="39"/>
      <c r="S75" s="40"/>
      <c r="T75" s="41"/>
    </row>
    <row r="76" spans="1:20" x14ac:dyDescent="0.25">
      <c r="A76" s="38"/>
      <c r="B76" s="39"/>
      <c r="C76" s="39"/>
      <c r="D76" s="40"/>
      <c r="E76" s="39"/>
      <c r="F76" s="39"/>
      <c r="G76" s="40"/>
      <c r="H76" s="39"/>
      <c r="I76" s="39"/>
      <c r="J76" s="40"/>
      <c r="K76" s="39"/>
      <c r="L76" s="39"/>
      <c r="M76" s="40"/>
      <c r="N76" s="39"/>
      <c r="O76" s="39"/>
      <c r="P76" s="40"/>
      <c r="Q76" s="39"/>
      <c r="R76" s="39"/>
      <c r="S76" s="40"/>
      <c r="T76" s="41"/>
    </row>
    <row r="77" spans="1:20" x14ac:dyDescent="0.25">
      <c r="A77" s="38"/>
      <c r="B77" s="39"/>
      <c r="C77" s="39"/>
      <c r="D77" s="40"/>
      <c r="E77" s="39"/>
      <c r="F77" s="39"/>
      <c r="G77" s="40"/>
      <c r="H77" s="39"/>
      <c r="I77" s="39"/>
      <c r="J77" s="40"/>
      <c r="K77" s="39"/>
      <c r="L77" s="39"/>
      <c r="M77" s="40"/>
      <c r="N77" s="39"/>
      <c r="O77" s="39"/>
      <c r="P77" s="40"/>
      <c r="Q77" s="39"/>
      <c r="R77" s="39"/>
      <c r="S77" s="40"/>
      <c r="T77" s="41"/>
    </row>
    <row r="78" spans="1:20" x14ac:dyDescent="0.25">
      <c r="A78" s="13"/>
    </row>
    <row r="79" spans="1:20" x14ac:dyDescent="0.25">
      <c r="A79" s="16">
        <v>2018</v>
      </c>
    </row>
    <row r="80" spans="1:20" x14ac:dyDescent="0.25">
      <c r="A80" s="25" t="s">
        <v>51</v>
      </c>
      <c r="B80" s="208" t="s">
        <v>32</v>
      </c>
      <c r="C80" s="208" t="s">
        <v>33</v>
      </c>
      <c r="D80" s="173" t="s">
        <v>49</v>
      </c>
      <c r="E80" s="208" t="s">
        <v>34</v>
      </c>
      <c r="F80" s="208" t="s">
        <v>35</v>
      </c>
      <c r="G80" s="173" t="s">
        <v>49</v>
      </c>
      <c r="H80" s="208" t="s">
        <v>36</v>
      </c>
      <c r="I80" s="208" t="s">
        <v>33</v>
      </c>
      <c r="J80" s="173" t="s">
        <v>49</v>
      </c>
      <c r="K80" s="208" t="s">
        <v>37</v>
      </c>
      <c r="L80" s="208" t="s">
        <v>33</v>
      </c>
      <c r="M80" s="173" t="s">
        <v>49</v>
      </c>
      <c r="N80" s="208" t="s">
        <v>46</v>
      </c>
      <c r="O80" s="208" t="s">
        <v>33</v>
      </c>
      <c r="P80" s="175" t="s">
        <v>49</v>
      </c>
      <c r="Q80" s="216" t="s">
        <v>54</v>
      </c>
      <c r="R80" s="216" t="s">
        <v>33</v>
      </c>
      <c r="S80" s="173" t="s">
        <v>49</v>
      </c>
      <c r="T80" s="206" t="s">
        <v>47</v>
      </c>
    </row>
    <row r="81" spans="1:20" x14ac:dyDescent="0.25">
      <c r="A81" s="145">
        <v>486587174.39999998</v>
      </c>
      <c r="B81" s="208"/>
      <c r="C81" s="208"/>
      <c r="D81" s="173" t="s">
        <v>50</v>
      </c>
      <c r="E81" s="208"/>
      <c r="F81" s="208"/>
      <c r="G81" s="173" t="s">
        <v>50</v>
      </c>
      <c r="H81" s="208"/>
      <c r="I81" s="208"/>
      <c r="J81" s="173" t="s">
        <v>50</v>
      </c>
      <c r="K81" s="208"/>
      <c r="L81" s="208"/>
      <c r="M81" s="173" t="s">
        <v>50</v>
      </c>
      <c r="N81" s="208"/>
      <c r="O81" s="208"/>
      <c r="P81" s="176" t="s">
        <v>50</v>
      </c>
      <c r="Q81" s="217"/>
      <c r="R81" s="217"/>
      <c r="S81" s="173" t="s">
        <v>50</v>
      </c>
      <c r="T81" s="207"/>
    </row>
    <row r="82" spans="1:20" x14ac:dyDescent="0.25">
      <c r="A82" s="16" t="s">
        <v>38</v>
      </c>
      <c r="B82" s="167">
        <v>11843156.960100001</v>
      </c>
      <c r="C82" s="10"/>
      <c r="D82" s="14">
        <f>B82/$A$81</f>
        <v>2.4339229604034548E-2</v>
      </c>
      <c r="E82" s="167">
        <v>14904538.256899999</v>
      </c>
      <c r="F82" s="10"/>
      <c r="G82" s="14">
        <f>E82/$A$81</f>
        <v>3.0630766779413083E-2</v>
      </c>
      <c r="H82" s="167">
        <v>18973966.1184</v>
      </c>
      <c r="I82" s="10"/>
      <c r="J82" s="14">
        <f>H82/$A$81</f>
        <v>3.8993970899040616E-2</v>
      </c>
      <c r="L82" s="10"/>
      <c r="N82" s="167">
        <v>17226963.101599999</v>
      </c>
      <c r="O82" s="10"/>
      <c r="P82" s="14">
        <f>N82/$A$81</f>
        <v>3.5403652229104049E-2</v>
      </c>
      <c r="Q82" s="10"/>
      <c r="R82" s="10"/>
      <c r="S82" s="14">
        <f>Q82/$A$81</f>
        <v>0</v>
      </c>
      <c r="T82" s="9"/>
    </row>
    <row r="83" spans="1:20" x14ac:dyDescent="0.25">
      <c r="A83" s="16" t="s">
        <v>39</v>
      </c>
      <c r="B83" s="167">
        <v>16959816.355799999</v>
      </c>
      <c r="C83" s="10"/>
      <c r="D83" s="14">
        <f t="shared" ref="D83:D86" si="11">B83/$A$81</f>
        <v>3.4854630882354798E-2</v>
      </c>
      <c r="E83" s="167">
        <v>26245694.266600002</v>
      </c>
      <c r="F83" s="10"/>
      <c r="G83" s="14">
        <f t="shared" ref="G83:G86" si="12">E83/$A$81</f>
        <v>5.39383190668003E-2</v>
      </c>
      <c r="H83" s="167">
        <v>19947037.2929</v>
      </c>
      <c r="I83" s="10"/>
      <c r="J83" s="14">
        <f t="shared" ref="J83:J86" si="13">H83/$A$81</f>
        <v>4.0993758862420196E-2</v>
      </c>
      <c r="K83" s="167">
        <v>9354631.0872000009</v>
      </c>
      <c r="L83" s="10"/>
      <c r="M83" s="14">
        <f>K83/$A$81</f>
        <v>1.9224984914029006E-2</v>
      </c>
      <c r="N83" s="167"/>
      <c r="O83" s="10"/>
      <c r="P83" s="14">
        <f t="shared" ref="P83:P86" si="14">N83/$A$81</f>
        <v>0</v>
      </c>
      <c r="Q83" s="10"/>
      <c r="R83" s="10"/>
      <c r="S83" s="14">
        <f t="shared" ref="S83:S86" si="15">Q83/$A$81</f>
        <v>0</v>
      </c>
      <c r="T83" s="9"/>
    </row>
    <row r="84" spans="1:20" x14ac:dyDescent="0.25">
      <c r="A84" s="16" t="s">
        <v>40</v>
      </c>
      <c r="B84" s="167">
        <v>20721321.079999998</v>
      </c>
      <c r="C84" s="10"/>
      <c r="D84" s="14">
        <f t="shared" si="11"/>
        <v>4.2585012861366532E-2</v>
      </c>
      <c r="E84" s="167">
        <v>22686711.360300001</v>
      </c>
      <c r="F84" s="10"/>
      <c r="G84" s="14">
        <f t="shared" si="12"/>
        <v>4.6624145793144854E-2</v>
      </c>
      <c r="H84" s="167">
        <v>26952100.375300001</v>
      </c>
      <c r="I84" s="10"/>
      <c r="J84" s="14">
        <f t="shared" si="13"/>
        <v>5.5390075598548291E-2</v>
      </c>
      <c r="K84" s="167">
        <v>11963932.919500001</v>
      </c>
      <c r="L84" s="10"/>
      <c r="M84" s="14">
        <f t="shared" ref="M84:M86" si="16">K84/$A$81</f>
        <v>2.458743992636564E-2</v>
      </c>
      <c r="N84" s="167"/>
      <c r="O84" s="10"/>
      <c r="P84" s="14">
        <f t="shared" si="14"/>
        <v>0</v>
      </c>
      <c r="Q84" s="10"/>
      <c r="R84" s="10"/>
      <c r="S84" s="14">
        <f t="shared" si="15"/>
        <v>0</v>
      </c>
      <c r="T84" s="9"/>
    </row>
    <row r="85" spans="1:20" x14ac:dyDescent="0.25">
      <c r="A85" s="16" t="s">
        <v>41</v>
      </c>
      <c r="B85" s="167">
        <v>21296639.300000001</v>
      </c>
      <c r="C85" s="10"/>
      <c r="D85" s="14">
        <f t="shared" si="11"/>
        <v>4.3767366713396059E-2</v>
      </c>
      <c r="E85" s="167">
        <v>24527866.709399998</v>
      </c>
      <c r="F85" s="10"/>
      <c r="G85" s="14">
        <f t="shared" si="12"/>
        <v>5.0407959765163921E-2</v>
      </c>
      <c r="H85" s="167">
        <v>17204209.044399999</v>
      </c>
      <c r="I85" s="10"/>
      <c r="J85" s="14">
        <f t="shared" si="13"/>
        <v>3.5356889678841479E-2</v>
      </c>
      <c r="K85" s="167">
        <v>26061909.199499998</v>
      </c>
      <c r="L85" s="10"/>
      <c r="M85" s="14">
        <f t="shared" si="16"/>
        <v>5.3560616823976857E-2</v>
      </c>
      <c r="N85" s="167"/>
      <c r="O85" s="10"/>
      <c r="P85" s="14">
        <f t="shared" si="14"/>
        <v>0</v>
      </c>
      <c r="Q85" s="10"/>
      <c r="R85" s="10"/>
      <c r="S85" s="14">
        <f t="shared" si="15"/>
        <v>0</v>
      </c>
      <c r="T85" s="9"/>
    </row>
    <row r="86" spans="1:20" x14ac:dyDescent="0.25">
      <c r="A86" s="16" t="s">
        <v>42</v>
      </c>
      <c r="B86" s="167">
        <v>18303844.779599998</v>
      </c>
      <c r="C86" s="10"/>
      <c r="D86" s="14">
        <f t="shared" si="11"/>
        <v>3.7616784293934731E-2</v>
      </c>
      <c r="E86" s="167">
        <v>17717054.314800002</v>
      </c>
      <c r="F86" s="10"/>
      <c r="G86" s="14">
        <f t="shared" si="12"/>
        <v>3.6410853485085208E-2</v>
      </c>
      <c r="H86" s="167">
        <v>16852256.7038</v>
      </c>
      <c r="I86" s="10"/>
      <c r="J86" s="14">
        <f t="shared" si="13"/>
        <v>3.4633581792574274E-2</v>
      </c>
      <c r="K86" s="167">
        <v>24079332.235599998</v>
      </c>
      <c r="L86" s="10"/>
      <c r="M86" s="14">
        <f t="shared" si="16"/>
        <v>4.9486163019589857E-2</v>
      </c>
      <c r="N86" s="167"/>
      <c r="O86" s="10"/>
      <c r="P86" s="14">
        <f t="shared" si="14"/>
        <v>0</v>
      </c>
      <c r="Q86" s="10"/>
      <c r="R86" s="10"/>
      <c r="S86" s="14">
        <f t="shared" si="15"/>
        <v>0</v>
      </c>
      <c r="T86" s="9"/>
    </row>
    <row r="87" spans="1:20" x14ac:dyDescent="0.25">
      <c r="A87" s="16" t="s">
        <v>43</v>
      </c>
      <c r="B87" s="167"/>
      <c r="C87" s="167">
        <v>1819261.8822999999</v>
      </c>
      <c r="D87" s="14">
        <f>C87/$A$81</f>
        <v>3.7388200470826055E-3</v>
      </c>
      <c r="E87" s="167"/>
      <c r="F87" s="167">
        <v>2406200.4794999999</v>
      </c>
      <c r="G87" s="14">
        <f>F87/$A$81</f>
        <v>4.9450552873018761E-3</v>
      </c>
      <c r="H87" s="167"/>
      <c r="I87" s="167">
        <v>1375752.6237000001</v>
      </c>
      <c r="J87" s="14">
        <f>I87/$A$81</f>
        <v>2.8273507730581077E-3</v>
      </c>
      <c r="K87" s="167"/>
      <c r="L87" s="167">
        <v>1077231.7010999999</v>
      </c>
      <c r="M87" s="14">
        <f>L87/$A$81</f>
        <v>2.2138514078763193E-3</v>
      </c>
      <c r="N87" s="167"/>
      <c r="O87" s="167"/>
      <c r="P87" s="14">
        <f>O87/$A$81</f>
        <v>0</v>
      </c>
      <c r="R87" s="10"/>
      <c r="S87" s="14">
        <f>R87/$A$81</f>
        <v>0</v>
      </c>
      <c r="T87" s="9"/>
    </row>
    <row r="88" spans="1:20" x14ac:dyDescent="0.25">
      <c r="A88" s="16" t="s">
        <v>44</v>
      </c>
      <c r="B88" s="10"/>
      <c r="C88" s="10"/>
      <c r="D88" s="14"/>
      <c r="E88" s="10"/>
      <c r="F88" s="10"/>
      <c r="G88" s="14"/>
      <c r="H88" s="10"/>
      <c r="I88" s="10"/>
      <c r="J88" s="14"/>
      <c r="K88" s="10"/>
      <c r="L88" s="10"/>
      <c r="M88" s="14"/>
      <c r="N88" s="10"/>
      <c r="O88" s="10"/>
      <c r="P88" s="14"/>
      <c r="Q88" s="10"/>
      <c r="R88" s="10"/>
      <c r="S88" s="14"/>
      <c r="T88" s="9"/>
    </row>
    <row r="89" spans="1:20" x14ac:dyDescent="0.25">
      <c r="A89" s="16" t="s">
        <v>45</v>
      </c>
      <c r="B89" s="10">
        <f>SUM(B83:B88)</f>
        <v>77281621.515399992</v>
      </c>
      <c r="C89" s="10">
        <f>SUM(C82:C88)</f>
        <v>1819261.8822999999</v>
      </c>
      <c r="D89" s="30">
        <f>SUM(B89:C89)</f>
        <v>79100883.397699997</v>
      </c>
      <c r="E89" s="146">
        <f>SUM(E82:E88)</f>
        <v>106081864.90799999</v>
      </c>
      <c r="F89" s="10">
        <f>SUM(F82:F88)</f>
        <v>2406200.4794999999</v>
      </c>
      <c r="G89" s="30">
        <f>SUM(E89:F89)</f>
        <v>108488065.38749999</v>
      </c>
      <c r="H89" s="146">
        <f>SUM(H82:H88)</f>
        <v>99929569.534799993</v>
      </c>
      <c r="I89" s="10">
        <f>SUM(I82:I88)</f>
        <v>1375752.6237000001</v>
      </c>
      <c r="J89" s="30">
        <f>SUM(H89:I89)</f>
        <v>101305322.15849999</v>
      </c>
      <c r="K89" s="146">
        <f>SUM(K83:K88)</f>
        <v>71459805.441799998</v>
      </c>
      <c r="L89" s="10">
        <f>SUM(L82:L88)</f>
        <v>1077231.7010999999</v>
      </c>
      <c r="M89" s="30">
        <f>SUM(K89:L89)</f>
        <v>72537037.142900005</v>
      </c>
      <c r="N89" s="146">
        <f>SUM(N82:N88)</f>
        <v>17226963.101599999</v>
      </c>
      <c r="O89" s="10">
        <f>SUM(O82:O88)</f>
        <v>0</v>
      </c>
      <c r="P89" s="30">
        <f>SUM(N89:O89)</f>
        <v>17226963.101599999</v>
      </c>
      <c r="Q89" s="10">
        <f>SUM(Q83:Q88)</f>
        <v>0</v>
      </c>
      <c r="R89" s="10">
        <f>SUM(R82:R88)</f>
        <v>0</v>
      </c>
      <c r="S89" s="30">
        <f>SUM(Q89:R89)</f>
        <v>0</v>
      </c>
      <c r="T89" s="11">
        <f>C89+B89+E89+F89+H89+I89+K89+L89+N89+O89+Q89+R89</f>
        <v>378658271.1882</v>
      </c>
    </row>
    <row r="90" spans="1:20" ht="30" x14ac:dyDescent="0.25">
      <c r="A90" s="18" t="s">
        <v>48</v>
      </c>
      <c r="B90" s="14">
        <f>B89/$A$81</f>
        <v>0.1588237947510521</v>
      </c>
      <c r="C90" s="14">
        <f>C89/$A$81</f>
        <v>3.7388200470826055E-3</v>
      </c>
      <c r="D90" s="31">
        <f>B90+C90</f>
        <v>0.16256261479813472</v>
      </c>
      <c r="E90" s="14">
        <f>E89/$A$81</f>
        <v>0.21801204488960735</v>
      </c>
      <c r="F90" s="14">
        <f>F89/$A$81</f>
        <v>4.9450552873018761E-3</v>
      </c>
      <c r="G90" s="31">
        <f>E90+F90</f>
        <v>0.22295710017690923</v>
      </c>
      <c r="H90" s="14">
        <f>H89/$A$81</f>
        <v>0.20536827683142483</v>
      </c>
      <c r="I90" s="14">
        <f>I89/$A$81</f>
        <v>2.8273507730581077E-3</v>
      </c>
      <c r="J90" s="31">
        <f>H90+I90</f>
        <v>0.20819562760448293</v>
      </c>
      <c r="K90" s="14">
        <f>K89/$A$81</f>
        <v>0.14685920468396135</v>
      </c>
      <c r="L90" s="14">
        <f>L89/$A$81</f>
        <v>2.2138514078763193E-3</v>
      </c>
      <c r="M90" s="31">
        <f>K90+L90</f>
        <v>0.14907305609183769</v>
      </c>
      <c r="N90" s="14">
        <f>N89/$A$81</f>
        <v>3.5403652229104049E-2</v>
      </c>
      <c r="O90" s="14">
        <f>O89/$A$81</f>
        <v>0</v>
      </c>
      <c r="P90" s="31">
        <f>N90+O90</f>
        <v>3.5403652229104049E-2</v>
      </c>
      <c r="Q90" s="14">
        <f>Q89/$A$81</f>
        <v>0</v>
      </c>
      <c r="R90" s="14">
        <f>R89/$A$81</f>
        <v>0</v>
      </c>
      <c r="S90" s="31">
        <f>Q90+R90</f>
        <v>0</v>
      </c>
      <c r="T90" s="12">
        <f>SUM(D90+G90+J90+M90+P90+S90)</f>
        <v>0.77819205090046861</v>
      </c>
    </row>
    <row r="91" spans="1:20" x14ac:dyDescent="0.25">
      <c r="A91" s="16" t="s">
        <v>57</v>
      </c>
      <c r="D91" s="22">
        <f>AVERAGE(D82:D86)</f>
        <v>3.6632604871017334E-2</v>
      </c>
      <c r="G91" s="22">
        <f>AVERAGE(G82:G86)</f>
        <v>4.3602408977921468E-2</v>
      </c>
      <c r="J91" s="22">
        <f>AVERAGE(J82:J86)</f>
        <v>4.1073655366284975E-2</v>
      </c>
      <c r="M91" s="22">
        <f>AVERAGE(M83:M86)</f>
        <v>3.6714801170990338E-2</v>
      </c>
      <c r="P91" s="22">
        <f>AVERAGE(P82)</f>
        <v>3.5403652229104049E-2</v>
      </c>
    </row>
    <row r="92" spans="1:20" ht="30.75" thickBot="1" x14ac:dyDescent="0.3">
      <c r="A92" s="37" t="s">
        <v>58</v>
      </c>
      <c r="B92" s="14">
        <f>(D87+G87+J87+M87)/4</f>
        <v>3.4312693788297274E-3</v>
      </c>
    </row>
    <row r="93" spans="1:20" ht="30.75" thickBot="1" x14ac:dyDescent="0.3">
      <c r="A93" s="89" t="s">
        <v>59</v>
      </c>
      <c r="B93" s="88">
        <f>(P82+P69+P118+P137)/4</f>
        <v>8.586447443465868E-2</v>
      </c>
      <c r="N93" s="8"/>
    </row>
    <row r="98" spans="1:20" x14ac:dyDescent="0.25">
      <c r="A98" s="200">
        <v>29095.939949892458</v>
      </c>
    </row>
    <row r="99" spans="1:20" x14ac:dyDescent="0.25">
      <c r="A99">
        <v>19819</v>
      </c>
    </row>
    <row r="100" spans="1:20" x14ac:dyDescent="0.25">
      <c r="A100" s="16">
        <v>2019</v>
      </c>
      <c r="B100" s="208" t="s">
        <v>32</v>
      </c>
      <c r="C100" s="208" t="s">
        <v>33</v>
      </c>
      <c r="D100" s="173" t="s">
        <v>49</v>
      </c>
      <c r="E100" s="208" t="s">
        <v>34</v>
      </c>
      <c r="F100" s="208" t="s">
        <v>35</v>
      </c>
      <c r="G100" s="173" t="s">
        <v>49</v>
      </c>
      <c r="H100" s="208" t="s">
        <v>36</v>
      </c>
      <c r="I100" s="208" t="s">
        <v>33</v>
      </c>
      <c r="J100" s="173" t="s">
        <v>49</v>
      </c>
      <c r="K100" s="208" t="s">
        <v>37</v>
      </c>
      <c r="L100" s="208" t="s">
        <v>33</v>
      </c>
      <c r="M100" s="173" t="s">
        <v>49</v>
      </c>
      <c r="N100" s="208" t="s">
        <v>46</v>
      </c>
      <c r="O100" s="208" t="s">
        <v>33</v>
      </c>
      <c r="P100" s="173" t="s">
        <v>49</v>
      </c>
      <c r="Q100" s="216" t="s">
        <v>54</v>
      </c>
      <c r="R100" s="216" t="s">
        <v>33</v>
      </c>
      <c r="S100" s="173" t="s">
        <v>49</v>
      </c>
      <c r="T100" s="206" t="s">
        <v>47</v>
      </c>
    </row>
    <row r="101" spans="1:20" x14ac:dyDescent="0.25">
      <c r="A101" s="93">
        <f>A99*A98</f>
        <v>576652433.86691856</v>
      </c>
      <c r="B101" s="208"/>
      <c r="C101" s="208"/>
      <c r="D101" s="173" t="s">
        <v>50</v>
      </c>
      <c r="E101" s="208"/>
      <c r="F101" s="208"/>
      <c r="G101" s="173" t="s">
        <v>50</v>
      </c>
      <c r="H101" s="208"/>
      <c r="I101" s="208"/>
      <c r="J101" s="173" t="s">
        <v>50</v>
      </c>
      <c r="K101" s="208"/>
      <c r="L101" s="208"/>
      <c r="M101" s="173" t="s">
        <v>50</v>
      </c>
      <c r="N101" s="208"/>
      <c r="O101" s="208"/>
      <c r="P101" s="173" t="s">
        <v>50</v>
      </c>
      <c r="Q101" s="217"/>
      <c r="R101" s="217"/>
      <c r="S101" s="173" t="s">
        <v>50</v>
      </c>
      <c r="T101" s="207"/>
    </row>
    <row r="102" spans="1:20" x14ac:dyDescent="0.25">
      <c r="A102" s="16" t="s">
        <v>38</v>
      </c>
      <c r="B102" s="9"/>
      <c r="C102" s="10"/>
      <c r="D102" s="14">
        <f>B102/$A$101</f>
        <v>0</v>
      </c>
      <c r="E102" s="9"/>
      <c r="F102" s="10"/>
      <c r="G102" s="14">
        <f>E102/$A$101</f>
        <v>0</v>
      </c>
      <c r="H102" s="9"/>
      <c r="I102" s="10"/>
      <c r="J102" s="14">
        <f>H102/$A$101</f>
        <v>0</v>
      </c>
      <c r="K102" s="9"/>
      <c r="L102" s="10"/>
      <c r="M102" s="14">
        <f>K102/$A$101</f>
        <v>0</v>
      </c>
      <c r="N102" s="9"/>
      <c r="O102" s="10"/>
      <c r="P102" s="14">
        <f>N102/$A$101</f>
        <v>0</v>
      </c>
      <c r="Q102" s="9"/>
      <c r="R102" s="10"/>
      <c r="S102" s="14">
        <f>Q102/$A$101</f>
        <v>0</v>
      </c>
      <c r="T102" s="9"/>
    </row>
    <row r="103" spans="1:20" x14ac:dyDescent="0.25">
      <c r="A103" s="16" t="s">
        <v>39</v>
      </c>
      <c r="B103" s="111"/>
      <c r="C103" s="10"/>
      <c r="D103" s="14">
        <f t="shared" ref="D103:D106" si="17">B103/$A$101</f>
        <v>0</v>
      </c>
      <c r="E103" s="111"/>
      <c r="F103" s="10"/>
      <c r="G103" s="14">
        <f t="shared" ref="G103:G106" si="18">E103/$A$101</f>
        <v>0</v>
      </c>
      <c r="H103" s="111"/>
      <c r="I103" s="10"/>
      <c r="J103" s="14">
        <f t="shared" ref="J103:J106" si="19">H103/$A$101</f>
        <v>0</v>
      </c>
      <c r="K103" s="111"/>
      <c r="L103" s="10"/>
      <c r="M103" s="14">
        <f t="shared" ref="M103:M106" si="20">K103/$A$101</f>
        <v>0</v>
      </c>
      <c r="N103" s="111"/>
      <c r="O103" s="10"/>
      <c r="P103" s="14">
        <f t="shared" ref="P103:P106" si="21">N103/$A$101</f>
        <v>0</v>
      </c>
      <c r="Q103" s="111"/>
      <c r="R103" s="10"/>
      <c r="S103" s="14">
        <f t="shared" ref="S103:S106" si="22">Q103/$A$101</f>
        <v>0</v>
      </c>
      <c r="T103" s="9"/>
    </row>
    <row r="104" spans="1:20" x14ac:dyDescent="0.25">
      <c r="A104" s="16" t="s">
        <v>40</v>
      </c>
      <c r="B104" s="111"/>
      <c r="C104" s="10"/>
      <c r="D104" s="14">
        <f t="shared" si="17"/>
        <v>0</v>
      </c>
      <c r="E104" s="111"/>
      <c r="F104" s="10"/>
      <c r="G104" s="14">
        <f t="shared" si="18"/>
        <v>0</v>
      </c>
      <c r="H104" s="111"/>
      <c r="I104" s="10"/>
      <c r="J104" s="14">
        <f t="shared" si="19"/>
        <v>0</v>
      </c>
      <c r="K104" s="111"/>
      <c r="L104" s="10"/>
      <c r="M104" s="14">
        <f t="shared" si="20"/>
        <v>0</v>
      </c>
      <c r="N104" s="111"/>
      <c r="O104" s="10"/>
      <c r="P104" s="14">
        <f t="shared" si="21"/>
        <v>0</v>
      </c>
      <c r="Q104" s="111"/>
      <c r="R104" s="10"/>
      <c r="S104" s="14">
        <f t="shared" si="22"/>
        <v>0</v>
      </c>
      <c r="T104" s="9"/>
    </row>
    <row r="105" spans="1:20" x14ac:dyDescent="0.25">
      <c r="A105" s="16" t="s">
        <v>41</v>
      </c>
      <c r="B105" s="111"/>
      <c r="C105" s="10"/>
      <c r="D105" s="14">
        <f t="shared" si="17"/>
        <v>0</v>
      </c>
      <c r="E105" s="111"/>
      <c r="F105" s="10"/>
      <c r="G105" s="14">
        <f t="shared" si="18"/>
        <v>0</v>
      </c>
      <c r="H105" s="111"/>
      <c r="I105" s="10"/>
      <c r="J105" s="14">
        <f t="shared" si="19"/>
        <v>0</v>
      </c>
      <c r="K105" s="111"/>
      <c r="L105" s="10"/>
      <c r="M105" s="14">
        <f t="shared" si="20"/>
        <v>0</v>
      </c>
      <c r="N105" s="111"/>
      <c r="O105" s="10"/>
      <c r="P105" s="14">
        <f t="shared" si="21"/>
        <v>0</v>
      </c>
      <c r="Q105" s="111"/>
      <c r="R105" s="10"/>
      <c r="S105" s="14">
        <f t="shared" si="22"/>
        <v>0</v>
      </c>
      <c r="T105" s="9"/>
    </row>
    <row r="106" spans="1:20" x14ac:dyDescent="0.25">
      <c r="A106" s="16" t="s">
        <v>42</v>
      </c>
      <c r="B106" s="111"/>
      <c r="C106" s="10"/>
      <c r="D106" s="14">
        <f t="shared" si="17"/>
        <v>0</v>
      </c>
      <c r="E106" s="111"/>
      <c r="F106" s="10"/>
      <c r="G106" s="14">
        <f t="shared" si="18"/>
        <v>0</v>
      </c>
      <c r="H106" s="111"/>
      <c r="I106" s="10"/>
      <c r="J106" s="14">
        <f t="shared" si="19"/>
        <v>0</v>
      </c>
      <c r="K106" s="111"/>
      <c r="L106" s="10"/>
      <c r="M106" s="14">
        <f t="shared" si="20"/>
        <v>0</v>
      </c>
      <c r="N106" s="111"/>
      <c r="O106" s="10"/>
      <c r="P106" s="14">
        <f t="shared" si="21"/>
        <v>0</v>
      </c>
      <c r="Q106" s="111"/>
      <c r="R106" s="10"/>
      <c r="S106" s="14">
        <f t="shared" si="22"/>
        <v>0</v>
      </c>
      <c r="T106" s="9"/>
    </row>
    <row r="107" spans="1:20" x14ac:dyDescent="0.25">
      <c r="A107" s="16" t="s">
        <v>43</v>
      </c>
      <c r="B107" s="9"/>
      <c r="C107" s="111"/>
      <c r="D107" s="14">
        <f>C107/$A$101</f>
        <v>0</v>
      </c>
      <c r="E107" s="9"/>
      <c r="F107" s="111"/>
      <c r="G107" s="14">
        <f>F107/$A$101</f>
        <v>0</v>
      </c>
      <c r="H107" s="9"/>
      <c r="I107" s="111"/>
      <c r="J107" s="14">
        <f>I107/$A$101</f>
        <v>0</v>
      </c>
      <c r="K107" s="9"/>
      <c r="L107" s="111"/>
      <c r="M107" s="14">
        <f>L107/$A$101</f>
        <v>0</v>
      </c>
      <c r="N107" s="9"/>
      <c r="O107" s="111"/>
      <c r="P107" s="14">
        <f>O107/$A$101</f>
        <v>0</v>
      </c>
      <c r="Q107" s="9"/>
      <c r="R107" s="111"/>
      <c r="S107" s="14">
        <f>R107/$A$101</f>
        <v>0</v>
      </c>
      <c r="T107" s="9"/>
    </row>
    <row r="108" spans="1:20" x14ac:dyDescent="0.25">
      <c r="A108" s="16" t="s">
        <v>44</v>
      </c>
      <c r="B108" s="10"/>
      <c r="C108" s="10"/>
      <c r="D108" s="14"/>
      <c r="E108" s="10"/>
      <c r="F108" s="10"/>
      <c r="G108" s="14"/>
      <c r="H108" s="10"/>
      <c r="I108" s="10"/>
      <c r="J108" s="14"/>
      <c r="K108" s="10"/>
      <c r="L108" s="10"/>
      <c r="M108" s="14"/>
      <c r="N108" s="10"/>
      <c r="O108" s="10"/>
      <c r="P108" s="14"/>
      <c r="Q108" s="10"/>
      <c r="R108" s="10"/>
      <c r="S108" s="14"/>
      <c r="T108" s="9"/>
    </row>
    <row r="109" spans="1:20" x14ac:dyDescent="0.25">
      <c r="A109" s="16" t="s">
        <v>45</v>
      </c>
      <c r="B109" s="10">
        <f>SUM(B103:B108)</f>
        <v>0</v>
      </c>
      <c r="C109" s="10">
        <f>SUM(C102:C108)</f>
        <v>0</v>
      </c>
      <c r="D109" s="30">
        <f>SUM(B109:C109)</f>
        <v>0</v>
      </c>
      <c r="E109" s="10">
        <f>SUM(E102:E108)</f>
        <v>0</v>
      </c>
      <c r="F109" s="10">
        <f>SUM(F102:F108)</f>
        <v>0</v>
      </c>
      <c r="G109" s="30">
        <f>SUM(E109:F109)</f>
        <v>0</v>
      </c>
      <c r="H109" s="10">
        <f>SUM(H102:H108)</f>
        <v>0</v>
      </c>
      <c r="I109" s="10">
        <f>SUM(I102:I108)</f>
        <v>0</v>
      </c>
      <c r="J109" s="30">
        <f>SUM(H109:I109)</f>
        <v>0</v>
      </c>
      <c r="K109" s="10">
        <f>SUM(K102:K108)</f>
        <v>0</v>
      </c>
      <c r="L109" s="10">
        <f>SUM(L102:L108)</f>
        <v>0</v>
      </c>
      <c r="M109" s="30">
        <f>SUM(K109:L109)</f>
        <v>0</v>
      </c>
      <c r="N109" s="10">
        <f>SUM(N102:N108)</f>
        <v>0</v>
      </c>
      <c r="O109" s="10">
        <f>SUM(O102:O108)</f>
        <v>0</v>
      </c>
      <c r="P109" s="30">
        <f>SUM(N109:O109)</f>
        <v>0</v>
      </c>
      <c r="Q109" s="10">
        <f>SUM(Q102:Q108)</f>
        <v>0</v>
      </c>
      <c r="R109" s="10">
        <f>SUM(R102:R108)</f>
        <v>0</v>
      </c>
      <c r="S109" s="30">
        <f>SUM(Q109:R109)</f>
        <v>0</v>
      </c>
      <c r="T109" s="11">
        <f>C109+B109+E109+F109+H109+I109+K109+L109+N109+O109+Q109+R109</f>
        <v>0</v>
      </c>
    </row>
    <row r="110" spans="1:20" ht="30" x14ac:dyDescent="0.25">
      <c r="A110" s="18" t="s">
        <v>48</v>
      </c>
      <c r="B110" s="14">
        <f>B109/$A$101</f>
        <v>0</v>
      </c>
      <c r="C110" s="14">
        <f>C109/$A$101</f>
        <v>0</v>
      </c>
      <c r="D110" s="31">
        <f>B110+C110</f>
        <v>0</v>
      </c>
      <c r="E110" s="14" t="e">
        <f>E109/$I$93</f>
        <v>#DIV/0!</v>
      </c>
      <c r="F110" s="14" t="e">
        <f>F109/$I$93</f>
        <v>#DIV/0!</v>
      </c>
      <c r="G110" s="31" t="e">
        <f>E110+F110</f>
        <v>#DIV/0!</v>
      </c>
      <c r="H110" s="14" t="e">
        <f>H109/$I$93</f>
        <v>#DIV/0!</v>
      </c>
      <c r="I110" s="14" t="e">
        <f>I109/$I$93</f>
        <v>#DIV/0!</v>
      </c>
      <c r="J110" s="31" t="e">
        <f>H110+I110</f>
        <v>#DIV/0!</v>
      </c>
      <c r="K110" s="14" t="e">
        <f>K109/$I$93</f>
        <v>#DIV/0!</v>
      </c>
      <c r="L110" s="14" t="e">
        <f>L109/$I$93</f>
        <v>#DIV/0!</v>
      </c>
      <c r="M110" s="31" t="e">
        <f>K110+L110</f>
        <v>#DIV/0!</v>
      </c>
      <c r="N110" s="14" t="e">
        <f>N109/$I$93</f>
        <v>#DIV/0!</v>
      </c>
      <c r="O110" s="14" t="e">
        <f>O109/$I$93</f>
        <v>#DIV/0!</v>
      </c>
      <c r="P110" s="31" t="e">
        <f>N110+O110</f>
        <v>#DIV/0!</v>
      </c>
      <c r="Q110" s="14" t="e">
        <f>Q109/$I$93</f>
        <v>#DIV/0!</v>
      </c>
      <c r="R110" s="14" t="e">
        <f>R109/$I$93</f>
        <v>#DIV/0!</v>
      </c>
      <c r="S110" s="31" t="e">
        <f>Q110+R110</f>
        <v>#DIV/0!</v>
      </c>
      <c r="T110" s="12" t="e">
        <f>SUM(D110+G110+J110+M110+P110+S110)</f>
        <v>#DIV/0!</v>
      </c>
    </row>
    <row r="113" spans="1:20" x14ac:dyDescent="0.25">
      <c r="A113">
        <v>11230</v>
      </c>
    </row>
    <row r="114" spans="1:20" x14ac:dyDescent="0.25">
      <c r="A114" s="163">
        <v>28048.53</v>
      </c>
    </row>
    <row r="115" spans="1:20" x14ac:dyDescent="0.25">
      <c r="A115" s="172">
        <v>43709</v>
      </c>
    </row>
    <row r="116" spans="1:20" x14ac:dyDescent="0.25">
      <c r="A116" s="25" t="s">
        <v>51</v>
      </c>
      <c r="B116" s="208" t="s">
        <v>32</v>
      </c>
      <c r="C116" s="208" t="s">
        <v>33</v>
      </c>
      <c r="D116" s="173" t="s">
        <v>49</v>
      </c>
      <c r="E116" s="208" t="s">
        <v>34</v>
      </c>
      <c r="F116" s="208" t="s">
        <v>35</v>
      </c>
      <c r="G116" s="173" t="s">
        <v>49</v>
      </c>
      <c r="H116" s="208" t="s">
        <v>36</v>
      </c>
      <c r="I116" s="208" t="s">
        <v>33</v>
      </c>
      <c r="J116" s="173" t="s">
        <v>49</v>
      </c>
      <c r="K116" s="208" t="s">
        <v>37</v>
      </c>
      <c r="L116" s="208" t="s">
        <v>33</v>
      </c>
      <c r="M116" s="173" t="s">
        <v>49</v>
      </c>
      <c r="N116" s="208" t="s">
        <v>46</v>
      </c>
      <c r="O116" s="208" t="s">
        <v>33</v>
      </c>
      <c r="P116" s="175" t="s">
        <v>49</v>
      </c>
      <c r="Q116" s="216" t="s">
        <v>54</v>
      </c>
      <c r="R116" s="216" t="s">
        <v>33</v>
      </c>
      <c r="S116" s="173" t="s">
        <v>49</v>
      </c>
      <c r="T116" s="206" t="s">
        <v>47</v>
      </c>
    </row>
    <row r="117" spans="1:20" x14ac:dyDescent="0.25">
      <c r="A117" s="145">
        <f>A114*A113</f>
        <v>314984991.89999998</v>
      </c>
      <c r="B117" s="208"/>
      <c r="C117" s="208"/>
      <c r="D117" s="173" t="s">
        <v>50</v>
      </c>
      <c r="E117" s="208"/>
      <c r="F117" s="208"/>
      <c r="G117" s="173" t="s">
        <v>50</v>
      </c>
      <c r="H117" s="208"/>
      <c r="I117" s="208"/>
      <c r="J117" s="173" t="s">
        <v>50</v>
      </c>
      <c r="K117" s="208"/>
      <c r="L117" s="208"/>
      <c r="M117" s="173" t="s">
        <v>50</v>
      </c>
      <c r="N117" s="208"/>
      <c r="O117" s="208"/>
      <c r="P117" s="176" t="s">
        <v>50</v>
      </c>
      <c r="Q117" s="217"/>
      <c r="R117" s="217"/>
      <c r="S117" s="173" t="s">
        <v>50</v>
      </c>
      <c r="T117" s="207"/>
    </row>
    <row r="118" spans="1:20" x14ac:dyDescent="0.25">
      <c r="A118" s="16" t="s">
        <v>38</v>
      </c>
      <c r="B118" s="7">
        <v>8287509.0690000001</v>
      </c>
      <c r="C118" s="10"/>
      <c r="D118" s="14">
        <f>B118/$A$117</f>
        <v>2.6310806172095594E-2</v>
      </c>
      <c r="E118" s="10">
        <v>14086808.65</v>
      </c>
      <c r="F118" s="10"/>
      <c r="G118" s="14">
        <f>E118/$A$117</f>
        <v>4.4722158236898527E-2</v>
      </c>
      <c r="H118" s="10">
        <v>12531383.2535</v>
      </c>
      <c r="I118" s="10"/>
      <c r="J118" s="14">
        <f>H118/$A$117</f>
        <v>3.9784064561013771E-2</v>
      </c>
      <c r="K118" s="10">
        <v>25489417.118299998</v>
      </c>
      <c r="L118" s="10"/>
      <c r="M118" s="14">
        <f>K118/$A$117</f>
        <v>8.0922640042457208E-2</v>
      </c>
      <c r="N118" s="10">
        <v>36571375.835299999</v>
      </c>
      <c r="O118" s="10"/>
      <c r="P118" s="14">
        <f>N118/$A$117</f>
        <v>0.11610513762798741</v>
      </c>
      <c r="Q118" s="10"/>
      <c r="R118" s="10"/>
      <c r="S118" s="14">
        <f>Q118/$A$117</f>
        <v>0</v>
      </c>
      <c r="T118" s="9"/>
    </row>
    <row r="119" spans="1:20" x14ac:dyDescent="0.25">
      <c r="A119" s="16" t="s">
        <v>39</v>
      </c>
      <c r="B119" s="7">
        <v>18979502.990699999</v>
      </c>
      <c r="C119" s="10"/>
      <c r="D119" s="14">
        <f t="shared" ref="D119:D122" si="23">B119/$A$117</f>
        <v>6.0255261294244543E-2</v>
      </c>
      <c r="E119" s="10">
        <v>27737928.773400001</v>
      </c>
      <c r="F119" s="10"/>
      <c r="G119" s="14">
        <f t="shared" ref="G119:G122" si="24">E119/$A$117</f>
        <v>8.8061112391685362E-2</v>
      </c>
      <c r="H119" s="10">
        <v>6045133.5570999999</v>
      </c>
      <c r="I119" s="10"/>
      <c r="J119" s="14">
        <f t="shared" ref="J119:J122" si="25">H119/$A$117</f>
        <v>1.9191814570705585E-2</v>
      </c>
      <c r="K119" s="10">
        <v>16781484.1371</v>
      </c>
      <c r="L119" s="10"/>
      <c r="M119" s="14">
        <f t="shared" ref="M119:M122" si="26">K119/$A$117</f>
        <v>5.3277091190515227E-2</v>
      </c>
      <c r="N119" s="10"/>
      <c r="O119" s="10"/>
      <c r="P119" s="14">
        <f t="shared" ref="P119:P122" si="27">N119/$A$117</f>
        <v>0</v>
      </c>
      <c r="Q119" s="10"/>
      <c r="R119" s="10"/>
      <c r="S119" s="14">
        <f t="shared" ref="S119:S122" si="28">Q119/$A$117</f>
        <v>0</v>
      </c>
      <c r="T119" s="9"/>
    </row>
    <row r="120" spans="1:20" x14ac:dyDescent="0.25">
      <c r="A120" s="16" t="s">
        <v>40</v>
      </c>
      <c r="B120" s="7">
        <v>23470865.778299998</v>
      </c>
      <c r="C120" s="10"/>
      <c r="D120" s="14">
        <f t="shared" si="23"/>
        <v>7.4514235223471934E-2</v>
      </c>
      <c r="E120" s="10">
        <v>29681348.749699999</v>
      </c>
      <c r="F120" s="10"/>
      <c r="G120" s="14">
        <f t="shared" si="24"/>
        <v>9.4230993580554784E-2</v>
      </c>
      <c r="H120" s="10"/>
      <c r="I120" s="10"/>
      <c r="J120" s="14">
        <f t="shared" si="25"/>
        <v>0</v>
      </c>
      <c r="K120" s="10">
        <v>30210995.447799999</v>
      </c>
      <c r="L120" s="10"/>
      <c r="M120" s="14">
        <f t="shared" si="26"/>
        <v>9.5912491784342704E-2</v>
      </c>
      <c r="N120" s="10"/>
      <c r="O120" s="10"/>
      <c r="P120" s="14">
        <f t="shared" si="27"/>
        <v>0</v>
      </c>
      <c r="Q120" s="10"/>
      <c r="R120" s="10"/>
      <c r="S120" s="14">
        <f t="shared" si="28"/>
        <v>0</v>
      </c>
      <c r="T120" s="9"/>
    </row>
    <row r="121" spans="1:20" x14ac:dyDescent="0.25">
      <c r="A121" s="16" t="s">
        <v>41</v>
      </c>
      <c r="B121" s="7">
        <v>23004120.541200001</v>
      </c>
      <c r="C121" s="10"/>
      <c r="D121" s="14">
        <f t="shared" si="23"/>
        <v>7.3032433711963163E-2</v>
      </c>
      <c r="E121" s="10">
        <v>18491637.784600001</v>
      </c>
      <c r="F121" s="10"/>
      <c r="G121" s="14">
        <f t="shared" si="24"/>
        <v>5.8706409067485484E-2</v>
      </c>
      <c r="H121" s="10"/>
      <c r="I121" s="10"/>
      <c r="J121" s="14">
        <f t="shared" si="25"/>
        <v>0</v>
      </c>
      <c r="K121" s="10">
        <v>21990286.069499999</v>
      </c>
      <c r="L121" s="10"/>
      <c r="M121" s="14">
        <f t="shared" si="26"/>
        <v>6.9813758226555056E-2</v>
      </c>
      <c r="N121" s="10"/>
      <c r="O121" s="10"/>
      <c r="P121" s="14">
        <f t="shared" si="27"/>
        <v>0</v>
      </c>
      <c r="Q121" s="10"/>
      <c r="R121" s="10"/>
      <c r="S121" s="14">
        <f t="shared" si="28"/>
        <v>0</v>
      </c>
      <c r="T121" s="9"/>
    </row>
    <row r="122" spans="1:20" x14ac:dyDescent="0.25">
      <c r="A122" s="16" t="s">
        <v>42</v>
      </c>
      <c r="B122" s="7">
        <v>16922199.014899999</v>
      </c>
      <c r="C122" s="10"/>
      <c r="D122" s="14">
        <f t="shared" si="23"/>
        <v>5.3723826372884406E-2</v>
      </c>
      <c r="E122" s="10">
        <v>23522435.9921</v>
      </c>
      <c r="F122" s="10"/>
      <c r="G122" s="14">
        <f t="shared" si="24"/>
        <v>7.4677957988448534E-2</v>
      </c>
      <c r="H122" s="10"/>
      <c r="I122" s="10"/>
      <c r="J122" s="14">
        <f t="shared" si="25"/>
        <v>0</v>
      </c>
      <c r="K122" s="10">
        <v>20986148.230999999</v>
      </c>
      <c r="L122" s="10"/>
      <c r="M122" s="14">
        <f t="shared" si="26"/>
        <v>6.6625867170403433E-2</v>
      </c>
      <c r="N122" s="10"/>
      <c r="O122" s="10"/>
      <c r="P122" s="14">
        <f t="shared" si="27"/>
        <v>0</v>
      </c>
      <c r="Q122" s="10"/>
      <c r="R122" s="10"/>
      <c r="S122" s="14">
        <f t="shared" si="28"/>
        <v>0</v>
      </c>
      <c r="T122" s="9"/>
    </row>
    <row r="123" spans="1:20" x14ac:dyDescent="0.25">
      <c r="A123" s="16" t="s">
        <v>43</v>
      </c>
      <c r="B123" s="7"/>
      <c r="C123" s="111">
        <v>1256896.55</v>
      </c>
      <c r="D123" s="14">
        <f>C123/$A$117</f>
        <v>3.9903378964767757E-3</v>
      </c>
      <c r="E123" s="111"/>
      <c r="F123" s="111">
        <v>2305541.1028999998</v>
      </c>
      <c r="G123" s="14">
        <f>F123/$A$117</f>
        <v>7.3195268415580661E-3</v>
      </c>
      <c r="H123" s="111"/>
      <c r="I123" s="111"/>
      <c r="J123" s="14">
        <f>I123/$A$117</f>
        <v>0</v>
      </c>
      <c r="K123" s="111"/>
      <c r="L123" s="111">
        <v>2243859.1461999998</v>
      </c>
      <c r="M123" s="14">
        <f>L123/$A$117</f>
        <v>7.1237017759638857E-3</v>
      </c>
      <c r="N123" s="111"/>
      <c r="O123" s="111"/>
      <c r="P123" s="14">
        <f>O123/$A$117</f>
        <v>0</v>
      </c>
      <c r="Q123" s="111"/>
      <c r="R123" s="111"/>
      <c r="S123" s="14">
        <f>R123/$A$117</f>
        <v>0</v>
      </c>
      <c r="T123" s="9"/>
    </row>
    <row r="124" spans="1:20" x14ac:dyDescent="0.25">
      <c r="A124" s="16" t="s">
        <v>44</v>
      </c>
      <c r="B124" s="10"/>
      <c r="C124" s="10"/>
      <c r="D124" s="14"/>
      <c r="E124" s="10"/>
      <c r="F124" s="10"/>
      <c r="G124" s="14"/>
      <c r="H124" s="10"/>
      <c r="I124" s="10"/>
      <c r="J124" s="14"/>
      <c r="K124" s="10"/>
      <c r="L124" s="10"/>
      <c r="M124" s="14"/>
      <c r="N124" s="10"/>
      <c r="O124" s="10"/>
      <c r="P124" s="14"/>
      <c r="Q124" s="10"/>
      <c r="R124" s="10"/>
      <c r="S124" s="14"/>
      <c r="T124" s="9"/>
    </row>
    <row r="125" spans="1:20" x14ac:dyDescent="0.25">
      <c r="A125" s="16" t="s">
        <v>45</v>
      </c>
      <c r="B125" s="146">
        <f>SUM(B118:B124)</f>
        <v>90664197.394099995</v>
      </c>
      <c r="C125" s="10">
        <f>SUM(C118:C124)</f>
        <v>1256896.55</v>
      </c>
      <c r="D125" s="30">
        <f>SUM(B125:C125)</f>
        <v>91921093.944099993</v>
      </c>
      <c r="E125" s="10">
        <f>SUM(E118:E124)</f>
        <v>113520159.9498</v>
      </c>
      <c r="F125" s="10">
        <f>SUM(F118:F124)</f>
        <v>2305541.1028999998</v>
      </c>
      <c r="G125" s="30">
        <f>SUM(E125:F125)</f>
        <v>115825701.0527</v>
      </c>
      <c r="H125" s="10">
        <f>SUM(H118:H124)</f>
        <v>18576516.810599998</v>
      </c>
      <c r="I125" s="10">
        <f>SUM(I118:I124)</f>
        <v>0</v>
      </c>
      <c r="J125" s="30">
        <f>SUM(H125:I125)</f>
        <v>18576516.810599998</v>
      </c>
      <c r="K125" s="10">
        <f>SUM(K118:K124)</f>
        <v>115458331.00369999</v>
      </c>
      <c r="L125" s="10">
        <f>SUM(L118:L124)</f>
        <v>2243859.1461999998</v>
      </c>
      <c r="M125" s="30">
        <f>SUM(K125:L125)</f>
        <v>117702190.14989999</v>
      </c>
      <c r="N125" s="10">
        <f>SUM(N118:N124)</f>
        <v>36571375.835299999</v>
      </c>
      <c r="O125" s="10">
        <f>SUM(O118:O124)</f>
        <v>0</v>
      </c>
      <c r="P125" s="30">
        <f>SUM(N125:O125)</f>
        <v>36571375.835299999</v>
      </c>
      <c r="Q125" s="10">
        <f>SUM(Q119:Q124)</f>
        <v>0</v>
      </c>
      <c r="R125" s="10">
        <f>SUM(R118:R124)</f>
        <v>0</v>
      </c>
      <c r="S125" s="30">
        <f>SUM(Q125:R125)</f>
        <v>0</v>
      </c>
      <c r="T125" s="11">
        <f>C125+B125+E125+F125+H125+I125+K125+L125+N125+O125+Q125+R125</f>
        <v>380596877.79260004</v>
      </c>
    </row>
    <row r="126" spans="1:20" ht="30" x14ac:dyDescent="0.25">
      <c r="A126" s="18" t="s">
        <v>48</v>
      </c>
      <c r="B126" s="14">
        <f>B125/$A$117</f>
        <v>0.28783656277465963</v>
      </c>
      <c r="C126" s="14">
        <f>C125/$A$117</f>
        <v>3.9903378964767757E-3</v>
      </c>
      <c r="D126" s="31">
        <f>B126+C126</f>
        <v>0.29182690067113642</v>
      </c>
      <c r="E126" s="14">
        <f>E125/$A$117</f>
        <v>0.36039863126507271</v>
      </c>
      <c r="F126" s="14">
        <f>F125/$A$117</f>
        <v>7.3195268415580661E-3</v>
      </c>
      <c r="G126" s="31">
        <f>E126+F126</f>
        <v>0.36771815810663078</v>
      </c>
      <c r="H126" s="14">
        <f>H125/$A$117</f>
        <v>5.8975879131719353E-2</v>
      </c>
      <c r="I126" s="14">
        <f>I125/$A$117</f>
        <v>0</v>
      </c>
      <c r="J126" s="31">
        <f>H126+I126</f>
        <v>5.8975879131719353E-2</v>
      </c>
      <c r="K126" s="14">
        <f>K125/$A$117</f>
        <v>0.36655184841427357</v>
      </c>
      <c r="L126" s="14">
        <f>L125/$A$117</f>
        <v>7.1237017759638857E-3</v>
      </c>
      <c r="M126" s="31">
        <f>K126+L126</f>
        <v>0.37367555019023746</v>
      </c>
      <c r="N126" s="14">
        <f>N125/$A$117</f>
        <v>0.11610513762798741</v>
      </c>
      <c r="O126" s="14">
        <f>O125/$A$117</f>
        <v>0</v>
      </c>
      <c r="P126" s="31">
        <f>N126+O126</f>
        <v>0.11610513762798741</v>
      </c>
      <c r="Q126" s="14">
        <f>Q125/$A$117</f>
        <v>0</v>
      </c>
      <c r="R126" s="14">
        <f>R125/$A$117</f>
        <v>0</v>
      </c>
      <c r="S126" s="31">
        <f>Q126+R126</f>
        <v>0</v>
      </c>
      <c r="T126" s="12">
        <f>SUM(D126+G126+J126+M126+P126+S126)</f>
        <v>1.2083016257277113</v>
      </c>
    </row>
    <row r="127" spans="1:20" x14ac:dyDescent="0.25">
      <c r="A127" s="16" t="s">
        <v>57</v>
      </c>
      <c r="D127" s="22">
        <f>AVERAGE(D118:D122)</f>
        <v>5.7567312554931929E-2</v>
      </c>
      <c r="G127" s="22">
        <f>AVERAGE(G118:G122)</f>
        <v>7.2079726253014537E-2</v>
      </c>
      <c r="J127" s="22">
        <f>AVERAGE(J118:J122)</f>
        <v>1.179517582634387E-2</v>
      </c>
      <c r="M127" s="22">
        <f>AVERAGE(M118:M122)</f>
        <v>7.3310369682854731E-2</v>
      </c>
      <c r="P127" s="22">
        <f>AVERAGE(P118:P122)</f>
        <v>2.322102752559748E-2</v>
      </c>
      <c r="S127" s="22">
        <f>AVERAGE(S118:S122)</f>
        <v>0</v>
      </c>
    </row>
    <row r="128" spans="1:20" ht="30.75" thickBot="1" x14ac:dyDescent="0.3">
      <c r="A128" s="37" t="s">
        <v>58</v>
      </c>
      <c r="B128" s="14">
        <f>(D123+G123+M123)/4</f>
        <v>4.6083916284996819E-3</v>
      </c>
    </row>
    <row r="129" spans="1:20" ht="30.75" thickBot="1" x14ac:dyDescent="0.3">
      <c r="A129" s="89" t="s">
        <v>59</v>
      </c>
      <c r="B129" s="88">
        <f>(P122+P104)/2</f>
        <v>0</v>
      </c>
      <c r="N129" s="8"/>
    </row>
    <row r="132" spans="1:20" ht="15" customHeight="1" x14ac:dyDescent="0.25">
      <c r="A132" s="172">
        <v>43739</v>
      </c>
    </row>
    <row r="133" spans="1:20" ht="15" customHeight="1" x14ac:dyDescent="0.25">
      <c r="A133" s="16">
        <v>2019</v>
      </c>
      <c r="B133" s="216" t="s">
        <v>32</v>
      </c>
      <c r="C133" s="216" t="s">
        <v>33</v>
      </c>
      <c r="D133" s="173" t="s">
        <v>49</v>
      </c>
      <c r="E133" s="216" t="s">
        <v>34</v>
      </c>
      <c r="F133" s="216" t="s">
        <v>35</v>
      </c>
      <c r="G133" s="173" t="s">
        <v>49</v>
      </c>
      <c r="H133" s="216" t="s">
        <v>36</v>
      </c>
      <c r="I133" s="216" t="s">
        <v>33</v>
      </c>
      <c r="J133" s="173" t="s">
        <v>49</v>
      </c>
      <c r="K133" s="216" t="s">
        <v>37</v>
      </c>
      <c r="L133" s="216" t="s">
        <v>33</v>
      </c>
      <c r="M133" s="173" t="s">
        <v>49</v>
      </c>
      <c r="N133" s="216" t="s">
        <v>46</v>
      </c>
      <c r="O133" s="216" t="s">
        <v>33</v>
      </c>
      <c r="P133" s="173" t="s">
        <v>49</v>
      </c>
      <c r="Q133" s="216" t="s">
        <v>54</v>
      </c>
      <c r="R133" s="216" t="s">
        <v>33</v>
      </c>
      <c r="S133" s="173" t="s">
        <v>49</v>
      </c>
      <c r="T133" s="206" t="s">
        <v>47</v>
      </c>
    </row>
    <row r="134" spans="1:20" x14ac:dyDescent="0.25">
      <c r="A134" s="93">
        <v>460075282.54999995</v>
      </c>
      <c r="B134" s="217"/>
      <c r="C134" s="217"/>
      <c r="D134" s="173" t="s">
        <v>50</v>
      </c>
      <c r="E134" s="217"/>
      <c r="F134" s="217"/>
      <c r="G134" s="173" t="s">
        <v>50</v>
      </c>
      <c r="H134" s="217"/>
      <c r="I134" s="217"/>
      <c r="J134" s="173" t="s">
        <v>50</v>
      </c>
      <c r="K134" s="217"/>
      <c r="L134" s="217"/>
      <c r="M134" s="173" t="s">
        <v>50</v>
      </c>
      <c r="N134" s="217"/>
      <c r="O134" s="217"/>
      <c r="P134" s="173" t="s">
        <v>50</v>
      </c>
      <c r="Q134" s="217"/>
      <c r="R134" s="217"/>
      <c r="S134" s="173" t="s">
        <v>50</v>
      </c>
      <c r="T134" s="207"/>
    </row>
    <row r="135" spans="1:20" x14ac:dyDescent="0.25">
      <c r="A135" s="16" t="s">
        <v>38</v>
      </c>
      <c r="B135" s="9"/>
      <c r="C135" s="10"/>
      <c r="D135" s="14">
        <f>B135/$A$134</f>
        <v>0</v>
      </c>
      <c r="E135" s="111">
        <v>12171865.591</v>
      </c>
      <c r="F135" s="10"/>
      <c r="G135" s="14">
        <f>E135/$A$134</f>
        <v>2.6456247602645745E-2</v>
      </c>
      <c r="H135" s="111">
        <v>19723117.765099999</v>
      </c>
      <c r="I135" s="10"/>
      <c r="J135" s="14">
        <f>H135/$A$134</f>
        <v>4.2869327071394091E-2</v>
      </c>
      <c r="K135" s="111">
        <v>8126116.8492000001</v>
      </c>
      <c r="L135" s="10"/>
      <c r="M135" s="14">
        <f>K135/$A$134</f>
        <v>1.7662580793648422E-2</v>
      </c>
      <c r="N135" s="7">
        <v>15989352.105599999</v>
      </c>
      <c r="O135" s="10"/>
      <c r="P135" s="14">
        <f>N135/$A$134</f>
        <v>3.4753773375909E-2</v>
      </c>
      <c r="Q135" s="10"/>
      <c r="R135" s="10"/>
      <c r="S135" s="14">
        <f>Q135/$A$134</f>
        <v>0</v>
      </c>
      <c r="T135" s="9"/>
    </row>
    <row r="136" spans="1:20" x14ac:dyDescent="0.25">
      <c r="A136" s="16" t="s">
        <v>39</v>
      </c>
      <c r="B136" s="111">
        <v>7765435.2489999998</v>
      </c>
      <c r="C136" s="10"/>
      <c r="D136" s="14">
        <f t="shared" ref="D136:D141" si="29">B136/$A$134</f>
        <v>1.6878618659884364E-2</v>
      </c>
      <c r="E136" s="111">
        <v>24472335.067699999</v>
      </c>
      <c r="F136" s="10"/>
      <c r="G136" s="14">
        <f t="shared" ref="G136:G141" si="30">E136/$A$134</f>
        <v>5.3192023122955755E-2</v>
      </c>
      <c r="H136" s="111">
        <v>27382067.318999998</v>
      </c>
      <c r="I136" s="10"/>
      <c r="J136" s="14">
        <f t="shared" ref="J136:J141" si="31">H136/$A$134</f>
        <v>5.9516492968787506E-2</v>
      </c>
      <c r="K136" s="111">
        <v>14670331.6603</v>
      </c>
      <c r="L136" s="10"/>
      <c r="M136" s="14">
        <f t="shared" ref="M136:M141" si="32">K136/$A$134</f>
        <v>3.1886806826458149E-2</v>
      </c>
      <c r="N136" s="10">
        <v>19802859.724199999</v>
      </c>
      <c r="O136" s="10"/>
      <c r="P136" s="14">
        <f t="shared" ref="P136:P141" si="33">N136/$A$134</f>
        <v>4.3042650790629834E-2</v>
      </c>
      <c r="Q136" s="10"/>
      <c r="R136" s="10"/>
      <c r="S136" s="14">
        <f t="shared" ref="S136:S141" si="34">Q136/$A$134</f>
        <v>0</v>
      </c>
      <c r="T136" s="9"/>
    </row>
    <row r="137" spans="1:20" x14ac:dyDescent="0.25">
      <c r="A137" s="16" t="s">
        <v>40</v>
      </c>
      <c r="B137" s="111">
        <v>23677951.581700001</v>
      </c>
      <c r="C137" s="10"/>
      <c r="D137" s="14">
        <f t="shared" si="29"/>
        <v>5.1465385078857687E-2</v>
      </c>
      <c r="E137" s="111">
        <v>25713335.597199999</v>
      </c>
      <c r="F137" s="10"/>
      <c r="G137" s="14">
        <f t="shared" si="30"/>
        <v>5.5889408912997908E-2</v>
      </c>
      <c r="H137" s="111">
        <v>25605705.429299999</v>
      </c>
      <c r="I137" s="10"/>
      <c r="J137" s="14">
        <f t="shared" si="31"/>
        <v>5.5655468573270347E-2</v>
      </c>
      <c r="K137" s="111">
        <v>21283013.4351</v>
      </c>
      <c r="L137" s="10"/>
      <c r="M137" s="14">
        <f t="shared" si="32"/>
        <v>4.6259849729673341E-2</v>
      </c>
      <c r="N137" s="10">
        <v>44239273.388400003</v>
      </c>
      <c r="O137" s="10"/>
      <c r="P137" s="14">
        <f t="shared" si="33"/>
        <v>9.6156596683918086E-2</v>
      </c>
      <c r="Q137" s="10"/>
      <c r="R137" s="10"/>
      <c r="S137" s="14">
        <f t="shared" si="34"/>
        <v>0</v>
      </c>
      <c r="T137" s="9"/>
    </row>
    <row r="138" spans="1:20" x14ac:dyDescent="0.25">
      <c r="A138" s="16" t="s">
        <v>41</v>
      </c>
      <c r="B138" s="111">
        <v>18422109.656800002</v>
      </c>
      <c r="C138" s="10"/>
      <c r="D138" s="14">
        <f t="shared" si="29"/>
        <v>4.0041511368952815E-2</v>
      </c>
      <c r="E138" s="111">
        <v>24495806.681600001</v>
      </c>
      <c r="F138" s="10"/>
      <c r="G138" s="14">
        <f t="shared" si="30"/>
        <v>5.3243040021255329E-2</v>
      </c>
      <c r="H138" s="111">
        <v>19766219.163600001</v>
      </c>
      <c r="I138" s="10"/>
      <c r="J138" s="14">
        <f t="shared" si="31"/>
        <v>4.2963010431780482E-2</v>
      </c>
      <c r="K138" s="111">
        <v>20086207.592300002</v>
      </c>
      <c r="L138" s="10"/>
      <c r="M138" s="14">
        <f t="shared" si="32"/>
        <v>4.3658523624591973E-2</v>
      </c>
      <c r="N138" s="10"/>
      <c r="O138" s="10"/>
      <c r="P138" s="14">
        <f t="shared" si="33"/>
        <v>0</v>
      </c>
      <c r="Q138" s="10"/>
      <c r="R138" s="10"/>
      <c r="S138" s="14">
        <f t="shared" si="34"/>
        <v>0</v>
      </c>
      <c r="T138" s="9"/>
    </row>
    <row r="139" spans="1:20" x14ac:dyDescent="0.25">
      <c r="A139" s="16" t="s">
        <v>42</v>
      </c>
      <c r="B139" s="111">
        <v>21288529.495999999</v>
      </c>
      <c r="C139" s="10"/>
      <c r="D139" s="14">
        <f t="shared" si="29"/>
        <v>4.6271839204242424E-2</v>
      </c>
      <c r="E139" s="111">
        <v>19983152.810800001</v>
      </c>
      <c r="F139" s="10"/>
      <c r="G139" s="14">
        <f t="shared" si="30"/>
        <v>4.3434528149484487E-2</v>
      </c>
      <c r="H139" s="111">
        <v>20252423.278200001</v>
      </c>
      <c r="I139" s="10"/>
      <c r="J139" s="14">
        <f t="shared" si="31"/>
        <v>4.4019802946051581E-2</v>
      </c>
      <c r="K139" s="111">
        <v>21599322.135299999</v>
      </c>
      <c r="L139" s="10"/>
      <c r="M139" s="14">
        <f t="shared" si="32"/>
        <v>4.6947364821653147E-2</v>
      </c>
      <c r="N139" s="10"/>
      <c r="O139" s="10"/>
      <c r="P139" s="14">
        <f t="shared" si="33"/>
        <v>0</v>
      </c>
      <c r="Q139" s="10"/>
      <c r="R139" s="10"/>
      <c r="S139" s="14">
        <f t="shared" si="34"/>
        <v>0</v>
      </c>
      <c r="T139" s="9"/>
    </row>
    <row r="140" spans="1:20" x14ac:dyDescent="0.25">
      <c r="A140" s="16" t="s">
        <v>43</v>
      </c>
      <c r="B140" s="9"/>
      <c r="C140" s="111">
        <v>2365282.0912000001</v>
      </c>
      <c r="D140" s="14">
        <f>C140/$A$134</f>
        <v>5.1410762127673017E-3</v>
      </c>
      <c r="E140" s="9"/>
      <c r="F140" s="111">
        <v>4820163.9604000002</v>
      </c>
      <c r="G140" s="14">
        <f>F140/$A$134</f>
        <v>1.0476902679239578E-2</v>
      </c>
      <c r="H140" s="9"/>
      <c r="I140" s="111">
        <v>2760188.8535000002</v>
      </c>
      <c r="J140" s="14">
        <f>I140/$A$134</f>
        <v>5.9994286982805447E-3</v>
      </c>
      <c r="K140" s="9"/>
      <c r="L140" s="111">
        <v>3561904.2189000002</v>
      </c>
      <c r="M140" s="14">
        <f>L140/$A$134</f>
        <v>7.7420030025475246E-3</v>
      </c>
      <c r="N140" s="10"/>
      <c r="O140" s="10"/>
      <c r="P140" s="14">
        <f>O140/$A$134</f>
        <v>0</v>
      </c>
      <c r="Q140" s="10"/>
      <c r="R140" s="10"/>
      <c r="S140" s="14">
        <f>R140/$A$134</f>
        <v>0</v>
      </c>
      <c r="T140" s="9"/>
    </row>
    <row r="141" spans="1:20" x14ac:dyDescent="0.25">
      <c r="A141" s="16" t="s">
        <v>44</v>
      </c>
      <c r="B141" s="10"/>
      <c r="C141" s="10"/>
      <c r="D141" s="14">
        <f t="shared" si="29"/>
        <v>0</v>
      </c>
      <c r="E141" s="10"/>
      <c r="F141" s="10"/>
      <c r="G141" s="14">
        <f t="shared" si="30"/>
        <v>0</v>
      </c>
      <c r="H141" s="10"/>
      <c r="I141" s="10"/>
      <c r="J141" s="14">
        <f t="shared" si="31"/>
        <v>0</v>
      </c>
      <c r="K141" s="10"/>
      <c r="L141" s="10"/>
      <c r="M141" s="14">
        <f t="shared" si="32"/>
        <v>0</v>
      </c>
      <c r="N141" s="10"/>
      <c r="O141" s="10"/>
      <c r="P141" s="14">
        <f t="shared" si="33"/>
        <v>0</v>
      </c>
      <c r="Q141" s="10"/>
      <c r="R141" s="10"/>
      <c r="S141" s="14">
        <f t="shared" si="34"/>
        <v>0</v>
      </c>
      <c r="T141" s="9"/>
    </row>
    <row r="142" spans="1:20" x14ac:dyDescent="0.25">
      <c r="A142" s="16" t="s">
        <v>45</v>
      </c>
      <c r="B142" s="146">
        <f>SUM(B135:B141)</f>
        <v>71154025.983500004</v>
      </c>
      <c r="C142" s="10">
        <f>SUM(C135:C141)</f>
        <v>2365282.0912000001</v>
      </c>
      <c r="D142" s="198">
        <f>SUM(B142:C142)</f>
        <v>73519308.074699998</v>
      </c>
      <c r="E142" s="146">
        <f>SUM(E135:E141)</f>
        <v>106836495.7483</v>
      </c>
      <c r="F142" s="10">
        <f>SUM(F135:F141)</f>
        <v>4820163.9604000002</v>
      </c>
      <c r="G142" s="198">
        <f>SUM(E142:F142)</f>
        <v>111656659.7087</v>
      </c>
      <c r="H142" s="146">
        <f>SUM(H135:H141)</f>
        <v>112729532.95519999</v>
      </c>
      <c r="I142" s="10">
        <f>SUM(I135:I141)</f>
        <v>2760188.8535000002</v>
      </c>
      <c r="J142" s="198">
        <f>SUM(H142:I142)</f>
        <v>115489721.80869998</v>
      </c>
      <c r="K142" s="10">
        <f>SUM(K135:K141)</f>
        <v>85764991.672199994</v>
      </c>
      <c r="L142" s="10">
        <f>SUM(L135:L141)</f>
        <v>3561904.2189000002</v>
      </c>
      <c r="M142" s="198">
        <f>SUM(K142:L142)</f>
        <v>89326895.891099989</v>
      </c>
      <c r="N142" s="10">
        <f>SUM(N135:N141)</f>
        <v>80031485.218199998</v>
      </c>
      <c r="O142" s="10">
        <f>SUM(O135:O141)</f>
        <v>0</v>
      </c>
      <c r="P142" s="198">
        <f>SUM(N142:O142)</f>
        <v>80031485.218199998</v>
      </c>
      <c r="Q142" s="10">
        <f>SUM(Q135:Q141)</f>
        <v>0</v>
      </c>
      <c r="R142" s="10">
        <f>SUM(R135:R141)</f>
        <v>0</v>
      </c>
      <c r="S142" s="198">
        <f>SUM(Q142:R142)</f>
        <v>0</v>
      </c>
      <c r="T142" s="11">
        <f>C142+B142+E142+F142+H142+I142+K142+L142+N142+O142+Q142+R142</f>
        <v>470024070.70140004</v>
      </c>
    </row>
    <row r="143" spans="1:20" ht="30" x14ac:dyDescent="0.25">
      <c r="A143" s="18" t="s">
        <v>48</v>
      </c>
      <c r="B143" s="14">
        <f>B142/$A$134</f>
        <v>0.15465735431193731</v>
      </c>
      <c r="C143" s="14">
        <f>C142/$A$134</f>
        <v>5.1410762127673017E-3</v>
      </c>
      <c r="D143" s="199">
        <f>B143+C143</f>
        <v>0.1597984305247046</v>
      </c>
      <c r="E143" s="14">
        <f>E142/$A$134</f>
        <v>0.23221524780933922</v>
      </c>
      <c r="F143" s="14">
        <f>F142/$A$134</f>
        <v>1.0476902679239578E-2</v>
      </c>
      <c r="G143" s="199">
        <f>E143+F143</f>
        <v>0.24269215048857878</v>
      </c>
      <c r="H143" s="14">
        <f>H142/$A$134</f>
        <v>0.24502410199128399</v>
      </c>
      <c r="I143" s="14">
        <f>I142/$A$134</f>
        <v>5.9994286982805447E-3</v>
      </c>
      <c r="J143" s="199">
        <f>H143+I143</f>
        <v>0.25102353068956451</v>
      </c>
      <c r="K143" s="14">
        <f>K142/$A$134</f>
        <v>0.18641512579602501</v>
      </c>
      <c r="L143" s="14">
        <f>L142/$A$134</f>
        <v>7.7420030025475246E-3</v>
      </c>
      <c r="M143" s="199">
        <f>K143+L143</f>
        <v>0.19415712879857253</v>
      </c>
      <c r="N143" s="14">
        <f>N142/$A$134</f>
        <v>0.17395302085045691</v>
      </c>
      <c r="O143" s="14">
        <f>O142/$A$134</f>
        <v>0</v>
      </c>
      <c r="P143" s="199">
        <f>N143+O143</f>
        <v>0.17395302085045691</v>
      </c>
      <c r="Q143" s="14">
        <f>Q142/$A$134</f>
        <v>0</v>
      </c>
      <c r="R143" s="14">
        <f>R142/$A$134</f>
        <v>0</v>
      </c>
      <c r="S143" s="199">
        <f>Q143+R143</f>
        <v>0</v>
      </c>
      <c r="T143" s="12">
        <f>SUM(D143+G143+J143+M143+P143+S143)</f>
        <v>1.0216242613518773</v>
      </c>
    </row>
    <row r="144" spans="1:20" x14ac:dyDescent="0.25">
      <c r="A144" s="16" t="s">
        <v>57</v>
      </c>
      <c r="D144" s="22">
        <f>AVERAGE(D135:D139)</f>
        <v>3.0931470862387456E-2</v>
      </c>
      <c r="G144" s="22">
        <f>AVERAGE(G135:G139)</f>
        <v>4.6443049561867844E-2</v>
      </c>
      <c r="J144" s="22">
        <f>AVERAGE(J135:J139)</f>
        <v>4.90048203982568E-2</v>
      </c>
      <c r="M144" s="22">
        <f>AVERAGE(M135:M139)</f>
        <v>3.7283025159205008E-2</v>
      </c>
      <c r="P144" s="22">
        <f>AVERAGE(P135:P139)</f>
        <v>3.4790604170091388E-2</v>
      </c>
      <c r="S144" s="22">
        <f>AVERAGE(S135:S139)</f>
        <v>0</v>
      </c>
    </row>
    <row r="145" spans="1:14" ht="30.75" thickBot="1" x14ac:dyDescent="0.3">
      <c r="A145" s="37" t="s">
        <v>58</v>
      </c>
      <c r="B145" s="14">
        <f>(D140+G140+J140+M140)/4</f>
        <v>7.3398526482087376E-3</v>
      </c>
    </row>
    <row r="146" spans="1:14" ht="30.75" thickBot="1" x14ac:dyDescent="0.3">
      <c r="A146" s="89" t="s">
        <v>59</v>
      </c>
      <c r="B146" s="88">
        <f>(P139+P121)/2</f>
        <v>0</v>
      </c>
      <c r="N146" s="8"/>
    </row>
  </sheetData>
  <mergeCells count="64">
    <mergeCell ref="R63:R64"/>
    <mergeCell ref="T63:T64"/>
    <mergeCell ref="F17:G17"/>
    <mergeCell ref="H12:H13"/>
    <mergeCell ref="F63:F64"/>
    <mergeCell ref="H63:H64"/>
    <mergeCell ref="I63:I64"/>
    <mergeCell ref="K63:K64"/>
    <mergeCell ref="I80:I81"/>
    <mergeCell ref="L63:L64"/>
    <mergeCell ref="N63:N64"/>
    <mergeCell ref="O63:O64"/>
    <mergeCell ref="Q63:Q64"/>
    <mergeCell ref="B80:B81"/>
    <mergeCell ref="C80:C81"/>
    <mergeCell ref="E80:E81"/>
    <mergeCell ref="F80:F81"/>
    <mergeCell ref="H80:H81"/>
    <mergeCell ref="T80:T81"/>
    <mergeCell ref="B100:B101"/>
    <mergeCell ref="C100:C101"/>
    <mergeCell ref="E100:E101"/>
    <mergeCell ref="F100:F101"/>
    <mergeCell ref="H100:H101"/>
    <mergeCell ref="I100:I101"/>
    <mergeCell ref="K100:K101"/>
    <mergeCell ref="L100:L101"/>
    <mergeCell ref="N100:N101"/>
    <mergeCell ref="K80:K81"/>
    <mergeCell ref="L80:L81"/>
    <mergeCell ref="N80:N81"/>
    <mergeCell ref="O80:O81"/>
    <mergeCell ref="Q80:Q81"/>
    <mergeCell ref="R80:R81"/>
    <mergeCell ref="O100:O101"/>
    <mergeCell ref="Q100:Q101"/>
    <mergeCell ref="R100:R101"/>
    <mergeCell ref="T100:T101"/>
    <mergeCell ref="B116:B117"/>
    <mergeCell ref="C116:C117"/>
    <mergeCell ref="E116:E117"/>
    <mergeCell ref="F116:F117"/>
    <mergeCell ref="H116:H117"/>
    <mergeCell ref="I116:I117"/>
    <mergeCell ref="I133:I134"/>
    <mergeCell ref="K133:K134"/>
    <mergeCell ref="L133:L134"/>
    <mergeCell ref="N133:N134"/>
    <mergeCell ref="K116:K117"/>
    <mergeCell ref="L116:L117"/>
    <mergeCell ref="N116:N117"/>
    <mergeCell ref="B133:B134"/>
    <mergeCell ref="C133:C134"/>
    <mergeCell ref="E133:E134"/>
    <mergeCell ref="F133:F134"/>
    <mergeCell ref="H133:H134"/>
    <mergeCell ref="O133:O134"/>
    <mergeCell ref="Q133:Q134"/>
    <mergeCell ref="R133:R134"/>
    <mergeCell ref="T133:T134"/>
    <mergeCell ref="T116:T117"/>
    <mergeCell ref="O116:O117"/>
    <mergeCell ref="Q116:Q117"/>
    <mergeCell ref="R116:R117"/>
  </mergeCells>
  <conditionalFormatting sqref="J11">
    <cfRule type="cellIs" dxfId="30" priority="3" operator="lessThan">
      <formula>1</formula>
    </cfRule>
    <cfRule type="cellIs" dxfId="29" priority="4" operator="greaterThan">
      <formula>1</formula>
    </cfRule>
    <cfRule type="cellIs" dxfId="28" priority="5" operator="greaterThan">
      <formula>#REF!</formula>
    </cfRule>
    <cfRule type="cellIs" dxfId="27" priority="6" operator="lessThan">
      <formula>#REF!</formula>
    </cfRule>
  </conditionalFormatting>
  <conditionalFormatting sqref="K11">
    <cfRule type="cellIs" dxfId="26" priority="1" operator="lessThan">
      <formula>0</formula>
    </cfRule>
    <cfRule type="cellIs" dxfId="25" priority="2" operator="greaterThan">
      <formula>0</formula>
    </cfRule>
  </conditionalFormatting>
  <conditionalFormatting sqref="I11">
    <cfRule type="cellIs" dxfId="24" priority="69" operator="lessThan">
      <formula>#REF!</formula>
    </cfRule>
    <cfRule type="cellIs" dxfId="23" priority="70" operator="greaterThan">
      <formula>#REF!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opLeftCell="A113" workbookViewId="0">
      <selection activeCell="F120" sqref="F120:H143"/>
      <pivotSelection pane="bottomRight" showHeader="1" activeRow="119" activeCol="5" previousRow="119" previousCol="5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8.7109375" customWidth="1"/>
    <col min="2" max="2" width="22.42578125" customWidth="1"/>
    <col min="3" max="3" width="12.5703125" customWidth="1"/>
    <col min="4" max="5" width="14.28515625" bestFit="1" customWidth="1"/>
    <col min="9" max="9" width="13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18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53</v>
      </c>
      <c r="E3" t="s">
        <v>11</v>
      </c>
      <c r="F3" t="s">
        <v>12</v>
      </c>
      <c r="G3" t="s">
        <v>13</v>
      </c>
      <c r="H3" t="s">
        <v>14</v>
      </c>
    </row>
    <row r="5" spans="1:8" ht="14.25" customHeight="1" x14ac:dyDescent="0.25">
      <c r="A5" s="203" t="s">
        <v>15</v>
      </c>
      <c r="B5" s="203" t="s">
        <v>16</v>
      </c>
      <c r="C5" s="203" t="s">
        <v>17</v>
      </c>
      <c r="D5" s="203" t="s">
        <v>19</v>
      </c>
      <c r="E5" s="203" t="s">
        <v>20</v>
      </c>
      <c r="F5" s="203" t="s">
        <v>21</v>
      </c>
      <c r="G5" s="203" t="s">
        <v>22</v>
      </c>
    </row>
    <row r="6" spans="1:8" x14ac:dyDescent="0.25">
      <c r="A6" t="s">
        <v>23</v>
      </c>
      <c r="B6" t="s">
        <v>84</v>
      </c>
      <c r="C6" s="2">
        <v>1</v>
      </c>
      <c r="D6">
        <v>21946956</v>
      </c>
      <c r="E6">
        <v>9355198.5958999991</v>
      </c>
      <c r="F6" s="4">
        <v>0.42626406121650767</v>
      </c>
      <c r="G6">
        <v>16862</v>
      </c>
    </row>
    <row r="7" spans="1:8" x14ac:dyDescent="0.25">
      <c r="A7" t="str">
        <f t="shared" ref="A7:A28" si="0">+A6</f>
        <v>2017</v>
      </c>
      <c r="B7" t="str">
        <f t="shared" ref="B7:B28" si="1">+B6</f>
        <v>Diciembre</v>
      </c>
      <c r="C7" s="2">
        <v>2</v>
      </c>
      <c r="D7">
        <v>5317516</v>
      </c>
      <c r="E7">
        <v>2259373.0603</v>
      </c>
      <c r="F7" s="4">
        <v>0.42489257395746433</v>
      </c>
      <c r="G7">
        <v>4554</v>
      </c>
    </row>
    <row r="8" spans="1:8" x14ac:dyDescent="0.25">
      <c r="A8" t="str">
        <f t="shared" si="0"/>
        <v>2017</v>
      </c>
      <c r="B8" t="str">
        <f t="shared" si="1"/>
        <v>Diciembre</v>
      </c>
      <c r="C8" s="2">
        <v>4</v>
      </c>
      <c r="D8">
        <v>34415142</v>
      </c>
      <c r="E8">
        <v>15022613.936100001</v>
      </c>
      <c r="F8" s="4">
        <v>0.43651175218454713</v>
      </c>
      <c r="G8">
        <v>28264</v>
      </c>
    </row>
    <row r="9" spans="1:8" x14ac:dyDescent="0.25">
      <c r="A9" t="str">
        <f t="shared" si="0"/>
        <v>2017</v>
      </c>
      <c r="B9" t="str">
        <f t="shared" si="1"/>
        <v>Diciembre</v>
      </c>
      <c r="C9" s="2">
        <v>5</v>
      </c>
      <c r="D9">
        <v>37828514</v>
      </c>
      <c r="E9">
        <v>12893759.4099</v>
      </c>
      <c r="F9" s="4">
        <v>0.34084763175999988</v>
      </c>
      <c r="G9">
        <v>75093</v>
      </c>
    </row>
    <row r="10" spans="1:8" x14ac:dyDescent="0.25">
      <c r="A10" t="str">
        <f t="shared" si="0"/>
        <v>2017</v>
      </c>
      <c r="B10" t="str">
        <f t="shared" si="1"/>
        <v>Diciembre</v>
      </c>
      <c r="C10" s="2">
        <v>6</v>
      </c>
      <c r="D10">
        <v>55846502</v>
      </c>
      <c r="E10">
        <v>23547998.333299998</v>
      </c>
      <c r="F10" s="4">
        <v>0.42165574369008824</v>
      </c>
      <c r="G10">
        <v>100476</v>
      </c>
    </row>
    <row r="11" spans="1:8" x14ac:dyDescent="0.25">
      <c r="A11" t="str">
        <f t="shared" si="0"/>
        <v>2017</v>
      </c>
      <c r="B11" t="str">
        <f t="shared" si="1"/>
        <v>Diciembre</v>
      </c>
      <c r="C11" s="2">
        <v>7</v>
      </c>
      <c r="D11">
        <v>42221333.600000001</v>
      </c>
      <c r="E11">
        <v>16555929.6394</v>
      </c>
      <c r="F11" s="4">
        <v>0.3921223757697696</v>
      </c>
      <c r="G11">
        <v>38438</v>
      </c>
    </row>
    <row r="12" spans="1:8" x14ac:dyDescent="0.25">
      <c r="A12" t="str">
        <f t="shared" si="0"/>
        <v>2017</v>
      </c>
      <c r="B12" t="str">
        <f t="shared" si="1"/>
        <v>Diciembre</v>
      </c>
      <c r="C12" s="2">
        <v>8</v>
      </c>
      <c r="D12">
        <v>6450673</v>
      </c>
      <c r="E12">
        <v>2609045.6979999999</v>
      </c>
      <c r="F12" s="4">
        <v>0.40446100709181815</v>
      </c>
      <c r="G12">
        <v>7956</v>
      </c>
    </row>
    <row r="13" spans="1:8" x14ac:dyDescent="0.25">
      <c r="A13" t="str">
        <f t="shared" si="0"/>
        <v>2017</v>
      </c>
      <c r="B13" t="str">
        <f t="shared" si="1"/>
        <v>Diciembre</v>
      </c>
      <c r="C13" s="2">
        <v>11</v>
      </c>
      <c r="D13">
        <v>33599291</v>
      </c>
      <c r="E13">
        <v>14466058.7512</v>
      </c>
      <c r="F13" s="4">
        <v>0.43054654787804897</v>
      </c>
      <c r="G13">
        <v>40892</v>
      </c>
    </row>
    <row r="14" spans="1:8" x14ac:dyDescent="0.25">
      <c r="A14" t="str">
        <f t="shared" si="0"/>
        <v>2017</v>
      </c>
      <c r="B14" t="str">
        <f t="shared" si="1"/>
        <v>Diciembre</v>
      </c>
      <c r="C14" s="2">
        <v>12</v>
      </c>
      <c r="D14">
        <v>50994792</v>
      </c>
      <c r="E14">
        <v>20863380.199299999</v>
      </c>
      <c r="F14" s="4">
        <v>0.40912766541532319</v>
      </c>
      <c r="G14">
        <v>50364</v>
      </c>
    </row>
    <row r="15" spans="1:8" x14ac:dyDescent="0.25">
      <c r="A15" t="str">
        <f t="shared" si="0"/>
        <v>2017</v>
      </c>
      <c r="B15" t="str">
        <f t="shared" si="1"/>
        <v>Diciembre</v>
      </c>
      <c r="C15" s="2">
        <v>13</v>
      </c>
      <c r="D15">
        <v>52494646.68</v>
      </c>
      <c r="E15">
        <v>21768369.8572</v>
      </c>
      <c r="F15" s="4">
        <v>0.41467790020374701</v>
      </c>
      <c r="G15">
        <v>50637</v>
      </c>
    </row>
    <row r="16" spans="1:8" x14ac:dyDescent="0.25">
      <c r="A16" t="str">
        <f t="shared" si="0"/>
        <v>2017</v>
      </c>
      <c r="B16" t="str">
        <f t="shared" si="1"/>
        <v>Diciembre</v>
      </c>
      <c r="C16" s="2">
        <v>14</v>
      </c>
      <c r="D16">
        <v>55943278</v>
      </c>
      <c r="E16">
        <v>22567277.372900002</v>
      </c>
      <c r="F16" s="4">
        <v>0.40339569256023933</v>
      </c>
      <c r="G16">
        <v>42910</v>
      </c>
    </row>
    <row r="17" spans="1:7" x14ac:dyDescent="0.25">
      <c r="A17" t="str">
        <f t="shared" si="0"/>
        <v>2017</v>
      </c>
      <c r="B17" t="str">
        <f t="shared" si="1"/>
        <v>Diciembre</v>
      </c>
      <c r="C17" s="2">
        <v>15</v>
      </c>
      <c r="D17">
        <v>48235540</v>
      </c>
      <c r="E17">
        <v>20316350.002500001</v>
      </c>
      <c r="F17" s="4">
        <v>0.42119047495892031</v>
      </c>
      <c r="G17">
        <v>38890</v>
      </c>
    </row>
    <row r="18" spans="1:7" x14ac:dyDescent="0.25">
      <c r="A18" t="str">
        <f t="shared" si="0"/>
        <v>2017</v>
      </c>
      <c r="B18" t="str">
        <f t="shared" si="1"/>
        <v>Diciembre</v>
      </c>
      <c r="C18" s="2">
        <v>16</v>
      </c>
      <c r="D18">
        <v>1652354</v>
      </c>
      <c r="E18">
        <v>601111.19779999997</v>
      </c>
      <c r="F18" s="4">
        <v>0.36379080862817531</v>
      </c>
      <c r="G18">
        <v>2165</v>
      </c>
    </row>
    <row r="19" spans="1:7" x14ac:dyDescent="0.25">
      <c r="A19" t="str">
        <f t="shared" si="0"/>
        <v>2017</v>
      </c>
      <c r="B19" t="str">
        <f t="shared" si="1"/>
        <v>Diciembre</v>
      </c>
      <c r="C19" s="2">
        <v>18</v>
      </c>
      <c r="D19">
        <v>42853445</v>
      </c>
      <c r="E19">
        <v>17290862.965399999</v>
      </c>
      <c r="F19" s="4">
        <v>0.40348828350672855</v>
      </c>
      <c r="G19">
        <v>45283</v>
      </c>
    </row>
    <row r="20" spans="1:7" x14ac:dyDescent="0.25">
      <c r="A20" t="str">
        <f t="shared" si="0"/>
        <v>2017</v>
      </c>
      <c r="B20" t="str">
        <f t="shared" si="1"/>
        <v>Diciembre</v>
      </c>
      <c r="C20" s="2">
        <v>19</v>
      </c>
      <c r="D20">
        <v>43271942.68</v>
      </c>
      <c r="E20">
        <v>15688820.4252</v>
      </c>
      <c r="F20" s="4">
        <v>0.36256334829291748</v>
      </c>
      <c r="G20">
        <v>44420</v>
      </c>
    </row>
    <row r="21" spans="1:7" x14ac:dyDescent="0.25">
      <c r="A21" t="str">
        <f t="shared" si="0"/>
        <v>2017</v>
      </c>
      <c r="B21" t="str">
        <f t="shared" si="1"/>
        <v>Diciembre</v>
      </c>
      <c r="C21" s="2">
        <v>20</v>
      </c>
      <c r="D21">
        <v>43708061</v>
      </c>
      <c r="E21">
        <v>17831525.857700001</v>
      </c>
      <c r="F21" s="4">
        <v>0.40796881512771754</v>
      </c>
      <c r="G21">
        <v>47995</v>
      </c>
    </row>
    <row r="22" spans="1:7" x14ac:dyDescent="0.25">
      <c r="A22" t="str">
        <f t="shared" si="0"/>
        <v>2017</v>
      </c>
      <c r="B22" t="str">
        <f t="shared" si="1"/>
        <v>Diciembre</v>
      </c>
      <c r="C22" s="2">
        <v>21</v>
      </c>
      <c r="D22">
        <v>45138795</v>
      </c>
      <c r="E22">
        <v>19020401.191</v>
      </c>
      <c r="F22" s="4">
        <v>0.42137591823175607</v>
      </c>
      <c r="G22">
        <v>49010</v>
      </c>
    </row>
    <row r="23" spans="1:7" x14ac:dyDescent="0.25">
      <c r="A23" t="str">
        <f t="shared" si="0"/>
        <v>2017</v>
      </c>
      <c r="B23" t="str">
        <f t="shared" si="1"/>
        <v>Diciembre</v>
      </c>
      <c r="C23" s="2">
        <v>22</v>
      </c>
      <c r="D23">
        <v>39394022</v>
      </c>
      <c r="E23">
        <v>12544620.902899999</v>
      </c>
      <c r="F23" s="4">
        <v>0.31843970902234864</v>
      </c>
      <c r="G23">
        <v>38104</v>
      </c>
    </row>
    <row r="24" spans="1:7" x14ac:dyDescent="0.25">
      <c r="A24" t="str">
        <f t="shared" si="0"/>
        <v>2017</v>
      </c>
      <c r="B24" t="str">
        <f t="shared" si="1"/>
        <v>Diciembre</v>
      </c>
      <c r="C24" s="2">
        <v>23</v>
      </c>
      <c r="D24">
        <v>1629907</v>
      </c>
      <c r="E24">
        <v>563786.88740000001</v>
      </c>
      <c r="F24" s="4">
        <v>0.34590126148301714</v>
      </c>
      <c r="G24">
        <v>2191</v>
      </c>
    </row>
    <row r="25" spans="1:7" x14ac:dyDescent="0.25">
      <c r="A25" t="str">
        <f t="shared" si="0"/>
        <v>2017</v>
      </c>
      <c r="B25" t="str">
        <f t="shared" si="1"/>
        <v>Diciembre</v>
      </c>
      <c r="C25" s="2">
        <v>26</v>
      </c>
      <c r="D25">
        <v>34928377.5</v>
      </c>
      <c r="E25">
        <v>14303691.092399999</v>
      </c>
      <c r="F25" s="4">
        <v>0.40951490209930308</v>
      </c>
      <c r="G25">
        <v>41705</v>
      </c>
    </row>
    <row r="26" spans="1:7" x14ac:dyDescent="0.25">
      <c r="A26" t="str">
        <f t="shared" si="0"/>
        <v>2017</v>
      </c>
      <c r="B26" t="str">
        <f t="shared" si="1"/>
        <v>Diciembre</v>
      </c>
      <c r="C26" s="2">
        <v>27</v>
      </c>
      <c r="D26">
        <v>109852887.12</v>
      </c>
      <c r="E26">
        <v>42779108.751599997</v>
      </c>
      <c r="F26" s="4">
        <v>0.38942179739772687</v>
      </c>
      <c r="G26">
        <v>91696</v>
      </c>
    </row>
    <row r="27" spans="1:7" x14ac:dyDescent="0.25">
      <c r="A27" t="str">
        <f t="shared" si="0"/>
        <v>2017</v>
      </c>
      <c r="B27" t="str">
        <f t="shared" si="1"/>
        <v>Diciembre</v>
      </c>
      <c r="C27" s="2">
        <v>28</v>
      </c>
      <c r="D27">
        <v>44998185.219999999</v>
      </c>
      <c r="E27">
        <v>17010142.021400001</v>
      </c>
      <c r="F27" s="4">
        <v>0.37801840092519179</v>
      </c>
      <c r="G27">
        <v>48906</v>
      </c>
    </row>
    <row r="28" spans="1:7" x14ac:dyDescent="0.25">
      <c r="A28" t="str">
        <f t="shared" si="0"/>
        <v>2017</v>
      </c>
      <c r="B28" t="str">
        <f t="shared" si="1"/>
        <v>Diciembre</v>
      </c>
      <c r="C28" s="2">
        <v>29</v>
      </c>
      <c r="D28">
        <v>147587690.63999999</v>
      </c>
      <c r="E28">
        <v>44626956.423100002</v>
      </c>
      <c r="F28" s="4">
        <v>0.30237587043729353</v>
      </c>
      <c r="G28">
        <v>95032</v>
      </c>
    </row>
    <row r="29" spans="1:7" x14ac:dyDescent="0.25">
      <c r="A29" t="s">
        <v>26</v>
      </c>
      <c r="B29" t="s">
        <v>84</v>
      </c>
      <c r="C29" s="2">
        <v>1</v>
      </c>
      <c r="D29">
        <v>27588</v>
      </c>
      <c r="E29">
        <v>15166.8385</v>
      </c>
      <c r="F29" s="4">
        <v>0.54976216108452947</v>
      </c>
      <c r="G29">
        <v>12</v>
      </c>
    </row>
    <row r="30" spans="1:7" x14ac:dyDescent="0.25">
      <c r="A30" t="str">
        <f t="shared" ref="A30:A53" si="2">+A29</f>
        <v>2018</v>
      </c>
      <c r="B30" t="str">
        <f t="shared" ref="B30:B53" si="3">+B29</f>
        <v>Diciembre</v>
      </c>
      <c r="C30" s="2">
        <v>3</v>
      </c>
      <c r="D30">
        <v>25106935</v>
      </c>
      <c r="E30">
        <v>11843156.960100001</v>
      </c>
      <c r="F30" s="4">
        <v>0.47170859207227006</v>
      </c>
      <c r="G30">
        <v>34837</v>
      </c>
    </row>
    <row r="31" spans="1:7" x14ac:dyDescent="0.25">
      <c r="A31" t="str">
        <f t="shared" si="2"/>
        <v>2018</v>
      </c>
      <c r="B31" t="str">
        <f t="shared" si="3"/>
        <v>Diciembre</v>
      </c>
      <c r="C31" s="2">
        <v>4</v>
      </c>
      <c r="D31">
        <v>36927744</v>
      </c>
      <c r="E31">
        <v>16959816.355799999</v>
      </c>
      <c r="F31" s="4">
        <v>0.45927030786933531</v>
      </c>
      <c r="G31">
        <v>27209</v>
      </c>
    </row>
    <row r="32" spans="1:7" x14ac:dyDescent="0.25">
      <c r="A32" t="str">
        <f t="shared" si="2"/>
        <v>2018</v>
      </c>
      <c r="B32" t="str">
        <f t="shared" si="3"/>
        <v>Diciembre</v>
      </c>
      <c r="C32" s="2">
        <v>5</v>
      </c>
      <c r="D32">
        <v>50503600</v>
      </c>
      <c r="E32">
        <v>20721321.079999998</v>
      </c>
      <c r="F32" s="4">
        <v>0.41029394102598626</v>
      </c>
      <c r="G32">
        <v>52661</v>
      </c>
    </row>
    <row r="33" spans="1:7" x14ac:dyDescent="0.25">
      <c r="A33" t="str">
        <f t="shared" si="2"/>
        <v>2018</v>
      </c>
      <c r="B33" t="str">
        <f t="shared" si="3"/>
        <v>Diciembre</v>
      </c>
      <c r="C33" s="2">
        <v>6</v>
      </c>
      <c r="D33">
        <v>46399663</v>
      </c>
      <c r="E33">
        <v>21296639.300000001</v>
      </c>
      <c r="F33" s="4">
        <v>0.45898262881779983</v>
      </c>
      <c r="G33">
        <v>36538</v>
      </c>
    </row>
    <row r="34" spans="1:7" x14ac:dyDescent="0.25">
      <c r="A34" t="str">
        <f t="shared" si="2"/>
        <v>2018</v>
      </c>
      <c r="B34" t="str">
        <f t="shared" si="3"/>
        <v>Diciembre</v>
      </c>
      <c r="C34" s="2">
        <v>7</v>
      </c>
      <c r="D34">
        <v>40796864</v>
      </c>
      <c r="E34">
        <v>18303844.779599998</v>
      </c>
      <c r="F34" s="4">
        <v>0.44865813165443302</v>
      </c>
      <c r="G34">
        <v>44703</v>
      </c>
    </row>
    <row r="35" spans="1:7" x14ac:dyDescent="0.25">
      <c r="A35" t="str">
        <f t="shared" si="2"/>
        <v>2018</v>
      </c>
      <c r="B35" t="str">
        <f t="shared" si="3"/>
        <v>Diciembre</v>
      </c>
      <c r="C35" s="2">
        <v>8</v>
      </c>
      <c r="D35">
        <v>3866441</v>
      </c>
      <c r="E35">
        <v>1819261.8822999999</v>
      </c>
      <c r="F35" s="4">
        <v>0.47052622354770191</v>
      </c>
      <c r="G35">
        <v>970</v>
      </c>
    </row>
    <row r="36" spans="1:7" x14ac:dyDescent="0.25">
      <c r="A36" t="str">
        <f t="shared" si="2"/>
        <v>2018</v>
      </c>
      <c r="B36" t="str">
        <f t="shared" si="3"/>
        <v>Diciembre</v>
      </c>
      <c r="C36" s="2">
        <v>10</v>
      </c>
      <c r="D36">
        <v>31843012.039999999</v>
      </c>
      <c r="E36">
        <v>14904538.256899999</v>
      </c>
      <c r="F36" s="4">
        <v>0.4680630789002459</v>
      </c>
      <c r="G36">
        <v>27242</v>
      </c>
    </row>
    <row r="37" spans="1:7" x14ac:dyDescent="0.25">
      <c r="A37" t="str">
        <f t="shared" si="2"/>
        <v>2018</v>
      </c>
      <c r="B37" t="str">
        <f t="shared" si="3"/>
        <v>Diciembre</v>
      </c>
      <c r="C37" s="2">
        <v>11</v>
      </c>
      <c r="D37">
        <v>58929179</v>
      </c>
      <c r="E37">
        <v>26245694.266600002</v>
      </c>
      <c r="F37" s="4">
        <v>0.44537688649285273</v>
      </c>
      <c r="G37">
        <v>39861</v>
      </c>
    </row>
    <row r="38" spans="1:7" x14ac:dyDescent="0.25">
      <c r="A38" t="str">
        <f t="shared" si="2"/>
        <v>2018</v>
      </c>
      <c r="B38" t="str">
        <f t="shared" si="3"/>
        <v>Diciembre</v>
      </c>
      <c r="C38" s="2">
        <v>12</v>
      </c>
      <c r="D38">
        <v>49558528</v>
      </c>
      <c r="E38">
        <v>22686711.360300001</v>
      </c>
      <c r="F38" s="4">
        <v>0.45777613411560569</v>
      </c>
      <c r="G38">
        <v>56777</v>
      </c>
    </row>
    <row r="39" spans="1:7" x14ac:dyDescent="0.25">
      <c r="A39" t="str">
        <f t="shared" si="2"/>
        <v>2018</v>
      </c>
      <c r="B39" t="str">
        <f t="shared" si="3"/>
        <v>Diciembre</v>
      </c>
      <c r="C39" s="2">
        <v>13</v>
      </c>
      <c r="D39">
        <v>57105781</v>
      </c>
      <c r="E39">
        <v>24527866.709399998</v>
      </c>
      <c r="F39" s="4">
        <v>0.42951635158268825</v>
      </c>
      <c r="G39">
        <v>57218</v>
      </c>
    </row>
    <row r="40" spans="1:7" x14ac:dyDescent="0.25">
      <c r="A40" t="str">
        <f t="shared" si="2"/>
        <v>2018</v>
      </c>
      <c r="B40" t="str">
        <f t="shared" si="3"/>
        <v>Diciembre</v>
      </c>
      <c r="C40" s="2">
        <v>14</v>
      </c>
      <c r="D40">
        <v>38378568</v>
      </c>
      <c r="E40">
        <v>17717054.314800002</v>
      </c>
      <c r="F40" s="4">
        <v>0.46163927520172199</v>
      </c>
      <c r="G40">
        <v>25087</v>
      </c>
    </row>
    <row r="41" spans="1:7" x14ac:dyDescent="0.25">
      <c r="A41" t="str">
        <f t="shared" si="2"/>
        <v>2018</v>
      </c>
      <c r="B41" t="str">
        <f t="shared" si="3"/>
        <v>Diciembre</v>
      </c>
      <c r="C41" s="2">
        <v>15</v>
      </c>
      <c r="D41">
        <v>7809616</v>
      </c>
      <c r="E41">
        <v>2406200.4794999999</v>
      </c>
      <c r="F41" s="4">
        <v>0.30810739983886531</v>
      </c>
      <c r="G41">
        <v>2552</v>
      </c>
    </row>
    <row r="42" spans="1:7" x14ac:dyDescent="0.25">
      <c r="A42" t="str">
        <f t="shared" si="2"/>
        <v>2018</v>
      </c>
      <c r="B42" t="str">
        <f t="shared" si="3"/>
        <v>Diciembre</v>
      </c>
      <c r="C42" s="2">
        <v>17</v>
      </c>
      <c r="D42">
        <v>41464035.450000003</v>
      </c>
      <c r="E42">
        <v>18973966.1184</v>
      </c>
      <c r="F42" s="4">
        <v>0.4576005666713272</v>
      </c>
      <c r="G42">
        <v>29962</v>
      </c>
    </row>
    <row r="43" spans="1:7" x14ac:dyDescent="0.25">
      <c r="A43" t="str">
        <f t="shared" si="2"/>
        <v>2018</v>
      </c>
      <c r="B43" t="str">
        <f t="shared" si="3"/>
        <v>Diciembre</v>
      </c>
      <c r="C43" s="2">
        <v>18</v>
      </c>
      <c r="D43">
        <v>43330487</v>
      </c>
      <c r="E43">
        <v>19947037.2929</v>
      </c>
      <c r="F43" s="4">
        <v>0.46034648290244234</v>
      </c>
      <c r="G43">
        <v>38688</v>
      </c>
    </row>
    <row r="44" spans="1:7" x14ac:dyDescent="0.25">
      <c r="A44" t="str">
        <f t="shared" si="2"/>
        <v>2018</v>
      </c>
      <c r="B44" t="str">
        <f t="shared" si="3"/>
        <v>Diciembre</v>
      </c>
      <c r="C44" s="2">
        <v>19</v>
      </c>
      <c r="D44">
        <v>65831152</v>
      </c>
      <c r="E44">
        <v>26952100.375300001</v>
      </c>
      <c r="F44" s="4">
        <v>0.40941255859080211</v>
      </c>
      <c r="G44">
        <v>60138</v>
      </c>
    </row>
    <row r="45" spans="1:7" x14ac:dyDescent="0.25">
      <c r="A45" t="str">
        <f t="shared" si="2"/>
        <v>2018</v>
      </c>
      <c r="B45" t="str">
        <f t="shared" si="3"/>
        <v>Diciembre</v>
      </c>
      <c r="C45" s="2">
        <v>20</v>
      </c>
      <c r="D45">
        <v>41603696.579999998</v>
      </c>
      <c r="E45">
        <v>17204209.044399999</v>
      </c>
      <c r="F45" s="4">
        <v>0.41352597145587583</v>
      </c>
      <c r="G45">
        <v>30376</v>
      </c>
    </row>
    <row r="46" spans="1:7" x14ac:dyDescent="0.25">
      <c r="A46" t="str">
        <f t="shared" si="2"/>
        <v>2018</v>
      </c>
      <c r="B46" t="str">
        <f t="shared" si="3"/>
        <v>Diciembre</v>
      </c>
      <c r="C46" s="2">
        <v>21</v>
      </c>
      <c r="D46">
        <v>37530020.409999996</v>
      </c>
      <c r="E46">
        <v>16852256.7038</v>
      </c>
      <c r="F46" s="4">
        <v>0.44903404047469314</v>
      </c>
      <c r="G46">
        <v>42344</v>
      </c>
    </row>
    <row r="47" spans="1:7" x14ac:dyDescent="0.25">
      <c r="A47" t="str">
        <f t="shared" si="2"/>
        <v>2018</v>
      </c>
      <c r="B47" t="str">
        <f t="shared" si="3"/>
        <v>Diciembre</v>
      </c>
      <c r="C47" s="2">
        <v>22</v>
      </c>
      <c r="D47">
        <v>3506383</v>
      </c>
      <c r="E47">
        <v>1375752.6237000001</v>
      </c>
      <c r="F47" s="4">
        <v>0.39235663180548158</v>
      </c>
      <c r="G47">
        <v>2518</v>
      </c>
    </row>
    <row r="48" spans="1:7" x14ac:dyDescent="0.25">
      <c r="A48" t="str">
        <f t="shared" si="2"/>
        <v>2018</v>
      </c>
      <c r="B48" t="str">
        <f t="shared" si="3"/>
        <v>Diciembre</v>
      </c>
      <c r="C48" s="2">
        <v>24</v>
      </c>
      <c r="D48">
        <v>19548765.960000001</v>
      </c>
      <c r="E48">
        <v>9354631.0872000009</v>
      </c>
      <c r="F48" s="4">
        <v>0.47852795958277461</v>
      </c>
      <c r="G48">
        <v>12616</v>
      </c>
    </row>
    <row r="49" spans="1:9" x14ac:dyDescent="0.25">
      <c r="A49" t="str">
        <f t="shared" si="2"/>
        <v>2018</v>
      </c>
      <c r="B49" t="str">
        <f t="shared" si="3"/>
        <v>Diciembre</v>
      </c>
      <c r="C49" s="2">
        <v>26</v>
      </c>
      <c r="D49">
        <v>27078433</v>
      </c>
      <c r="E49">
        <v>11963932.919500001</v>
      </c>
      <c r="F49" s="4">
        <v>0.44182515729399852</v>
      </c>
      <c r="G49">
        <v>22952</v>
      </c>
    </row>
    <row r="50" spans="1:9" x14ac:dyDescent="0.25">
      <c r="A50" t="str">
        <f t="shared" si="2"/>
        <v>2018</v>
      </c>
      <c r="B50" t="str">
        <f t="shared" si="3"/>
        <v>Diciembre</v>
      </c>
      <c r="C50" s="2">
        <v>27</v>
      </c>
      <c r="D50">
        <v>57761668</v>
      </c>
      <c r="E50">
        <v>26061909.199499998</v>
      </c>
      <c r="F50" s="4">
        <v>0.4511973095981231</v>
      </c>
      <c r="G50">
        <v>67080</v>
      </c>
    </row>
    <row r="51" spans="1:9" x14ac:dyDescent="0.25">
      <c r="A51" t="str">
        <f t="shared" si="2"/>
        <v>2018</v>
      </c>
      <c r="B51" t="str">
        <f t="shared" si="3"/>
        <v>Diciembre</v>
      </c>
      <c r="C51" s="2">
        <v>28</v>
      </c>
      <c r="D51">
        <v>59185521.289999999</v>
      </c>
      <c r="E51">
        <v>24079332.235599998</v>
      </c>
      <c r="F51" s="4">
        <v>0.40684498017031828</v>
      </c>
      <c r="G51">
        <v>35681</v>
      </c>
    </row>
    <row r="52" spans="1:9" x14ac:dyDescent="0.25">
      <c r="A52" t="str">
        <f t="shared" si="2"/>
        <v>2018</v>
      </c>
      <c r="B52" t="str">
        <f t="shared" si="3"/>
        <v>Diciembre</v>
      </c>
      <c r="C52" s="2">
        <v>29</v>
      </c>
      <c r="D52">
        <v>2506310</v>
      </c>
      <c r="E52">
        <v>1077231.7010999999</v>
      </c>
      <c r="F52" s="4">
        <v>0.42980784543811418</v>
      </c>
      <c r="G52">
        <v>2967</v>
      </c>
    </row>
    <row r="53" spans="1:9" x14ac:dyDescent="0.25">
      <c r="A53" t="str">
        <f t="shared" si="2"/>
        <v>2018</v>
      </c>
      <c r="B53" t="str">
        <f t="shared" si="3"/>
        <v>Diciembre</v>
      </c>
      <c r="C53" s="2">
        <v>31</v>
      </c>
      <c r="D53">
        <v>50794663</v>
      </c>
      <c r="E53">
        <v>17226963.101599999</v>
      </c>
      <c r="F53" s="4">
        <v>0.33914907756352275</v>
      </c>
      <c r="G53">
        <v>34544</v>
      </c>
    </row>
    <row r="57" spans="1:9" x14ac:dyDescent="0.25">
      <c r="B57" t="s">
        <v>85</v>
      </c>
      <c r="G57" t="s">
        <v>86</v>
      </c>
    </row>
    <row r="58" spans="1:9" x14ac:dyDescent="0.25">
      <c r="A58" s="5" t="s">
        <v>74</v>
      </c>
      <c r="B58" s="5" t="s">
        <v>28</v>
      </c>
      <c r="F58" s="5" t="s">
        <v>30</v>
      </c>
      <c r="G58" s="5" t="s">
        <v>28</v>
      </c>
    </row>
    <row r="59" spans="1:9" x14ac:dyDescent="0.25">
      <c r="A59" s="5" t="s">
        <v>31</v>
      </c>
      <c r="B59" t="s">
        <v>23</v>
      </c>
      <c r="C59" t="s">
        <v>26</v>
      </c>
      <c r="D59" t="s">
        <v>29</v>
      </c>
      <c r="F59" s="5" t="s">
        <v>31</v>
      </c>
      <c r="G59" t="s">
        <v>23</v>
      </c>
      <c r="H59" t="s">
        <v>26</v>
      </c>
      <c r="I59" t="s">
        <v>29</v>
      </c>
    </row>
    <row r="60" spans="1:9" x14ac:dyDescent="0.25">
      <c r="A60" s="6">
        <v>1</v>
      </c>
      <c r="B60" s="2">
        <v>9355198.5958999991</v>
      </c>
      <c r="C60" s="2">
        <v>15166.8385</v>
      </c>
      <c r="D60" s="2">
        <v>9370365.4343999997</v>
      </c>
      <c r="F60" s="6">
        <v>1</v>
      </c>
      <c r="G60" s="7">
        <v>21946956</v>
      </c>
      <c r="H60" s="7">
        <v>27588</v>
      </c>
      <c r="I60" s="7">
        <v>21974544</v>
      </c>
    </row>
    <row r="61" spans="1:9" x14ac:dyDescent="0.25">
      <c r="A61" s="6">
        <v>2</v>
      </c>
      <c r="B61" s="2">
        <v>2259373.0603</v>
      </c>
      <c r="C61" s="2"/>
      <c r="D61" s="2">
        <v>2259373.0603</v>
      </c>
      <c r="F61" s="6">
        <v>2</v>
      </c>
      <c r="G61" s="7">
        <v>5317516</v>
      </c>
      <c r="H61" s="7"/>
      <c r="I61" s="7">
        <v>5317516</v>
      </c>
    </row>
    <row r="62" spans="1:9" x14ac:dyDescent="0.25">
      <c r="A62" s="6">
        <v>3</v>
      </c>
      <c r="B62" s="2"/>
      <c r="C62" s="2">
        <v>11843156.960100001</v>
      </c>
      <c r="D62" s="2">
        <v>11843156.960100001</v>
      </c>
      <c r="F62" s="6">
        <v>3</v>
      </c>
      <c r="G62" s="7"/>
      <c r="H62" s="7">
        <v>25106935</v>
      </c>
      <c r="I62" s="7">
        <v>25106935</v>
      </c>
    </row>
    <row r="63" spans="1:9" x14ac:dyDescent="0.25">
      <c r="A63" s="6">
        <v>4</v>
      </c>
      <c r="B63" s="2">
        <v>15022613.936100001</v>
      </c>
      <c r="C63" s="2">
        <v>16959816.355799999</v>
      </c>
      <c r="D63" s="2">
        <v>31982430.291900001</v>
      </c>
      <c r="F63" s="6">
        <v>4</v>
      </c>
      <c r="G63" s="7">
        <v>34415142</v>
      </c>
      <c r="H63" s="7">
        <v>36927744</v>
      </c>
      <c r="I63" s="7">
        <v>71342886</v>
      </c>
    </row>
    <row r="64" spans="1:9" x14ac:dyDescent="0.25">
      <c r="A64" s="6">
        <v>5</v>
      </c>
      <c r="B64" s="2">
        <v>12893759.4099</v>
      </c>
      <c r="C64" s="2">
        <v>20721321.079999998</v>
      </c>
      <c r="D64" s="2">
        <v>33615080.4899</v>
      </c>
      <c r="F64" s="6">
        <v>5</v>
      </c>
      <c r="G64" s="7">
        <v>37828514</v>
      </c>
      <c r="H64" s="7">
        <v>50503600</v>
      </c>
      <c r="I64" s="7">
        <v>88332114</v>
      </c>
    </row>
    <row r="65" spans="1:9" x14ac:dyDescent="0.25">
      <c r="A65" s="6">
        <v>6</v>
      </c>
      <c r="B65" s="2">
        <v>23547998.333299998</v>
      </c>
      <c r="C65" s="2">
        <v>21296639.300000001</v>
      </c>
      <c r="D65" s="2">
        <v>44844637.633299999</v>
      </c>
      <c r="F65" s="6">
        <v>6</v>
      </c>
      <c r="G65" s="7">
        <v>55846502</v>
      </c>
      <c r="H65" s="7">
        <v>46399663</v>
      </c>
      <c r="I65" s="7">
        <v>102246165</v>
      </c>
    </row>
    <row r="66" spans="1:9" x14ac:dyDescent="0.25">
      <c r="A66" s="6">
        <v>7</v>
      </c>
      <c r="B66" s="2">
        <v>16555929.6394</v>
      </c>
      <c r="C66" s="2">
        <v>18303844.779599998</v>
      </c>
      <c r="D66" s="2">
        <v>34859774.419</v>
      </c>
      <c r="F66" s="6">
        <v>7</v>
      </c>
      <c r="G66" s="7">
        <v>42221333.600000001</v>
      </c>
      <c r="H66" s="7">
        <v>40796864</v>
      </c>
      <c r="I66" s="7">
        <v>83018197.599999994</v>
      </c>
    </row>
    <row r="67" spans="1:9" x14ac:dyDescent="0.25">
      <c r="A67" s="6">
        <v>8</v>
      </c>
      <c r="B67" s="2">
        <v>2609045.6979999999</v>
      </c>
      <c r="C67" s="2">
        <v>1819261.8822999999</v>
      </c>
      <c r="D67" s="2">
        <v>4428307.5802999996</v>
      </c>
      <c r="F67" s="6">
        <v>8</v>
      </c>
      <c r="G67" s="7">
        <v>6450673</v>
      </c>
      <c r="H67" s="7">
        <v>3866441</v>
      </c>
      <c r="I67" s="7">
        <v>10317114</v>
      </c>
    </row>
    <row r="68" spans="1:9" x14ac:dyDescent="0.25">
      <c r="A68" s="6">
        <v>10</v>
      </c>
      <c r="B68" s="2"/>
      <c r="C68" s="2">
        <v>14904538.256899999</v>
      </c>
      <c r="D68" s="2">
        <v>14904538.256899999</v>
      </c>
      <c r="F68" s="6">
        <v>10</v>
      </c>
      <c r="G68" s="7"/>
      <c r="H68" s="7">
        <v>31843012.039999999</v>
      </c>
      <c r="I68" s="7">
        <v>31843012.039999999</v>
      </c>
    </row>
    <row r="69" spans="1:9" x14ac:dyDescent="0.25">
      <c r="A69" s="6">
        <v>11</v>
      </c>
      <c r="B69" s="2">
        <v>14466058.7512</v>
      </c>
      <c r="C69" s="2">
        <v>26245694.266600002</v>
      </c>
      <c r="D69" s="2">
        <v>40711753.017800003</v>
      </c>
      <c r="F69" s="6">
        <v>11</v>
      </c>
      <c r="G69" s="7">
        <v>33599291</v>
      </c>
      <c r="H69" s="7">
        <v>58929179</v>
      </c>
      <c r="I69" s="7">
        <v>92528470</v>
      </c>
    </row>
    <row r="70" spans="1:9" x14ac:dyDescent="0.25">
      <c r="A70" s="6">
        <v>12</v>
      </c>
      <c r="B70" s="2">
        <v>20863380.199299999</v>
      </c>
      <c r="C70" s="2">
        <v>22686711.360300001</v>
      </c>
      <c r="D70" s="2">
        <v>43550091.559599996</v>
      </c>
      <c r="F70" s="6">
        <v>12</v>
      </c>
      <c r="G70" s="7">
        <v>50994792</v>
      </c>
      <c r="H70" s="7">
        <v>49558528</v>
      </c>
      <c r="I70" s="7">
        <v>100553320</v>
      </c>
    </row>
    <row r="71" spans="1:9" x14ac:dyDescent="0.25">
      <c r="A71" s="6">
        <v>13</v>
      </c>
      <c r="B71" s="2">
        <v>21768369.8572</v>
      </c>
      <c r="C71" s="2">
        <v>24527866.709399998</v>
      </c>
      <c r="D71" s="2">
        <v>46296236.566599995</v>
      </c>
      <c r="F71" s="6">
        <v>13</v>
      </c>
      <c r="G71" s="7">
        <v>52494646.68</v>
      </c>
      <c r="H71" s="7">
        <v>57105781</v>
      </c>
      <c r="I71" s="7">
        <v>109600427.68000001</v>
      </c>
    </row>
    <row r="72" spans="1:9" x14ac:dyDescent="0.25">
      <c r="A72" s="6">
        <v>14</v>
      </c>
      <c r="B72" s="2">
        <v>22567277.372900002</v>
      </c>
      <c r="C72" s="2">
        <v>17717054.314800002</v>
      </c>
      <c r="D72" s="2">
        <v>40284331.687700003</v>
      </c>
      <c r="F72" s="6">
        <v>14</v>
      </c>
      <c r="G72" s="7">
        <v>55943278</v>
      </c>
      <c r="H72" s="7">
        <v>38378568</v>
      </c>
      <c r="I72" s="7">
        <v>94321846</v>
      </c>
    </row>
    <row r="73" spans="1:9" x14ac:dyDescent="0.25">
      <c r="A73" s="6">
        <v>15</v>
      </c>
      <c r="B73" s="2">
        <v>20316350.002500001</v>
      </c>
      <c r="C73" s="2">
        <v>2406200.4794999999</v>
      </c>
      <c r="D73" s="2">
        <v>22722550.482000001</v>
      </c>
      <c r="F73" s="6">
        <v>15</v>
      </c>
      <c r="G73" s="7">
        <v>48235540</v>
      </c>
      <c r="H73" s="7">
        <v>7809616</v>
      </c>
      <c r="I73" s="7">
        <v>56045156</v>
      </c>
    </row>
    <row r="74" spans="1:9" x14ac:dyDescent="0.25">
      <c r="A74" s="6">
        <v>16</v>
      </c>
      <c r="B74" s="2">
        <v>601111.19779999997</v>
      </c>
      <c r="C74" s="2"/>
      <c r="D74" s="2">
        <v>601111.19779999997</v>
      </c>
      <c r="F74" s="6">
        <v>16</v>
      </c>
      <c r="G74" s="7">
        <v>1652354</v>
      </c>
      <c r="H74" s="7"/>
      <c r="I74" s="7">
        <v>1652354</v>
      </c>
    </row>
    <row r="75" spans="1:9" x14ac:dyDescent="0.25">
      <c r="A75" s="6">
        <v>17</v>
      </c>
      <c r="B75" s="2"/>
      <c r="C75" s="2">
        <v>18973966.1184</v>
      </c>
      <c r="D75" s="2">
        <v>18973966.1184</v>
      </c>
      <c r="F75" s="6">
        <v>17</v>
      </c>
      <c r="G75" s="7"/>
      <c r="H75" s="7">
        <v>41464035.450000003</v>
      </c>
      <c r="I75" s="7">
        <v>41464035.450000003</v>
      </c>
    </row>
    <row r="76" spans="1:9" x14ac:dyDescent="0.25">
      <c r="A76" s="6">
        <v>18</v>
      </c>
      <c r="B76" s="2">
        <v>17290862.965399999</v>
      </c>
      <c r="C76" s="2">
        <v>19947037.2929</v>
      </c>
      <c r="D76" s="2">
        <v>37237900.258299999</v>
      </c>
      <c r="F76" s="6">
        <v>18</v>
      </c>
      <c r="G76" s="7">
        <v>42853445</v>
      </c>
      <c r="H76" s="7">
        <v>43330487</v>
      </c>
      <c r="I76" s="7">
        <v>86183932</v>
      </c>
    </row>
    <row r="77" spans="1:9" x14ac:dyDescent="0.25">
      <c r="A77" s="6">
        <v>19</v>
      </c>
      <c r="B77" s="2">
        <v>15688820.4252</v>
      </c>
      <c r="C77" s="2">
        <v>26952100.375300001</v>
      </c>
      <c r="D77" s="2">
        <v>42640920.800500005</v>
      </c>
      <c r="F77" s="6">
        <v>19</v>
      </c>
      <c r="G77" s="7">
        <v>43271942.68</v>
      </c>
      <c r="H77" s="7">
        <v>65831152</v>
      </c>
      <c r="I77" s="7">
        <v>109103094.68000001</v>
      </c>
    </row>
    <row r="78" spans="1:9" x14ac:dyDescent="0.25">
      <c r="A78" s="6">
        <v>20</v>
      </c>
      <c r="B78" s="2">
        <v>17831525.857700001</v>
      </c>
      <c r="C78" s="2">
        <v>17204209.044399999</v>
      </c>
      <c r="D78" s="2">
        <v>35035734.902099997</v>
      </c>
      <c r="F78" s="6">
        <v>20</v>
      </c>
      <c r="G78" s="7">
        <v>43708061</v>
      </c>
      <c r="H78" s="7">
        <v>41603696.579999998</v>
      </c>
      <c r="I78" s="7">
        <v>85311757.579999998</v>
      </c>
    </row>
    <row r="79" spans="1:9" x14ac:dyDescent="0.25">
      <c r="A79" s="6">
        <v>21</v>
      </c>
      <c r="B79" s="2">
        <v>19020401.191</v>
      </c>
      <c r="C79" s="2">
        <v>16852256.7038</v>
      </c>
      <c r="D79" s="2">
        <v>35872657.8948</v>
      </c>
      <c r="F79" s="6">
        <v>21</v>
      </c>
      <c r="G79" s="7">
        <v>45138795</v>
      </c>
      <c r="H79" s="7">
        <v>37530020.409999996</v>
      </c>
      <c r="I79" s="7">
        <v>82668815.409999996</v>
      </c>
    </row>
    <row r="80" spans="1:9" x14ac:dyDescent="0.25">
      <c r="A80" s="6">
        <v>22</v>
      </c>
      <c r="B80" s="2">
        <v>12544620.902899999</v>
      </c>
      <c r="C80" s="2">
        <v>1375752.6237000001</v>
      </c>
      <c r="D80" s="2">
        <v>13920373.5266</v>
      </c>
      <c r="F80" s="6">
        <v>22</v>
      </c>
      <c r="G80" s="7">
        <v>39394022</v>
      </c>
      <c r="H80" s="7">
        <v>3506383</v>
      </c>
      <c r="I80" s="7">
        <v>42900405</v>
      </c>
    </row>
    <row r="81" spans="1:9" x14ac:dyDescent="0.25">
      <c r="A81" s="6">
        <v>23</v>
      </c>
      <c r="B81" s="2">
        <v>563786.88740000001</v>
      </c>
      <c r="C81" s="2"/>
      <c r="D81" s="2">
        <v>563786.88740000001</v>
      </c>
      <c r="F81" s="6">
        <v>23</v>
      </c>
      <c r="G81" s="7">
        <v>1629907</v>
      </c>
      <c r="H81" s="7"/>
      <c r="I81" s="7">
        <v>1629907</v>
      </c>
    </row>
    <row r="82" spans="1:9" x14ac:dyDescent="0.25">
      <c r="A82" s="6">
        <v>24</v>
      </c>
      <c r="B82" s="2"/>
      <c r="C82" s="2">
        <v>9354631.0872000009</v>
      </c>
      <c r="D82" s="2">
        <v>9354631.0872000009</v>
      </c>
      <c r="F82" s="6">
        <v>24</v>
      </c>
      <c r="G82" s="7"/>
      <c r="H82" s="7">
        <v>19548765.960000001</v>
      </c>
      <c r="I82" s="7">
        <v>19548765.960000001</v>
      </c>
    </row>
    <row r="83" spans="1:9" x14ac:dyDescent="0.25">
      <c r="A83" s="6">
        <v>26</v>
      </c>
      <c r="B83" s="2">
        <v>14303691.092399999</v>
      </c>
      <c r="C83" s="2">
        <v>11963932.919500001</v>
      </c>
      <c r="D83" s="2">
        <v>26267624.0119</v>
      </c>
      <c r="F83" s="6">
        <v>26</v>
      </c>
      <c r="G83" s="7">
        <v>34928377.5</v>
      </c>
      <c r="H83" s="7">
        <v>27078433</v>
      </c>
      <c r="I83" s="7">
        <v>62006810.5</v>
      </c>
    </row>
    <row r="84" spans="1:9" x14ac:dyDescent="0.25">
      <c r="A84" s="6">
        <v>27</v>
      </c>
      <c r="B84" s="2">
        <v>42779108.751599997</v>
      </c>
      <c r="C84" s="2">
        <v>26061909.199499998</v>
      </c>
      <c r="D84" s="2">
        <v>68841017.951099992</v>
      </c>
      <c r="F84" s="6">
        <v>27</v>
      </c>
      <c r="G84" s="7">
        <v>109852887.12</v>
      </c>
      <c r="H84" s="7">
        <v>57761668</v>
      </c>
      <c r="I84" s="7">
        <v>167614555.12</v>
      </c>
    </row>
    <row r="85" spans="1:9" x14ac:dyDescent="0.25">
      <c r="A85" s="6">
        <v>28</v>
      </c>
      <c r="B85" s="2">
        <v>17010142.021400001</v>
      </c>
      <c r="C85" s="2">
        <v>24079332.235599998</v>
      </c>
      <c r="D85" s="2">
        <v>41089474.256999999</v>
      </c>
      <c r="F85" s="6">
        <v>28</v>
      </c>
      <c r="G85" s="7">
        <v>44998185.219999999</v>
      </c>
      <c r="H85" s="7">
        <v>59185521.289999999</v>
      </c>
      <c r="I85" s="7">
        <v>104183706.50999999</v>
      </c>
    </row>
    <row r="86" spans="1:9" x14ac:dyDescent="0.25">
      <c r="A86" s="6">
        <v>29</v>
      </c>
      <c r="B86" s="2">
        <v>44626956.423100002</v>
      </c>
      <c r="C86" s="2">
        <v>1077231.7010999999</v>
      </c>
      <c r="D86" s="2">
        <v>45704188.124200001</v>
      </c>
      <c r="F86" s="6">
        <v>29</v>
      </c>
      <c r="G86" s="7">
        <v>147587690.63999999</v>
      </c>
      <c r="H86" s="7">
        <v>2506310</v>
      </c>
      <c r="I86" s="7">
        <v>150094000.63999999</v>
      </c>
    </row>
    <row r="87" spans="1:9" x14ac:dyDescent="0.25">
      <c r="A87" s="6">
        <v>31</v>
      </c>
      <c r="B87" s="2"/>
      <c r="C87" s="2">
        <v>17226963.101599999</v>
      </c>
      <c r="D87" s="2">
        <v>17226963.101599999</v>
      </c>
      <c r="F87" s="6">
        <v>31</v>
      </c>
      <c r="G87" s="7"/>
      <c r="H87" s="7">
        <v>50794663</v>
      </c>
      <c r="I87" s="7">
        <v>50794663</v>
      </c>
    </row>
    <row r="88" spans="1:9" x14ac:dyDescent="0.25">
      <c r="A88" s="6" t="s">
        <v>29</v>
      </c>
      <c r="B88" s="2">
        <v>384486382.57190001</v>
      </c>
      <c r="C88" s="2">
        <v>390516594.98680001</v>
      </c>
      <c r="D88" s="2">
        <v>775002977.55869997</v>
      </c>
      <c r="F88" s="6" t="s">
        <v>29</v>
      </c>
      <c r="G88" s="7">
        <v>1000309851.4400001</v>
      </c>
      <c r="H88" s="7">
        <v>897394654.73000002</v>
      </c>
      <c r="I88" s="7">
        <v>1897704506.1700006</v>
      </c>
    </row>
    <row r="91" spans="1:9" x14ac:dyDescent="0.25">
      <c r="A91" s="178" t="s">
        <v>0</v>
      </c>
      <c r="B91" s="178"/>
      <c r="C91" s="178"/>
      <c r="D91" s="178"/>
      <c r="E91" s="178"/>
      <c r="F91" s="178"/>
      <c r="G91" s="178"/>
      <c r="H91" s="179"/>
    </row>
    <row r="92" spans="1:9" x14ac:dyDescent="0.25">
      <c r="A92" s="178" t="s">
        <v>1</v>
      </c>
      <c r="B92" s="178" t="s">
        <v>2</v>
      </c>
      <c r="C92" s="178" t="s">
        <v>3</v>
      </c>
      <c r="D92" s="178" t="s">
        <v>18</v>
      </c>
      <c r="E92" s="178" t="s">
        <v>4</v>
      </c>
      <c r="F92" s="178" t="s">
        <v>5</v>
      </c>
      <c r="G92" s="178" t="s">
        <v>6</v>
      </c>
      <c r="H92" s="178" t="s">
        <v>7</v>
      </c>
    </row>
    <row r="93" spans="1:9" x14ac:dyDescent="0.25">
      <c r="A93" s="150" t="s">
        <v>8</v>
      </c>
      <c r="B93" s="150" t="s">
        <v>9</v>
      </c>
      <c r="C93" s="150" t="s">
        <v>10</v>
      </c>
      <c r="D93" s="150" t="s">
        <v>53</v>
      </c>
      <c r="E93" s="150" t="s">
        <v>11</v>
      </c>
      <c r="F93" s="150" t="s">
        <v>12</v>
      </c>
      <c r="G93" s="150" t="s">
        <v>13</v>
      </c>
      <c r="H93" s="150" t="s">
        <v>14</v>
      </c>
    </row>
    <row r="94" spans="1:9" x14ac:dyDescent="0.25">
      <c r="A94" s="164"/>
      <c r="B94" s="164"/>
      <c r="C94" s="164"/>
      <c r="D94" s="179"/>
      <c r="E94" s="179"/>
      <c r="F94" s="179"/>
      <c r="G94" s="179"/>
      <c r="H94" s="179"/>
    </row>
    <row r="95" spans="1:9" x14ac:dyDescent="0.25">
      <c r="A95" s="178" t="s">
        <v>15</v>
      </c>
      <c r="B95" s="178" t="s">
        <v>16</v>
      </c>
      <c r="C95" s="178" t="s">
        <v>17</v>
      </c>
      <c r="D95" s="165" t="s">
        <v>19</v>
      </c>
      <c r="E95" s="165" t="s">
        <v>20</v>
      </c>
      <c r="F95" s="165" t="s">
        <v>21</v>
      </c>
      <c r="G95" s="165" t="s">
        <v>22</v>
      </c>
      <c r="H95" s="179"/>
    </row>
    <row r="96" spans="1:9" x14ac:dyDescent="0.25">
      <c r="A96" s="157">
        <v>2019</v>
      </c>
      <c r="B96" s="157" t="s">
        <v>79</v>
      </c>
      <c r="C96" s="158">
        <v>2</v>
      </c>
      <c r="D96" s="152">
        <v>17910126</v>
      </c>
      <c r="E96" s="152">
        <v>8287509.0690000001</v>
      </c>
      <c r="F96" s="153">
        <v>0.46272756925328162</v>
      </c>
      <c r="G96" s="154">
        <v>13945</v>
      </c>
      <c r="H96" s="179"/>
    </row>
    <row r="97" spans="1:8" x14ac:dyDescent="0.25">
      <c r="A97" s="157">
        <v>2019</v>
      </c>
      <c r="B97" s="157" t="str">
        <f>+B96</f>
        <v>Septiembre</v>
      </c>
      <c r="C97" s="158">
        <v>3</v>
      </c>
      <c r="D97" s="152">
        <v>42837453</v>
      </c>
      <c r="E97" s="152">
        <v>18979502.990699999</v>
      </c>
      <c r="F97" s="153">
        <v>0.44305862420671932</v>
      </c>
      <c r="G97" s="154">
        <v>30111</v>
      </c>
      <c r="H97" s="179"/>
    </row>
    <row r="98" spans="1:8" x14ac:dyDescent="0.25">
      <c r="A98" s="157">
        <v>2019</v>
      </c>
      <c r="B98" s="157" t="str">
        <f t="shared" ref="B98:B116" si="4">+B97</f>
        <v>Septiembre</v>
      </c>
      <c r="C98" s="158">
        <v>4</v>
      </c>
      <c r="D98" s="152">
        <v>55471865</v>
      </c>
      <c r="E98" s="152">
        <v>23470865.778299998</v>
      </c>
      <c r="F98" s="153">
        <v>0.42311297408695381</v>
      </c>
      <c r="G98" s="154">
        <v>65286</v>
      </c>
      <c r="H98" s="179"/>
    </row>
    <row r="99" spans="1:8" x14ac:dyDescent="0.25">
      <c r="A99" s="157">
        <v>2019</v>
      </c>
      <c r="B99" s="157" t="str">
        <f t="shared" si="4"/>
        <v>Septiembre</v>
      </c>
      <c r="C99" s="158">
        <v>5</v>
      </c>
      <c r="D99" s="152">
        <v>51574320</v>
      </c>
      <c r="E99" s="152">
        <v>23004120.541200001</v>
      </c>
      <c r="F99" s="153">
        <v>0.4460382713955317</v>
      </c>
      <c r="G99" s="154">
        <v>46776</v>
      </c>
      <c r="H99" s="179"/>
    </row>
    <row r="100" spans="1:8" x14ac:dyDescent="0.25">
      <c r="A100" s="157">
        <v>2019</v>
      </c>
      <c r="B100" s="157" t="str">
        <f t="shared" si="4"/>
        <v>Septiembre</v>
      </c>
      <c r="C100" s="158">
        <v>6</v>
      </c>
      <c r="D100" s="152">
        <v>39337699</v>
      </c>
      <c r="E100" s="152">
        <v>16922199.014899999</v>
      </c>
      <c r="F100" s="153">
        <v>0.43017765261003194</v>
      </c>
      <c r="G100" s="154">
        <v>37117</v>
      </c>
      <c r="H100" s="179"/>
    </row>
    <row r="101" spans="1:8" x14ac:dyDescent="0.25">
      <c r="A101" s="157">
        <v>2019</v>
      </c>
      <c r="B101" s="157" t="str">
        <f t="shared" si="4"/>
        <v>Septiembre</v>
      </c>
      <c r="C101" s="158">
        <v>7</v>
      </c>
      <c r="D101" s="152">
        <v>2723067</v>
      </c>
      <c r="E101" s="152">
        <v>1256896.55</v>
      </c>
      <c r="F101" s="153">
        <v>0.46157386138497508</v>
      </c>
      <c r="G101" s="154">
        <v>3790</v>
      </c>
      <c r="H101" s="179"/>
    </row>
    <row r="102" spans="1:8" x14ac:dyDescent="0.25">
      <c r="A102" s="157">
        <v>2019</v>
      </c>
      <c r="B102" s="157" t="str">
        <f t="shared" si="4"/>
        <v>Septiembre</v>
      </c>
      <c r="C102" s="158">
        <v>9</v>
      </c>
      <c r="D102" s="152">
        <v>30219166</v>
      </c>
      <c r="E102" s="152">
        <v>14086808.65</v>
      </c>
      <c r="F102" s="153">
        <v>0.46615477905644387</v>
      </c>
      <c r="G102" s="154">
        <v>15752</v>
      </c>
      <c r="H102" s="179"/>
    </row>
    <row r="103" spans="1:8" x14ac:dyDescent="0.25">
      <c r="A103" s="157">
        <v>2019</v>
      </c>
      <c r="B103" s="157" t="str">
        <f t="shared" si="4"/>
        <v>Septiembre</v>
      </c>
      <c r="C103" s="158">
        <v>10</v>
      </c>
      <c r="D103" s="152">
        <v>68500230</v>
      </c>
      <c r="E103" s="152">
        <v>27737928.773400001</v>
      </c>
      <c r="F103" s="153">
        <v>0.40493190713958188</v>
      </c>
      <c r="G103" s="154">
        <v>80546.463000000003</v>
      </c>
      <c r="H103" s="179"/>
    </row>
    <row r="104" spans="1:8" x14ac:dyDescent="0.25">
      <c r="A104" s="157">
        <v>2019</v>
      </c>
      <c r="B104" s="157" t="str">
        <f t="shared" si="4"/>
        <v>Septiembre</v>
      </c>
      <c r="C104" s="158">
        <v>11</v>
      </c>
      <c r="D104" s="152">
        <v>69644414</v>
      </c>
      <c r="E104" s="152">
        <v>29681348.749699999</v>
      </c>
      <c r="F104" s="153">
        <v>0.42618419834360299</v>
      </c>
      <c r="G104" s="154">
        <v>71269.966</v>
      </c>
      <c r="H104" s="179"/>
    </row>
    <row r="105" spans="1:8" x14ac:dyDescent="0.25">
      <c r="A105" s="157">
        <v>2019</v>
      </c>
      <c r="B105" s="157" t="str">
        <f t="shared" si="4"/>
        <v>Septiembre</v>
      </c>
      <c r="C105" s="158">
        <v>12</v>
      </c>
      <c r="D105" s="152">
        <v>41541452</v>
      </c>
      <c r="E105" s="152">
        <v>18491637.784600001</v>
      </c>
      <c r="F105" s="153">
        <v>0.4451370112099115</v>
      </c>
      <c r="G105" s="154">
        <v>29151</v>
      </c>
      <c r="H105" s="179"/>
    </row>
    <row r="106" spans="1:8" x14ac:dyDescent="0.25">
      <c r="A106" s="157">
        <v>2019</v>
      </c>
      <c r="B106" s="157" t="str">
        <f t="shared" si="4"/>
        <v>Septiembre</v>
      </c>
      <c r="C106" s="158">
        <v>13</v>
      </c>
      <c r="D106" s="152">
        <v>53527343</v>
      </c>
      <c r="E106" s="152">
        <v>23522435.9921</v>
      </c>
      <c r="F106" s="153">
        <v>0.43944710635272893</v>
      </c>
      <c r="G106" s="154">
        <v>43620</v>
      </c>
      <c r="H106" s="179"/>
    </row>
    <row r="107" spans="1:8" x14ac:dyDescent="0.25">
      <c r="A107" s="157">
        <v>2019</v>
      </c>
      <c r="B107" s="157" t="str">
        <f t="shared" si="4"/>
        <v>Septiembre</v>
      </c>
      <c r="C107" s="158">
        <v>14</v>
      </c>
      <c r="D107" s="152">
        <v>3950719</v>
      </c>
      <c r="E107" s="152">
        <v>2305541.1028999998</v>
      </c>
      <c r="F107" s="153">
        <v>0.58357506643727386</v>
      </c>
      <c r="G107" s="154">
        <v>3595</v>
      </c>
      <c r="H107" s="179"/>
    </row>
    <row r="108" spans="1:8" x14ac:dyDescent="0.25">
      <c r="A108" s="157">
        <v>2019</v>
      </c>
      <c r="B108" s="157" t="str">
        <f t="shared" si="4"/>
        <v>Septiembre</v>
      </c>
      <c r="C108" s="158">
        <v>16</v>
      </c>
      <c r="D108" s="152">
        <v>27649026</v>
      </c>
      <c r="E108" s="152">
        <v>12531383.2535</v>
      </c>
      <c r="F108" s="153">
        <v>0.45323054973075722</v>
      </c>
      <c r="G108" s="154">
        <v>16163</v>
      </c>
      <c r="H108" s="179"/>
    </row>
    <row r="109" spans="1:8" x14ac:dyDescent="0.25">
      <c r="A109" s="157">
        <v>2019</v>
      </c>
      <c r="B109" s="157" t="str">
        <f t="shared" si="4"/>
        <v>Septiembre</v>
      </c>
      <c r="C109" s="158">
        <v>17</v>
      </c>
      <c r="D109" s="152">
        <v>13065978</v>
      </c>
      <c r="E109" s="152">
        <v>6045133.5570999999</v>
      </c>
      <c r="F109" s="153">
        <v>0.46266215641110064</v>
      </c>
      <c r="G109" s="154">
        <v>16972</v>
      </c>
      <c r="H109" s="179"/>
    </row>
    <row r="110" spans="1:8" x14ac:dyDescent="0.25">
      <c r="A110" s="157">
        <v>2019</v>
      </c>
      <c r="B110" s="157" t="str">
        <f t="shared" si="4"/>
        <v>Septiembre</v>
      </c>
      <c r="C110" s="158">
        <v>23</v>
      </c>
      <c r="D110" s="152">
        <v>56822600.479999997</v>
      </c>
      <c r="E110" s="152">
        <v>25489417.118299998</v>
      </c>
      <c r="F110" s="153">
        <v>0.44857885600064323</v>
      </c>
      <c r="G110" s="154">
        <v>55881</v>
      </c>
      <c r="H110" s="179"/>
    </row>
    <row r="111" spans="1:8" x14ac:dyDescent="0.25">
      <c r="A111" s="157">
        <v>2019</v>
      </c>
      <c r="B111" s="157" t="str">
        <f t="shared" si="4"/>
        <v>Septiembre</v>
      </c>
      <c r="C111" s="158">
        <v>24</v>
      </c>
      <c r="D111" s="152">
        <v>36418222</v>
      </c>
      <c r="E111" s="152">
        <v>16781484.1371</v>
      </c>
      <c r="F111" s="153">
        <v>0.46079910592834544</v>
      </c>
      <c r="G111" s="154">
        <v>34202</v>
      </c>
      <c r="H111" s="179"/>
    </row>
    <row r="112" spans="1:8" x14ac:dyDescent="0.25">
      <c r="A112" s="157">
        <v>2019</v>
      </c>
      <c r="B112" s="157" t="str">
        <f t="shared" si="4"/>
        <v>Septiembre</v>
      </c>
      <c r="C112" s="158">
        <v>25</v>
      </c>
      <c r="D112" s="152">
        <v>65025146</v>
      </c>
      <c r="E112" s="152">
        <v>30210995.447799999</v>
      </c>
      <c r="F112" s="153">
        <v>0.46460480762011669</v>
      </c>
      <c r="G112" s="154">
        <v>75484</v>
      </c>
      <c r="H112" s="179"/>
    </row>
    <row r="113" spans="1:8" x14ac:dyDescent="0.25">
      <c r="A113" s="157">
        <v>2019</v>
      </c>
      <c r="B113" s="157" t="str">
        <f t="shared" si="4"/>
        <v>Septiembre</v>
      </c>
      <c r="C113" s="158">
        <v>26</v>
      </c>
      <c r="D113" s="152">
        <v>54112048</v>
      </c>
      <c r="E113" s="152">
        <v>21990286.069499999</v>
      </c>
      <c r="F113" s="153">
        <v>0.40638428746034527</v>
      </c>
      <c r="G113" s="154">
        <v>67966</v>
      </c>
      <c r="H113" s="179"/>
    </row>
    <row r="114" spans="1:8" x14ac:dyDescent="0.25">
      <c r="A114" s="157">
        <v>2019</v>
      </c>
      <c r="B114" s="157" t="str">
        <f t="shared" si="4"/>
        <v>Septiembre</v>
      </c>
      <c r="C114" s="158">
        <v>27</v>
      </c>
      <c r="D114" s="152">
        <v>56317232</v>
      </c>
      <c r="E114" s="152">
        <v>20986148.230999999</v>
      </c>
      <c r="F114" s="153">
        <v>0.37264168507074352</v>
      </c>
      <c r="G114" s="154">
        <v>38773</v>
      </c>
      <c r="H114" s="179"/>
    </row>
    <row r="115" spans="1:8" x14ac:dyDescent="0.25">
      <c r="A115" s="157">
        <v>2019</v>
      </c>
      <c r="B115" s="157" t="str">
        <f t="shared" si="4"/>
        <v>Septiembre</v>
      </c>
      <c r="C115" s="158">
        <v>28</v>
      </c>
      <c r="D115" s="152">
        <v>5252953</v>
      </c>
      <c r="E115" s="152">
        <v>2243859.1461999998</v>
      </c>
      <c r="F115" s="153">
        <v>0.42716147397473381</v>
      </c>
      <c r="G115" s="154">
        <v>4187</v>
      </c>
      <c r="H115" s="179"/>
    </row>
    <row r="116" spans="1:8" x14ac:dyDescent="0.25">
      <c r="A116" s="157">
        <v>2019</v>
      </c>
      <c r="B116" s="157" t="str">
        <f t="shared" si="4"/>
        <v>Septiembre</v>
      </c>
      <c r="C116" s="158">
        <v>30</v>
      </c>
      <c r="D116" s="152">
        <v>96175955</v>
      </c>
      <c r="E116" s="152">
        <v>36571375.835299999</v>
      </c>
      <c r="F116" s="153">
        <v>0.38025487592298929</v>
      </c>
      <c r="G116" s="154">
        <v>70677.135000000009</v>
      </c>
      <c r="H116" s="179"/>
    </row>
    <row r="119" spans="1:8" x14ac:dyDescent="0.25">
      <c r="B119" t="s">
        <v>86</v>
      </c>
      <c r="G119" t="s">
        <v>85</v>
      </c>
    </row>
    <row r="120" spans="1:8" x14ac:dyDescent="0.25">
      <c r="A120" s="5" t="s">
        <v>30</v>
      </c>
      <c r="B120" s="5" t="s">
        <v>28</v>
      </c>
      <c r="F120" s="5" t="s">
        <v>74</v>
      </c>
      <c r="G120" s="5" t="s">
        <v>28</v>
      </c>
    </row>
    <row r="121" spans="1:8" x14ac:dyDescent="0.25">
      <c r="A121" s="5" t="s">
        <v>31</v>
      </c>
      <c r="B121" t="s">
        <v>79</v>
      </c>
      <c r="C121" t="s">
        <v>29</v>
      </c>
      <c r="F121" s="5" t="s">
        <v>31</v>
      </c>
      <c r="G121" t="s">
        <v>79</v>
      </c>
      <c r="H121" t="s">
        <v>29</v>
      </c>
    </row>
    <row r="122" spans="1:8" x14ac:dyDescent="0.25">
      <c r="A122" s="160">
        <v>2</v>
      </c>
      <c r="B122" s="7">
        <v>17910126</v>
      </c>
      <c r="C122" s="7">
        <v>17910126</v>
      </c>
      <c r="F122" s="160">
        <v>2</v>
      </c>
      <c r="G122" s="7">
        <v>8287509.0690000001</v>
      </c>
      <c r="H122" s="7">
        <v>8287509.0690000001</v>
      </c>
    </row>
    <row r="123" spans="1:8" x14ac:dyDescent="0.25">
      <c r="A123" s="160">
        <v>3</v>
      </c>
      <c r="B123" s="7">
        <v>42837453</v>
      </c>
      <c r="C123" s="7">
        <v>42837453</v>
      </c>
      <c r="F123" s="160">
        <v>3</v>
      </c>
      <c r="G123" s="7">
        <v>18979502.990699999</v>
      </c>
      <c r="H123" s="7">
        <v>18979502.990699999</v>
      </c>
    </row>
    <row r="124" spans="1:8" x14ac:dyDescent="0.25">
      <c r="A124" s="160">
        <v>4</v>
      </c>
      <c r="B124" s="7">
        <v>55471865</v>
      </c>
      <c r="C124" s="7">
        <v>55471865</v>
      </c>
      <c r="F124" s="160">
        <v>4</v>
      </c>
      <c r="G124" s="7">
        <v>23470865.778299998</v>
      </c>
      <c r="H124" s="7">
        <v>23470865.778299998</v>
      </c>
    </row>
    <row r="125" spans="1:8" x14ac:dyDescent="0.25">
      <c r="A125" s="160">
        <v>5</v>
      </c>
      <c r="B125" s="7">
        <v>51574320</v>
      </c>
      <c r="C125" s="7">
        <v>51574320</v>
      </c>
      <c r="F125" s="160">
        <v>5</v>
      </c>
      <c r="G125" s="7">
        <v>23004120.541200001</v>
      </c>
      <c r="H125" s="7">
        <v>23004120.541200001</v>
      </c>
    </row>
    <row r="126" spans="1:8" x14ac:dyDescent="0.25">
      <c r="A126" s="160">
        <v>6</v>
      </c>
      <c r="B126" s="7">
        <v>39337699</v>
      </c>
      <c r="C126" s="7">
        <v>39337699</v>
      </c>
      <c r="F126" s="160">
        <v>6</v>
      </c>
      <c r="G126" s="7">
        <v>16922199.014899999</v>
      </c>
      <c r="H126" s="7">
        <v>16922199.014899999</v>
      </c>
    </row>
    <row r="127" spans="1:8" x14ac:dyDescent="0.25">
      <c r="A127" s="160">
        <v>7</v>
      </c>
      <c r="B127" s="7">
        <v>2723067</v>
      </c>
      <c r="C127" s="7">
        <v>2723067</v>
      </c>
      <c r="F127" s="160">
        <v>7</v>
      </c>
      <c r="G127" s="7">
        <v>1256896.55</v>
      </c>
      <c r="H127" s="7">
        <v>1256896.55</v>
      </c>
    </row>
    <row r="128" spans="1:8" x14ac:dyDescent="0.25">
      <c r="A128" s="160">
        <v>9</v>
      </c>
      <c r="B128" s="7">
        <v>30219166</v>
      </c>
      <c r="C128" s="7">
        <v>30219166</v>
      </c>
      <c r="F128" s="160">
        <v>9</v>
      </c>
      <c r="G128" s="7">
        <v>14086808.65</v>
      </c>
      <c r="H128" s="7">
        <v>14086808.65</v>
      </c>
    </row>
    <row r="129" spans="1:8" x14ac:dyDescent="0.25">
      <c r="A129" s="160">
        <v>10</v>
      </c>
      <c r="B129" s="7">
        <v>68500230</v>
      </c>
      <c r="C129" s="7">
        <v>68500230</v>
      </c>
      <c r="F129" s="160">
        <v>10</v>
      </c>
      <c r="G129" s="7">
        <v>27737928.773400001</v>
      </c>
      <c r="H129" s="7">
        <v>27737928.773400001</v>
      </c>
    </row>
    <row r="130" spans="1:8" x14ac:dyDescent="0.25">
      <c r="A130" s="160">
        <v>11</v>
      </c>
      <c r="B130" s="7">
        <v>69644414</v>
      </c>
      <c r="C130" s="7">
        <v>69644414</v>
      </c>
      <c r="F130" s="160">
        <v>11</v>
      </c>
      <c r="G130" s="7">
        <v>29681348.749699999</v>
      </c>
      <c r="H130" s="7">
        <v>29681348.749699999</v>
      </c>
    </row>
    <row r="131" spans="1:8" x14ac:dyDescent="0.25">
      <c r="A131" s="160">
        <v>12</v>
      </c>
      <c r="B131" s="7">
        <v>41541452</v>
      </c>
      <c r="C131" s="7">
        <v>41541452</v>
      </c>
      <c r="F131" s="160">
        <v>12</v>
      </c>
      <c r="G131" s="7">
        <v>18491637.784600001</v>
      </c>
      <c r="H131" s="7">
        <v>18491637.784600001</v>
      </c>
    </row>
    <row r="132" spans="1:8" x14ac:dyDescent="0.25">
      <c r="A132" s="160">
        <v>13</v>
      </c>
      <c r="B132" s="7">
        <v>53527343</v>
      </c>
      <c r="C132" s="7">
        <v>53527343</v>
      </c>
      <c r="F132" s="160">
        <v>13</v>
      </c>
      <c r="G132" s="7">
        <v>23522435.9921</v>
      </c>
      <c r="H132" s="7">
        <v>23522435.9921</v>
      </c>
    </row>
    <row r="133" spans="1:8" x14ac:dyDescent="0.25">
      <c r="A133" s="160">
        <v>14</v>
      </c>
      <c r="B133" s="7">
        <v>3950719</v>
      </c>
      <c r="C133" s="7">
        <v>3950719</v>
      </c>
      <c r="F133" s="160">
        <v>14</v>
      </c>
      <c r="G133" s="7">
        <v>2305541.1028999998</v>
      </c>
      <c r="H133" s="7">
        <v>2305541.1028999998</v>
      </c>
    </row>
    <row r="134" spans="1:8" x14ac:dyDescent="0.25">
      <c r="A134" s="160">
        <v>16</v>
      </c>
      <c r="B134" s="7">
        <v>27649026</v>
      </c>
      <c r="C134" s="7">
        <v>27649026</v>
      </c>
      <c r="F134" s="160">
        <v>16</v>
      </c>
      <c r="G134" s="7">
        <v>12531383.2535</v>
      </c>
      <c r="H134" s="7">
        <v>12531383.2535</v>
      </c>
    </row>
    <row r="135" spans="1:8" x14ac:dyDescent="0.25">
      <c r="A135" s="160">
        <v>17</v>
      </c>
      <c r="B135" s="7">
        <v>13065978</v>
      </c>
      <c r="C135" s="7">
        <v>13065978</v>
      </c>
      <c r="F135" s="160">
        <v>17</v>
      </c>
      <c r="G135" s="7">
        <v>6045133.5570999999</v>
      </c>
      <c r="H135" s="7">
        <v>6045133.5570999999</v>
      </c>
    </row>
    <row r="136" spans="1:8" x14ac:dyDescent="0.25">
      <c r="A136" s="160">
        <v>23</v>
      </c>
      <c r="B136" s="7">
        <v>56822600.479999997</v>
      </c>
      <c r="C136" s="7">
        <v>56822600.479999997</v>
      </c>
      <c r="F136" s="160">
        <v>23</v>
      </c>
      <c r="G136" s="7">
        <v>25489417.118299998</v>
      </c>
      <c r="H136" s="7">
        <v>25489417.118299998</v>
      </c>
    </row>
    <row r="137" spans="1:8" x14ac:dyDescent="0.25">
      <c r="A137" s="160">
        <v>24</v>
      </c>
      <c r="B137" s="7">
        <v>36418222</v>
      </c>
      <c r="C137" s="7">
        <v>36418222</v>
      </c>
      <c r="F137" s="160">
        <v>24</v>
      </c>
      <c r="G137" s="7">
        <v>16781484.1371</v>
      </c>
      <c r="H137" s="7">
        <v>16781484.1371</v>
      </c>
    </row>
    <row r="138" spans="1:8" x14ac:dyDescent="0.25">
      <c r="A138" s="160">
        <v>25</v>
      </c>
      <c r="B138" s="7">
        <v>65025146</v>
      </c>
      <c r="C138" s="7">
        <v>65025146</v>
      </c>
      <c r="F138" s="160">
        <v>25</v>
      </c>
      <c r="G138" s="7">
        <v>30210995.447799999</v>
      </c>
      <c r="H138" s="7">
        <v>30210995.447799999</v>
      </c>
    </row>
    <row r="139" spans="1:8" x14ac:dyDescent="0.25">
      <c r="A139" s="160">
        <v>26</v>
      </c>
      <c r="B139" s="7">
        <v>54112048</v>
      </c>
      <c r="C139" s="7">
        <v>54112048</v>
      </c>
      <c r="F139" s="160">
        <v>26</v>
      </c>
      <c r="G139" s="7">
        <v>21990286.069499999</v>
      </c>
      <c r="H139" s="7">
        <v>21990286.069499999</v>
      </c>
    </row>
    <row r="140" spans="1:8" x14ac:dyDescent="0.25">
      <c r="A140" s="160">
        <v>27</v>
      </c>
      <c r="B140" s="7">
        <v>56317232</v>
      </c>
      <c r="C140" s="7">
        <v>56317232</v>
      </c>
      <c r="F140" s="160">
        <v>27</v>
      </c>
      <c r="G140" s="7">
        <v>20986148.230999999</v>
      </c>
      <c r="H140" s="7">
        <v>20986148.230999999</v>
      </c>
    </row>
    <row r="141" spans="1:8" x14ac:dyDescent="0.25">
      <c r="A141" s="160">
        <v>28</v>
      </c>
      <c r="B141" s="7">
        <v>5252953</v>
      </c>
      <c r="C141" s="7">
        <v>5252953</v>
      </c>
      <c r="F141" s="160">
        <v>28</v>
      </c>
      <c r="G141" s="7">
        <v>2243859.1461999998</v>
      </c>
      <c r="H141" s="7">
        <v>2243859.1461999998</v>
      </c>
    </row>
    <row r="142" spans="1:8" x14ac:dyDescent="0.25">
      <c r="A142" s="160">
        <v>30</v>
      </c>
      <c r="B142" s="7">
        <v>96175955</v>
      </c>
      <c r="C142" s="7">
        <v>96175955</v>
      </c>
      <c r="F142" s="160">
        <v>30</v>
      </c>
      <c r="G142" s="7">
        <v>36571375.835299999</v>
      </c>
      <c r="H142" s="7">
        <v>36571375.835299999</v>
      </c>
    </row>
    <row r="143" spans="1:8" x14ac:dyDescent="0.25">
      <c r="A143" s="160" t="s">
        <v>29</v>
      </c>
      <c r="B143" s="7">
        <v>888077014.48000002</v>
      </c>
      <c r="C143" s="7">
        <v>888077014.48000002</v>
      </c>
      <c r="F143" s="160" t="s">
        <v>29</v>
      </c>
      <c r="G143" s="7">
        <v>380596877.79259992</v>
      </c>
      <c r="H143" s="7">
        <v>380596877.79259992</v>
      </c>
    </row>
  </sheetData>
  <pageMargins left="0.7" right="0.7" top="0.75" bottom="0.75" header="0.3" footer="0.3"/>
  <tableParts count="2"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5" sqref="A5"/>
    </sheetView>
  </sheetViews>
  <sheetFormatPr baseColWidth="10" defaultRowHeight="15" x14ac:dyDescent="0.25"/>
  <cols>
    <col min="4" max="4" width="12.71093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18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53</v>
      </c>
    </row>
    <row r="5" spans="1:8" x14ac:dyDescent="0.25">
      <c r="A5" s="1" t="s">
        <v>15</v>
      </c>
      <c r="B5" s="1" t="s">
        <v>16</v>
      </c>
      <c r="C5" s="1" t="s">
        <v>17</v>
      </c>
      <c r="D5" s="1" t="s">
        <v>19</v>
      </c>
      <c r="E5" s="1" t="s">
        <v>20</v>
      </c>
      <c r="F5" s="1" t="s">
        <v>21</v>
      </c>
      <c r="G5" s="1" t="s">
        <v>22</v>
      </c>
    </row>
    <row r="6" spans="1:8" x14ac:dyDescent="0.25">
      <c r="A6" t="s">
        <v>23</v>
      </c>
      <c r="B6" t="s">
        <v>25</v>
      </c>
      <c r="C6" s="2">
        <v>2</v>
      </c>
      <c r="D6">
        <v>22573203</v>
      </c>
      <c r="E6">
        <v>7449886.1591999996</v>
      </c>
      <c r="F6">
        <v>0.33003230242513659</v>
      </c>
      <c r="G6">
        <v>20060</v>
      </c>
    </row>
    <row r="7" spans="1:8" x14ac:dyDescent="0.25">
      <c r="A7" t="str">
        <f t="shared" ref="A7:B22" si="0">+A6</f>
        <v>2017</v>
      </c>
      <c r="B7" t="str">
        <f t="shared" si="0"/>
        <v>Noviembre</v>
      </c>
      <c r="C7" s="2">
        <v>3</v>
      </c>
      <c r="D7">
        <v>43008309</v>
      </c>
      <c r="E7">
        <v>18019505.718199998</v>
      </c>
      <c r="F7">
        <v>0.41897731245839032</v>
      </c>
      <c r="G7">
        <v>42303</v>
      </c>
    </row>
    <row r="8" spans="1:8" x14ac:dyDescent="0.25">
      <c r="A8" t="str">
        <f t="shared" si="0"/>
        <v>2017</v>
      </c>
      <c r="B8" t="str">
        <f t="shared" si="0"/>
        <v>Noviembre</v>
      </c>
      <c r="C8" s="2">
        <v>4</v>
      </c>
      <c r="D8">
        <v>6908039</v>
      </c>
      <c r="E8">
        <v>3207201.8881999999</v>
      </c>
      <c r="F8">
        <v>0.46427095854554384</v>
      </c>
      <c r="G8">
        <v>3069</v>
      </c>
    </row>
    <row r="9" spans="1:8" x14ac:dyDescent="0.25">
      <c r="A9" t="str">
        <f t="shared" si="0"/>
        <v>2017</v>
      </c>
      <c r="B9" t="str">
        <f t="shared" si="0"/>
        <v>Noviembre</v>
      </c>
      <c r="C9" s="2">
        <v>6</v>
      </c>
      <c r="D9">
        <v>27465678</v>
      </c>
      <c r="E9">
        <v>11169648.837099999</v>
      </c>
      <c r="F9">
        <v>0.40667661060833815</v>
      </c>
      <c r="G9">
        <v>23754</v>
      </c>
    </row>
    <row r="10" spans="1:8" x14ac:dyDescent="0.25">
      <c r="A10" t="str">
        <f t="shared" si="0"/>
        <v>2017</v>
      </c>
      <c r="B10" t="str">
        <f t="shared" si="0"/>
        <v>Noviembre</v>
      </c>
      <c r="C10" s="2">
        <v>7</v>
      </c>
      <c r="D10">
        <v>53210249</v>
      </c>
      <c r="E10">
        <v>22805585.074700002</v>
      </c>
      <c r="F10">
        <v>0.42859384241370491</v>
      </c>
      <c r="G10">
        <v>49062</v>
      </c>
    </row>
    <row r="11" spans="1:8" x14ac:dyDescent="0.25">
      <c r="A11" t="str">
        <f t="shared" si="0"/>
        <v>2017</v>
      </c>
      <c r="B11" t="str">
        <f t="shared" si="0"/>
        <v>Noviembre</v>
      </c>
      <c r="C11" s="2">
        <v>8</v>
      </c>
      <c r="D11">
        <v>32854907</v>
      </c>
      <c r="E11">
        <v>12522122.968499999</v>
      </c>
      <c r="F11">
        <v>0.38113402568754801</v>
      </c>
      <c r="G11">
        <v>33358</v>
      </c>
    </row>
    <row r="12" spans="1:8" x14ac:dyDescent="0.25">
      <c r="A12" t="str">
        <f t="shared" si="0"/>
        <v>2017</v>
      </c>
      <c r="B12" t="str">
        <f t="shared" si="0"/>
        <v>Noviembre</v>
      </c>
      <c r="C12" s="2">
        <v>9</v>
      </c>
      <c r="D12">
        <v>42247501</v>
      </c>
      <c r="E12">
        <v>16519679.7576</v>
      </c>
      <c r="F12">
        <v>0.39102146556786871</v>
      </c>
      <c r="G12">
        <v>43301.464999999997</v>
      </c>
    </row>
    <row r="13" spans="1:8" x14ac:dyDescent="0.25">
      <c r="A13" t="str">
        <f t="shared" si="0"/>
        <v>2017</v>
      </c>
      <c r="B13" t="str">
        <f t="shared" si="0"/>
        <v>Noviembre</v>
      </c>
      <c r="C13" s="2">
        <v>10</v>
      </c>
      <c r="D13">
        <v>44152427</v>
      </c>
      <c r="E13">
        <v>17606238.522999998</v>
      </c>
      <c r="F13">
        <v>0.39876037897078681</v>
      </c>
      <c r="G13">
        <v>33334</v>
      </c>
    </row>
    <row r="14" spans="1:8" x14ac:dyDescent="0.25">
      <c r="A14" t="str">
        <f t="shared" si="0"/>
        <v>2017</v>
      </c>
      <c r="B14" t="str">
        <f t="shared" si="0"/>
        <v>Noviembre</v>
      </c>
      <c r="C14" s="2">
        <v>11</v>
      </c>
      <c r="D14">
        <v>6501029</v>
      </c>
      <c r="E14">
        <v>2276680.2601999999</v>
      </c>
      <c r="F14">
        <v>0.3502030617306891</v>
      </c>
      <c r="G14">
        <v>3395</v>
      </c>
    </row>
    <row r="15" spans="1:8" x14ac:dyDescent="0.25">
      <c r="A15" t="str">
        <f t="shared" si="0"/>
        <v>2017</v>
      </c>
      <c r="B15" t="str">
        <f t="shared" si="0"/>
        <v>Noviembre</v>
      </c>
      <c r="C15" s="2">
        <v>13</v>
      </c>
      <c r="D15">
        <v>41855457</v>
      </c>
      <c r="E15">
        <v>17192987.295400001</v>
      </c>
      <c r="F15">
        <v>0.41077050706673685</v>
      </c>
      <c r="G15">
        <v>54147</v>
      </c>
    </row>
    <row r="16" spans="1:8" x14ac:dyDescent="0.25">
      <c r="A16" t="str">
        <f t="shared" si="0"/>
        <v>2017</v>
      </c>
      <c r="B16" t="str">
        <f t="shared" si="0"/>
        <v>Noviembre</v>
      </c>
      <c r="C16" s="2">
        <v>14</v>
      </c>
      <c r="D16">
        <v>61781317</v>
      </c>
      <c r="E16">
        <v>26115470.889400002</v>
      </c>
      <c r="F16">
        <v>0.42270822568253119</v>
      </c>
      <c r="G16">
        <v>54800</v>
      </c>
    </row>
    <row r="17" spans="1:7" x14ac:dyDescent="0.25">
      <c r="A17" t="str">
        <f t="shared" si="0"/>
        <v>2017</v>
      </c>
      <c r="B17" t="str">
        <f t="shared" si="0"/>
        <v>Noviembre</v>
      </c>
      <c r="C17" s="2">
        <v>15</v>
      </c>
      <c r="D17">
        <v>37128554.049999997</v>
      </c>
      <c r="E17">
        <v>15167963.7502</v>
      </c>
      <c r="F17">
        <v>0.40852557117558957</v>
      </c>
      <c r="G17">
        <v>40935.164000000004</v>
      </c>
    </row>
    <row r="18" spans="1:7" x14ac:dyDescent="0.25">
      <c r="A18" t="str">
        <f t="shared" si="0"/>
        <v>2017</v>
      </c>
      <c r="B18" t="str">
        <f t="shared" si="0"/>
        <v>Noviembre</v>
      </c>
      <c r="C18" s="2">
        <v>16</v>
      </c>
      <c r="D18">
        <v>48441226</v>
      </c>
      <c r="E18">
        <v>18868043.355099998</v>
      </c>
      <c r="F18">
        <v>0.38950383615600481</v>
      </c>
      <c r="G18">
        <v>47574</v>
      </c>
    </row>
    <row r="19" spans="1:7" x14ac:dyDescent="0.25">
      <c r="A19" t="str">
        <f t="shared" si="0"/>
        <v>2017</v>
      </c>
      <c r="B19" t="str">
        <f t="shared" si="0"/>
        <v>Noviembre</v>
      </c>
      <c r="C19" s="2">
        <v>17</v>
      </c>
      <c r="D19">
        <v>43911461</v>
      </c>
      <c r="E19">
        <v>19566761.335000001</v>
      </c>
      <c r="F19">
        <v>0.44559577134088069</v>
      </c>
      <c r="G19">
        <v>39675</v>
      </c>
    </row>
    <row r="20" spans="1:7" x14ac:dyDescent="0.25">
      <c r="A20" t="str">
        <f t="shared" si="0"/>
        <v>2017</v>
      </c>
      <c r="B20" t="str">
        <f t="shared" si="0"/>
        <v>Noviembre</v>
      </c>
      <c r="C20" s="2">
        <v>18</v>
      </c>
      <c r="D20">
        <v>7012852</v>
      </c>
      <c r="E20">
        <v>2480928.3256999999</v>
      </c>
      <c r="F20">
        <v>0.35376881270273491</v>
      </c>
      <c r="G20">
        <v>14908</v>
      </c>
    </row>
    <row r="21" spans="1:7" x14ac:dyDescent="0.25">
      <c r="A21" t="str">
        <f t="shared" si="0"/>
        <v>2017</v>
      </c>
      <c r="B21" t="str">
        <f t="shared" si="0"/>
        <v>Noviembre</v>
      </c>
      <c r="C21" s="2">
        <v>20</v>
      </c>
      <c r="D21">
        <v>36279957</v>
      </c>
      <c r="E21">
        <v>14043186.734099999</v>
      </c>
      <c r="F21">
        <v>0.38707837316620852</v>
      </c>
      <c r="G21">
        <v>33429</v>
      </c>
    </row>
    <row r="22" spans="1:7" x14ac:dyDescent="0.25">
      <c r="A22" t="str">
        <f t="shared" si="0"/>
        <v>2017</v>
      </c>
      <c r="B22" t="str">
        <f t="shared" si="0"/>
        <v>Noviembre</v>
      </c>
      <c r="C22" s="2">
        <v>21</v>
      </c>
      <c r="D22">
        <v>65150836</v>
      </c>
      <c r="E22">
        <v>27000534.603100002</v>
      </c>
      <c r="F22">
        <v>0.41443113029432194</v>
      </c>
      <c r="G22">
        <v>64000</v>
      </c>
    </row>
    <row r="23" spans="1:7" x14ac:dyDescent="0.25">
      <c r="A23" t="str">
        <f t="shared" ref="A23:B30" si="1">+A22</f>
        <v>2017</v>
      </c>
      <c r="B23" t="str">
        <f t="shared" si="1"/>
        <v>Noviembre</v>
      </c>
      <c r="C23" s="2">
        <v>22</v>
      </c>
      <c r="D23">
        <v>46244791</v>
      </c>
      <c r="E23">
        <v>17347879.491099998</v>
      </c>
      <c r="F23">
        <v>0.37513153624372525</v>
      </c>
      <c r="G23">
        <v>36337.26</v>
      </c>
    </row>
    <row r="24" spans="1:7" x14ac:dyDescent="0.25">
      <c r="A24" t="str">
        <f t="shared" si="1"/>
        <v>2017</v>
      </c>
      <c r="B24" t="str">
        <f t="shared" si="1"/>
        <v>Noviembre</v>
      </c>
      <c r="C24" s="2">
        <v>23</v>
      </c>
      <c r="D24">
        <v>50049674</v>
      </c>
      <c r="E24">
        <v>19442299.063099999</v>
      </c>
      <c r="F24">
        <v>0.38846005396758426</v>
      </c>
      <c r="G24">
        <v>57752</v>
      </c>
    </row>
    <row r="25" spans="1:7" x14ac:dyDescent="0.25">
      <c r="A25" t="str">
        <f t="shared" si="1"/>
        <v>2017</v>
      </c>
      <c r="B25" t="str">
        <f t="shared" si="1"/>
        <v>Noviembre</v>
      </c>
      <c r="C25" s="2">
        <v>24</v>
      </c>
      <c r="D25">
        <v>50088601</v>
      </c>
      <c r="E25">
        <v>20699577.570799999</v>
      </c>
      <c r="F25">
        <v>0.41325924776377765</v>
      </c>
      <c r="G25">
        <v>35515</v>
      </c>
    </row>
    <row r="26" spans="1:7" x14ac:dyDescent="0.25">
      <c r="A26" t="str">
        <f t="shared" si="1"/>
        <v>2017</v>
      </c>
      <c r="B26" t="str">
        <f t="shared" si="1"/>
        <v>Noviembre</v>
      </c>
      <c r="C26" s="2">
        <v>25</v>
      </c>
      <c r="D26">
        <v>7896211</v>
      </c>
      <c r="E26">
        <v>3017735.8985000001</v>
      </c>
      <c r="F26">
        <v>0.38217518484498453</v>
      </c>
      <c r="G26">
        <v>8170</v>
      </c>
    </row>
    <row r="27" spans="1:7" x14ac:dyDescent="0.25">
      <c r="A27" t="str">
        <f t="shared" si="1"/>
        <v>2017</v>
      </c>
      <c r="B27" t="str">
        <f t="shared" si="1"/>
        <v>Noviembre</v>
      </c>
      <c r="C27" s="2">
        <v>27</v>
      </c>
      <c r="D27">
        <v>64032478</v>
      </c>
      <c r="E27">
        <v>24529911.351399999</v>
      </c>
      <c r="F27">
        <v>0.38308546096560558</v>
      </c>
      <c r="G27">
        <v>46275</v>
      </c>
    </row>
    <row r="28" spans="1:7" x14ac:dyDescent="0.25">
      <c r="A28" t="str">
        <f t="shared" si="1"/>
        <v>2017</v>
      </c>
      <c r="B28" t="str">
        <f t="shared" si="1"/>
        <v>Noviembre</v>
      </c>
      <c r="C28" s="2">
        <v>28</v>
      </c>
      <c r="D28">
        <v>102192683</v>
      </c>
      <c r="E28">
        <v>37169922.141199999</v>
      </c>
      <c r="F28">
        <v>0.3637239090904385</v>
      </c>
      <c r="G28">
        <v>100082</v>
      </c>
    </row>
    <row r="29" spans="1:7" x14ac:dyDescent="0.25">
      <c r="A29" t="str">
        <f t="shared" si="1"/>
        <v>2017</v>
      </c>
      <c r="B29" t="str">
        <f t="shared" si="1"/>
        <v>Noviembre</v>
      </c>
      <c r="C29" s="2">
        <v>29</v>
      </c>
      <c r="D29">
        <v>38732689.049999997</v>
      </c>
      <c r="E29">
        <v>15890934.2152</v>
      </c>
      <c r="F29">
        <v>0.41027190739807412</v>
      </c>
      <c r="G29">
        <v>62949</v>
      </c>
    </row>
    <row r="30" spans="1:7" x14ac:dyDescent="0.25">
      <c r="A30" t="str">
        <f t="shared" si="1"/>
        <v>2017</v>
      </c>
      <c r="B30" t="str">
        <f t="shared" si="1"/>
        <v>Noviembre</v>
      </c>
      <c r="C30" s="2">
        <v>30</v>
      </c>
      <c r="D30">
        <v>140237465</v>
      </c>
      <c r="E30">
        <v>42592851.4881</v>
      </c>
      <c r="F30">
        <v>0.30371949099407924</v>
      </c>
      <c r="G30">
        <v>113821</v>
      </c>
    </row>
    <row r="31" spans="1:7" x14ac:dyDescent="0.25">
      <c r="A31" t="s">
        <v>26</v>
      </c>
      <c r="B31" t="s">
        <v>25</v>
      </c>
      <c r="C31" s="2">
        <v>1</v>
      </c>
      <c r="D31">
        <v>119400</v>
      </c>
      <c r="E31">
        <v>88448.46</v>
      </c>
      <c r="F31">
        <v>0.74077437185929651</v>
      </c>
      <c r="G31">
        <v>600</v>
      </c>
    </row>
    <row r="32" spans="1:7" x14ac:dyDescent="0.25">
      <c r="A32" t="str">
        <f t="shared" ref="A32:B47" si="2">+A31</f>
        <v>2018</v>
      </c>
      <c r="B32" t="str">
        <f t="shared" si="2"/>
        <v>Noviembre</v>
      </c>
      <c r="C32" s="2">
        <v>5</v>
      </c>
      <c r="D32">
        <v>19958625</v>
      </c>
      <c r="E32">
        <v>9253451.6076999996</v>
      </c>
      <c r="F32">
        <v>0.46363171850265233</v>
      </c>
      <c r="G32">
        <v>17338</v>
      </c>
    </row>
    <row r="33" spans="1:7" x14ac:dyDescent="0.25">
      <c r="A33" t="str">
        <f t="shared" si="2"/>
        <v>2018</v>
      </c>
      <c r="B33" t="str">
        <f t="shared" si="2"/>
        <v>Noviembre</v>
      </c>
      <c r="C33" s="2">
        <v>6</v>
      </c>
      <c r="D33">
        <v>41133675</v>
      </c>
      <c r="E33">
        <v>18547382.547499999</v>
      </c>
      <c r="F33">
        <v>0.45090506859647234</v>
      </c>
      <c r="G33">
        <v>40124</v>
      </c>
    </row>
    <row r="34" spans="1:7" x14ac:dyDescent="0.25">
      <c r="A34" t="str">
        <f t="shared" si="2"/>
        <v>2018</v>
      </c>
      <c r="B34" t="str">
        <f t="shared" si="2"/>
        <v>Noviembre</v>
      </c>
      <c r="C34" s="2">
        <v>7</v>
      </c>
      <c r="D34">
        <v>39846540</v>
      </c>
      <c r="E34">
        <v>18213752.7579</v>
      </c>
      <c r="F34">
        <v>0.45709747340421525</v>
      </c>
      <c r="G34">
        <v>32441</v>
      </c>
    </row>
    <row r="35" spans="1:7" x14ac:dyDescent="0.25">
      <c r="A35" t="str">
        <f t="shared" si="2"/>
        <v>2018</v>
      </c>
      <c r="B35" t="str">
        <f t="shared" si="2"/>
        <v>Noviembre</v>
      </c>
      <c r="C35" s="2">
        <v>8</v>
      </c>
      <c r="D35">
        <v>43155991.530000001</v>
      </c>
      <c r="E35">
        <v>19480220.478100002</v>
      </c>
      <c r="F35">
        <v>0.45139086804570983</v>
      </c>
      <c r="G35">
        <v>38897</v>
      </c>
    </row>
    <row r="36" spans="1:7" x14ac:dyDescent="0.25">
      <c r="A36" t="str">
        <f t="shared" si="2"/>
        <v>2018</v>
      </c>
      <c r="B36" t="str">
        <f t="shared" si="2"/>
        <v>Noviembre</v>
      </c>
      <c r="C36" s="2">
        <v>9</v>
      </c>
      <c r="D36">
        <v>52572804</v>
      </c>
      <c r="E36">
        <v>23519783.299199998</v>
      </c>
      <c r="F36">
        <v>0.44737547761766711</v>
      </c>
      <c r="G36">
        <v>50826</v>
      </c>
    </row>
    <row r="37" spans="1:7" x14ac:dyDescent="0.25">
      <c r="A37" t="str">
        <f t="shared" si="2"/>
        <v>2018</v>
      </c>
      <c r="B37" t="str">
        <f t="shared" si="2"/>
        <v>Noviembre</v>
      </c>
      <c r="C37" s="2">
        <v>10</v>
      </c>
      <c r="D37">
        <v>4633238</v>
      </c>
      <c r="E37">
        <v>1751722.3291</v>
      </c>
      <c r="F37">
        <v>0.37807734657705905</v>
      </c>
      <c r="G37">
        <v>2327</v>
      </c>
    </row>
    <row r="38" spans="1:7" x14ac:dyDescent="0.25">
      <c r="A38" t="str">
        <f t="shared" si="2"/>
        <v>2018</v>
      </c>
      <c r="B38" t="str">
        <f t="shared" si="2"/>
        <v>Noviembre</v>
      </c>
      <c r="C38" s="2">
        <v>12</v>
      </c>
      <c r="D38">
        <v>29803056</v>
      </c>
      <c r="E38">
        <v>15260938.712300001</v>
      </c>
      <c r="F38">
        <v>0.51205952544933642</v>
      </c>
      <c r="G38">
        <v>22532</v>
      </c>
    </row>
    <row r="39" spans="1:7" x14ac:dyDescent="0.25">
      <c r="A39" t="str">
        <f t="shared" si="2"/>
        <v>2018</v>
      </c>
      <c r="B39" t="str">
        <f t="shared" si="2"/>
        <v>Noviembre</v>
      </c>
      <c r="C39" s="2">
        <v>13</v>
      </c>
      <c r="D39">
        <v>55397821.289999999</v>
      </c>
      <c r="E39">
        <v>25516902.567200001</v>
      </c>
      <c r="F39">
        <v>0.46061202359606368</v>
      </c>
      <c r="G39">
        <v>45663</v>
      </c>
    </row>
    <row r="40" spans="1:7" x14ac:dyDescent="0.25">
      <c r="A40" t="str">
        <f t="shared" si="2"/>
        <v>2018</v>
      </c>
      <c r="B40" t="str">
        <f t="shared" si="2"/>
        <v>Noviembre</v>
      </c>
      <c r="C40" s="2">
        <v>14</v>
      </c>
      <c r="D40">
        <v>53565881</v>
      </c>
      <c r="E40">
        <v>23055295.3948</v>
      </c>
      <c r="F40">
        <v>0.43041008500914973</v>
      </c>
      <c r="G40">
        <v>39637</v>
      </c>
    </row>
    <row r="41" spans="1:7" x14ac:dyDescent="0.25">
      <c r="A41" t="str">
        <f t="shared" si="2"/>
        <v>2018</v>
      </c>
      <c r="B41" t="str">
        <f t="shared" si="2"/>
        <v>Noviembre</v>
      </c>
      <c r="C41" s="2">
        <v>15</v>
      </c>
      <c r="D41">
        <v>35146774</v>
      </c>
      <c r="E41">
        <v>15805838.5679</v>
      </c>
      <c r="F41">
        <v>0.44970951154435967</v>
      </c>
      <c r="G41">
        <v>22941</v>
      </c>
    </row>
    <row r="42" spans="1:7" x14ac:dyDescent="0.25">
      <c r="A42" t="str">
        <f t="shared" si="2"/>
        <v>2018</v>
      </c>
      <c r="B42" t="str">
        <f t="shared" si="2"/>
        <v>Noviembre</v>
      </c>
      <c r="C42" s="2">
        <v>16</v>
      </c>
      <c r="D42">
        <v>44841397</v>
      </c>
      <c r="E42">
        <v>19514879.669399999</v>
      </c>
      <c r="F42">
        <v>0.43519785231936464</v>
      </c>
      <c r="G42">
        <v>32030</v>
      </c>
    </row>
    <row r="43" spans="1:7" x14ac:dyDescent="0.25">
      <c r="A43" t="str">
        <f t="shared" si="2"/>
        <v>2018</v>
      </c>
      <c r="B43" t="str">
        <f t="shared" si="2"/>
        <v>Noviembre</v>
      </c>
      <c r="C43" s="2">
        <v>17</v>
      </c>
      <c r="D43">
        <v>6257115</v>
      </c>
      <c r="E43">
        <v>2745805.7176000001</v>
      </c>
      <c r="F43">
        <v>0.43882935148227259</v>
      </c>
      <c r="G43">
        <v>10620</v>
      </c>
    </row>
    <row r="44" spans="1:7" x14ac:dyDescent="0.25">
      <c r="A44" t="str">
        <f t="shared" si="2"/>
        <v>2018</v>
      </c>
      <c r="B44" t="str">
        <f t="shared" si="2"/>
        <v>Noviembre</v>
      </c>
      <c r="C44" s="2">
        <v>19</v>
      </c>
      <c r="D44">
        <v>30274879</v>
      </c>
      <c r="E44">
        <v>13093427.305500001</v>
      </c>
      <c r="F44">
        <v>0.43248487650437845</v>
      </c>
      <c r="G44">
        <v>21839.802</v>
      </c>
    </row>
    <row r="45" spans="1:7" x14ac:dyDescent="0.25">
      <c r="A45" t="str">
        <f t="shared" si="2"/>
        <v>2018</v>
      </c>
      <c r="B45" t="str">
        <f t="shared" si="2"/>
        <v>Noviembre</v>
      </c>
      <c r="C45" s="2">
        <v>20</v>
      </c>
      <c r="D45">
        <v>51088803</v>
      </c>
      <c r="E45">
        <v>23106060.925099999</v>
      </c>
      <c r="F45">
        <v>0.45227250529044494</v>
      </c>
      <c r="G45">
        <v>32797</v>
      </c>
    </row>
    <row r="46" spans="1:7" x14ac:dyDescent="0.25">
      <c r="A46" t="str">
        <f t="shared" si="2"/>
        <v>2018</v>
      </c>
      <c r="B46" t="str">
        <f t="shared" si="2"/>
        <v>Noviembre</v>
      </c>
      <c r="C46" s="2">
        <v>21</v>
      </c>
      <c r="D46">
        <v>55959951.020000003</v>
      </c>
      <c r="E46">
        <v>24459130.485199999</v>
      </c>
      <c r="F46">
        <v>0.43708277150668601</v>
      </c>
      <c r="G46">
        <v>41581</v>
      </c>
    </row>
    <row r="47" spans="1:7" x14ac:dyDescent="0.25">
      <c r="A47" t="str">
        <f t="shared" si="2"/>
        <v>2018</v>
      </c>
      <c r="B47" t="str">
        <f t="shared" si="2"/>
        <v>Noviembre</v>
      </c>
      <c r="C47" s="2">
        <v>22</v>
      </c>
      <c r="D47">
        <v>44408036</v>
      </c>
      <c r="E47">
        <v>19886703.545600001</v>
      </c>
      <c r="F47">
        <v>0.44781767753926338</v>
      </c>
      <c r="G47">
        <v>32445</v>
      </c>
    </row>
    <row r="48" spans="1:7" x14ac:dyDescent="0.25">
      <c r="A48" t="str">
        <f t="shared" ref="A48:B54" si="3">+A47</f>
        <v>2018</v>
      </c>
      <c r="B48" t="str">
        <f t="shared" si="3"/>
        <v>Noviembre</v>
      </c>
      <c r="C48" s="2">
        <v>23</v>
      </c>
      <c r="D48">
        <v>78254589</v>
      </c>
      <c r="E48">
        <v>35873847.113300003</v>
      </c>
      <c r="F48">
        <v>0.45842483580483695</v>
      </c>
      <c r="G48">
        <v>37548</v>
      </c>
    </row>
    <row r="49" spans="1:7" x14ac:dyDescent="0.25">
      <c r="A49" t="str">
        <f t="shared" si="3"/>
        <v>2018</v>
      </c>
      <c r="B49" t="str">
        <f t="shared" si="3"/>
        <v>Noviembre</v>
      </c>
      <c r="C49" s="2">
        <v>24</v>
      </c>
      <c r="D49">
        <v>2803572</v>
      </c>
      <c r="E49">
        <v>1170888.0737000001</v>
      </c>
      <c r="F49">
        <v>0.41764152078134609</v>
      </c>
      <c r="G49">
        <v>3658</v>
      </c>
    </row>
    <row r="50" spans="1:7" x14ac:dyDescent="0.25">
      <c r="A50" t="str">
        <f t="shared" si="3"/>
        <v>2018</v>
      </c>
      <c r="B50" t="str">
        <f t="shared" si="3"/>
        <v>Noviembre</v>
      </c>
      <c r="C50" s="2">
        <v>26</v>
      </c>
      <c r="D50">
        <v>51022407</v>
      </c>
      <c r="E50">
        <v>22567906.655499998</v>
      </c>
      <c r="F50">
        <v>0.44231364183779098</v>
      </c>
      <c r="G50">
        <v>35286</v>
      </c>
    </row>
    <row r="51" spans="1:7" x14ac:dyDescent="0.25">
      <c r="A51" t="str">
        <f t="shared" si="3"/>
        <v>2018</v>
      </c>
      <c r="B51" t="str">
        <f t="shared" si="3"/>
        <v>Noviembre</v>
      </c>
      <c r="C51" s="2">
        <v>27</v>
      </c>
      <c r="D51">
        <v>38448220.799999997</v>
      </c>
      <c r="E51">
        <v>17084154.353599999</v>
      </c>
      <c r="F51">
        <v>0.44434187065425923</v>
      </c>
      <c r="G51">
        <v>34700.067999999999</v>
      </c>
    </row>
    <row r="52" spans="1:7" x14ac:dyDescent="0.25">
      <c r="A52" t="str">
        <f t="shared" si="3"/>
        <v>2018</v>
      </c>
      <c r="B52" t="str">
        <f t="shared" si="3"/>
        <v>Noviembre</v>
      </c>
      <c r="C52" s="2">
        <v>28</v>
      </c>
      <c r="D52">
        <v>67109100</v>
      </c>
      <c r="E52">
        <v>30374203.277600002</v>
      </c>
      <c r="F52">
        <v>0.45260930749481071</v>
      </c>
      <c r="G52">
        <v>56946</v>
      </c>
    </row>
    <row r="53" spans="1:7" x14ac:dyDescent="0.25">
      <c r="A53" t="str">
        <f t="shared" si="3"/>
        <v>2018</v>
      </c>
      <c r="B53" t="str">
        <f t="shared" si="3"/>
        <v>Noviembre</v>
      </c>
      <c r="C53" s="2">
        <v>29</v>
      </c>
      <c r="D53">
        <v>43294266</v>
      </c>
      <c r="E53">
        <v>20064318.8103</v>
      </c>
      <c r="F53">
        <v>0.46344055839403769</v>
      </c>
      <c r="G53">
        <v>26451.955000000002</v>
      </c>
    </row>
    <row r="54" spans="1:7" x14ac:dyDescent="0.25">
      <c r="A54" t="str">
        <f t="shared" si="3"/>
        <v>2018</v>
      </c>
      <c r="B54" t="str">
        <f t="shared" si="3"/>
        <v>Noviembre</v>
      </c>
      <c r="C54" s="2">
        <v>30</v>
      </c>
      <c r="D54">
        <v>133543105.98</v>
      </c>
      <c r="E54">
        <v>49907924.488600001</v>
      </c>
      <c r="F54">
        <v>0.37372145961675046</v>
      </c>
      <c r="G54">
        <v>112080.68299999999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63" workbookViewId="0">
      <selection activeCell="A62" sqref="A62"/>
    </sheetView>
  </sheetViews>
  <sheetFormatPr baseColWidth="10" defaultRowHeight="15" x14ac:dyDescent="0.25"/>
  <cols>
    <col min="4" max="4" width="15.28515625" bestFit="1" customWidth="1"/>
    <col min="5" max="5" width="14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18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53</v>
      </c>
    </row>
    <row r="5" spans="1:8" x14ac:dyDescent="0.25">
      <c r="A5" s="1" t="s">
        <v>15</v>
      </c>
      <c r="B5" s="1" t="s">
        <v>16</v>
      </c>
      <c r="C5" s="1" t="s">
        <v>17</v>
      </c>
      <c r="D5" s="1" t="s">
        <v>19</v>
      </c>
      <c r="E5" s="1" t="s">
        <v>20</v>
      </c>
      <c r="F5" s="1" t="s">
        <v>21</v>
      </c>
      <c r="G5" s="1" t="s">
        <v>22</v>
      </c>
    </row>
    <row r="6" spans="1:8" x14ac:dyDescent="0.25">
      <c r="A6" t="s">
        <v>23</v>
      </c>
      <c r="B6" t="s">
        <v>25</v>
      </c>
      <c r="C6" s="2">
        <v>2</v>
      </c>
      <c r="D6">
        <v>22573203</v>
      </c>
      <c r="E6">
        <v>7449886.1591999996</v>
      </c>
      <c r="F6">
        <v>0.33003230242513659</v>
      </c>
      <c r="G6">
        <v>20060</v>
      </c>
    </row>
    <row r="7" spans="1:8" x14ac:dyDescent="0.25">
      <c r="A7" t="str">
        <f t="shared" ref="A7:A30" si="0">+A6</f>
        <v>2017</v>
      </c>
      <c r="B7" t="str">
        <f t="shared" ref="B7:B30" si="1">+B6</f>
        <v>Noviembre</v>
      </c>
      <c r="C7" s="2">
        <v>3</v>
      </c>
      <c r="D7">
        <v>43008309</v>
      </c>
      <c r="E7">
        <v>18019505.718199998</v>
      </c>
      <c r="F7">
        <v>0.41897731245839032</v>
      </c>
      <c r="G7">
        <v>42303</v>
      </c>
    </row>
    <row r="8" spans="1:8" x14ac:dyDescent="0.25">
      <c r="A8" t="str">
        <f t="shared" si="0"/>
        <v>2017</v>
      </c>
      <c r="B8" t="str">
        <f t="shared" si="1"/>
        <v>Noviembre</v>
      </c>
      <c r="C8" s="2">
        <v>4</v>
      </c>
      <c r="D8">
        <v>6908039</v>
      </c>
      <c r="E8">
        <v>3207201.8881999999</v>
      </c>
      <c r="F8">
        <v>0.46427095854554384</v>
      </c>
      <c r="G8">
        <v>3069</v>
      </c>
    </row>
    <row r="9" spans="1:8" x14ac:dyDescent="0.25">
      <c r="A9" t="str">
        <f t="shared" si="0"/>
        <v>2017</v>
      </c>
      <c r="B9" t="str">
        <f t="shared" si="1"/>
        <v>Noviembre</v>
      </c>
      <c r="C9" s="2">
        <v>6</v>
      </c>
      <c r="D9">
        <v>27465678</v>
      </c>
      <c r="E9">
        <v>11169648.837099999</v>
      </c>
      <c r="F9">
        <v>0.40667661060833815</v>
      </c>
      <c r="G9">
        <v>23754</v>
      </c>
    </row>
    <row r="10" spans="1:8" x14ac:dyDescent="0.25">
      <c r="A10" t="str">
        <f t="shared" si="0"/>
        <v>2017</v>
      </c>
      <c r="B10" t="str">
        <f t="shared" si="1"/>
        <v>Noviembre</v>
      </c>
      <c r="C10" s="2">
        <v>7</v>
      </c>
      <c r="D10">
        <v>53210249</v>
      </c>
      <c r="E10">
        <v>22805585.074700002</v>
      </c>
      <c r="F10">
        <v>0.42859384241370491</v>
      </c>
      <c r="G10">
        <v>49062</v>
      </c>
    </row>
    <row r="11" spans="1:8" x14ac:dyDescent="0.25">
      <c r="A11" t="str">
        <f t="shared" si="0"/>
        <v>2017</v>
      </c>
      <c r="B11" t="str">
        <f t="shared" si="1"/>
        <v>Noviembre</v>
      </c>
      <c r="C11" s="2">
        <v>8</v>
      </c>
      <c r="D11">
        <v>32854907</v>
      </c>
      <c r="E11">
        <v>12522122.968499999</v>
      </c>
      <c r="F11">
        <v>0.38113402568754801</v>
      </c>
      <c r="G11">
        <v>33358</v>
      </c>
    </row>
    <row r="12" spans="1:8" x14ac:dyDescent="0.25">
      <c r="A12" t="str">
        <f t="shared" si="0"/>
        <v>2017</v>
      </c>
      <c r="B12" t="str">
        <f t="shared" si="1"/>
        <v>Noviembre</v>
      </c>
      <c r="C12" s="2">
        <v>9</v>
      </c>
      <c r="D12">
        <v>42247501</v>
      </c>
      <c r="E12">
        <v>16519679.7576</v>
      </c>
      <c r="F12">
        <v>0.39102146556786871</v>
      </c>
      <c r="G12">
        <v>43301.464999999997</v>
      </c>
    </row>
    <row r="13" spans="1:8" x14ac:dyDescent="0.25">
      <c r="A13" t="str">
        <f t="shared" si="0"/>
        <v>2017</v>
      </c>
      <c r="B13" t="str">
        <f t="shared" si="1"/>
        <v>Noviembre</v>
      </c>
      <c r="C13" s="2">
        <v>10</v>
      </c>
      <c r="D13">
        <v>44152427</v>
      </c>
      <c r="E13">
        <v>17606238.522999998</v>
      </c>
      <c r="F13">
        <v>0.39876037897078681</v>
      </c>
      <c r="G13">
        <v>33334</v>
      </c>
    </row>
    <row r="14" spans="1:8" x14ac:dyDescent="0.25">
      <c r="A14" t="str">
        <f t="shared" si="0"/>
        <v>2017</v>
      </c>
      <c r="B14" t="str">
        <f t="shared" si="1"/>
        <v>Noviembre</v>
      </c>
      <c r="C14" s="2">
        <v>11</v>
      </c>
      <c r="D14">
        <v>6501029</v>
      </c>
      <c r="E14">
        <v>2276680.2601999999</v>
      </c>
      <c r="F14">
        <v>0.3502030617306891</v>
      </c>
      <c r="G14">
        <v>3395</v>
      </c>
    </row>
    <row r="15" spans="1:8" x14ac:dyDescent="0.25">
      <c r="A15" t="str">
        <f t="shared" si="0"/>
        <v>2017</v>
      </c>
      <c r="B15" t="str">
        <f t="shared" si="1"/>
        <v>Noviembre</v>
      </c>
      <c r="C15" s="2">
        <v>13</v>
      </c>
      <c r="D15">
        <v>41855457</v>
      </c>
      <c r="E15">
        <v>17192987.295400001</v>
      </c>
      <c r="F15">
        <v>0.41077050706673685</v>
      </c>
      <c r="G15">
        <v>54147</v>
      </c>
    </row>
    <row r="16" spans="1:8" x14ac:dyDescent="0.25">
      <c r="A16" t="str">
        <f t="shared" si="0"/>
        <v>2017</v>
      </c>
      <c r="B16" t="str">
        <f t="shared" si="1"/>
        <v>Noviembre</v>
      </c>
      <c r="C16" s="2">
        <v>14</v>
      </c>
      <c r="D16">
        <v>61781317</v>
      </c>
      <c r="E16">
        <v>26115470.889400002</v>
      </c>
      <c r="F16">
        <v>0.42270822568253119</v>
      </c>
      <c r="G16">
        <v>54800</v>
      </c>
    </row>
    <row r="17" spans="1:7" x14ac:dyDescent="0.25">
      <c r="A17" t="str">
        <f t="shared" si="0"/>
        <v>2017</v>
      </c>
      <c r="B17" t="str">
        <f t="shared" si="1"/>
        <v>Noviembre</v>
      </c>
      <c r="C17" s="2">
        <v>15</v>
      </c>
      <c r="D17">
        <v>37128554.049999997</v>
      </c>
      <c r="E17">
        <v>15167963.7502</v>
      </c>
      <c r="F17">
        <v>0.40852557117558957</v>
      </c>
      <c r="G17">
        <v>40935.164000000004</v>
      </c>
    </row>
    <row r="18" spans="1:7" x14ac:dyDescent="0.25">
      <c r="A18" t="str">
        <f t="shared" si="0"/>
        <v>2017</v>
      </c>
      <c r="B18" t="str">
        <f t="shared" si="1"/>
        <v>Noviembre</v>
      </c>
      <c r="C18" s="2">
        <v>16</v>
      </c>
      <c r="D18">
        <v>48441226</v>
      </c>
      <c r="E18">
        <v>18868043.355099998</v>
      </c>
      <c r="F18">
        <v>0.38950383615600481</v>
      </c>
      <c r="G18">
        <v>47574</v>
      </c>
    </row>
    <row r="19" spans="1:7" x14ac:dyDescent="0.25">
      <c r="A19" t="str">
        <f t="shared" si="0"/>
        <v>2017</v>
      </c>
      <c r="B19" t="str">
        <f t="shared" si="1"/>
        <v>Noviembre</v>
      </c>
      <c r="C19" s="2">
        <v>17</v>
      </c>
      <c r="D19">
        <v>43911461</v>
      </c>
      <c r="E19">
        <v>19566761.335000001</v>
      </c>
      <c r="F19">
        <v>0.44559577134088069</v>
      </c>
      <c r="G19">
        <v>39675</v>
      </c>
    </row>
    <row r="20" spans="1:7" x14ac:dyDescent="0.25">
      <c r="A20" t="str">
        <f t="shared" si="0"/>
        <v>2017</v>
      </c>
      <c r="B20" t="str">
        <f t="shared" si="1"/>
        <v>Noviembre</v>
      </c>
      <c r="C20" s="2">
        <v>18</v>
      </c>
      <c r="D20">
        <v>7012852</v>
      </c>
      <c r="E20">
        <v>2480928.3256999999</v>
      </c>
      <c r="F20">
        <v>0.35376881270273491</v>
      </c>
      <c r="G20">
        <v>14908</v>
      </c>
    </row>
    <row r="21" spans="1:7" x14ac:dyDescent="0.25">
      <c r="A21" t="str">
        <f t="shared" si="0"/>
        <v>2017</v>
      </c>
      <c r="B21" t="str">
        <f t="shared" si="1"/>
        <v>Noviembre</v>
      </c>
      <c r="C21" s="2">
        <v>20</v>
      </c>
      <c r="D21">
        <v>36279957</v>
      </c>
      <c r="E21">
        <v>14043186.734099999</v>
      </c>
      <c r="F21">
        <v>0.38707837316620852</v>
      </c>
      <c r="G21">
        <v>33429</v>
      </c>
    </row>
    <row r="22" spans="1:7" x14ac:dyDescent="0.25">
      <c r="A22" t="str">
        <f t="shared" si="0"/>
        <v>2017</v>
      </c>
      <c r="B22" t="str">
        <f t="shared" si="1"/>
        <v>Noviembre</v>
      </c>
      <c r="C22" s="2">
        <v>21</v>
      </c>
      <c r="D22">
        <v>65150836</v>
      </c>
      <c r="E22">
        <v>27000534.603100002</v>
      </c>
      <c r="F22">
        <v>0.41443113029432194</v>
      </c>
      <c r="G22">
        <v>64000</v>
      </c>
    </row>
    <row r="23" spans="1:7" x14ac:dyDescent="0.25">
      <c r="A23" t="str">
        <f t="shared" si="0"/>
        <v>2017</v>
      </c>
      <c r="B23" t="str">
        <f t="shared" si="1"/>
        <v>Noviembre</v>
      </c>
      <c r="C23" s="2">
        <v>22</v>
      </c>
      <c r="D23">
        <v>46244791</v>
      </c>
      <c r="E23">
        <v>17347879.491099998</v>
      </c>
      <c r="F23">
        <v>0.37513153624372525</v>
      </c>
      <c r="G23">
        <v>36337.26</v>
      </c>
    </row>
    <row r="24" spans="1:7" x14ac:dyDescent="0.25">
      <c r="A24" t="str">
        <f t="shared" si="0"/>
        <v>2017</v>
      </c>
      <c r="B24" t="str">
        <f t="shared" si="1"/>
        <v>Noviembre</v>
      </c>
      <c r="C24" s="2">
        <v>23</v>
      </c>
      <c r="D24">
        <v>50049674</v>
      </c>
      <c r="E24">
        <v>19442299.063099999</v>
      </c>
      <c r="F24">
        <v>0.38846005396758426</v>
      </c>
      <c r="G24">
        <v>57752</v>
      </c>
    </row>
    <row r="25" spans="1:7" x14ac:dyDescent="0.25">
      <c r="A25" t="str">
        <f t="shared" si="0"/>
        <v>2017</v>
      </c>
      <c r="B25" t="str">
        <f t="shared" si="1"/>
        <v>Noviembre</v>
      </c>
      <c r="C25" s="2">
        <v>24</v>
      </c>
      <c r="D25">
        <v>50088601</v>
      </c>
      <c r="E25">
        <v>20699577.570799999</v>
      </c>
      <c r="F25">
        <v>0.41325924776377765</v>
      </c>
      <c r="G25">
        <v>35515</v>
      </c>
    </row>
    <row r="26" spans="1:7" x14ac:dyDescent="0.25">
      <c r="A26" t="str">
        <f t="shared" si="0"/>
        <v>2017</v>
      </c>
      <c r="B26" t="str">
        <f t="shared" si="1"/>
        <v>Noviembre</v>
      </c>
      <c r="C26" s="2">
        <v>25</v>
      </c>
      <c r="D26">
        <v>7896211</v>
      </c>
      <c r="E26">
        <v>3017735.8985000001</v>
      </c>
      <c r="F26">
        <v>0.38217518484498453</v>
      </c>
      <c r="G26">
        <v>8170</v>
      </c>
    </row>
    <row r="27" spans="1:7" x14ac:dyDescent="0.25">
      <c r="A27" t="str">
        <f t="shared" si="0"/>
        <v>2017</v>
      </c>
      <c r="B27" t="str">
        <f t="shared" si="1"/>
        <v>Noviembre</v>
      </c>
      <c r="C27" s="2">
        <v>27</v>
      </c>
      <c r="D27">
        <v>64032478</v>
      </c>
      <c r="E27">
        <v>24529911.351399999</v>
      </c>
      <c r="F27">
        <v>0.38308546096560558</v>
      </c>
      <c r="G27">
        <v>46275</v>
      </c>
    </row>
    <row r="28" spans="1:7" x14ac:dyDescent="0.25">
      <c r="A28" t="str">
        <f t="shared" si="0"/>
        <v>2017</v>
      </c>
      <c r="B28" t="str">
        <f t="shared" si="1"/>
        <v>Noviembre</v>
      </c>
      <c r="C28" s="2">
        <v>28</v>
      </c>
      <c r="D28">
        <v>102192683</v>
      </c>
      <c r="E28">
        <v>37169922.141199999</v>
      </c>
      <c r="F28">
        <v>0.3637239090904385</v>
      </c>
      <c r="G28">
        <v>100082</v>
      </c>
    </row>
    <row r="29" spans="1:7" x14ac:dyDescent="0.25">
      <c r="A29" t="str">
        <f t="shared" si="0"/>
        <v>2017</v>
      </c>
      <c r="B29" t="str">
        <f t="shared" si="1"/>
        <v>Noviembre</v>
      </c>
      <c r="C29" s="2">
        <v>29</v>
      </c>
      <c r="D29">
        <v>38732689.049999997</v>
      </c>
      <c r="E29">
        <v>15890934.2152</v>
      </c>
      <c r="F29">
        <v>0.41027190739807412</v>
      </c>
      <c r="G29">
        <v>62949</v>
      </c>
    </row>
    <row r="30" spans="1:7" x14ac:dyDescent="0.25">
      <c r="A30" t="str">
        <f t="shared" si="0"/>
        <v>2017</v>
      </c>
      <c r="B30" t="str">
        <f t="shared" si="1"/>
        <v>Noviembre</v>
      </c>
      <c r="C30" s="2">
        <v>30</v>
      </c>
      <c r="D30">
        <v>140237465</v>
      </c>
      <c r="E30">
        <v>42592851.4881</v>
      </c>
      <c r="F30">
        <v>0.30371949099407924</v>
      </c>
      <c r="G30">
        <v>113821</v>
      </c>
    </row>
    <row r="31" spans="1:7" x14ac:dyDescent="0.25">
      <c r="A31" t="s">
        <v>26</v>
      </c>
      <c r="B31" t="s">
        <v>25</v>
      </c>
      <c r="C31" s="2">
        <v>1</v>
      </c>
      <c r="D31">
        <v>119400</v>
      </c>
      <c r="E31">
        <v>88448.46</v>
      </c>
      <c r="F31">
        <v>0.74077437185929651</v>
      </c>
      <c r="G31">
        <v>600</v>
      </c>
    </row>
    <row r="32" spans="1:7" x14ac:dyDescent="0.25">
      <c r="A32" t="str">
        <f t="shared" ref="A32:A54" si="2">+A31</f>
        <v>2018</v>
      </c>
      <c r="B32" t="str">
        <f t="shared" ref="B32:B54" si="3">+B31</f>
        <v>Noviembre</v>
      </c>
      <c r="C32" s="2">
        <v>5</v>
      </c>
      <c r="D32">
        <v>19958625</v>
      </c>
      <c r="E32">
        <v>9253451.6076999996</v>
      </c>
      <c r="F32">
        <v>0.46363171850265233</v>
      </c>
      <c r="G32">
        <v>17338</v>
      </c>
    </row>
    <row r="33" spans="1:7" x14ac:dyDescent="0.25">
      <c r="A33" t="str">
        <f t="shared" si="2"/>
        <v>2018</v>
      </c>
      <c r="B33" t="str">
        <f t="shared" si="3"/>
        <v>Noviembre</v>
      </c>
      <c r="C33" s="2">
        <v>6</v>
      </c>
      <c r="D33">
        <v>41133675</v>
      </c>
      <c r="E33">
        <v>18547382.547499999</v>
      </c>
      <c r="F33">
        <v>0.45090506859647234</v>
      </c>
      <c r="G33">
        <v>40124</v>
      </c>
    </row>
    <row r="34" spans="1:7" x14ac:dyDescent="0.25">
      <c r="A34" t="str">
        <f t="shared" si="2"/>
        <v>2018</v>
      </c>
      <c r="B34" t="str">
        <f t="shared" si="3"/>
        <v>Noviembre</v>
      </c>
      <c r="C34" s="2">
        <v>7</v>
      </c>
      <c r="D34">
        <v>39846540</v>
      </c>
      <c r="E34">
        <v>18213752.7579</v>
      </c>
      <c r="F34">
        <v>0.45709747340421525</v>
      </c>
      <c r="G34">
        <v>32441</v>
      </c>
    </row>
    <row r="35" spans="1:7" x14ac:dyDescent="0.25">
      <c r="A35" t="str">
        <f t="shared" si="2"/>
        <v>2018</v>
      </c>
      <c r="B35" t="str">
        <f t="shared" si="3"/>
        <v>Noviembre</v>
      </c>
      <c r="C35" s="2">
        <v>8</v>
      </c>
      <c r="D35">
        <v>43155991.530000001</v>
      </c>
      <c r="E35">
        <v>19480220.478100002</v>
      </c>
      <c r="F35">
        <v>0.45139086804570983</v>
      </c>
      <c r="G35">
        <v>38897</v>
      </c>
    </row>
    <row r="36" spans="1:7" x14ac:dyDescent="0.25">
      <c r="A36" t="str">
        <f t="shared" si="2"/>
        <v>2018</v>
      </c>
      <c r="B36" t="str">
        <f t="shared" si="3"/>
        <v>Noviembre</v>
      </c>
      <c r="C36" s="2">
        <v>9</v>
      </c>
      <c r="D36">
        <v>52572804</v>
      </c>
      <c r="E36">
        <v>23519783.299199998</v>
      </c>
      <c r="F36">
        <v>0.44737547761766711</v>
      </c>
      <c r="G36">
        <v>50826</v>
      </c>
    </row>
    <row r="37" spans="1:7" x14ac:dyDescent="0.25">
      <c r="A37" t="str">
        <f t="shared" si="2"/>
        <v>2018</v>
      </c>
      <c r="B37" t="str">
        <f t="shared" si="3"/>
        <v>Noviembre</v>
      </c>
      <c r="C37" s="2">
        <v>10</v>
      </c>
      <c r="D37">
        <v>4633238</v>
      </c>
      <c r="E37">
        <v>1751722.3291</v>
      </c>
      <c r="F37">
        <v>0.37807734657705905</v>
      </c>
      <c r="G37">
        <v>2327</v>
      </c>
    </row>
    <row r="38" spans="1:7" x14ac:dyDescent="0.25">
      <c r="A38" t="str">
        <f t="shared" si="2"/>
        <v>2018</v>
      </c>
      <c r="B38" t="str">
        <f t="shared" si="3"/>
        <v>Noviembre</v>
      </c>
      <c r="C38" s="2">
        <v>12</v>
      </c>
      <c r="D38">
        <v>29803056</v>
      </c>
      <c r="E38">
        <v>15260938.712300001</v>
      </c>
      <c r="F38">
        <v>0.51205952544933642</v>
      </c>
      <c r="G38">
        <v>22532</v>
      </c>
    </row>
    <row r="39" spans="1:7" x14ac:dyDescent="0.25">
      <c r="A39" t="str">
        <f t="shared" si="2"/>
        <v>2018</v>
      </c>
      <c r="B39" t="str">
        <f t="shared" si="3"/>
        <v>Noviembre</v>
      </c>
      <c r="C39" s="2">
        <v>13</v>
      </c>
      <c r="D39">
        <v>55397821.289999999</v>
      </c>
      <c r="E39">
        <v>25516902.567200001</v>
      </c>
      <c r="F39">
        <v>0.46061202359606368</v>
      </c>
      <c r="G39">
        <v>45663</v>
      </c>
    </row>
    <row r="40" spans="1:7" x14ac:dyDescent="0.25">
      <c r="A40" t="str">
        <f t="shared" si="2"/>
        <v>2018</v>
      </c>
      <c r="B40" t="str">
        <f t="shared" si="3"/>
        <v>Noviembre</v>
      </c>
      <c r="C40" s="2">
        <v>14</v>
      </c>
      <c r="D40">
        <v>53565881</v>
      </c>
      <c r="E40">
        <v>23055295.3948</v>
      </c>
      <c r="F40">
        <v>0.43041008500914973</v>
      </c>
      <c r="G40">
        <v>39637</v>
      </c>
    </row>
    <row r="41" spans="1:7" x14ac:dyDescent="0.25">
      <c r="A41" t="str">
        <f t="shared" si="2"/>
        <v>2018</v>
      </c>
      <c r="B41" t="str">
        <f t="shared" si="3"/>
        <v>Noviembre</v>
      </c>
      <c r="C41" s="2">
        <v>15</v>
      </c>
      <c r="D41">
        <v>35146774</v>
      </c>
      <c r="E41">
        <v>15805838.5679</v>
      </c>
      <c r="F41">
        <v>0.44970951154435967</v>
      </c>
      <c r="G41">
        <v>22941</v>
      </c>
    </row>
    <row r="42" spans="1:7" x14ac:dyDescent="0.25">
      <c r="A42" t="str">
        <f t="shared" si="2"/>
        <v>2018</v>
      </c>
      <c r="B42" t="str">
        <f t="shared" si="3"/>
        <v>Noviembre</v>
      </c>
      <c r="C42" s="2">
        <v>16</v>
      </c>
      <c r="D42">
        <v>44841397</v>
      </c>
      <c r="E42">
        <v>19514879.669399999</v>
      </c>
      <c r="F42">
        <v>0.43519785231936464</v>
      </c>
      <c r="G42">
        <v>32030</v>
      </c>
    </row>
    <row r="43" spans="1:7" x14ac:dyDescent="0.25">
      <c r="A43" t="str">
        <f t="shared" si="2"/>
        <v>2018</v>
      </c>
      <c r="B43" t="str">
        <f t="shared" si="3"/>
        <v>Noviembre</v>
      </c>
      <c r="C43" s="2">
        <v>17</v>
      </c>
      <c r="D43">
        <v>6257115</v>
      </c>
      <c r="E43">
        <v>2745805.7176000001</v>
      </c>
      <c r="F43">
        <v>0.43882935148227259</v>
      </c>
      <c r="G43">
        <v>10620</v>
      </c>
    </row>
    <row r="44" spans="1:7" x14ac:dyDescent="0.25">
      <c r="A44" t="str">
        <f t="shared" si="2"/>
        <v>2018</v>
      </c>
      <c r="B44" t="str">
        <f t="shared" si="3"/>
        <v>Noviembre</v>
      </c>
      <c r="C44" s="2">
        <v>19</v>
      </c>
      <c r="D44">
        <v>30274879</v>
      </c>
      <c r="E44">
        <v>13093427.305500001</v>
      </c>
      <c r="F44">
        <v>0.43248487650437845</v>
      </c>
      <c r="G44">
        <v>21839.802</v>
      </c>
    </row>
    <row r="45" spans="1:7" x14ac:dyDescent="0.25">
      <c r="A45" t="str">
        <f t="shared" si="2"/>
        <v>2018</v>
      </c>
      <c r="B45" t="str">
        <f t="shared" si="3"/>
        <v>Noviembre</v>
      </c>
      <c r="C45" s="2">
        <v>20</v>
      </c>
      <c r="D45">
        <v>51088803</v>
      </c>
      <c r="E45">
        <v>23106060.925099999</v>
      </c>
      <c r="F45">
        <v>0.45227250529044494</v>
      </c>
      <c r="G45">
        <v>32797</v>
      </c>
    </row>
    <row r="46" spans="1:7" x14ac:dyDescent="0.25">
      <c r="A46" t="str">
        <f t="shared" si="2"/>
        <v>2018</v>
      </c>
      <c r="B46" t="str">
        <f t="shared" si="3"/>
        <v>Noviembre</v>
      </c>
      <c r="C46" s="2">
        <v>21</v>
      </c>
      <c r="D46">
        <v>55959951.020000003</v>
      </c>
      <c r="E46">
        <v>24459130.485199999</v>
      </c>
      <c r="F46">
        <v>0.43708277150668601</v>
      </c>
      <c r="G46">
        <v>41581</v>
      </c>
    </row>
    <row r="47" spans="1:7" x14ac:dyDescent="0.25">
      <c r="A47" t="str">
        <f t="shared" si="2"/>
        <v>2018</v>
      </c>
      <c r="B47" t="str">
        <f t="shared" si="3"/>
        <v>Noviembre</v>
      </c>
      <c r="C47" s="2">
        <v>22</v>
      </c>
      <c r="D47">
        <v>44408036</v>
      </c>
      <c r="E47">
        <v>19886703.545600001</v>
      </c>
      <c r="F47">
        <v>0.44781767753926338</v>
      </c>
      <c r="G47">
        <v>32445</v>
      </c>
    </row>
    <row r="48" spans="1:7" x14ac:dyDescent="0.25">
      <c r="A48" t="str">
        <f t="shared" si="2"/>
        <v>2018</v>
      </c>
      <c r="B48" t="str">
        <f t="shared" si="3"/>
        <v>Noviembre</v>
      </c>
      <c r="C48" s="2">
        <v>23</v>
      </c>
      <c r="D48">
        <v>78254589</v>
      </c>
      <c r="E48">
        <v>35873847.113300003</v>
      </c>
      <c r="F48">
        <v>0.45842483580483695</v>
      </c>
      <c r="G48">
        <v>37548</v>
      </c>
    </row>
    <row r="49" spans="1:8" x14ac:dyDescent="0.25">
      <c r="A49" t="str">
        <f t="shared" si="2"/>
        <v>2018</v>
      </c>
      <c r="B49" t="str">
        <f t="shared" si="3"/>
        <v>Noviembre</v>
      </c>
      <c r="C49" s="2">
        <v>24</v>
      </c>
      <c r="D49">
        <v>2803572</v>
      </c>
      <c r="E49">
        <v>1170888.0737000001</v>
      </c>
      <c r="F49">
        <v>0.41764152078134609</v>
      </c>
      <c r="G49">
        <v>3658</v>
      </c>
    </row>
    <row r="50" spans="1:8" x14ac:dyDescent="0.25">
      <c r="A50" t="str">
        <f t="shared" si="2"/>
        <v>2018</v>
      </c>
      <c r="B50" t="str">
        <f t="shared" si="3"/>
        <v>Noviembre</v>
      </c>
      <c r="C50" s="2">
        <v>26</v>
      </c>
      <c r="D50">
        <v>51022407</v>
      </c>
      <c r="E50">
        <v>22567906.655499998</v>
      </c>
      <c r="F50">
        <v>0.44231364183779098</v>
      </c>
      <c r="G50">
        <v>35286</v>
      </c>
    </row>
    <row r="51" spans="1:8" x14ac:dyDescent="0.25">
      <c r="A51" t="str">
        <f t="shared" si="2"/>
        <v>2018</v>
      </c>
      <c r="B51" t="str">
        <f t="shared" si="3"/>
        <v>Noviembre</v>
      </c>
      <c r="C51" s="2">
        <v>27</v>
      </c>
      <c r="D51">
        <v>38448220.799999997</v>
      </c>
      <c r="E51">
        <v>17084154.353599999</v>
      </c>
      <c r="F51">
        <v>0.44434187065425923</v>
      </c>
      <c r="G51">
        <v>34700.067999999999</v>
      </c>
    </row>
    <row r="52" spans="1:8" x14ac:dyDescent="0.25">
      <c r="A52" t="str">
        <f t="shared" si="2"/>
        <v>2018</v>
      </c>
      <c r="B52" t="str">
        <f t="shared" si="3"/>
        <v>Noviembre</v>
      </c>
      <c r="C52" s="2">
        <v>28</v>
      </c>
      <c r="D52">
        <v>67109100</v>
      </c>
      <c r="E52">
        <v>30374203.277600002</v>
      </c>
      <c r="F52">
        <v>0.45260930749481071</v>
      </c>
      <c r="G52">
        <v>56946</v>
      </c>
    </row>
    <row r="53" spans="1:8" x14ac:dyDescent="0.25">
      <c r="A53" t="str">
        <f t="shared" si="2"/>
        <v>2018</v>
      </c>
      <c r="B53" t="str">
        <f t="shared" si="3"/>
        <v>Noviembre</v>
      </c>
      <c r="C53" s="2">
        <v>29</v>
      </c>
      <c r="D53">
        <v>43294266</v>
      </c>
      <c r="E53">
        <v>20064318.8103</v>
      </c>
      <c r="F53">
        <v>0.46344055839403769</v>
      </c>
      <c r="G53">
        <v>26451.955000000002</v>
      </c>
    </row>
    <row r="54" spans="1:8" x14ac:dyDescent="0.25">
      <c r="A54" t="str">
        <f t="shared" si="2"/>
        <v>2018</v>
      </c>
      <c r="B54" t="str">
        <f t="shared" si="3"/>
        <v>Noviembre</v>
      </c>
      <c r="C54" s="2">
        <v>30</v>
      </c>
      <c r="D54">
        <v>133543105.98</v>
      </c>
      <c r="E54">
        <v>49907924.488600001</v>
      </c>
      <c r="F54">
        <v>0.37372145961675046</v>
      </c>
      <c r="G54">
        <v>112080.68299999999</v>
      </c>
    </row>
    <row r="58" spans="1:8" x14ac:dyDescent="0.25">
      <c r="A58" s="222" t="s">
        <v>0</v>
      </c>
      <c r="B58" s="222"/>
      <c r="C58" s="222"/>
      <c r="D58" s="222"/>
      <c r="E58" s="222"/>
      <c r="F58" s="222"/>
      <c r="G58" s="222"/>
      <c r="H58" s="179"/>
    </row>
    <row r="59" spans="1:8" x14ac:dyDescent="0.25">
      <c r="A59" s="178" t="s">
        <v>1</v>
      </c>
      <c r="B59" s="178" t="s">
        <v>2</v>
      </c>
      <c r="C59" s="178" t="s">
        <v>3</v>
      </c>
      <c r="D59" s="178" t="s">
        <v>18</v>
      </c>
      <c r="E59" s="178" t="s">
        <v>4</v>
      </c>
      <c r="F59" s="178" t="s">
        <v>5</v>
      </c>
      <c r="G59" s="178" t="s">
        <v>6</v>
      </c>
      <c r="H59" s="178" t="s">
        <v>7</v>
      </c>
    </row>
    <row r="60" spans="1:8" x14ac:dyDescent="0.25">
      <c r="A60" s="150" t="s">
        <v>8</v>
      </c>
      <c r="B60" s="150" t="s">
        <v>9</v>
      </c>
      <c r="C60" s="150" t="s">
        <v>10</v>
      </c>
      <c r="D60" s="150" t="s">
        <v>53</v>
      </c>
      <c r="E60" s="150" t="s">
        <v>11</v>
      </c>
      <c r="F60" s="150" t="s">
        <v>12</v>
      </c>
      <c r="G60" s="150" t="s">
        <v>13</v>
      </c>
      <c r="H60" s="150" t="s">
        <v>14</v>
      </c>
    </row>
    <row r="61" spans="1:8" x14ac:dyDescent="0.25">
      <c r="A61" s="223"/>
      <c r="B61" s="223"/>
      <c r="C61" s="223"/>
      <c r="D61" s="179"/>
      <c r="E61" s="179"/>
      <c r="F61" s="179"/>
      <c r="G61" s="179"/>
      <c r="H61" s="179"/>
    </row>
    <row r="62" spans="1:8" x14ac:dyDescent="0.25">
      <c r="A62" s="178" t="s">
        <v>15</v>
      </c>
      <c r="B62" s="178" t="s">
        <v>16</v>
      </c>
      <c r="C62" s="178" t="s">
        <v>17</v>
      </c>
      <c r="D62" s="165" t="s">
        <v>19</v>
      </c>
      <c r="E62" s="165" t="s">
        <v>20</v>
      </c>
      <c r="F62" s="165" t="s">
        <v>21</v>
      </c>
      <c r="G62" s="165" t="s">
        <v>22</v>
      </c>
      <c r="H62" s="179"/>
    </row>
    <row r="63" spans="1:8" x14ac:dyDescent="0.25">
      <c r="A63" s="157" t="s">
        <v>27</v>
      </c>
      <c r="B63" s="157" t="s">
        <v>79</v>
      </c>
      <c r="C63" s="158">
        <v>2</v>
      </c>
      <c r="D63" s="152">
        <v>17910126</v>
      </c>
      <c r="E63" s="152">
        <v>8287509.0690000001</v>
      </c>
      <c r="F63" s="153">
        <v>0.46272756925328162</v>
      </c>
      <c r="G63" s="154">
        <v>13945</v>
      </c>
      <c r="H63" s="179"/>
    </row>
    <row r="64" spans="1:8" x14ac:dyDescent="0.25">
      <c r="A64" s="157" t="str">
        <f t="shared" ref="A64:A84" si="4">+A63</f>
        <v>2019</v>
      </c>
      <c r="B64" s="157" t="str">
        <f t="shared" ref="B64:B83" si="5">+B63</f>
        <v>Septiembre</v>
      </c>
      <c r="C64" s="158">
        <v>3</v>
      </c>
      <c r="D64" s="152">
        <v>42837453</v>
      </c>
      <c r="E64" s="152">
        <v>18979502.990699999</v>
      </c>
      <c r="F64" s="153">
        <v>0.44305862420671932</v>
      </c>
      <c r="G64" s="154">
        <v>30111</v>
      </c>
      <c r="H64" s="179"/>
    </row>
    <row r="65" spans="1:8" x14ac:dyDescent="0.25">
      <c r="A65" s="157" t="str">
        <f t="shared" si="4"/>
        <v>2019</v>
      </c>
      <c r="B65" s="157" t="str">
        <f t="shared" si="5"/>
        <v>Septiembre</v>
      </c>
      <c r="C65" s="158">
        <v>4</v>
      </c>
      <c r="D65" s="152">
        <v>55471865</v>
      </c>
      <c r="E65" s="152">
        <v>23470865.778299998</v>
      </c>
      <c r="F65" s="153">
        <v>0.42311297408695381</v>
      </c>
      <c r="G65" s="154">
        <v>65286</v>
      </c>
      <c r="H65" s="179"/>
    </row>
    <row r="66" spans="1:8" x14ac:dyDescent="0.25">
      <c r="A66" s="157" t="str">
        <f t="shared" si="4"/>
        <v>2019</v>
      </c>
      <c r="B66" s="157" t="str">
        <f t="shared" si="5"/>
        <v>Septiembre</v>
      </c>
      <c r="C66" s="158">
        <v>5</v>
      </c>
      <c r="D66" s="152">
        <v>51574320</v>
      </c>
      <c r="E66" s="152">
        <v>23004120.541200001</v>
      </c>
      <c r="F66" s="153">
        <v>0.4460382713955317</v>
      </c>
      <c r="G66" s="154">
        <v>46776</v>
      </c>
      <c r="H66" s="179"/>
    </row>
    <row r="67" spans="1:8" x14ac:dyDescent="0.25">
      <c r="A67" s="157" t="str">
        <f t="shared" si="4"/>
        <v>2019</v>
      </c>
      <c r="B67" s="157" t="str">
        <f t="shared" si="5"/>
        <v>Septiembre</v>
      </c>
      <c r="C67" s="158">
        <v>6</v>
      </c>
      <c r="D67" s="152">
        <v>39337699</v>
      </c>
      <c r="E67" s="152">
        <v>16922199.014899999</v>
      </c>
      <c r="F67" s="153">
        <v>0.43017765261003194</v>
      </c>
      <c r="G67" s="154">
        <v>37117</v>
      </c>
      <c r="H67" s="179"/>
    </row>
    <row r="68" spans="1:8" x14ac:dyDescent="0.25">
      <c r="A68" s="157" t="str">
        <f t="shared" si="4"/>
        <v>2019</v>
      </c>
      <c r="B68" s="157" t="str">
        <f t="shared" si="5"/>
        <v>Septiembre</v>
      </c>
      <c r="C68" s="158">
        <v>7</v>
      </c>
      <c r="D68" s="152">
        <v>2723067</v>
      </c>
      <c r="E68" s="152">
        <v>1256896.55</v>
      </c>
      <c r="F68" s="153">
        <v>0.46157386138497508</v>
      </c>
      <c r="G68" s="154">
        <v>3790</v>
      </c>
      <c r="H68" s="179"/>
    </row>
    <row r="69" spans="1:8" x14ac:dyDescent="0.25">
      <c r="A69" s="157" t="str">
        <f t="shared" si="4"/>
        <v>2019</v>
      </c>
      <c r="B69" s="157" t="str">
        <f t="shared" si="5"/>
        <v>Septiembre</v>
      </c>
      <c r="C69" s="158">
        <v>9</v>
      </c>
      <c r="D69" s="152">
        <v>30219166</v>
      </c>
      <c r="E69" s="152">
        <v>14086808.65</v>
      </c>
      <c r="F69" s="153">
        <v>0.46615477905644387</v>
      </c>
      <c r="G69" s="154">
        <v>15752</v>
      </c>
      <c r="H69" s="179"/>
    </row>
    <row r="70" spans="1:8" x14ac:dyDescent="0.25">
      <c r="A70" s="157" t="str">
        <f t="shared" si="4"/>
        <v>2019</v>
      </c>
      <c r="B70" s="157" t="str">
        <f t="shared" si="5"/>
        <v>Septiembre</v>
      </c>
      <c r="C70" s="158">
        <v>10</v>
      </c>
      <c r="D70" s="152">
        <v>68500230</v>
      </c>
      <c r="E70" s="152">
        <v>27737928.773400001</v>
      </c>
      <c r="F70" s="153">
        <v>0.40493190713958188</v>
      </c>
      <c r="G70" s="154">
        <v>80546.463000000003</v>
      </c>
      <c r="H70" s="179"/>
    </row>
    <row r="71" spans="1:8" x14ac:dyDescent="0.25">
      <c r="A71" s="157" t="str">
        <f t="shared" si="4"/>
        <v>2019</v>
      </c>
      <c r="B71" s="157" t="str">
        <f t="shared" si="5"/>
        <v>Septiembre</v>
      </c>
      <c r="C71" s="158">
        <v>11</v>
      </c>
      <c r="D71" s="152">
        <v>69644414</v>
      </c>
      <c r="E71" s="152">
        <v>29681348.749699999</v>
      </c>
      <c r="F71" s="153">
        <v>0.42618419834360299</v>
      </c>
      <c r="G71" s="154">
        <v>71269.966</v>
      </c>
      <c r="H71" s="179"/>
    </row>
    <row r="72" spans="1:8" x14ac:dyDescent="0.25">
      <c r="A72" s="157" t="str">
        <f t="shared" si="4"/>
        <v>2019</v>
      </c>
      <c r="B72" s="157" t="str">
        <f t="shared" si="5"/>
        <v>Septiembre</v>
      </c>
      <c r="C72" s="158">
        <v>12</v>
      </c>
      <c r="D72" s="152">
        <v>41541452</v>
      </c>
      <c r="E72" s="152">
        <v>18491637.784600001</v>
      </c>
      <c r="F72" s="153">
        <v>0.4451370112099115</v>
      </c>
      <c r="G72" s="154">
        <v>29151</v>
      </c>
      <c r="H72" s="179"/>
    </row>
    <row r="73" spans="1:8" x14ac:dyDescent="0.25">
      <c r="A73" s="157" t="str">
        <f t="shared" si="4"/>
        <v>2019</v>
      </c>
      <c r="B73" s="157" t="str">
        <f t="shared" si="5"/>
        <v>Septiembre</v>
      </c>
      <c r="C73" s="158">
        <v>13</v>
      </c>
      <c r="D73" s="152">
        <v>53527343</v>
      </c>
      <c r="E73" s="152">
        <v>23522435.9921</v>
      </c>
      <c r="F73" s="153">
        <v>0.43944710635272893</v>
      </c>
      <c r="G73" s="154">
        <v>43620</v>
      </c>
      <c r="H73" s="179"/>
    </row>
    <row r="74" spans="1:8" x14ac:dyDescent="0.25">
      <c r="A74" s="157" t="str">
        <f t="shared" si="4"/>
        <v>2019</v>
      </c>
      <c r="B74" s="157" t="str">
        <f t="shared" si="5"/>
        <v>Septiembre</v>
      </c>
      <c r="C74" s="158">
        <v>14</v>
      </c>
      <c r="D74" s="152">
        <v>3950719</v>
      </c>
      <c r="E74" s="152">
        <v>2305541.1028999998</v>
      </c>
      <c r="F74" s="153">
        <v>0.58357506643727386</v>
      </c>
      <c r="G74" s="154">
        <v>3595</v>
      </c>
      <c r="H74" s="179"/>
    </row>
    <row r="75" spans="1:8" x14ac:dyDescent="0.25">
      <c r="A75" s="157" t="str">
        <f t="shared" si="4"/>
        <v>2019</v>
      </c>
      <c r="B75" s="157" t="str">
        <f t="shared" si="5"/>
        <v>Septiembre</v>
      </c>
      <c r="C75" s="158">
        <v>16</v>
      </c>
      <c r="D75" s="152">
        <v>27649026</v>
      </c>
      <c r="E75" s="152">
        <v>12531383.2535</v>
      </c>
      <c r="F75" s="153">
        <v>0.45323054973075722</v>
      </c>
      <c r="G75" s="154">
        <v>16163</v>
      </c>
      <c r="H75" s="179"/>
    </row>
    <row r="76" spans="1:8" x14ac:dyDescent="0.25">
      <c r="A76" s="157" t="str">
        <f t="shared" si="4"/>
        <v>2019</v>
      </c>
      <c r="B76" s="157" t="str">
        <f t="shared" si="5"/>
        <v>Septiembre</v>
      </c>
      <c r="C76" s="158">
        <v>17</v>
      </c>
      <c r="D76" s="152">
        <v>13065978</v>
      </c>
      <c r="E76" s="152">
        <v>6045133.5570999999</v>
      </c>
      <c r="F76" s="153">
        <v>0.46266215641110064</v>
      </c>
      <c r="G76" s="154">
        <v>16972</v>
      </c>
      <c r="H76" s="179"/>
    </row>
    <row r="77" spans="1:8" x14ac:dyDescent="0.25">
      <c r="A77" s="157" t="str">
        <f t="shared" si="4"/>
        <v>2019</v>
      </c>
      <c r="B77" s="157" t="str">
        <f t="shared" si="5"/>
        <v>Septiembre</v>
      </c>
      <c r="C77" s="158">
        <v>23</v>
      </c>
      <c r="D77" s="152">
        <v>56822600.479999997</v>
      </c>
      <c r="E77" s="152">
        <v>25489417.118299998</v>
      </c>
      <c r="F77" s="153">
        <v>0.44857885600064323</v>
      </c>
      <c r="G77" s="154">
        <v>55881</v>
      </c>
      <c r="H77" s="179"/>
    </row>
    <row r="78" spans="1:8" x14ac:dyDescent="0.25">
      <c r="A78" s="157" t="str">
        <f t="shared" si="4"/>
        <v>2019</v>
      </c>
      <c r="B78" s="157" t="str">
        <f t="shared" si="5"/>
        <v>Septiembre</v>
      </c>
      <c r="C78" s="158">
        <v>24</v>
      </c>
      <c r="D78" s="152">
        <v>36418222</v>
      </c>
      <c r="E78" s="152">
        <v>16781484.1371</v>
      </c>
      <c r="F78" s="153">
        <v>0.46079910592834544</v>
      </c>
      <c r="G78" s="154">
        <v>34202</v>
      </c>
      <c r="H78" s="179"/>
    </row>
    <row r="79" spans="1:8" x14ac:dyDescent="0.25">
      <c r="A79" s="157" t="str">
        <f t="shared" si="4"/>
        <v>2019</v>
      </c>
      <c r="B79" s="157" t="str">
        <f t="shared" si="5"/>
        <v>Septiembre</v>
      </c>
      <c r="C79" s="158">
        <v>25</v>
      </c>
      <c r="D79" s="152">
        <v>65025146</v>
      </c>
      <c r="E79" s="152">
        <v>30210995.447799999</v>
      </c>
      <c r="F79" s="153">
        <v>0.46460480762011669</v>
      </c>
      <c r="G79" s="154">
        <v>75484</v>
      </c>
      <c r="H79" s="179"/>
    </row>
    <row r="80" spans="1:8" x14ac:dyDescent="0.25">
      <c r="A80" s="157" t="str">
        <f t="shared" si="4"/>
        <v>2019</v>
      </c>
      <c r="B80" s="157" t="str">
        <f t="shared" si="5"/>
        <v>Septiembre</v>
      </c>
      <c r="C80" s="158">
        <v>26</v>
      </c>
      <c r="D80" s="152">
        <v>54112048</v>
      </c>
      <c r="E80" s="152">
        <v>21990286.069499999</v>
      </c>
      <c r="F80" s="153">
        <v>0.40638428746034527</v>
      </c>
      <c r="G80" s="154">
        <v>67966</v>
      </c>
      <c r="H80" s="179"/>
    </row>
    <row r="81" spans="1:8" x14ac:dyDescent="0.25">
      <c r="A81" s="157" t="str">
        <f t="shared" si="4"/>
        <v>2019</v>
      </c>
      <c r="B81" s="157" t="str">
        <f t="shared" si="5"/>
        <v>Septiembre</v>
      </c>
      <c r="C81" s="158">
        <v>27</v>
      </c>
      <c r="D81" s="152">
        <v>56317232</v>
      </c>
      <c r="E81" s="152">
        <v>20986148.230999999</v>
      </c>
      <c r="F81" s="153">
        <v>0.37264168507074352</v>
      </c>
      <c r="G81" s="154">
        <v>38773</v>
      </c>
      <c r="H81" s="179"/>
    </row>
    <row r="82" spans="1:8" x14ac:dyDescent="0.25">
      <c r="A82" s="157" t="str">
        <f t="shared" si="4"/>
        <v>2019</v>
      </c>
      <c r="B82" s="157" t="str">
        <f t="shared" si="5"/>
        <v>Septiembre</v>
      </c>
      <c r="C82" s="158">
        <v>28</v>
      </c>
      <c r="D82" s="152">
        <v>5252953</v>
      </c>
      <c r="E82" s="152">
        <v>2243859.1461999998</v>
      </c>
      <c r="F82" s="153">
        <v>0.42716147397473381</v>
      </c>
      <c r="G82" s="154">
        <v>4187</v>
      </c>
      <c r="H82" s="179"/>
    </row>
    <row r="83" spans="1:8" x14ac:dyDescent="0.25">
      <c r="A83" s="157" t="str">
        <f t="shared" si="4"/>
        <v>2019</v>
      </c>
      <c r="B83" s="157" t="str">
        <f t="shared" si="5"/>
        <v>Septiembre</v>
      </c>
      <c r="C83" s="158">
        <v>30</v>
      </c>
      <c r="D83" s="152">
        <v>96175955</v>
      </c>
      <c r="E83" s="152">
        <v>36571375.835299999</v>
      </c>
      <c r="F83" s="153">
        <v>0.38025487592298929</v>
      </c>
      <c r="G83" s="154">
        <v>70677.135000000009</v>
      </c>
      <c r="H83" s="179"/>
    </row>
    <row r="84" spans="1:8" x14ac:dyDescent="0.25">
      <c r="A84" s="157" t="str">
        <f t="shared" si="4"/>
        <v>2019</v>
      </c>
      <c r="B84" s="157" t="s">
        <v>24</v>
      </c>
      <c r="C84" s="158">
        <v>1</v>
      </c>
      <c r="D84" s="152">
        <v>17181285</v>
      </c>
      <c r="E84" s="152">
        <v>7765435.2489999998</v>
      </c>
      <c r="F84" s="153">
        <v>0.45197057431967397</v>
      </c>
      <c r="G84" s="154">
        <v>10927</v>
      </c>
      <c r="H84" s="179"/>
    </row>
    <row r="85" spans="1:8" x14ac:dyDescent="0.25">
      <c r="A85" s="157" t="str">
        <f t="shared" ref="A85:A109" si="6">+A84</f>
        <v>2019</v>
      </c>
      <c r="B85" s="157" t="str">
        <f t="shared" ref="B85:B109" si="7">+B84</f>
        <v>Octubre</v>
      </c>
      <c r="C85" s="158">
        <v>2</v>
      </c>
      <c r="D85" s="152">
        <v>49492470</v>
      </c>
      <c r="E85" s="152">
        <v>23677951.581799999</v>
      </c>
      <c r="F85" s="153">
        <v>0.47841523330316715</v>
      </c>
      <c r="G85" s="154">
        <v>51249</v>
      </c>
      <c r="H85" s="179"/>
    </row>
    <row r="86" spans="1:8" x14ac:dyDescent="0.25">
      <c r="A86" s="157" t="str">
        <f t="shared" si="6"/>
        <v>2019</v>
      </c>
      <c r="B86" s="157" t="str">
        <f t="shared" si="7"/>
        <v>Octubre</v>
      </c>
      <c r="C86" s="158">
        <v>3</v>
      </c>
      <c r="D86" s="152">
        <v>42588503</v>
      </c>
      <c r="E86" s="152">
        <v>18422109.656800002</v>
      </c>
      <c r="F86" s="153">
        <v>0.4325606292571495</v>
      </c>
      <c r="G86" s="154">
        <v>46196</v>
      </c>
      <c r="H86" s="179"/>
    </row>
    <row r="87" spans="1:8" x14ac:dyDescent="0.25">
      <c r="A87" s="157" t="str">
        <f t="shared" si="6"/>
        <v>2019</v>
      </c>
      <c r="B87" s="157" t="str">
        <f t="shared" si="7"/>
        <v>Octubre</v>
      </c>
      <c r="C87" s="158">
        <v>4</v>
      </c>
      <c r="D87" s="152">
        <v>52775835</v>
      </c>
      <c r="E87" s="152">
        <v>21288529.496100001</v>
      </c>
      <c r="F87" s="153">
        <v>0.40337646000484884</v>
      </c>
      <c r="G87" s="154">
        <v>43897.582000000002</v>
      </c>
      <c r="H87" s="179"/>
    </row>
    <row r="88" spans="1:8" x14ac:dyDescent="0.25">
      <c r="A88" s="157" t="str">
        <f t="shared" si="6"/>
        <v>2019</v>
      </c>
      <c r="B88" s="157" t="str">
        <f t="shared" si="7"/>
        <v>Octubre</v>
      </c>
      <c r="C88" s="158">
        <v>5</v>
      </c>
      <c r="D88" s="152">
        <v>5400472</v>
      </c>
      <c r="E88" s="152">
        <v>2365282.0910999998</v>
      </c>
      <c r="F88" s="153">
        <v>0.43797691962850654</v>
      </c>
      <c r="G88" s="154">
        <v>10826</v>
      </c>
      <c r="H88" s="179"/>
    </row>
    <row r="89" spans="1:8" x14ac:dyDescent="0.25">
      <c r="A89" s="157" t="str">
        <f t="shared" si="6"/>
        <v>2019</v>
      </c>
      <c r="B89" s="157" t="str">
        <f t="shared" si="7"/>
        <v>Octubre</v>
      </c>
      <c r="C89" s="158">
        <v>7</v>
      </c>
      <c r="D89" s="152">
        <v>27393983</v>
      </c>
      <c r="E89" s="152">
        <v>12171865.5911</v>
      </c>
      <c r="F89" s="153">
        <v>0.44432624460269249</v>
      </c>
      <c r="G89" s="154">
        <v>21358</v>
      </c>
      <c r="H89" s="179"/>
    </row>
    <row r="90" spans="1:8" x14ac:dyDescent="0.25">
      <c r="A90" s="157" t="str">
        <f t="shared" si="6"/>
        <v>2019</v>
      </c>
      <c r="B90" s="157" t="str">
        <f t="shared" si="7"/>
        <v>Octubre</v>
      </c>
      <c r="C90" s="158">
        <v>8</v>
      </c>
      <c r="D90" s="152">
        <v>57584507</v>
      </c>
      <c r="E90" s="152">
        <v>24472335.067699999</v>
      </c>
      <c r="F90" s="153">
        <v>0.42498123788226577</v>
      </c>
      <c r="G90" s="154">
        <v>45322</v>
      </c>
      <c r="H90" s="179"/>
    </row>
    <row r="91" spans="1:8" x14ac:dyDescent="0.25">
      <c r="A91" s="157" t="str">
        <f t="shared" si="6"/>
        <v>2019</v>
      </c>
      <c r="B91" s="157" t="str">
        <f t="shared" si="7"/>
        <v>Octubre</v>
      </c>
      <c r="C91" s="158">
        <v>9</v>
      </c>
      <c r="D91" s="152">
        <v>56881270</v>
      </c>
      <c r="E91" s="152">
        <v>25713335.597100001</v>
      </c>
      <c r="F91" s="153">
        <v>0.45205276881300294</v>
      </c>
      <c r="G91" s="154">
        <v>36051</v>
      </c>
      <c r="H91" s="179"/>
    </row>
    <row r="92" spans="1:8" x14ac:dyDescent="0.25">
      <c r="A92" s="157" t="str">
        <f t="shared" si="6"/>
        <v>2019</v>
      </c>
      <c r="B92" s="157" t="str">
        <f t="shared" si="7"/>
        <v>Octubre</v>
      </c>
      <c r="C92" s="158">
        <v>10</v>
      </c>
      <c r="D92" s="152">
        <v>52265575</v>
      </c>
      <c r="E92" s="152">
        <v>24495806.681499999</v>
      </c>
      <c r="F92" s="153">
        <v>0.46867955975802428</v>
      </c>
      <c r="G92" s="154">
        <v>33374</v>
      </c>
      <c r="H92" s="179"/>
    </row>
    <row r="93" spans="1:8" x14ac:dyDescent="0.25">
      <c r="A93" s="157" t="str">
        <f t="shared" si="6"/>
        <v>2019</v>
      </c>
      <c r="B93" s="157" t="str">
        <f t="shared" si="7"/>
        <v>Octubre</v>
      </c>
      <c r="C93" s="158">
        <v>11</v>
      </c>
      <c r="D93" s="152">
        <v>40501950</v>
      </c>
      <c r="E93" s="152">
        <v>19983152.810800001</v>
      </c>
      <c r="F93" s="153">
        <v>0.49338742482275544</v>
      </c>
      <c r="G93" s="154">
        <v>33317</v>
      </c>
      <c r="H93" s="179"/>
    </row>
    <row r="94" spans="1:8" x14ac:dyDescent="0.25">
      <c r="A94" s="157" t="str">
        <f t="shared" si="6"/>
        <v>2019</v>
      </c>
      <c r="B94" s="157" t="str">
        <f t="shared" si="7"/>
        <v>Octubre</v>
      </c>
      <c r="C94" s="158">
        <v>12</v>
      </c>
      <c r="D94" s="152">
        <v>8085332</v>
      </c>
      <c r="E94" s="152">
        <v>4820163.9605</v>
      </c>
      <c r="F94" s="153">
        <v>0.59616153801723915</v>
      </c>
      <c r="G94" s="154">
        <v>4348</v>
      </c>
      <c r="H94" s="179"/>
    </row>
    <row r="95" spans="1:8" x14ac:dyDescent="0.25">
      <c r="A95" s="157" t="str">
        <f t="shared" si="6"/>
        <v>2019</v>
      </c>
      <c r="B95" s="157" t="str">
        <f t="shared" si="7"/>
        <v>Octubre</v>
      </c>
      <c r="C95" s="158">
        <v>14</v>
      </c>
      <c r="D95" s="152">
        <v>56539305</v>
      </c>
      <c r="E95" s="152">
        <v>19723117.765000001</v>
      </c>
      <c r="F95" s="153">
        <v>0.34883905567993806</v>
      </c>
      <c r="G95" s="154">
        <v>27623</v>
      </c>
      <c r="H95" s="179"/>
    </row>
    <row r="96" spans="1:8" x14ac:dyDescent="0.25">
      <c r="A96" s="157" t="str">
        <f t="shared" si="6"/>
        <v>2019</v>
      </c>
      <c r="B96" s="157" t="str">
        <f t="shared" si="7"/>
        <v>Octubre</v>
      </c>
      <c r="C96" s="158">
        <v>15</v>
      </c>
      <c r="D96" s="152">
        <v>62483572.600000001</v>
      </c>
      <c r="E96" s="152">
        <v>27382067.3189</v>
      </c>
      <c r="F96" s="153">
        <v>0.43822826031717654</v>
      </c>
      <c r="G96" s="154">
        <v>55103</v>
      </c>
      <c r="H96" s="179"/>
    </row>
    <row r="97" spans="1:8" x14ac:dyDescent="0.25">
      <c r="A97" s="157" t="str">
        <f t="shared" si="6"/>
        <v>2019</v>
      </c>
      <c r="B97" s="157" t="str">
        <f t="shared" si="7"/>
        <v>Octubre</v>
      </c>
      <c r="C97" s="158">
        <v>16</v>
      </c>
      <c r="D97" s="152">
        <v>55916198</v>
      </c>
      <c r="E97" s="152">
        <v>25605705.429299999</v>
      </c>
      <c r="F97" s="153">
        <v>0.45793001572281433</v>
      </c>
      <c r="G97" s="154">
        <v>45717</v>
      </c>
      <c r="H97" s="179"/>
    </row>
    <row r="98" spans="1:8" x14ac:dyDescent="0.25">
      <c r="A98" s="157" t="str">
        <f t="shared" si="6"/>
        <v>2019</v>
      </c>
      <c r="B98" s="157" t="str">
        <f t="shared" si="7"/>
        <v>Octubre</v>
      </c>
      <c r="C98" s="158">
        <v>17</v>
      </c>
      <c r="D98" s="152">
        <v>44772199</v>
      </c>
      <c r="E98" s="152">
        <v>19766219.1635</v>
      </c>
      <c r="F98" s="153">
        <v>0.44148421576300062</v>
      </c>
      <c r="G98" s="154">
        <v>32307</v>
      </c>
      <c r="H98" s="179"/>
    </row>
    <row r="99" spans="1:8" x14ac:dyDescent="0.25">
      <c r="A99" s="157" t="str">
        <f t="shared" si="6"/>
        <v>2019</v>
      </c>
      <c r="B99" s="157" t="str">
        <f t="shared" si="7"/>
        <v>Octubre</v>
      </c>
      <c r="C99" s="158">
        <v>18</v>
      </c>
      <c r="D99" s="152">
        <v>44687767</v>
      </c>
      <c r="E99" s="152">
        <v>20252423.278299998</v>
      </c>
      <c r="F99" s="153">
        <v>0.45319837257252082</v>
      </c>
      <c r="G99" s="154">
        <v>32495</v>
      </c>
      <c r="H99" s="179"/>
    </row>
    <row r="100" spans="1:8" x14ac:dyDescent="0.25">
      <c r="A100" s="157" t="str">
        <f t="shared" si="6"/>
        <v>2019</v>
      </c>
      <c r="B100" s="157" t="str">
        <f t="shared" si="7"/>
        <v>Octubre</v>
      </c>
      <c r="C100" s="158">
        <v>19</v>
      </c>
      <c r="D100" s="152">
        <v>5625065</v>
      </c>
      <c r="E100" s="152">
        <v>2760188.8535000002</v>
      </c>
      <c r="F100" s="153">
        <v>0.49069457037385344</v>
      </c>
      <c r="G100" s="154">
        <v>603</v>
      </c>
      <c r="H100" s="179"/>
    </row>
    <row r="101" spans="1:8" x14ac:dyDescent="0.25">
      <c r="A101" s="157" t="str">
        <f t="shared" si="6"/>
        <v>2019</v>
      </c>
      <c r="B101" s="157" t="str">
        <f t="shared" si="7"/>
        <v>Octubre</v>
      </c>
      <c r="C101" s="158">
        <v>21</v>
      </c>
      <c r="D101" s="152">
        <v>22479666</v>
      </c>
      <c r="E101" s="152">
        <v>8126116.8492000001</v>
      </c>
      <c r="F101" s="153">
        <v>0.36148743709982167</v>
      </c>
      <c r="G101" s="154">
        <v>13805</v>
      </c>
      <c r="H101" s="179"/>
    </row>
    <row r="102" spans="1:8" x14ac:dyDescent="0.25">
      <c r="A102" s="157" t="str">
        <f t="shared" si="6"/>
        <v>2019</v>
      </c>
      <c r="B102" s="157" t="str">
        <f t="shared" si="7"/>
        <v>Octubre</v>
      </c>
      <c r="C102" s="158">
        <v>22</v>
      </c>
      <c r="D102" s="152">
        <v>33863850</v>
      </c>
      <c r="E102" s="152">
        <v>14670331.6602</v>
      </c>
      <c r="F102" s="153">
        <v>0.43321511464880691</v>
      </c>
      <c r="G102" s="154">
        <v>25591</v>
      </c>
      <c r="H102" s="179"/>
    </row>
    <row r="103" spans="1:8" x14ac:dyDescent="0.25">
      <c r="A103" s="157" t="str">
        <f t="shared" si="6"/>
        <v>2019</v>
      </c>
      <c r="B103" s="157" t="str">
        <f t="shared" si="7"/>
        <v>Octubre</v>
      </c>
      <c r="C103" s="158">
        <v>23</v>
      </c>
      <c r="D103" s="152">
        <v>45124370.880000003</v>
      </c>
      <c r="E103" s="152">
        <v>21283013.434999999</v>
      </c>
      <c r="F103" s="153">
        <v>0.47165230273455283</v>
      </c>
      <c r="G103" s="154">
        <v>36077</v>
      </c>
      <c r="H103" s="179"/>
    </row>
    <row r="104" spans="1:8" x14ac:dyDescent="0.25">
      <c r="A104" s="157" t="str">
        <f t="shared" si="6"/>
        <v>2019</v>
      </c>
      <c r="B104" s="157" t="str">
        <f t="shared" si="7"/>
        <v>Octubre</v>
      </c>
      <c r="C104" s="158">
        <v>24</v>
      </c>
      <c r="D104" s="152">
        <v>47009732</v>
      </c>
      <c r="E104" s="152">
        <v>20086207.592399999</v>
      </c>
      <c r="F104" s="153">
        <v>0.42727764524162781</v>
      </c>
      <c r="G104" s="154">
        <v>38792</v>
      </c>
      <c r="H104" s="179"/>
    </row>
    <row r="105" spans="1:8" x14ac:dyDescent="0.25">
      <c r="A105" s="157" t="str">
        <f t="shared" si="6"/>
        <v>2019</v>
      </c>
      <c r="B105" s="157" t="str">
        <f t="shared" si="7"/>
        <v>Octubre</v>
      </c>
      <c r="C105" s="158">
        <v>25</v>
      </c>
      <c r="D105" s="152">
        <v>47678243</v>
      </c>
      <c r="E105" s="152">
        <v>21599322.135200001</v>
      </c>
      <c r="F105" s="153">
        <v>0.45302261107230818</v>
      </c>
      <c r="G105" s="154">
        <v>40140</v>
      </c>
      <c r="H105" s="179"/>
    </row>
    <row r="106" spans="1:8" x14ac:dyDescent="0.25">
      <c r="A106" s="157" t="str">
        <f t="shared" si="6"/>
        <v>2019</v>
      </c>
      <c r="B106" s="157" t="str">
        <f t="shared" si="7"/>
        <v>Octubre</v>
      </c>
      <c r="C106" s="158">
        <v>26</v>
      </c>
      <c r="D106" s="152">
        <v>7419905</v>
      </c>
      <c r="E106" s="152">
        <v>3561904.2189000002</v>
      </c>
      <c r="F106" s="153">
        <v>0.48004714600793408</v>
      </c>
      <c r="G106" s="154">
        <v>3660</v>
      </c>
      <c r="H106" s="179"/>
    </row>
    <row r="107" spans="1:8" x14ac:dyDescent="0.25">
      <c r="A107" s="157" t="str">
        <f t="shared" si="6"/>
        <v>2019</v>
      </c>
      <c r="B107" s="157" t="str">
        <f t="shared" si="7"/>
        <v>Octubre</v>
      </c>
      <c r="C107" s="158">
        <v>28</v>
      </c>
      <c r="D107" s="152">
        <v>38484405</v>
      </c>
      <c r="E107" s="152">
        <v>15989352.105599999</v>
      </c>
      <c r="F107" s="153">
        <v>0.41547614171506614</v>
      </c>
      <c r="G107" s="154">
        <v>47519</v>
      </c>
      <c r="H107" s="179"/>
    </row>
    <row r="108" spans="1:8" x14ac:dyDescent="0.25">
      <c r="A108" s="157" t="str">
        <f t="shared" si="6"/>
        <v>2019</v>
      </c>
      <c r="B108" s="157" t="str">
        <f t="shared" si="7"/>
        <v>Octubre</v>
      </c>
      <c r="C108" s="158">
        <v>29</v>
      </c>
      <c r="D108" s="152">
        <v>60826587</v>
      </c>
      <c r="E108" s="152">
        <v>19802859.724199999</v>
      </c>
      <c r="F108" s="153">
        <v>0.32556256566228187</v>
      </c>
      <c r="G108" s="154">
        <v>34607</v>
      </c>
      <c r="H108" s="179"/>
    </row>
    <row r="109" spans="1:8" x14ac:dyDescent="0.25">
      <c r="A109" s="157" t="str">
        <f t="shared" si="6"/>
        <v>2019</v>
      </c>
      <c r="B109" s="157" t="str">
        <f t="shared" si="7"/>
        <v>Octubre</v>
      </c>
      <c r="C109" s="158">
        <v>30</v>
      </c>
      <c r="D109" s="152">
        <v>101586568</v>
      </c>
      <c r="E109" s="152">
        <v>44239273.388400003</v>
      </c>
      <c r="F109" s="153">
        <v>0.4354834921522302</v>
      </c>
      <c r="G109" s="154">
        <v>89627</v>
      </c>
      <c r="H109" s="179"/>
    </row>
  </sheetData>
  <mergeCells count="2">
    <mergeCell ref="A58:G58"/>
    <mergeCell ref="A61:C6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B121"/>
  <sheetViews>
    <sheetView topLeftCell="C16" zoomScaleNormal="100" workbookViewId="0">
      <selection activeCell="I22" sqref="I22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4" width="12.140625" customWidth="1"/>
    <col min="5" max="5" width="13.7109375" bestFit="1" customWidth="1"/>
    <col min="6" max="6" width="14.5703125" bestFit="1" customWidth="1"/>
    <col min="7" max="7" width="22.140625" bestFit="1" customWidth="1"/>
    <col min="8" max="8" width="15.42578125" bestFit="1" customWidth="1"/>
    <col min="9" max="9" width="16.7109375" bestFit="1" customWidth="1"/>
    <col min="10" max="10" width="12" bestFit="1" customWidth="1"/>
    <col min="12" max="12" width="14.5703125" bestFit="1" customWidth="1"/>
    <col min="13" max="13" width="22.140625" bestFit="1" customWidth="1"/>
    <col min="14" max="14" width="16.28515625" bestFit="1" customWidth="1"/>
    <col min="15" max="15" width="15.5703125" bestFit="1" customWidth="1"/>
    <col min="16" max="16" width="14.5703125" bestFit="1" customWidth="1"/>
    <col min="17" max="17" width="13.7109375" bestFit="1" customWidth="1"/>
    <col min="18" max="18" width="16.28515625" bestFit="1" customWidth="1"/>
    <col min="19" max="19" width="12" bestFit="1" customWidth="1"/>
    <col min="21" max="21" width="12" bestFit="1" customWidth="1"/>
    <col min="22" max="22" width="12.140625" bestFit="1" customWidth="1"/>
    <col min="24" max="24" width="12" bestFit="1" customWidth="1"/>
    <col min="28" max="28" width="13.5703125" bestFit="1" customWidth="1"/>
  </cols>
  <sheetData>
    <row r="11" spans="1:2" ht="15.75" thickBot="1" x14ac:dyDescent="0.3"/>
    <row r="12" spans="1:2" ht="15.75" thickBot="1" x14ac:dyDescent="0.3">
      <c r="A12" s="214" t="s">
        <v>61</v>
      </c>
      <c r="B12" s="215"/>
    </row>
    <row r="13" spans="1:2" x14ac:dyDescent="0.25">
      <c r="A13" s="90" t="s">
        <v>64</v>
      </c>
      <c r="B13" s="91">
        <f>(J57+J74+J108+J121)/4</f>
        <v>6.2932405624429423E-3</v>
      </c>
    </row>
    <row r="14" spans="1:2" x14ac:dyDescent="0.25">
      <c r="A14" s="25" t="s">
        <v>32</v>
      </c>
      <c r="B14" s="42">
        <f>(L56+L73+L107+L120)/4</f>
        <v>3.5893623643985559E-2</v>
      </c>
    </row>
    <row r="15" spans="1:2" x14ac:dyDescent="0.25">
      <c r="A15" s="25" t="s">
        <v>34</v>
      </c>
      <c r="B15" s="42">
        <f>(O56+O73+O107+O120)/4</f>
        <v>4.5926183658793099E-2</v>
      </c>
    </row>
    <row r="16" spans="1:2" x14ac:dyDescent="0.25">
      <c r="A16" s="25" t="s">
        <v>36</v>
      </c>
      <c r="B16" s="42">
        <f>(R56+R73+R107+R120)/4</f>
        <v>3.9359216931561011E-2</v>
      </c>
    </row>
    <row r="17" spans="1:11" x14ac:dyDescent="0.25">
      <c r="A17" s="25" t="s">
        <v>37</v>
      </c>
      <c r="B17" s="42">
        <f>(U56+U73+U107+U120)/4</f>
        <v>4.8770389138048889E-2</v>
      </c>
    </row>
    <row r="18" spans="1:11" x14ac:dyDescent="0.25">
      <c r="A18" s="25" t="s">
        <v>46</v>
      </c>
      <c r="B18" s="42">
        <f>(X73+X56+X107+X120)/4</f>
        <v>4.7456263639582122E-2</v>
      </c>
    </row>
    <row r="19" spans="1:11" ht="15.75" thickBot="1" x14ac:dyDescent="0.3">
      <c r="A19" s="25" t="s">
        <v>62</v>
      </c>
      <c r="B19" s="43">
        <f>J75</f>
        <v>0.10113947795200268</v>
      </c>
    </row>
    <row r="20" spans="1:11" ht="15.75" thickBot="1" x14ac:dyDescent="0.3">
      <c r="A20" s="115" t="s">
        <v>64</v>
      </c>
      <c r="B20" s="53"/>
      <c r="C20" s="53" t="s">
        <v>60</v>
      </c>
      <c r="D20" s="52"/>
      <c r="E20" s="54"/>
      <c r="F20" s="101"/>
      <c r="G20" s="95"/>
      <c r="H20" s="54"/>
      <c r="I20" s="68" t="s">
        <v>67</v>
      </c>
      <c r="J20" s="55"/>
    </row>
    <row r="21" spans="1:11" ht="15.75" thickBot="1" x14ac:dyDescent="0.3">
      <c r="A21" s="159"/>
      <c r="B21" s="129" t="s">
        <v>65</v>
      </c>
      <c r="C21" s="35" t="s">
        <v>51</v>
      </c>
      <c r="D21" s="36">
        <v>460075282.54999995</v>
      </c>
      <c r="E21" s="130"/>
      <c r="F21" s="131" t="s">
        <v>66</v>
      </c>
      <c r="G21" s="56"/>
      <c r="H21" s="56"/>
      <c r="I21" s="70">
        <v>1</v>
      </c>
      <c r="J21" s="57"/>
    </row>
    <row r="22" spans="1:11" ht="15.75" customHeight="1" thickBot="1" x14ac:dyDescent="0.3">
      <c r="A22" s="136"/>
      <c r="B22" s="137"/>
      <c r="C22" s="138"/>
      <c r="D22" s="138">
        <v>2019</v>
      </c>
      <c r="E22" s="126" t="s">
        <v>69</v>
      </c>
      <c r="F22" s="139">
        <v>2019</v>
      </c>
      <c r="G22" s="138" t="s">
        <v>76</v>
      </c>
      <c r="H22" s="140" t="s">
        <v>52</v>
      </c>
      <c r="I22" s="127" t="s">
        <v>55</v>
      </c>
      <c r="J22" s="128" t="s">
        <v>56</v>
      </c>
    </row>
    <row r="23" spans="1:11" x14ac:dyDescent="0.25">
      <c r="A23" s="132">
        <v>1</v>
      </c>
      <c r="B23" s="90">
        <v>4</v>
      </c>
      <c r="C23" s="90" t="s">
        <v>32</v>
      </c>
      <c r="D23" s="133">
        <f>($B$14*$B$23)+($B$13*$A$23)</f>
        <v>0.14986773513838517</v>
      </c>
      <c r="E23" s="71">
        <f>D23</f>
        <v>0.14986773513838517</v>
      </c>
      <c r="F23" s="134">
        <f>$L$92</f>
        <v>0.1597984305247046</v>
      </c>
      <c r="G23" s="135">
        <f t="shared" ref="G23:G28" si="0">$D$21*D23</f>
        <v>68950440.588921115</v>
      </c>
      <c r="H23" s="143">
        <f t="shared" ref="H23:H28" si="1">F23*$D$21</f>
        <v>73519308.074700013</v>
      </c>
      <c r="I23" s="77">
        <f>F23</f>
        <v>0.1597984305247046</v>
      </c>
      <c r="J23" s="72">
        <f>F23-D23</f>
        <v>9.930695386319438E-3</v>
      </c>
    </row>
    <row r="24" spans="1:11" x14ac:dyDescent="0.25">
      <c r="A24" s="63">
        <v>1</v>
      </c>
      <c r="B24" s="25">
        <v>5</v>
      </c>
      <c r="C24" s="25" t="s">
        <v>34</v>
      </c>
      <c r="D24" s="45">
        <f>($B$15*$B$24)+($B$13*$A$24)</f>
        <v>0.23592415885640841</v>
      </c>
      <c r="E24" s="34">
        <f>D24+E23</f>
        <v>0.38579189399479358</v>
      </c>
      <c r="F24" s="23">
        <f>$O$92</f>
        <v>0.24269215048857878</v>
      </c>
      <c r="G24" s="50">
        <f t="shared" si="0"/>
        <v>108542874.04623318</v>
      </c>
      <c r="H24" s="144">
        <f t="shared" si="1"/>
        <v>111656659.70869999</v>
      </c>
      <c r="I24" s="77">
        <f>F24+I23</f>
        <v>0.40249058101328339</v>
      </c>
      <c r="J24" s="72">
        <f>F24-D24</f>
        <v>6.7679916321703726E-3</v>
      </c>
    </row>
    <row r="25" spans="1:11" x14ac:dyDescent="0.25">
      <c r="A25" s="63">
        <v>1</v>
      </c>
      <c r="B25" s="25">
        <v>5</v>
      </c>
      <c r="C25" s="25" t="s">
        <v>36</v>
      </c>
      <c r="D25" s="45">
        <f>($B$16*$B$25)+($B$13*$A$25)</f>
        <v>0.203089325220248</v>
      </c>
      <c r="E25" s="34">
        <f>D25+E24</f>
        <v>0.58888121921504155</v>
      </c>
      <c r="F25" s="23">
        <f>$R$92</f>
        <v>0.25102353068956451</v>
      </c>
      <c r="G25" s="50">
        <f t="shared" si="0"/>
        <v>93436378.683594435</v>
      </c>
      <c r="H25" s="144">
        <f t="shared" si="1"/>
        <v>115489721.80869998</v>
      </c>
      <c r="I25" s="77">
        <f t="shared" ref="I25:I28" si="2">F25+I24</f>
        <v>0.6535141117028479</v>
      </c>
      <c r="J25" s="72">
        <f>F25-D25</f>
        <v>4.793420546931651E-2</v>
      </c>
    </row>
    <row r="26" spans="1:11" x14ac:dyDescent="0.25">
      <c r="A26" s="63">
        <v>1</v>
      </c>
      <c r="B26" s="25">
        <v>5</v>
      </c>
      <c r="C26" s="25" t="s">
        <v>37</v>
      </c>
      <c r="D26" s="45">
        <f>($B$17*$B$26)+($B$13*$A$26)</f>
        <v>0.25014518625268739</v>
      </c>
      <c r="E26" s="34">
        <f>D26+E25</f>
        <v>0.839026405467729</v>
      </c>
      <c r="F26" s="23">
        <f>$U$92</f>
        <v>0.19415712879857253</v>
      </c>
      <c r="G26" s="50">
        <f t="shared" si="0"/>
        <v>115085617.24372752</v>
      </c>
      <c r="H26" s="144">
        <f t="shared" si="1"/>
        <v>89326895.891099989</v>
      </c>
      <c r="I26" s="77">
        <f t="shared" si="2"/>
        <v>0.8476712405014204</v>
      </c>
      <c r="J26" s="72">
        <f>F26-D26</f>
        <v>-5.5988057454114865E-2</v>
      </c>
    </row>
    <row r="27" spans="1:11" x14ac:dyDescent="0.25">
      <c r="A27" s="63">
        <v>1</v>
      </c>
      <c r="B27" s="25">
        <v>2</v>
      </c>
      <c r="C27" s="25" t="s">
        <v>46</v>
      </c>
      <c r="D27" s="45">
        <f>($B$18*$B$27)+($B$13*$A$27)</f>
        <v>0.10120576784160719</v>
      </c>
      <c r="E27" s="34">
        <f>D27+E26</f>
        <v>0.94023217330933617</v>
      </c>
      <c r="F27" s="23">
        <f>$X$84+$X$85</f>
        <v>7.7796424166538841E-2</v>
      </c>
      <c r="G27" s="50">
        <f t="shared" si="0"/>
        <v>46562272.235417128</v>
      </c>
      <c r="H27" s="144">
        <f t="shared" si="1"/>
        <v>35792211.829800002</v>
      </c>
      <c r="I27" s="77">
        <f t="shared" si="2"/>
        <v>0.92546766466795927</v>
      </c>
      <c r="J27" s="72">
        <f t="shared" ref="J27" si="3">F27-D27</f>
        <v>-2.3409343675068348E-2</v>
      </c>
      <c r="K27" s="167"/>
    </row>
    <row r="28" spans="1:11" x14ac:dyDescent="0.25">
      <c r="A28" s="63"/>
      <c r="B28" s="25">
        <v>1</v>
      </c>
      <c r="C28" s="25" t="s">
        <v>63</v>
      </c>
      <c r="D28" s="45">
        <f>($B$19*$B$28)+($B$13*$A$28)</f>
        <v>0.10113947795200268</v>
      </c>
      <c r="E28" s="34">
        <f>D28+E27</f>
        <v>1.0413716512613389</v>
      </c>
      <c r="F28" s="23">
        <f>X86</f>
        <v>9.6156596683918086E-2</v>
      </c>
      <c r="G28" s="50">
        <f t="shared" si="0"/>
        <v>46531773.89572712</v>
      </c>
      <c r="H28" s="144">
        <f t="shared" si="1"/>
        <v>44239273.388400003</v>
      </c>
      <c r="I28" s="77">
        <f t="shared" si="2"/>
        <v>1.0216242613518773</v>
      </c>
      <c r="J28" s="116">
        <f t="shared" ref="J28" si="4">H28-D28</f>
        <v>44239273.287260525</v>
      </c>
    </row>
    <row r="29" spans="1:11" ht="19.5" thickBot="1" x14ac:dyDescent="0.35">
      <c r="A29" s="63"/>
      <c r="B29" s="46">
        <f>SUM(A23:B28)</f>
        <v>27</v>
      </c>
      <c r="C29" s="46"/>
      <c r="D29" s="58"/>
      <c r="E29" s="58"/>
      <c r="F29" s="80"/>
      <c r="G29" s="48"/>
      <c r="H29" s="121">
        <f>SUM(H23:H28)</f>
        <v>470024070.70139998</v>
      </c>
      <c r="I29" s="122">
        <f>I28</f>
        <v>1.0216242613518773</v>
      </c>
      <c r="J29" s="59">
        <f>I29-I21</f>
        <v>2.1624261351877339E-2</v>
      </c>
    </row>
    <row r="30" spans="1:11" ht="15.75" thickBot="1" x14ac:dyDescent="0.3">
      <c r="A30" s="60"/>
      <c r="B30" s="61"/>
      <c r="C30" s="61"/>
      <c r="D30" s="79"/>
      <c r="E30" s="82" t="str">
        <f>C20</f>
        <v>Proyeccion</v>
      </c>
      <c r="F30" s="119">
        <f>SUM(G23:G29)</f>
        <v>479109356.69362044</v>
      </c>
      <c r="G30" s="220"/>
      <c r="H30" s="123"/>
      <c r="I30" s="97"/>
      <c r="J30" s="57"/>
    </row>
    <row r="31" spans="1:11" ht="15.75" thickBot="1" x14ac:dyDescent="0.3">
      <c r="A31" s="141"/>
      <c r="B31" s="142"/>
      <c r="C31" s="142"/>
      <c r="D31" s="142"/>
      <c r="E31" s="81"/>
      <c r="F31" s="120">
        <f>E28</f>
        <v>1.0413716512613389</v>
      </c>
      <c r="G31" s="221"/>
      <c r="H31" s="124"/>
      <c r="I31" s="125"/>
      <c r="J31" s="62"/>
    </row>
    <row r="37" spans="1:28" ht="15.75" customHeight="1" x14ac:dyDescent="0.25"/>
    <row r="45" spans="1:28" x14ac:dyDescent="0.25">
      <c r="A45" s="5" t="s">
        <v>74</v>
      </c>
      <c r="B45" s="5" t="s">
        <v>28</v>
      </c>
      <c r="I45" s="64" t="s">
        <v>51</v>
      </c>
      <c r="J45" s="208" t="s">
        <v>32</v>
      </c>
      <c r="K45" s="208" t="s">
        <v>33</v>
      </c>
      <c r="L45" s="17" t="s">
        <v>49</v>
      </c>
      <c r="M45" s="208" t="s">
        <v>34</v>
      </c>
      <c r="N45" s="208" t="s">
        <v>35</v>
      </c>
      <c r="O45" s="17" t="s">
        <v>49</v>
      </c>
      <c r="P45" s="208" t="s">
        <v>36</v>
      </c>
      <c r="Q45" s="208" t="s">
        <v>33</v>
      </c>
      <c r="R45" s="17" t="s">
        <v>49</v>
      </c>
      <c r="S45" s="208" t="s">
        <v>37</v>
      </c>
      <c r="T45" s="208" t="s">
        <v>33</v>
      </c>
      <c r="U45" s="17" t="s">
        <v>49</v>
      </c>
      <c r="V45" s="208" t="s">
        <v>46</v>
      </c>
      <c r="W45" s="208" t="s">
        <v>33</v>
      </c>
      <c r="X45" s="17" t="s">
        <v>49</v>
      </c>
      <c r="Y45" s="216" t="s">
        <v>54</v>
      </c>
      <c r="Z45" s="216" t="s">
        <v>33</v>
      </c>
      <c r="AA45" s="17" t="s">
        <v>49</v>
      </c>
      <c r="AB45" s="206" t="s">
        <v>47</v>
      </c>
    </row>
    <row r="46" spans="1:28" x14ac:dyDescent="0.25">
      <c r="A46" s="5" t="s">
        <v>31</v>
      </c>
      <c r="B46" t="s">
        <v>23</v>
      </c>
      <c r="C46" t="s">
        <v>26</v>
      </c>
      <c r="D46" t="s">
        <v>27</v>
      </c>
      <c r="E46" t="s">
        <v>29</v>
      </c>
      <c r="I46" s="49">
        <v>414385774.20000005</v>
      </c>
      <c r="J46" s="208"/>
      <c r="K46" s="208"/>
      <c r="L46" s="17" t="s">
        <v>50</v>
      </c>
      <c r="M46" s="208"/>
      <c r="N46" s="208"/>
      <c r="O46" s="17" t="s">
        <v>50</v>
      </c>
      <c r="P46" s="208"/>
      <c r="Q46" s="208"/>
      <c r="R46" s="17" t="s">
        <v>50</v>
      </c>
      <c r="S46" s="208"/>
      <c r="T46" s="208"/>
      <c r="U46" s="17" t="s">
        <v>50</v>
      </c>
      <c r="V46" s="208"/>
      <c r="W46" s="208"/>
      <c r="X46" s="17" t="s">
        <v>50</v>
      </c>
      <c r="Y46" s="217"/>
      <c r="Z46" s="217"/>
      <c r="AA46" s="17" t="s">
        <v>50</v>
      </c>
      <c r="AB46" s="207"/>
    </row>
    <row r="47" spans="1:28" x14ac:dyDescent="0.25">
      <c r="A47" s="6">
        <v>1</v>
      </c>
      <c r="B47" s="7"/>
      <c r="C47" s="7">
        <v>6992908.5511999996</v>
      </c>
      <c r="D47" s="7">
        <v>7765435.2489999998</v>
      </c>
      <c r="E47" s="7">
        <v>14758343.8002</v>
      </c>
      <c r="I47" s="16" t="s">
        <v>38</v>
      </c>
      <c r="J47" s="10">
        <f>GETPIVOTDATA("Margen",$A$45,"Year","2017","Day",2)</f>
        <v>-241822.32699999999</v>
      </c>
      <c r="K47" s="10"/>
      <c r="L47" s="14">
        <f>J47/$I$46</f>
        <v>-5.8356811950616421E-4</v>
      </c>
      <c r="N47" s="10"/>
      <c r="O47" s="14">
        <f>M47/$I$46</f>
        <v>0</v>
      </c>
      <c r="P47" s="111">
        <v>20154435.324299999</v>
      </c>
      <c r="Q47" s="110"/>
      <c r="R47" s="14">
        <f>P47/$I$46</f>
        <v>4.8636890016819492E-2</v>
      </c>
      <c r="S47" s="10"/>
      <c r="T47" s="10"/>
      <c r="U47" s="14">
        <f>S47/$I$46</f>
        <v>0</v>
      </c>
      <c r="V47" s="10">
        <v>20274217.853700001</v>
      </c>
      <c r="W47" s="10"/>
      <c r="X47" s="14">
        <f>V47/$I$46</f>
        <v>4.8925950445187841E-2</v>
      </c>
      <c r="Y47" s="10"/>
      <c r="Z47" s="10"/>
      <c r="AA47" s="14">
        <f>Y47/$I$46</f>
        <v>0</v>
      </c>
      <c r="AB47" s="9"/>
    </row>
    <row r="48" spans="1:28" x14ac:dyDescent="0.25">
      <c r="A48" s="6">
        <v>2</v>
      </c>
      <c r="B48" s="7">
        <v>-241822.32699999999</v>
      </c>
      <c r="C48" s="7">
        <v>24667943.804099999</v>
      </c>
      <c r="D48" s="7">
        <v>23677951.581700001</v>
      </c>
      <c r="E48" s="7">
        <v>48104073.058799997</v>
      </c>
      <c r="I48" s="16" t="s">
        <v>39</v>
      </c>
      <c r="J48" s="10">
        <f>GETPIVOTDATA("Margen",$A$45,"Year","2017","Day",3)</f>
        <v>24808387.628400002</v>
      </c>
      <c r="K48" s="10"/>
      <c r="L48" s="14">
        <f t="shared" ref="L48:L51" si="5">J48/$I$46</f>
        <v>5.9867855445313686E-2</v>
      </c>
      <c r="M48" s="10">
        <f>GETPIVOTDATA("Margen",$A$45,"Year","2017","Day",10)</f>
        <v>16181965.946900001</v>
      </c>
      <c r="N48" s="10"/>
      <c r="O48" s="14">
        <f>M48/$I$46</f>
        <v>3.9050486175932049E-2</v>
      </c>
      <c r="P48" s="111">
        <v>25428436.1074</v>
      </c>
      <c r="Q48" s="110"/>
      <c r="R48" s="14">
        <f t="shared" ref="R48:R51" si="6">P48/$I$46</f>
        <v>6.1364162793694658E-2</v>
      </c>
      <c r="S48" s="10">
        <v>17364965.2993</v>
      </c>
      <c r="T48" s="10"/>
      <c r="U48" s="14">
        <f t="shared" ref="U48:U51" si="7">S48/$I$46</f>
        <v>4.1905312345300094E-2</v>
      </c>
      <c r="V48" s="10">
        <v>41933701.365199998</v>
      </c>
      <c r="W48" s="10"/>
      <c r="X48" s="14">
        <f>V48/$I$46</f>
        <v>0.10119483818226112</v>
      </c>
      <c r="Y48" s="10"/>
      <c r="Z48" s="10"/>
      <c r="AA48" s="14">
        <f t="shared" ref="AA48:AA51" si="8">Y48/$I$46</f>
        <v>0</v>
      </c>
      <c r="AB48" s="9"/>
    </row>
    <row r="49" spans="1:28" x14ac:dyDescent="0.25">
      <c r="A49" s="6">
        <v>3</v>
      </c>
      <c r="B49" s="7">
        <v>24808387.628400002</v>
      </c>
      <c r="C49" s="7">
        <v>15059311.4124</v>
      </c>
      <c r="D49" s="7">
        <v>18422109.6569</v>
      </c>
      <c r="E49" s="7">
        <v>58289808.697700009</v>
      </c>
      <c r="I49" s="16" t="s">
        <v>40</v>
      </c>
      <c r="J49" s="10">
        <f>GETPIVOTDATA("Margen",$A$45,"Year","2017","Day",4)</f>
        <v>17442807.539700001</v>
      </c>
      <c r="K49" s="10"/>
      <c r="L49" s="14">
        <f t="shared" si="5"/>
        <v>4.2093162038138322E-2</v>
      </c>
      <c r="M49" s="10">
        <f>GETPIVOTDATA("Margen",$A$45,"Year","2017","Day",11)</f>
        <v>16905335.167199999</v>
      </c>
      <c r="N49" s="10"/>
      <c r="O49" s="14">
        <f t="shared" ref="O49:O51" si="9">M49/$I$46</f>
        <v>4.0796128196815877E-2</v>
      </c>
      <c r="P49" s="111">
        <v>28946892.3796</v>
      </c>
      <c r="Q49" s="110"/>
      <c r="R49" s="14">
        <f t="shared" si="6"/>
        <v>6.9854937553017943E-2</v>
      </c>
      <c r="S49" s="10">
        <v>20628050.5746</v>
      </c>
      <c r="T49" s="10"/>
      <c r="U49" s="14">
        <f>S49/$I$46</f>
        <v>4.9779823195967229E-2</v>
      </c>
      <c r="V49" s="10"/>
      <c r="W49" s="10"/>
      <c r="X49" s="14">
        <f t="shared" ref="X49:X51" si="10">V49/$I$46</f>
        <v>0</v>
      </c>
      <c r="Y49" s="10"/>
      <c r="Z49" s="10"/>
      <c r="AA49" s="14">
        <f t="shared" si="8"/>
        <v>0</v>
      </c>
      <c r="AB49" s="9"/>
    </row>
    <row r="50" spans="1:28" x14ac:dyDescent="0.25">
      <c r="A50" s="6">
        <v>4</v>
      </c>
      <c r="B50" s="7">
        <v>17442807.539700001</v>
      </c>
      <c r="C50" s="7">
        <v>16271589.623</v>
      </c>
      <c r="D50" s="7">
        <v>21288529.495999999</v>
      </c>
      <c r="E50" s="7">
        <v>55002926.658699997</v>
      </c>
      <c r="I50" s="16" t="s">
        <v>41</v>
      </c>
      <c r="J50" s="10">
        <f>GETPIVOTDATA("Margen",$A$45,"Year","2017","Day",5)</f>
        <v>11842154.6457</v>
      </c>
      <c r="K50" s="10"/>
      <c r="L50" s="14">
        <f t="shared" si="5"/>
        <v>2.8577609037284367E-2</v>
      </c>
      <c r="M50" s="10">
        <f>GETPIVOTDATA("Margen",$A$45,"Year","2017","Day",12)</f>
        <v>14699730.1434</v>
      </c>
      <c r="N50" s="10"/>
      <c r="O50" s="14">
        <f t="shared" si="9"/>
        <v>3.5473539533973697E-2</v>
      </c>
      <c r="P50" s="111">
        <v>17573978.1908</v>
      </c>
      <c r="Q50" s="110"/>
      <c r="R50" s="14">
        <f t="shared" si="6"/>
        <v>4.240970439858309E-2</v>
      </c>
      <c r="S50" s="10">
        <v>18354754.6076</v>
      </c>
      <c r="T50" s="10"/>
      <c r="U50" s="14">
        <f t="shared" si="7"/>
        <v>4.4293882054795689E-2</v>
      </c>
      <c r="V50" s="10"/>
      <c r="W50" s="10"/>
      <c r="X50" s="14">
        <f t="shared" si="10"/>
        <v>0</v>
      </c>
      <c r="Y50" s="10"/>
      <c r="Z50" s="10"/>
      <c r="AA50" s="14">
        <f t="shared" si="8"/>
        <v>0</v>
      </c>
      <c r="AB50" s="9"/>
    </row>
    <row r="51" spans="1:28" x14ac:dyDescent="0.25">
      <c r="A51" s="6">
        <v>5</v>
      </c>
      <c r="B51" s="7">
        <v>11842154.6457</v>
      </c>
      <c r="C51" s="7">
        <v>18785153.0779</v>
      </c>
      <c r="D51" s="7">
        <v>2365282.0910999998</v>
      </c>
      <c r="E51" s="7">
        <v>32992589.8147</v>
      </c>
      <c r="I51" s="16" t="s">
        <v>42</v>
      </c>
      <c r="J51" s="10">
        <f>GETPIVOTDATA("Margen",$A$45,"Year","2017","Day",6)</f>
        <v>20140711.642700002</v>
      </c>
      <c r="K51" s="10"/>
      <c r="L51" s="14">
        <f t="shared" si="5"/>
        <v>4.860377188764025E-2</v>
      </c>
      <c r="M51" s="10">
        <f>GETPIVOTDATA("Margen",$A$45,"Year","2017","Day",13)</f>
        <v>15650088.263499999</v>
      </c>
      <c r="N51" s="10"/>
      <c r="O51" s="14">
        <f t="shared" si="9"/>
        <v>3.7766953495721615E-2</v>
      </c>
      <c r="P51" s="111">
        <v>16317264.317500001</v>
      </c>
      <c r="Q51" s="110"/>
      <c r="R51" s="14">
        <f t="shared" si="6"/>
        <v>3.9376989591405717E-2</v>
      </c>
      <c r="S51" s="10">
        <v>16369968.062999999</v>
      </c>
      <c r="T51" s="10"/>
      <c r="U51" s="14">
        <f t="shared" si="7"/>
        <v>3.9504174810545412E-2</v>
      </c>
      <c r="V51" s="10"/>
      <c r="W51" s="10"/>
      <c r="X51" s="14">
        <f t="shared" si="10"/>
        <v>0</v>
      </c>
      <c r="Y51" s="10"/>
      <c r="Z51" s="10"/>
      <c r="AA51" s="14">
        <f t="shared" si="8"/>
        <v>0</v>
      </c>
      <c r="AB51" s="9"/>
    </row>
    <row r="52" spans="1:28" x14ac:dyDescent="0.25">
      <c r="A52" s="6">
        <v>6</v>
      </c>
      <c r="B52" s="7">
        <v>20140711.642700002</v>
      </c>
      <c r="C52" s="7">
        <v>3827079.5624000002</v>
      </c>
      <c r="D52" s="7"/>
      <c r="E52" s="7">
        <v>23967791.2051</v>
      </c>
      <c r="I52" s="16" t="s">
        <v>43</v>
      </c>
      <c r="K52" s="10">
        <f>GETPIVOTDATA("Margen",$A$45,"Year","2017","Day",7)</f>
        <v>8148278.1514999997</v>
      </c>
      <c r="L52" s="14">
        <f>K52/$I$46</f>
        <v>1.9663508399222453E-2</v>
      </c>
      <c r="N52" s="7">
        <v>2025306.2949999999</v>
      </c>
      <c r="O52" s="14">
        <f>N52/$I$46</f>
        <v>4.8874899214626554E-3</v>
      </c>
      <c r="P52" s="9"/>
      <c r="Q52" s="7">
        <v>2559089.1973999999</v>
      </c>
      <c r="R52" s="14">
        <f>Q52/$I$46</f>
        <v>6.1756202957027086E-3</v>
      </c>
      <c r="T52" s="3">
        <v>1564643.3285000001</v>
      </c>
      <c r="U52" s="14">
        <f>T52/$I$46</f>
        <v>3.7758133264122074E-3</v>
      </c>
      <c r="W52" s="10"/>
      <c r="X52" s="14">
        <f>W52/$I$46</f>
        <v>0</v>
      </c>
      <c r="Z52" s="10"/>
      <c r="AA52" s="14">
        <f>Z52/$I$46</f>
        <v>0</v>
      </c>
      <c r="AB52" s="9"/>
    </row>
    <row r="53" spans="1:28" x14ac:dyDescent="0.25">
      <c r="A53" s="6">
        <v>7</v>
      </c>
      <c r="B53" s="7">
        <v>8148278.1514999997</v>
      </c>
      <c r="C53" s="7"/>
      <c r="D53" s="7">
        <v>12171865.591</v>
      </c>
      <c r="E53" s="7">
        <v>20320143.7425</v>
      </c>
      <c r="I53" s="16" t="s">
        <v>44</v>
      </c>
      <c r="J53" s="10"/>
      <c r="K53" s="10"/>
      <c r="L53" s="14"/>
      <c r="M53" s="10"/>
      <c r="N53" s="10"/>
      <c r="O53" s="14"/>
      <c r="P53" s="10"/>
      <c r="Q53" s="10"/>
      <c r="R53" s="14"/>
      <c r="S53" s="10"/>
      <c r="T53" s="10"/>
      <c r="U53" s="14"/>
      <c r="V53" s="10"/>
      <c r="W53" s="10"/>
      <c r="X53" s="14"/>
      <c r="Y53" s="10"/>
      <c r="Z53" s="10"/>
      <c r="AA53" s="14"/>
      <c r="AB53" s="9"/>
    </row>
    <row r="54" spans="1:28" x14ac:dyDescent="0.25">
      <c r="A54" s="6">
        <v>8</v>
      </c>
      <c r="B54" s="7"/>
      <c r="C54" s="7">
        <v>15454715.7127</v>
      </c>
      <c r="D54" s="7">
        <v>24472335.067600001</v>
      </c>
      <c r="E54" s="7">
        <v>39927050.780299999</v>
      </c>
      <c r="I54" s="16" t="s">
        <v>45</v>
      </c>
      <c r="J54" s="10">
        <f>SUM(J47:J53)</f>
        <v>73992239.129500002</v>
      </c>
      <c r="K54" s="10">
        <f>SUM(K47:K53)</f>
        <v>8148278.1514999997</v>
      </c>
      <c r="L54" s="30">
        <f>SUM(J54:K54)</f>
        <v>82140517.281000003</v>
      </c>
      <c r="M54" s="10">
        <f>SUM(M48:M53)</f>
        <v>63437119.520999998</v>
      </c>
      <c r="N54" s="10">
        <f>SUM(N47:N53)</f>
        <v>2025306.2949999999</v>
      </c>
      <c r="O54" s="30">
        <f>SUM(M54:N54)</f>
        <v>65462425.816</v>
      </c>
      <c r="P54" s="146">
        <f>SUM(P47:P53)</f>
        <v>108421006.31959999</v>
      </c>
      <c r="Q54" s="10">
        <f>SUM(Q47:Q53)</f>
        <v>2559089.1973999999</v>
      </c>
      <c r="R54" s="147">
        <f>SUM(P54:Q54)</f>
        <v>110980095.51699999</v>
      </c>
      <c r="S54" s="10">
        <f>SUM(S47:S53)</f>
        <v>72717738.544499993</v>
      </c>
      <c r="T54" s="10">
        <f>SUM(T47:T53)</f>
        <v>1564643.3285000001</v>
      </c>
      <c r="U54" s="30">
        <f>SUM(S54:T54)</f>
        <v>74282381.872999996</v>
      </c>
      <c r="V54" s="10">
        <f>SUM(V47:V53)</f>
        <v>62207919.218899995</v>
      </c>
      <c r="W54" s="10">
        <f>SUM(W47:W53)</f>
        <v>0</v>
      </c>
      <c r="X54" s="30">
        <f>SUM(V54:W54)</f>
        <v>62207919.218899995</v>
      </c>
      <c r="Y54" s="10">
        <f>SUM(Y47:Y53)</f>
        <v>0</v>
      </c>
      <c r="Z54" s="10">
        <f>SUM(Z47:Z53)</f>
        <v>0</v>
      </c>
      <c r="AA54" s="30">
        <f>SUM(Y54:Z54)</f>
        <v>0</v>
      </c>
      <c r="AB54" s="11">
        <f>K54+J54+M54+N54+P54+Q54+S54+T54+V54+W54+Y54+Z54</f>
        <v>395073339.70589995</v>
      </c>
    </row>
    <row r="55" spans="1:28" ht="30" x14ac:dyDescent="0.25">
      <c r="A55" s="6">
        <v>9</v>
      </c>
      <c r="B55" s="7"/>
      <c r="C55" s="7">
        <v>17974351.078600001</v>
      </c>
      <c r="D55" s="7">
        <v>25713335.597100001</v>
      </c>
      <c r="E55" s="7">
        <v>43687686.675700001</v>
      </c>
      <c r="I55" s="18" t="s">
        <v>48</v>
      </c>
      <c r="J55" s="14">
        <f>J54/$I$46</f>
        <v>0.17855883028887046</v>
      </c>
      <c r="K55" s="14">
        <f>K54/$I$46</f>
        <v>1.9663508399222453E-2</v>
      </c>
      <c r="L55" s="31">
        <f>J55+K55</f>
        <v>0.19822233868809291</v>
      </c>
      <c r="M55" s="14">
        <f>M54/$I$46</f>
        <v>0.15308710740244325</v>
      </c>
      <c r="N55" s="14">
        <f>N54/$I$46</f>
        <v>4.8874899214626554E-3</v>
      </c>
      <c r="O55" s="31">
        <f>M55+N55</f>
        <v>0.1579745973239059</v>
      </c>
      <c r="P55" s="14">
        <f>P54/$I$46</f>
        <v>0.26164268435352089</v>
      </c>
      <c r="Q55" s="14">
        <f>Q54/$I$46</f>
        <v>6.1756202957027086E-3</v>
      </c>
      <c r="R55" s="31">
        <f>P55+Q55</f>
        <v>0.26781830464922363</v>
      </c>
      <c r="S55" s="14">
        <f>S54/$I$46</f>
        <v>0.1754831924066084</v>
      </c>
      <c r="T55" s="14">
        <f>T54/$I$46</f>
        <v>3.7758133264122074E-3</v>
      </c>
      <c r="U55" s="31">
        <f>S55+T55</f>
        <v>0.17925900573302062</v>
      </c>
      <c r="V55" s="14">
        <f>V54/$I$46</f>
        <v>0.15012078862744896</v>
      </c>
      <c r="W55" s="14">
        <f>W54/$I$46</f>
        <v>0</v>
      </c>
      <c r="X55" s="31">
        <f>V55+W55</f>
        <v>0.15012078862744896</v>
      </c>
      <c r="Y55" s="14">
        <f>Y54/$I$46</f>
        <v>0</v>
      </c>
      <c r="Z55" s="14">
        <f>Z54/$I$46</f>
        <v>0</v>
      </c>
      <c r="AA55" s="31">
        <f>Y55+Z55</f>
        <v>0</v>
      </c>
      <c r="AB55" s="12">
        <f>SUM(L55+O55+R55+U55+X55+AA55)</f>
        <v>0.95339503502169198</v>
      </c>
    </row>
    <row r="56" spans="1:28" x14ac:dyDescent="0.25">
      <c r="A56" s="6">
        <v>10</v>
      </c>
      <c r="B56" s="7">
        <v>16181965.946900001</v>
      </c>
      <c r="C56" s="7">
        <v>13866114.004000001</v>
      </c>
      <c r="D56" s="7">
        <v>24495806.681499999</v>
      </c>
      <c r="E56" s="7">
        <v>54543886.632400006</v>
      </c>
      <c r="I56" s="16" t="s">
        <v>57</v>
      </c>
      <c r="L56" s="22">
        <f>AVERAGE(L47:L51)</f>
        <v>3.5711766057774097E-2</v>
      </c>
      <c r="O56" s="22">
        <f>AVERAGE(O47:O51)</f>
        <v>3.0617421480488648E-2</v>
      </c>
      <c r="R56" s="22">
        <f>AVERAGE(R47:R51)</f>
        <v>5.2328536870704177E-2</v>
      </c>
      <c r="U56" s="22">
        <f>AVERAGE(U47:U51)</f>
        <v>3.5096638481321683E-2</v>
      </c>
      <c r="X56" s="22">
        <f>AVERAGE(X47)</f>
        <v>4.8925950445187841E-2</v>
      </c>
      <c r="Y56" s="39"/>
      <c r="Z56" s="39"/>
      <c r="AA56" s="40"/>
      <c r="AB56" s="41"/>
    </row>
    <row r="57" spans="1:28" ht="30" x14ac:dyDescent="0.25">
      <c r="A57" s="6">
        <v>11</v>
      </c>
      <c r="B57" s="7">
        <v>16905335.167199999</v>
      </c>
      <c r="C57" s="7">
        <v>17898680.686999999</v>
      </c>
      <c r="D57" s="7">
        <v>19983152.810699999</v>
      </c>
      <c r="E57" s="7">
        <v>54787168.664899997</v>
      </c>
      <c r="I57" s="18" t="s">
        <v>58</v>
      </c>
      <c r="J57" s="14">
        <f>(L52+O52+R52+U52)/4</f>
        <v>8.6256079857000064E-3</v>
      </c>
      <c r="Y57" s="39"/>
      <c r="Z57" s="39"/>
      <c r="AA57" s="40"/>
      <c r="AB57" s="41"/>
    </row>
    <row r="58" spans="1:28" x14ac:dyDescent="0.25">
      <c r="A58" s="6">
        <v>12</v>
      </c>
      <c r="B58" s="7">
        <v>14699730.1434</v>
      </c>
      <c r="C58" s="7">
        <v>15867309.9504</v>
      </c>
      <c r="D58" s="7">
        <v>4820163.9605</v>
      </c>
      <c r="E58" s="7">
        <v>35387204.054300003</v>
      </c>
      <c r="I58" s="38"/>
      <c r="J58" s="39"/>
      <c r="K58" s="39"/>
      <c r="L58" s="40"/>
      <c r="M58" s="39"/>
      <c r="N58" s="39"/>
      <c r="O58" s="40"/>
      <c r="P58" s="39"/>
      <c r="Q58" s="39"/>
      <c r="R58" s="40"/>
      <c r="S58" s="39"/>
      <c r="T58" s="39"/>
      <c r="U58" s="40"/>
      <c r="V58" s="39"/>
      <c r="W58" s="39"/>
      <c r="X58" s="40"/>
      <c r="Y58" s="39"/>
      <c r="Z58" s="39"/>
      <c r="AA58" s="40"/>
      <c r="AB58" s="41"/>
    </row>
    <row r="59" spans="1:28" x14ac:dyDescent="0.25">
      <c r="A59" s="6">
        <v>13</v>
      </c>
      <c r="B59" s="7">
        <v>15650088.263499999</v>
      </c>
      <c r="C59" s="7">
        <v>1690739.5981999999</v>
      </c>
      <c r="D59" s="7"/>
      <c r="E59" s="7">
        <v>17340827.861699998</v>
      </c>
      <c r="I59" s="38"/>
      <c r="J59" s="39"/>
      <c r="K59" s="39"/>
      <c r="L59" s="40"/>
      <c r="M59" s="39"/>
      <c r="N59" s="39"/>
      <c r="O59" s="40"/>
      <c r="P59" s="39"/>
      <c r="Q59" s="39"/>
      <c r="R59" s="40"/>
      <c r="S59" s="39"/>
      <c r="T59" s="39"/>
      <c r="U59" s="40"/>
      <c r="V59" s="39"/>
      <c r="W59" s="39"/>
      <c r="X59" s="40"/>
      <c r="Y59" s="39"/>
      <c r="Z59" s="39"/>
      <c r="AA59" s="40"/>
      <c r="AB59" s="41"/>
    </row>
    <row r="60" spans="1:28" x14ac:dyDescent="0.25">
      <c r="A60" s="6">
        <v>14</v>
      </c>
      <c r="B60" s="7">
        <v>2025306.2949999999</v>
      </c>
      <c r="C60" s="7"/>
      <c r="D60" s="7">
        <v>19723117.765099999</v>
      </c>
      <c r="E60" s="7">
        <v>21748424.060099997</v>
      </c>
      <c r="I60" s="13"/>
    </row>
    <row r="61" spans="1:28" x14ac:dyDescent="0.25">
      <c r="A61" s="6">
        <v>15</v>
      </c>
      <c r="B61" s="7"/>
      <c r="C61" s="7"/>
      <c r="D61" s="7">
        <v>27382067.318999998</v>
      </c>
      <c r="E61" s="7">
        <v>27382067.318999998</v>
      </c>
      <c r="I61" s="16">
        <v>2018</v>
      </c>
    </row>
    <row r="62" spans="1:28" x14ac:dyDescent="0.25">
      <c r="A62" s="6">
        <v>16</v>
      </c>
      <c r="B62" s="7">
        <v>20154435.324299999</v>
      </c>
      <c r="C62" s="7">
        <v>16114488.083900001</v>
      </c>
      <c r="D62" s="7">
        <v>25605705.429299999</v>
      </c>
      <c r="E62" s="7">
        <v>61874628.837499991</v>
      </c>
      <c r="I62" s="25" t="s">
        <v>51</v>
      </c>
      <c r="J62" s="208" t="s">
        <v>32</v>
      </c>
      <c r="K62" s="208" t="s">
        <v>33</v>
      </c>
      <c r="L62" s="17" t="s">
        <v>49</v>
      </c>
      <c r="M62" s="208" t="s">
        <v>34</v>
      </c>
      <c r="N62" s="208" t="s">
        <v>35</v>
      </c>
      <c r="O62" s="17" t="s">
        <v>49</v>
      </c>
      <c r="P62" s="208" t="s">
        <v>36</v>
      </c>
      <c r="Q62" s="208" t="s">
        <v>33</v>
      </c>
      <c r="R62" s="17" t="s">
        <v>49</v>
      </c>
      <c r="S62" s="208" t="s">
        <v>37</v>
      </c>
      <c r="T62" s="208" t="s">
        <v>33</v>
      </c>
      <c r="U62" s="17" t="s">
        <v>49</v>
      </c>
      <c r="V62" s="208" t="s">
        <v>46</v>
      </c>
      <c r="W62" s="208" t="s">
        <v>33</v>
      </c>
      <c r="X62" s="32" t="s">
        <v>49</v>
      </c>
      <c r="Y62" s="216" t="s">
        <v>54</v>
      </c>
      <c r="Z62" s="216" t="s">
        <v>33</v>
      </c>
      <c r="AA62" s="17" t="s">
        <v>49</v>
      </c>
      <c r="AB62" s="206" t="s">
        <v>47</v>
      </c>
    </row>
    <row r="63" spans="1:28" x14ac:dyDescent="0.25">
      <c r="A63" s="6">
        <v>17</v>
      </c>
      <c r="B63" s="7">
        <v>25428436.1074</v>
      </c>
      <c r="C63" s="7">
        <v>15345959.5931</v>
      </c>
      <c r="D63" s="7">
        <v>19766219.1635</v>
      </c>
      <c r="E63" s="7">
        <v>60540614.863999993</v>
      </c>
      <c r="I63" s="148">
        <v>443385032.29999995</v>
      </c>
      <c r="J63" s="208"/>
      <c r="K63" s="208"/>
      <c r="L63" s="17" t="s">
        <v>50</v>
      </c>
      <c r="M63" s="208"/>
      <c r="N63" s="208"/>
      <c r="O63" s="17" t="s">
        <v>50</v>
      </c>
      <c r="P63" s="208"/>
      <c r="Q63" s="208"/>
      <c r="R63" s="17" t="s">
        <v>50</v>
      </c>
      <c r="S63" s="208"/>
      <c r="T63" s="208"/>
      <c r="U63" s="17" t="s">
        <v>50</v>
      </c>
      <c r="V63" s="208"/>
      <c r="W63" s="208"/>
      <c r="X63" s="33" t="s">
        <v>50</v>
      </c>
      <c r="Y63" s="217"/>
      <c r="Z63" s="217"/>
      <c r="AA63" s="17" t="s">
        <v>50</v>
      </c>
      <c r="AB63" s="207"/>
    </row>
    <row r="64" spans="1:28" x14ac:dyDescent="0.25">
      <c r="A64" s="6">
        <v>18</v>
      </c>
      <c r="B64" s="7">
        <v>28946892.379500002</v>
      </c>
      <c r="C64" s="7">
        <v>17278099.537300002</v>
      </c>
      <c r="D64" s="7">
        <v>20252423.278299998</v>
      </c>
      <c r="E64" s="7">
        <v>66477415.195100009</v>
      </c>
      <c r="I64" s="16" t="s">
        <v>38</v>
      </c>
      <c r="J64" s="10">
        <v>6992908.5510999998</v>
      </c>
      <c r="K64" s="10"/>
      <c r="L64" s="14">
        <f>J64/$I$63</f>
        <v>1.5771638737611938E-2</v>
      </c>
      <c r="M64" s="10">
        <v>15454715.7127</v>
      </c>
      <c r="N64" s="10"/>
      <c r="O64" s="14">
        <f>M64/$I$63</f>
        <v>3.4856196278279288E-2</v>
      </c>
      <c r="P64" s="111">
        <v>19723117.765099999</v>
      </c>
      <c r="Q64" s="10"/>
      <c r="R64" s="14">
        <f>P64/$I$63</f>
        <v>4.4483048204827728E-2</v>
      </c>
      <c r="S64" s="111">
        <v>14283942.0601</v>
      </c>
      <c r="T64" s="110"/>
      <c r="U64" s="14">
        <f>S64/$I$63</f>
        <v>3.2215661376758666E-2</v>
      </c>
      <c r="V64" s="7">
        <v>17616005.9892</v>
      </c>
      <c r="W64" s="10"/>
      <c r="X64" s="14">
        <f>V64/$I$63</f>
        <v>3.9730718688944795E-2</v>
      </c>
      <c r="Y64" s="10"/>
      <c r="Z64" s="10"/>
      <c r="AA64" s="14">
        <f>Y64/$I$63</f>
        <v>0</v>
      </c>
      <c r="AB64" s="9"/>
    </row>
    <row r="65" spans="1:28" x14ac:dyDescent="0.25">
      <c r="A65" s="6">
        <v>19</v>
      </c>
      <c r="B65" s="7">
        <v>17573978.190699998</v>
      </c>
      <c r="C65" s="7">
        <v>22367052.0165</v>
      </c>
      <c r="D65" s="7">
        <v>2760188.8535000002</v>
      </c>
      <c r="E65" s="7">
        <v>42701219.060699999</v>
      </c>
      <c r="I65" s="16" t="s">
        <v>39</v>
      </c>
      <c r="J65" s="10">
        <v>24667943.804200001</v>
      </c>
      <c r="K65" s="10"/>
      <c r="L65" s="14">
        <f t="shared" ref="L65:L68" si="11">J65/$I$63</f>
        <v>5.5635490616898757E-2</v>
      </c>
      <c r="M65" s="10">
        <v>17974351.078499999</v>
      </c>
      <c r="N65" s="10"/>
      <c r="O65" s="14">
        <f t="shared" ref="O65:O68" si="12">M65/$I$63</f>
        <v>4.0538921634906078E-2</v>
      </c>
      <c r="P65" s="111">
        <v>27382067.318999998</v>
      </c>
      <c r="Q65" s="10"/>
      <c r="R65" s="14">
        <f t="shared" ref="R65:R68" si="13">P65/$I$63</f>
        <v>6.1756859894343354E-2</v>
      </c>
      <c r="S65" s="111">
        <v>15497289.425799999</v>
      </c>
      <c r="T65" s="110"/>
      <c r="U65" s="14">
        <f t="shared" ref="U65:U68" si="14">S65/$I$63</f>
        <v>3.4952216012818262E-2</v>
      </c>
      <c r="V65" s="7">
        <v>26800005.596700002</v>
      </c>
      <c r="W65" s="10"/>
      <c r="X65" s="14">
        <f t="shared" ref="X65:X69" si="15">V65/$I$63</f>
        <v>6.0444091803637558E-2</v>
      </c>
      <c r="Y65" s="10"/>
      <c r="Z65" s="10"/>
      <c r="AA65" s="14">
        <f t="shared" ref="AA65:AA69" si="16">Y65/$I$63</f>
        <v>0</v>
      </c>
      <c r="AB65" s="9"/>
    </row>
    <row r="66" spans="1:28" x14ac:dyDescent="0.25">
      <c r="A66" s="6">
        <v>20</v>
      </c>
      <c r="B66" s="7">
        <v>16317264.317500001</v>
      </c>
      <c r="C66" s="7">
        <v>1177071.6481000001</v>
      </c>
      <c r="D66" s="7"/>
      <c r="E66" s="7">
        <v>17494335.965600003</v>
      </c>
      <c r="I66" s="16" t="s">
        <v>40</v>
      </c>
      <c r="J66" s="10">
        <v>15059311.4124</v>
      </c>
      <c r="K66" s="10"/>
      <c r="L66" s="14">
        <f t="shared" si="11"/>
        <v>3.396441087395724E-2</v>
      </c>
      <c r="M66" s="10">
        <v>13866114.004000001</v>
      </c>
      <c r="N66" s="10"/>
      <c r="O66" s="14">
        <f t="shared" si="12"/>
        <v>3.1273301969783257E-2</v>
      </c>
      <c r="P66" s="111">
        <v>25605705.429299999</v>
      </c>
      <c r="Q66" s="10"/>
      <c r="R66" s="14">
        <f t="shared" si="13"/>
        <v>5.775049576318321E-2</v>
      </c>
      <c r="S66" s="111">
        <v>19363498.797200002</v>
      </c>
      <c r="T66" s="110"/>
      <c r="U66" s="14">
        <f t="shared" si="14"/>
        <v>4.3671972183531922E-2</v>
      </c>
      <c r="V66" s="7">
        <v>36139450.485600002</v>
      </c>
      <c r="W66" s="10"/>
      <c r="X66" s="14">
        <f t="shared" si="15"/>
        <v>8.1508052489123253E-2</v>
      </c>
      <c r="Y66" s="10"/>
      <c r="Z66" s="10"/>
      <c r="AA66" s="14">
        <f t="shared" si="16"/>
        <v>0</v>
      </c>
      <c r="AB66" s="9"/>
    </row>
    <row r="67" spans="1:28" x14ac:dyDescent="0.25">
      <c r="A67" s="6">
        <v>21</v>
      </c>
      <c r="B67" s="7">
        <v>2559089.1973999999</v>
      </c>
      <c r="C67" s="7"/>
      <c r="D67" s="7">
        <v>8126116.8492000001</v>
      </c>
      <c r="E67" s="7">
        <v>10685206.046599999</v>
      </c>
      <c r="I67" s="16" t="s">
        <v>41</v>
      </c>
      <c r="J67" s="10">
        <v>16271589.6231</v>
      </c>
      <c r="K67" s="10"/>
      <c r="L67" s="14">
        <f t="shared" si="11"/>
        <v>3.669855416339457E-2</v>
      </c>
      <c r="M67" s="10">
        <v>17898680.686900001</v>
      </c>
      <c r="N67" s="10"/>
      <c r="O67" s="14">
        <f t="shared" si="12"/>
        <v>4.0368256443058109E-2</v>
      </c>
      <c r="P67" s="111">
        <v>19766219.163600001</v>
      </c>
      <c r="Q67" s="10"/>
      <c r="R67" s="14">
        <f t="shared" si="13"/>
        <v>4.4580258068400304E-2</v>
      </c>
      <c r="S67" s="111">
        <v>19061335.866700001</v>
      </c>
      <c r="T67" s="110"/>
      <c r="U67" s="14">
        <f t="shared" si="14"/>
        <v>4.2990481135147696E-2</v>
      </c>
      <c r="V67" s="10"/>
      <c r="W67" s="10"/>
      <c r="X67" s="14">
        <f t="shared" si="15"/>
        <v>0</v>
      </c>
      <c r="Y67" s="10"/>
      <c r="Z67" s="10"/>
      <c r="AA67" s="14">
        <f t="shared" si="16"/>
        <v>0</v>
      </c>
      <c r="AB67" s="9"/>
    </row>
    <row r="68" spans="1:28" x14ac:dyDescent="0.25">
      <c r="A68" s="6">
        <v>22</v>
      </c>
      <c r="B68" s="7"/>
      <c r="C68" s="7">
        <v>14283942.060000001</v>
      </c>
      <c r="D68" s="7">
        <v>14670331.6603</v>
      </c>
      <c r="E68" s="7">
        <v>28954273.7203</v>
      </c>
      <c r="I68" s="16" t="s">
        <v>42</v>
      </c>
      <c r="J68" s="10">
        <v>18785153.0779</v>
      </c>
      <c r="K68" s="10"/>
      <c r="L68" s="14">
        <f t="shared" si="11"/>
        <v>4.2367585077138385E-2</v>
      </c>
      <c r="M68" s="10">
        <v>15867309.9504</v>
      </c>
      <c r="N68" s="10"/>
      <c r="O68" s="14">
        <f t="shared" si="12"/>
        <v>3.5786751456381993E-2</v>
      </c>
      <c r="P68" s="111">
        <v>20252423.278200001</v>
      </c>
      <c r="Q68" s="10"/>
      <c r="R68" s="14">
        <f t="shared" si="13"/>
        <v>4.5676831202765888E-2</v>
      </c>
      <c r="S68" s="111">
        <v>17809872.8651</v>
      </c>
      <c r="T68" s="110"/>
      <c r="U68" s="14">
        <f t="shared" si="14"/>
        <v>4.0167961405268217E-2</v>
      </c>
      <c r="V68" s="10"/>
      <c r="W68" s="10"/>
      <c r="X68" s="14">
        <f t="shared" si="15"/>
        <v>0</v>
      </c>
      <c r="Y68" s="10"/>
      <c r="Z68" s="10"/>
      <c r="AA68" s="14">
        <f t="shared" si="16"/>
        <v>0</v>
      </c>
      <c r="AB68" s="9"/>
    </row>
    <row r="69" spans="1:28" x14ac:dyDescent="0.25">
      <c r="A69" s="6">
        <v>23</v>
      </c>
      <c r="B69" s="7">
        <v>17364965.299199998</v>
      </c>
      <c r="C69" s="7">
        <v>15497289.425799999</v>
      </c>
      <c r="D69" s="7">
        <v>21283013.434999999</v>
      </c>
      <c r="E69" s="7">
        <v>54145268.159999996</v>
      </c>
      <c r="I69" s="16" t="s">
        <v>43</v>
      </c>
      <c r="J69" s="3"/>
      <c r="K69" s="3">
        <v>3827079.5624000002</v>
      </c>
      <c r="L69" s="14">
        <f>K69/$I$63</f>
        <v>8.6315037351340929E-3</v>
      </c>
      <c r="M69" s="3"/>
      <c r="N69" s="10">
        <v>1690739.5981999999</v>
      </c>
      <c r="O69" s="14">
        <f>N69/$I$63</f>
        <v>3.8132536622391528E-3</v>
      </c>
      <c r="P69" s="9"/>
      <c r="Q69" s="111">
        <v>2760188.8535000002</v>
      </c>
      <c r="R69" s="14">
        <f>Q69/$I$63</f>
        <v>6.2252639408730001E-3</v>
      </c>
      <c r="S69" s="9"/>
      <c r="T69" s="7">
        <v>1537837.6425999999</v>
      </c>
      <c r="U69" s="14">
        <f>T69/$I$63</f>
        <v>3.4684022476416825E-3</v>
      </c>
      <c r="W69" s="10"/>
      <c r="X69" s="14">
        <f t="shared" si="15"/>
        <v>0</v>
      </c>
      <c r="Z69" s="10"/>
      <c r="AA69" s="14">
        <f t="shared" si="16"/>
        <v>0</v>
      </c>
      <c r="AB69" s="9"/>
    </row>
    <row r="70" spans="1:28" x14ac:dyDescent="0.25">
      <c r="A70" s="6">
        <v>24</v>
      </c>
      <c r="B70" s="7">
        <v>20628050.574700002</v>
      </c>
      <c r="C70" s="7">
        <v>19363498.797200002</v>
      </c>
      <c r="D70" s="7">
        <v>20086207.592300002</v>
      </c>
      <c r="E70" s="7">
        <v>60077756.964200005</v>
      </c>
      <c r="I70" s="16" t="s">
        <v>44</v>
      </c>
      <c r="J70" s="10"/>
      <c r="K70" s="10"/>
      <c r="L70" s="14"/>
      <c r="M70" s="10"/>
      <c r="N70" s="10"/>
      <c r="O70" s="14"/>
      <c r="P70" s="10"/>
      <c r="Q70" s="10"/>
      <c r="R70" s="14"/>
      <c r="S70" s="10"/>
      <c r="T70" s="10"/>
      <c r="U70" s="14"/>
      <c r="V70" s="10"/>
      <c r="W70" s="10"/>
      <c r="X70" s="14"/>
      <c r="Y70" s="10"/>
      <c r="Z70" s="10"/>
      <c r="AA70" s="14"/>
      <c r="AB70" s="9"/>
    </row>
    <row r="71" spans="1:28" x14ac:dyDescent="0.25">
      <c r="A71" s="6">
        <v>25</v>
      </c>
      <c r="B71" s="7">
        <v>18354754.607500002</v>
      </c>
      <c r="C71" s="7">
        <v>19061335.866700001</v>
      </c>
      <c r="D71" s="7">
        <v>21599322.135299999</v>
      </c>
      <c r="E71" s="7">
        <v>59015412.609500006</v>
      </c>
      <c r="I71" s="16" t="s">
        <v>45</v>
      </c>
      <c r="J71" s="10">
        <f>SUM(J64:J70)</f>
        <v>81776906.468699992</v>
      </c>
      <c r="K71" s="10">
        <f>SUM(K64:K70)</f>
        <v>3827079.5624000002</v>
      </c>
      <c r="L71" s="30">
        <f>SUM(J71:K71)</f>
        <v>85603986.03109999</v>
      </c>
      <c r="M71" s="10">
        <f>SUM(M64:M70)</f>
        <v>81061171.43249999</v>
      </c>
      <c r="N71" s="10">
        <f>SUM(N64:N70)</f>
        <v>1690739.5981999999</v>
      </c>
      <c r="O71" s="30">
        <f>SUM(M71:N71)</f>
        <v>82751911.030699983</v>
      </c>
      <c r="P71" s="146">
        <f>SUM(P64:P70)</f>
        <v>112729532.95519999</v>
      </c>
      <c r="Q71" s="10">
        <f>SUM(Q64:Q70)</f>
        <v>2760188.8535000002</v>
      </c>
      <c r="R71" s="147">
        <f>SUM(P71:Q71)</f>
        <v>115489721.80869998</v>
      </c>
      <c r="S71" s="146">
        <f>SUM(S64:S70)</f>
        <v>86015939.014899999</v>
      </c>
      <c r="T71" s="10">
        <f>SUM(T64:T70)</f>
        <v>1537837.6425999999</v>
      </c>
      <c r="U71" s="147">
        <f>SUM(S71:T71)</f>
        <v>87553776.657499999</v>
      </c>
      <c r="V71" s="146">
        <f>SUM(V64:V70)</f>
        <v>80555462.071500003</v>
      </c>
      <c r="W71" s="10">
        <f>SUM(W64:W70)</f>
        <v>0</v>
      </c>
      <c r="X71" s="147">
        <f>SUM(V71:W71)</f>
        <v>80555462.071500003</v>
      </c>
      <c r="Y71" s="10">
        <f>SUM(Y64:Y70)</f>
        <v>0</v>
      </c>
      <c r="Z71" s="10">
        <f>SUM(Z64:Z70)</f>
        <v>0</v>
      </c>
      <c r="AA71" s="30">
        <f>SUM(Y71:Z71)</f>
        <v>0</v>
      </c>
      <c r="AB71" s="11">
        <f>K71+J71+M71+N71+P71+Q71+S71+T71+V71+W71+Y71+Z71</f>
        <v>451954857.59949994</v>
      </c>
    </row>
    <row r="72" spans="1:28" ht="30" x14ac:dyDescent="0.25">
      <c r="A72" s="6">
        <v>26</v>
      </c>
      <c r="B72" s="7">
        <v>16369968.063100001</v>
      </c>
      <c r="C72" s="7">
        <v>17809872.8651</v>
      </c>
      <c r="D72" s="7">
        <v>3561904.2189000002</v>
      </c>
      <c r="E72" s="7">
        <v>37741745.147100002</v>
      </c>
      <c r="I72" s="18" t="s">
        <v>48</v>
      </c>
      <c r="J72" s="14">
        <f>J71/$I$63</f>
        <v>0.18443767946900089</v>
      </c>
      <c r="K72" s="14">
        <f>K71/$I$63</f>
        <v>8.6315037351340929E-3</v>
      </c>
      <c r="L72" s="31">
        <f>J72+K72</f>
        <v>0.19306918320413499</v>
      </c>
      <c r="M72" s="14">
        <f>M71/$I$63</f>
        <v>0.1828234277824087</v>
      </c>
      <c r="N72" s="14">
        <f>N71/$I$63</f>
        <v>3.8132536622391528E-3</v>
      </c>
      <c r="O72" s="31">
        <f>M72+N72</f>
        <v>0.18663668144464785</v>
      </c>
      <c r="P72" s="14">
        <f>P71/$I$63</f>
        <v>0.25424749313352046</v>
      </c>
      <c r="Q72" s="14">
        <f>Q71/$I$63</f>
        <v>6.2252639408730001E-3</v>
      </c>
      <c r="R72" s="31">
        <f>P72+Q72</f>
        <v>0.26047275707439349</v>
      </c>
      <c r="S72" s="14">
        <f>S71/$I$63</f>
        <v>0.19399829211352476</v>
      </c>
      <c r="T72" s="14">
        <f>T71/$I$63</f>
        <v>3.4684022476416825E-3</v>
      </c>
      <c r="U72" s="31">
        <f>S72+T72</f>
        <v>0.19746669436116646</v>
      </c>
      <c r="V72" s="14">
        <f>V71/$I$63</f>
        <v>0.18168286298170561</v>
      </c>
      <c r="W72" s="14">
        <f>W71/$I$63</f>
        <v>0</v>
      </c>
      <c r="X72" s="31">
        <f>V72+W72</f>
        <v>0.18168286298170561</v>
      </c>
      <c r="Y72" s="14">
        <f>Y71/$I$63</f>
        <v>0</v>
      </c>
      <c r="Z72" s="14">
        <f>Z71/$I$63</f>
        <v>0</v>
      </c>
      <c r="AA72" s="31">
        <f>Y72+Z72</f>
        <v>0</v>
      </c>
      <c r="AB72" s="12">
        <f>SUM(L72+O72+R72+U72+X72+AA72)</f>
        <v>1.0193281790660484</v>
      </c>
    </row>
    <row r="73" spans="1:28" x14ac:dyDescent="0.25">
      <c r="A73" s="6">
        <v>27</v>
      </c>
      <c r="B73" s="7">
        <v>1564643.3285000001</v>
      </c>
      <c r="C73" s="7">
        <v>1537837.6427</v>
      </c>
      <c r="D73" s="7"/>
      <c r="E73" s="7">
        <v>3102480.9712</v>
      </c>
      <c r="I73" s="16" t="s">
        <v>57</v>
      </c>
      <c r="L73" s="22">
        <f>AVERAGE(L64:L68)</f>
        <v>3.6887535893800186E-2</v>
      </c>
      <c r="O73" s="22">
        <f>AVERAGE(O64:O68)</f>
        <v>3.6564685556481749E-2</v>
      </c>
      <c r="R73" s="22">
        <f>AVERAGE(R64:R68)</f>
        <v>5.0849498626704091E-2</v>
      </c>
      <c r="U73" s="22">
        <f>AVERAGE(U64:U68)</f>
        <v>3.8799658422704955E-2</v>
      </c>
      <c r="X73" s="22">
        <f>AVERAGE(X64:X65)</f>
        <v>5.0087405246291176E-2</v>
      </c>
    </row>
    <row r="74" spans="1:28" ht="30.75" thickBot="1" x14ac:dyDescent="0.3">
      <c r="A74" s="6">
        <v>28</v>
      </c>
      <c r="B74" s="7"/>
      <c r="C74" s="7"/>
      <c r="D74" s="7">
        <v>15989352.105599999</v>
      </c>
      <c r="E74" s="7">
        <v>15989352.105599999</v>
      </c>
      <c r="I74" s="37" t="s">
        <v>58</v>
      </c>
      <c r="J74" s="14">
        <f>(L69+O69+R69+U69)/4</f>
        <v>5.5346058964719823E-3</v>
      </c>
    </row>
    <row r="75" spans="1:28" ht="60.75" thickBot="1" x14ac:dyDescent="0.3">
      <c r="A75" s="6">
        <v>29</v>
      </c>
      <c r="B75" s="7"/>
      <c r="C75" s="7">
        <v>17616005.9892</v>
      </c>
      <c r="D75" s="7">
        <v>19802859.724199999</v>
      </c>
      <c r="E75" s="7">
        <v>37418865.713399999</v>
      </c>
      <c r="H75" s="162" t="s">
        <v>82</v>
      </c>
      <c r="I75" s="89" t="s">
        <v>59</v>
      </c>
      <c r="J75" s="88">
        <f>(X66+X48+X102+X111)/4</f>
        <v>0.10113947795200268</v>
      </c>
      <c r="V75" s="8"/>
    </row>
    <row r="76" spans="1:28" x14ac:dyDescent="0.25">
      <c r="A76" s="6">
        <v>30</v>
      </c>
      <c r="B76" s="7">
        <v>20274217.853799999</v>
      </c>
      <c r="C76" s="7">
        <v>26800005.596700002</v>
      </c>
      <c r="D76" s="7">
        <v>44239273.388400003</v>
      </c>
      <c r="E76" s="7">
        <v>91313496.8389</v>
      </c>
    </row>
    <row r="77" spans="1:28" x14ac:dyDescent="0.25">
      <c r="A77" s="6">
        <v>31</v>
      </c>
      <c r="B77" s="7">
        <v>41933701.365199998</v>
      </c>
      <c r="C77" s="7">
        <v>36139450.485600002</v>
      </c>
      <c r="D77" s="7"/>
      <c r="E77" s="7">
        <v>78073151.850800008</v>
      </c>
    </row>
    <row r="78" spans="1:28" x14ac:dyDescent="0.25">
      <c r="A78" s="6" t="s">
        <v>29</v>
      </c>
      <c r="B78" s="7">
        <v>395073339.70579994</v>
      </c>
      <c r="C78" s="7">
        <v>408747806.66980004</v>
      </c>
      <c r="D78" s="7">
        <v>470024070.70100003</v>
      </c>
      <c r="E78" s="7">
        <v>1273845217.0765998</v>
      </c>
    </row>
    <row r="82" spans="1:28" x14ac:dyDescent="0.25">
      <c r="I82" s="24">
        <v>2019</v>
      </c>
      <c r="J82" s="209" t="s">
        <v>32</v>
      </c>
      <c r="K82" s="209" t="s">
        <v>33</v>
      </c>
      <c r="L82" s="174" t="s">
        <v>49</v>
      </c>
      <c r="M82" s="209" t="s">
        <v>34</v>
      </c>
      <c r="N82" s="209" t="s">
        <v>35</v>
      </c>
      <c r="O82" s="174" t="s">
        <v>49</v>
      </c>
      <c r="P82" s="209" t="s">
        <v>36</v>
      </c>
      <c r="Q82" s="209" t="s">
        <v>33</v>
      </c>
      <c r="R82" s="174" t="s">
        <v>49</v>
      </c>
      <c r="S82" s="209" t="s">
        <v>37</v>
      </c>
      <c r="T82" s="209" t="s">
        <v>33</v>
      </c>
      <c r="U82" s="174" t="s">
        <v>49</v>
      </c>
      <c r="V82" s="209" t="s">
        <v>46</v>
      </c>
      <c r="W82" s="209" t="s">
        <v>33</v>
      </c>
      <c r="X82" s="174" t="s">
        <v>49</v>
      </c>
      <c r="Y82" s="210" t="s">
        <v>54</v>
      </c>
      <c r="Z82" s="210" t="s">
        <v>33</v>
      </c>
      <c r="AA82" s="174" t="s">
        <v>49</v>
      </c>
      <c r="AB82" s="212" t="s">
        <v>47</v>
      </c>
    </row>
    <row r="83" spans="1:28" x14ac:dyDescent="0.25">
      <c r="I83" s="44">
        <v>460075282.54999995</v>
      </c>
      <c r="J83" s="209"/>
      <c r="K83" s="209"/>
      <c r="L83" s="174" t="s">
        <v>50</v>
      </c>
      <c r="M83" s="209"/>
      <c r="N83" s="209"/>
      <c r="O83" s="174" t="s">
        <v>50</v>
      </c>
      <c r="P83" s="209"/>
      <c r="Q83" s="209"/>
      <c r="R83" s="174" t="s">
        <v>50</v>
      </c>
      <c r="S83" s="209"/>
      <c r="T83" s="209"/>
      <c r="U83" s="174" t="s">
        <v>50</v>
      </c>
      <c r="V83" s="209"/>
      <c r="W83" s="209"/>
      <c r="X83" s="174" t="s">
        <v>50</v>
      </c>
      <c r="Y83" s="211"/>
      <c r="Z83" s="211"/>
      <c r="AA83" s="174" t="s">
        <v>50</v>
      </c>
      <c r="AB83" s="213"/>
    </row>
    <row r="84" spans="1:28" x14ac:dyDescent="0.25">
      <c r="A84" s="5" t="s">
        <v>74</v>
      </c>
      <c r="B84" s="5" t="s">
        <v>28</v>
      </c>
      <c r="I84" s="24" t="s">
        <v>38</v>
      </c>
      <c r="J84" s="9"/>
      <c r="K84" s="10"/>
      <c r="L84" s="14">
        <f>J84/$I$83</f>
        <v>0</v>
      </c>
      <c r="M84" s="111">
        <v>12171865.591</v>
      </c>
      <c r="N84" s="10"/>
      <c r="O84" s="14">
        <f>M84/$I$83</f>
        <v>2.6456247602645745E-2</v>
      </c>
      <c r="P84" s="111">
        <v>19723117.765099999</v>
      </c>
      <c r="Q84" s="10"/>
      <c r="R84" s="14">
        <f>P84/$I$83</f>
        <v>4.2869327071394091E-2</v>
      </c>
      <c r="S84" s="111">
        <v>8126116.8492000001</v>
      </c>
      <c r="T84" s="10"/>
      <c r="U84" s="14">
        <f>S84/$I$83</f>
        <v>1.7662580793648422E-2</v>
      </c>
      <c r="V84" s="7">
        <v>15989352.105599999</v>
      </c>
      <c r="W84" s="10"/>
      <c r="X84" s="14">
        <f>V84/$I$83</f>
        <v>3.4753773375909E-2</v>
      </c>
      <c r="Y84" s="10"/>
      <c r="Z84" s="10"/>
      <c r="AA84" s="14">
        <f>Y84/$I$83</f>
        <v>0</v>
      </c>
      <c r="AB84" s="9"/>
    </row>
    <row r="85" spans="1:28" x14ac:dyDescent="0.25">
      <c r="A85" s="5" t="s">
        <v>31</v>
      </c>
      <c r="B85" t="s">
        <v>78</v>
      </c>
      <c r="C85" t="s">
        <v>79</v>
      </c>
      <c r="D85" t="s">
        <v>29</v>
      </c>
      <c r="I85" s="24" t="s">
        <v>39</v>
      </c>
      <c r="J85" s="111">
        <v>7765435.2489999998</v>
      </c>
      <c r="K85" s="10"/>
      <c r="L85" s="14">
        <f t="shared" ref="L85:L88" si="17">J85/$I$83</f>
        <v>1.6878618659884364E-2</v>
      </c>
      <c r="M85" s="111">
        <v>24472335.067699999</v>
      </c>
      <c r="N85" s="10"/>
      <c r="O85" s="14">
        <f t="shared" ref="O85:O88" si="18">M85/$I$83</f>
        <v>5.3192023122955755E-2</v>
      </c>
      <c r="P85" s="111">
        <v>27382067.318999998</v>
      </c>
      <c r="Q85" s="10"/>
      <c r="R85" s="14">
        <f t="shared" ref="R85:R88" si="19">P85/$I$83</f>
        <v>5.9516492968787506E-2</v>
      </c>
      <c r="S85" s="111">
        <v>14670331.6603</v>
      </c>
      <c r="T85" s="10"/>
      <c r="U85" s="14">
        <f t="shared" ref="U85:U88" si="20">S85/$I$83</f>
        <v>3.1886806826458149E-2</v>
      </c>
      <c r="V85" s="10">
        <v>19802859.724199999</v>
      </c>
      <c r="W85" s="10"/>
      <c r="X85" s="14">
        <f t="shared" ref="X85:X88" si="21">V85/$I$83</f>
        <v>4.3042650790629834E-2</v>
      </c>
      <c r="Y85" s="10"/>
      <c r="Z85" s="10"/>
      <c r="AA85" s="14">
        <f t="shared" ref="AA85:AA88" si="22">Y85/$I$83</f>
        <v>0</v>
      </c>
      <c r="AB85" s="9"/>
    </row>
    <row r="86" spans="1:28" x14ac:dyDescent="0.25">
      <c r="A86" s="160">
        <v>1</v>
      </c>
      <c r="B86" s="7">
        <v>7361068.5938999997</v>
      </c>
      <c r="C86" s="7"/>
      <c r="D86" s="7">
        <v>7361068.5938999997</v>
      </c>
      <c r="I86" s="24" t="s">
        <v>40</v>
      </c>
      <c r="J86" s="111">
        <v>23677951.581700001</v>
      </c>
      <c r="K86" s="10"/>
      <c r="L86" s="14">
        <f t="shared" si="17"/>
        <v>5.1465385078857687E-2</v>
      </c>
      <c r="M86" s="111">
        <v>25713335.597199999</v>
      </c>
      <c r="N86" s="10"/>
      <c r="O86" s="14">
        <f t="shared" si="18"/>
        <v>5.5889408912997908E-2</v>
      </c>
      <c r="P86" s="111">
        <v>25605705.429299999</v>
      </c>
      <c r="Q86" s="10"/>
      <c r="R86" s="14">
        <f t="shared" si="19"/>
        <v>5.5655468573270347E-2</v>
      </c>
      <c r="S86" s="111">
        <v>21283013.4351</v>
      </c>
      <c r="T86" s="10"/>
      <c r="U86" s="14">
        <f t="shared" si="20"/>
        <v>4.6259849729673341E-2</v>
      </c>
      <c r="V86" s="10">
        <v>44239273.388400003</v>
      </c>
      <c r="W86" s="10"/>
      <c r="X86" s="14">
        <f t="shared" si="21"/>
        <v>9.6156596683918086E-2</v>
      </c>
      <c r="Y86" s="10"/>
      <c r="Z86" s="10"/>
      <c r="AA86" s="14">
        <f t="shared" si="22"/>
        <v>0</v>
      </c>
      <c r="AB86" s="9"/>
    </row>
    <row r="87" spans="1:28" x14ac:dyDescent="0.25">
      <c r="A87" s="160">
        <v>2</v>
      </c>
      <c r="B87" s="7">
        <v>18371772.540100001</v>
      </c>
      <c r="C87" s="7">
        <v>8287509.0689000003</v>
      </c>
      <c r="D87" s="7">
        <v>26659281.609000001</v>
      </c>
      <c r="I87" s="24" t="s">
        <v>41</v>
      </c>
      <c r="J87" s="111">
        <v>18422109.656800002</v>
      </c>
      <c r="K87" s="10"/>
      <c r="L87" s="14">
        <f t="shared" si="17"/>
        <v>4.0041511368952815E-2</v>
      </c>
      <c r="M87" s="111">
        <v>24495806.681600001</v>
      </c>
      <c r="N87" s="10"/>
      <c r="O87" s="14">
        <f t="shared" si="18"/>
        <v>5.3243040021255329E-2</v>
      </c>
      <c r="P87" s="111">
        <v>19766219.163600001</v>
      </c>
      <c r="Q87" s="10"/>
      <c r="R87" s="14">
        <f t="shared" si="19"/>
        <v>4.2963010431780482E-2</v>
      </c>
      <c r="S87" s="111">
        <v>20086207.592300002</v>
      </c>
      <c r="T87" s="10"/>
      <c r="U87" s="14">
        <f t="shared" si="20"/>
        <v>4.3658523624591973E-2</v>
      </c>
      <c r="V87" s="10"/>
      <c r="W87" s="10"/>
      <c r="X87" s="14">
        <f t="shared" si="21"/>
        <v>0</v>
      </c>
      <c r="Y87" s="10"/>
      <c r="Z87" s="10"/>
      <c r="AA87" s="14">
        <f t="shared" si="22"/>
        <v>0</v>
      </c>
      <c r="AB87" s="9"/>
    </row>
    <row r="88" spans="1:28" x14ac:dyDescent="0.25">
      <c r="A88" s="160">
        <v>3</v>
      </c>
      <c r="B88" s="7">
        <v>1012347.4528</v>
      </c>
      <c r="C88" s="7">
        <v>18979502.990699999</v>
      </c>
      <c r="D88" s="7">
        <v>19991850.443499997</v>
      </c>
      <c r="I88" s="24" t="s">
        <v>42</v>
      </c>
      <c r="J88" s="111">
        <v>21288529.495999999</v>
      </c>
      <c r="K88" s="10"/>
      <c r="L88" s="14">
        <f t="shared" si="17"/>
        <v>4.6271839204242424E-2</v>
      </c>
      <c r="M88" s="111">
        <v>19983152.810800001</v>
      </c>
      <c r="N88" s="10"/>
      <c r="O88" s="14">
        <f t="shared" si="18"/>
        <v>4.3434528149484487E-2</v>
      </c>
      <c r="P88" s="111">
        <v>20252423.278200001</v>
      </c>
      <c r="Q88" s="10"/>
      <c r="R88" s="14">
        <f t="shared" si="19"/>
        <v>4.4019802946051581E-2</v>
      </c>
      <c r="S88" s="111">
        <v>21599322.135299999</v>
      </c>
      <c r="T88" s="10"/>
      <c r="U88" s="14">
        <f t="shared" si="20"/>
        <v>4.6947364821653147E-2</v>
      </c>
      <c r="V88" s="10"/>
      <c r="W88" s="10"/>
      <c r="X88" s="14">
        <f t="shared" si="21"/>
        <v>0</v>
      </c>
      <c r="Y88" s="10"/>
      <c r="Z88" s="10"/>
      <c r="AA88" s="14">
        <f t="shared" si="22"/>
        <v>0</v>
      </c>
      <c r="AB88" s="9"/>
    </row>
    <row r="89" spans="1:28" x14ac:dyDescent="0.25">
      <c r="A89" s="160">
        <v>4</v>
      </c>
      <c r="B89" s="7"/>
      <c r="C89" s="7">
        <v>23470865.778299998</v>
      </c>
      <c r="D89" s="7">
        <v>23470865.778299998</v>
      </c>
      <c r="I89" s="24" t="s">
        <v>43</v>
      </c>
      <c r="J89" s="9"/>
      <c r="K89" s="111">
        <v>2365282.0912000001</v>
      </c>
      <c r="L89" s="14">
        <f>K89/$I$83</f>
        <v>5.1410762127673017E-3</v>
      </c>
      <c r="M89" s="9"/>
      <c r="N89" s="111">
        <v>4820163.9604000002</v>
      </c>
      <c r="O89" s="14">
        <f>N89/$I$83</f>
        <v>1.0476902679239578E-2</v>
      </c>
      <c r="P89" s="9"/>
      <c r="Q89" s="111">
        <v>2760188.8535000002</v>
      </c>
      <c r="R89" s="14">
        <f>Q89/$I$83</f>
        <v>5.9994286982805447E-3</v>
      </c>
      <c r="S89" s="9"/>
      <c r="T89" s="111">
        <v>3561904.2189000002</v>
      </c>
      <c r="U89" s="14">
        <f>T89/$I$83</f>
        <v>7.7420030025475246E-3</v>
      </c>
      <c r="V89" s="10"/>
      <c r="W89" s="10"/>
      <c r="X89" s="14">
        <f>W89/$I$83</f>
        <v>0</v>
      </c>
      <c r="Y89" s="10"/>
      <c r="Z89" s="10"/>
      <c r="AA89" s="14">
        <f>Z89/$I$83</f>
        <v>0</v>
      </c>
      <c r="AB89" s="9"/>
    </row>
    <row r="90" spans="1:28" x14ac:dyDescent="0.25">
      <c r="A90" s="160">
        <v>5</v>
      </c>
      <c r="B90" s="7">
        <v>13396878.318399999</v>
      </c>
      <c r="C90" s="7">
        <v>23004120.541200001</v>
      </c>
      <c r="D90" s="7">
        <v>36400998.8596</v>
      </c>
      <c r="I90" s="24" t="s">
        <v>44</v>
      </c>
      <c r="J90" s="10"/>
      <c r="K90" s="10"/>
      <c r="L90" s="14">
        <f>K90/$I$83</f>
        <v>0</v>
      </c>
      <c r="M90" s="10"/>
      <c r="N90" s="10"/>
      <c r="O90" s="14">
        <f>N90/$I$83</f>
        <v>0</v>
      </c>
      <c r="P90" s="10"/>
      <c r="Q90" s="10"/>
      <c r="R90" s="14">
        <f>Q90/$I$83</f>
        <v>0</v>
      </c>
      <c r="S90" s="10"/>
      <c r="T90" s="10"/>
      <c r="U90" s="14">
        <f>T90/$I$83</f>
        <v>0</v>
      </c>
      <c r="V90" s="10"/>
      <c r="W90" s="10"/>
      <c r="X90" s="14">
        <f>W90/$I$83</f>
        <v>0</v>
      </c>
      <c r="Y90" s="10"/>
      <c r="Z90" s="10"/>
      <c r="AA90" s="14">
        <f>Z90/$I$83</f>
        <v>0</v>
      </c>
      <c r="AB90" s="9"/>
    </row>
    <row r="91" spans="1:28" x14ac:dyDescent="0.25">
      <c r="A91" s="160">
        <v>6</v>
      </c>
      <c r="B91" s="7">
        <v>13554910.7051</v>
      </c>
      <c r="C91" s="7">
        <v>16922199.014899999</v>
      </c>
      <c r="D91" s="7">
        <v>30477109.719999999</v>
      </c>
      <c r="I91" s="24" t="s">
        <v>45</v>
      </c>
      <c r="J91" s="10">
        <f>SUM(J85:J90)</f>
        <v>71154025.983500004</v>
      </c>
      <c r="K91" s="10">
        <f>SUM(K84:K90)</f>
        <v>2365282.0912000001</v>
      </c>
      <c r="L91" s="196">
        <f>SUM(J91:K91)</f>
        <v>73519308.074699998</v>
      </c>
      <c r="M91" s="10">
        <f>SUM(M84:M90)</f>
        <v>106836495.7483</v>
      </c>
      <c r="N91" s="10">
        <f>SUM(N84:N90)</f>
        <v>4820163.9604000002</v>
      </c>
      <c r="O91" s="196">
        <f>SUM(M91:N91)</f>
        <v>111656659.7087</v>
      </c>
      <c r="P91" s="10">
        <f>SUM(P84:P90)</f>
        <v>112729532.95519999</v>
      </c>
      <c r="Q91" s="10">
        <f>SUM(Q84:Q90)</f>
        <v>2760188.8535000002</v>
      </c>
      <c r="R91" s="196">
        <f>SUM(P91:Q91)</f>
        <v>115489721.80869998</v>
      </c>
      <c r="S91" s="10">
        <f>SUM(S84:S90)</f>
        <v>85764991.672199994</v>
      </c>
      <c r="T91" s="10">
        <f>SUM(T84:T90)</f>
        <v>3561904.2189000002</v>
      </c>
      <c r="U91" s="196">
        <f>SUM(S91:T91)</f>
        <v>89326895.891099989</v>
      </c>
      <c r="V91" s="10">
        <f>SUM(V84:V90)</f>
        <v>80031485.218199998</v>
      </c>
      <c r="W91" s="10">
        <f>SUM(W84:W90)</f>
        <v>0</v>
      </c>
      <c r="X91" s="196">
        <f>SUM(V91:W91)</f>
        <v>80031485.218199998</v>
      </c>
      <c r="Y91" s="10">
        <f>SUM(Y84:Y90)</f>
        <v>0</v>
      </c>
      <c r="Z91" s="10">
        <f>SUM(Z84:Z90)</f>
        <v>0</v>
      </c>
      <c r="AA91" s="196">
        <f>SUM(Y91:Z91)</f>
        <v>0</v>
      </c>
      <c r="AB91" s="11">
        <f>K91+J91+M91+N91+P91+Q91+S91+T91+V91+W91+Y91+Z91</f>
        <v>470024070.70140004</v>
      </c>
    </row>
    <row r="92" spans="1:28" ht="30" x14ac:dyDescent="0.25">
      <c r="A92" s="160">
        <v>7</v>
      </c>
      <c r="B92" s="7">
        <v>28886104.2995</v>
      </c>
      <c r="C92" s="7">
        <v>1256896.5499</v>
      </c>
      <c r="D92" s="7">
        <v>30143000.849399999</v>
      </c>
      <c r="I92" s="171" t="s">
        <v>48</v>
      </c>
      <c r="J92" s="14">
        <f>J91/$I$83</f>
        <v>0.15465735431193731</v>
      </c>
      <c r="K92" s="14">
        <f>K91/$I$83</f>
        <v>5.1410762127673017E-3</v>
      </c>
      <c r="L92" s="197">
        <f>J92+K92</f>
        <v>0.1597984305247046</v>
      </c>
      <c r="M92" s="14">
        <f>M91/$I$83</f>
        <v>0.23221524780933922</v>
      </c>
      <c r="N92" s="14">
        <f>N91/$I$83</f>
        <v>1.0476902679239578E-2</v>
      </c>
      <c r="O92" s="197">
        <f>M92+N92</f>
        <v>0.24269215048857878</v>
      </c>
      <c r="P92" s="14">
        <f>P91/$I$83</f>
        <v>0.24502410199128399</v>
      </c>
      <c r="Q92" s="14">
        <f>Q91/$I$83</f>
        <v>5.9994286982805447E-3</v>
      </c>
      <c r="R92" s="197">
        <f>P92+Q92</f>
        <v>0.25102353068956451</v>
      </c>
      <c r="S92" s="14">
        <f>S91/$I$83</f>
        <v>0.18641512579602501</v>
      </c>
      <c r="T92" s="14">
        <f>T91/$I$83</f>
        <v>7.7420030025475246E-3</v>
      </c>
      <c r="U92" s="197">
        <f>S92+T92</f>
        <v>0.19415712879857253</v>
      </c>
      <c r="V92" s="14">
        <f>V91/$I$83</f>
        <v>0.17395302085045691</v>
      </c>
      <c r="W92" s="14">
        <f>W91/$I$83</f>
        <v>0</v>
      </c>
      <c r="X92" s="197">
        <f>V92+W92</f>
        <v>0.17395302085045691</v>
      </c>
      <c r="Y92" s="14">
        <f>Y91/$I$83</f>
        <v>0</v>
      </c>
      <c r="Z92" s="14">
        <f>Z91/$I$83</f>
        <v>0</v>
      </c>
      <c r="AA92" s="197">
        <f>Y92+Z92</f>
        <v>0</v>
      </c>
      <c r="AB92" s="12">
        <f>SUM(L92+O92+R92+U92+X92+AA92)</f>
        <v>1.0216242613518773</v>
      </c>
    </row>
    <row r="93" spans="1:28" x14ac:dyDescent="0.25">
      <c r="A93" s="160">
        <v>8</v>
      </c>
      <c r="B93" s="7">
        <v>12316883.320800001</v>
      </c>
      <c r="C93" s="7"/>
      <c r="D93" s="7">
        <v>12316883.320800001</v>
      </c>
    </row>
    <row r="94" spans="1:28" x14ac:dyDescent="0.25">
      <c r="A94" s="160">
        <v>9</v>
      </c>
      <c r="B94" s="7">
        <v>17005265.7172</v>
      </c>
      <c r="C94" s="7">
        <v>14086808.649900001</v>
      </c>
      <c r="D94" s="7">
        <v>31092074.3671</v>
      </c>
    </row>
    <row r="95" spans="1:28" ht="15.75" customHeight="1" x14ac:dyDescent="0.25">
      <c r="A95" s="160">
        <v>10</v>
      </c>
      <c r="B95" s="7">
        <v>2853945.9158000001</v>
      </c>
      <c r="C95" s="7">
        <v>27737928.7733</v>
      </c>
      <c r="D95" s="7">
        <v>30591874.689100001</v>
      </c>
      <c r="I95" s="163">
        <v>27993.08</v>
      </c>
      <c r="J95">
        <v>13677</v>
      </c>
    </row>
    <row r="96" spans="1:28" x14ac:dyDescent="0.25">
      <c r="A96" s="160">
        <v>11</v>
      </c>
      <c r="B96" s="7"/>
      <c r="C96" s="7">
        <v>29681348.749699999</v>
      </c>
      <c r="D96" s="7">
        <v>29681348.749699999</v>
      </c>
      <c r="I96" s="16" t="s">
        <v>80</v>
      </c>
      <c r="J96" s="208" t="s">
        <v>32</v>
      </c>
      <c r="K96" s="208" t="s">
        <v>33</v>
      </c>
      <c r="L96" s="112" t="s">
        <v>49</v>
      </c>
      <c r="M96" s="208" t="s">
        <v>34</v>
      </c>
      <c r="N96" s="208" t="s">
        <v>35</v>
      </c>
      <c r="O96" s="112" t="s">
        <v>49</v>
      </c>
      <c r="P96" s="208" t="s">
        <v>36</v>
      </c>
      <c r="Q96" s="208" t="s">
        <v>33</v>
      </c>
      <c r="R96" s="112" t="s">
        <v>49</v>
      </c>
      <c r="S96" s="208" t="s">
        <v>37</v>
      </c>
      <c r="T96" s="208" t="s">
        <v>33</v>
      </c>
      <c r="U96" s="112" t="s">
        <v>49</v>
      </c>
      <c r="V96" s="208" t="s">
        <v>46</v>
      </c>
      <c r="W96" s="208" t="s">
        <v>33</v>
      </c>
      <c r="X96" s="112" t="s">
        <v>49</v>
      </c>
      <c r="Y96" s="216" t="s">
        <v>54</v>
      </c>
      <c r="Z96" s="216" t="s">
        <v>33</v>
      </c>
      <c r="AA96" s="112" t="s">
        <v>49</v>
      </c>
      <c r="AB96" s="206" t="s">
        <v>47</v>
      </c>
    </row>
    <row r="97" spans="1:28" x14ac:dyDescent="0.25">
      <c r="A97" s="160">
        <v>12</v>
      </c>
      <c r="B97" s="7">
        <v>23124136.27</v>
      </c>
      <c r="C97" s="7">
        <v>18491637.784600001</v>
      </c>
      <c r="D97" s="7">
        <v>41615774.0546</v>
      </c>
      <c r="I97" s="93">
        <f>J95*I95</f>
        <v>382861355.16000003</v>
      </c>
      <c r="J97" s="208"/>
      <c r="K97" s="208"/>
      <c r="L97" s="112" t="s">
        <v>50</v>
      </c>
      <c r="M97" s="208"/>
      <c r="N97" s="208"/>
      <c r="O97" s="112" t="s">
        <v>50</v>
      </c>
      <c r="P97" s="208"/>
      <c r="Q97" s="208"/>
      <c r="R97" s="112" t="s">
        <v>50</v>
      </c>
      <c r="S97" s="208"/>
      <c r="T97" s="208"/>
      <c r="U97" s="112" t="s">
        <v>50</v>
      </c>
      <c r="V97" s="208"/>
      <c r="W97" s="208"/>
      <c r="X97" s="112" t="s">
        <v>50</v>
      </c>
      <c r="Y97" s="217"/>
      <c r="Z97" s="217"/>
      <c r="AA97" s="112" t="s">
        <v>50</v>
      </c>
      <c r="AB97" s="207"/>
    </row>
    <row r="98" spans="1:28" x14ac:dyDescent="0.25">
      <c r="A98" s="160">
        <v>13</v>
      </c>
      <c r="B98" s="7">
        <v>16042970.5307</v>
      </c>
      <c r="C98" s="7">
        <v>23522435.9921</v>
      </c>
      <c r="D98" s="7">
        <v>39565406.522799999</v>
      </c>
      <c r="I98" s="16" t="s">
        <v>38</v>
      </c>
      <c r="J98" s="111"/>
      <c r="K98" s="10"/>
      <c r="L98" s="14">
        <f>J98/$I$97</f>
        <v>0</v>
      </c>
      <c r="M98" s="7">
        <v>13396878.318399999</v>
      </c>
      <c r="N98" s="10"/>
      <c r="O98" s="14">
        <f>M98/$I$97</f>
        <v>3.4991461368048926E-2</v>
      </c>
      <c r="P98" s="7">
        <v>23124136.27</v>
      </c>
      <c r="Q98" s="10"/>
      <c r="R98" s="14">
        <f>P98/$I$97</f>
        <v>6.0398198873679185E-2</v>
      </c>
      <c r="S98" s="7">
        <v>14143508.686100001</v>
      </c>
      <c r="T98" s="10"/>
      <c r="U98" s="14">
        <f>S98/$I$97</f>
        <v>3.6941593857623328E-2</v>
      </c>
      <c r="V98" s="7">
        <v>19562924.886799999</v>
      </c>
      <c r="W98" s="10"/>
      <c r="X98" s="14">
        <f>V98/$I$97</f>
        <v>5.1096629688897527E-2</v>
      </c>
      <c r="Y98" s="10"/>
      <c r="Z98" s="10"/>
      <c r="AA98" s="14">
        <f>Y98/$I$83</f>
        <v>0</v>
      </c>
      <c r="AB98" s="9"/>
    </row>
    <row r="99" spans="1:28" x14ac:dyDescent="0.25">
      <c r="A99" s="160">
        <v>14</v>
      </c>
      <c r="B99" s="7">
        <v>22264055.363400001</v>
      </c>
      <c r="C99" s="7">
        <v>2305541.1028999998</v>
      </c>
      <c r="D99" s="7">
        <v>24569596.4663</v>
      </c>
      <c r="I99" s="16" t="s">
        <v>39</v>
      </c>
      <c r="J99" s="111"/>
      <c r="K99" s="10"/>
      <c r="L99" s="14">
        <f t="shared" ref="L99:L104" si="23">J99/$I$97</f>
        <v>0</v>
      </c>
      <c r="M99" s="7">
        <v>13554910.7051</v>
      </c>
      <c r="N99" s="10"/>
      <c r="O99" s="14">
        <f t="shared" ref="O99:O104" si="24">M99/$I$97</f>
        <v>3.5404227985964584E-2</v>
      </c>
      <c r="P99" s="7">
        <v>16042970.5307</v>
      </c>
      <c r="Q99" s="10"/>
      <c r="R99" s="14">
        <f t="shared" ref="R99:R104" si="25">P99/$I$97</f>
        <v>4.1902820210192142E-2</v>
      </c>
      <c r="S99" s="7">
        <v>17575997.904899999</v>
      </c>
      <c r="T99" s="10"/>
      <c r="U99" s="14">
        <f t="shared" ref="U99:U104" si="26">S99/$I$97</f>
        <v>4.5906952132985283E-2</v>
      </c>
      <c r="V99" s="7">
        <v>17792256.758499999</v>
      </c>
      <c r="W99" s="10"/>
      <c r="X99" s="14">
        <f t="shared" ref="X99:X104" si="27">V99/$I$97</f>
        <v>4.647180113298327E-2</v>
      </c>
      <c r="Y99" s="10"/>
      <c r="Z99" s="10"/>
      <c r="AA99" s="14">
        <f t="shared" ref="AA99:AA102" si="28">Y99/$I$83</f>
        <v>0</v>
      </c>
      <c r="AB99" s="9"/>
    </row>
    <row r="100" spans="1:28" x14ac:dyDescent="0.25">
      <c r="A100" s="160">
        <v>15</v>
      </c>
      <c r="B100" s="7">
        <v>3978713.0395</v>
      </c>
      <c r="C100" s="7"/>
      <c r="D100" s="7">
        <v>3978713.0395</v>
      </c>
      <c r="I100" s="16" t="s">
        <v>40</v>
      </c>
      <c r="J100" s="111"/>
      <c r="K100" s="10"/>
      <c r="L100" s="14">
        <f t="shared" si="23"/>
        <v>0</v>
      </c>
      <c r="M100" s="7">
        <v>28886104.2995</v>
      </c>
      <c r="N100" s="10"/>
      <c r="O100" s="14">
        <f t="shared" si="24"/>
        <v>7.5447949787014482E-2</v>
      </c>
      <c r="P100" s="7">
        <v>22264055.363400001</v>
      </c>
      <c r="Q100" s="10"/>
      <c r="R100" s="14">
        <f t="shared" si="25"/>
        <v>5.8151743609891685E-2</v>
      </c>
      <c r="S100" s="7">
        <v>20802372.248199999</v>
      </c>
      <c r="T100" s="10"/>
      <c r="U100" s="14">
        <f t="shared" si="26"/>
        <v>5.4333956582028407E-2</v>
      </c>
      <c r="V100" s="7">
        <v>28966192.047800001</v>
      </c>
      <c r="W100" s="10"/>
      <c r="X100" s="14">
        <f t="shared" si="27"/>
        <v>7.5657131902735014E-2</v>
      </c>
      <c r="Y100" s="10"/>
      <c r="Z100" s="10"/>
      <c r="AA100" s="14">
        <f t="shared" si="28"/>
        <v>0</v>
      </c>
      <c r="AB100" s="9"/>
    </row>
    <row r="101" spans="1:28" x14ac:dyDescent="0.25">
      <c r="A101" s="160">
        <v>16</v>
      </c>
      <c r="B101" s="7">
        <v>15892122.2688</v>
      </c>
      <c r="C101" s="7">
        <v>12531383.2535</v>
      </c>
      <c r="D101" s="7">
        <v>28423505.522299998</v>
      </c>
      <c r="I101" s="16" t="s">
        <v>41</v>
      </c>
      <c r="J101" s="7">
        <v>7361068.5938999997</v>
      </c>
      <c r="K101" s="10"/>
      <c r="L101" s="14">
        <f t="shared" si="23"/>
        <v>1.9226460165518051E-2</v>
      </c>
      <c r="M101" s="7">
        <v>12316883.320800001</v>
      </c>
      <c r="N101" s="10"/>
      <c r="O101" s="14">
        <f t="shared" si="24"/>
        <v>3.217060994743829E-2</v>
      </c>
      <c r="P101" s="7">
        <v>3978713.0395</v>
      </c>
      <c r="Q101" s="10"/>
      <c r="R101" s="14">
        <f t="shared" si="25"/>
        <v>1.0392046587823606E-2</v>
      </c>
      <c r="S101" s="7">
        <v>20648562.776999999</v>
      </c>
      <c r="T101" s="10"/>
      <c r="U101" s="14">
        <f t="shared" si="26"/>
        <v>5.3932219845930503E-2</v>
      </c>
      <c r="V101" s="7">
        <v>22580362.7282</v>
      </c>
      <c r="W101" s="10"/>
      <c r="X101" s="14">
        <f t="shared" si="27"/>
        <v>5.8977910473005386E-2</v>
      </c>
      <c r="Y101" s="10"/>
      <c r="Z101" s="10"/>
      <c r="AA101" s="14">
        <f t="shared" si="28"/>
        <v>0</v>
      </c>
      <c r="AB101" s="9"/>
    </row>
    <row r="102" spans="1:28" x14ac:dyDescent="0.25">
      <c r="A102" s="160">
        <v>17</v>
      </c>
      <c r="B102" s="7">
        <v>2012759.8117</v>
      </c>
      <c r="C102" s="7">
        <v>6045133.5570999999</v>
      </c>
      <c r="D102" s="7">
        <v>8057893.3687999994</v>
      </c>
      <c r="I102" s="16" t="s">
        <v>42</v>
      </c>
      <c r="J102" s="7">
        <v>18371772.540100001</v>
      </c>
      <c r="K102" s="10"/>
      <c r="L102" s="14">
        <f t="shared" si="23"/>
        <v>4.7985445103025159E-2</v>
      </c>
      <c r="M102" s="7">
        <v>17005265.7172</v>
      </c>
      <c r="N102" s="10"/>
      <c r="O102" s="14">
        <f t="shared" si="24"/>
        <v>4.4416250133402467E-2</v>
      </c>
      <c r="P102" s="7">
        <v>15892122.2688</v>
      </c>
      <c r="Q102" s="10"/>
      <c r="R102" s="14">
        <f t="shared" si="25"/>
        <v>4.1508817890900968E-2</v>
      </c>
      <c r="S102" s="7">
        <v>18560891.699099999</v>
      </c>
      <c r="T102" s="10"/>
      <c r="U102" s="14">
        <f t="shared" si="26"/>
        <v>4.84794076209214E-2</v>
      </c>
      <c r="V102" s="7">
        <v>40514184.584100001</v>
      </c>
      <c r="W102" s="10"/>
      <c r="X102" s="14">
        <f t="shared" si="27"/>
        <v>0.10581946712059483</v>
      </c>
      <c r="Y102" s="10"/>
      <c r="Z102" s="10"/>
      <c r="AA102" s="14">
        <f t="shared" si="28"/>
        <v>0</v>
      </c>
      <c r="AB102" s="9"/>
    </row>
    <row r="103" spans="1:28" x14ac:dyDescent="0.25">
      <c r="A103" s="160">
        <v>19</v>
      </c>
      <c r="B103" s="7">
        <v>14143508.686100001</v>
      </c>
      <c r="C103" s="7"/>
      <c r="D103" s="7">
        <v>14143508.686100001</v>
      </c>
      <c r="I103" s="16" t="s">
        <v>43</v>
      </c>
      <c r="J103" s="7"/>
      <c r="K103" s="7">
        <v>1012347.4528</v>
      </c>
      <c r="L103" s="14">
        <f>K103/$I$97</f>
        <v>2.6441620162393617E-3</v>
      </c>
      <c r="M103" s="7"/>
      <c r="N103" s="7">
        <v>2853945.9158000001</v>
      </c>
      <c r="O103" s="14">
        <f>N103/$I$97</f>
        <v>7.4542543334187366E-3</v>
      </c>
      <c r="P103" s="7"/>
      <c r="Q103" s="7">
        <v>2012759.8117</v>
      </c>
      <c r="R103" s="14">
        <f>Q103/$I$97</f>
        <v>5.257150622733537E-3</v>
      </c>
      <c r="S103" s="7"/>
      <c r="T103" s="7">
        <v>5676001.1677000001</v>
      </c>
      <c r="U103" s="14">
        <f>T103/$I$97</f>
        <v>1.4825213073092649E-2</v>
      </c>
      <c r="V103" s="7"/>
      <c r="W103" s="7">
        <v>710136.23930000002</v>
      </c>
      <c r="X103" s="14">
        <f>W103/$I$97</f>
        <v>1.8548130536790006E-3</v>
      </c>
      <c r="Y103" s="10"/>
      <c r="Z103" s="10"/>
      <c r="AA103" s="14">
        <f>Z103/$I$83</f>
        <v>0</v>
      </c>
      <c r="AB103" s="9"/>
    </row>
    <row r="104" spans="1:28" x14ac:dyDescent="0.25">
      <c r="A104" s="160">
        <v>20</v>
      </c>
      <c r="B104" s="7">
        <v>17575997.904899999</v>
      </c>
      <c r="C104" s="7"/>
      <c r="D104" s="7">
        <v>17575997.904899999</v>
      </c>
      <c r="I104" s="16" t="s">
        <v>44</v>
      </c>
      <c r="J104" s="10"/>
      <c r="K104" s="10"/>
      <c r="L104" s="14">
        <f t="shared" si="23"/>
        <v>0</v>
      </c>
      <c r="M104" s="10"/>
      <c r="N104" s="10"/>
      <c r="O104" s="14">
        <f t="shared" si="24"/>
        <v>0</v>
      </c>
      <c r="P104" s="10"/>
      <c r="Q104" s="10"/>
      <c r="R104" s="14">
        <f t="shared" si="25"/>
        <v>0</v>
      </c>
      <c r="S104" s="10"/>
      <c r="T104" s="10"/>
      <c r="U104" s="14">
        <f t="shared" si="26"/>
        <v>0</v>
      </c>
      <c r="V104" s="10"/>
      <c r="W104" s="10"/>
      <c r="X104" s="14">
        <f t="shared" si="27"/>
        <v>0</v>
      </c>
      <c r="Y104" s="10"/>
      <c r="Z104" s="10"/>
      <c r="AA104" s="14">
        <f>Z104/$I$83</f>
        <v>0</v>
      </c>
      <c r="AB104" s="9"/>
    </row>
    <row r="105" spans="1:28" x14ac:dyDescent="0.25">
      <c r="A105" s="160">
        <v>21</v>
      </c>
      <c r="B105" s="7">
        <v>20802372.248199999</v>
      </c>
      <c r="C105" s="7"/>
      <c r="D105" s="7">
        <v>20802372.248199999</v>
      </c>
      <c r="I105" s="16" t="s">
        <v>45</v>
      </c>
      <c r="J105" s="10">
        <f>SUM(J99:J104)</f>
        <v>25732841.134</v>
      </c>
      <c r="K105" s="10">
        <f>SUM(K98:K104)</f>
        <v>1012347.4528</v>
      </c>
      <c r="L105" s="30">
        <f>SUM(J105:K105)</f>
        <v>26745188.586799998</v>
      </c>
      <c r="M105" s="146">
        <f>SUM(M98:M104)</f>
        <v>85160042.361000001</v>
      </c>
      <c r="N105" s="10">
        <f>SUM(N98:N104)</f>
        <v>2853945.9158000001</v>
      </c>
      <c r="O105" s="147">
        <f>SUM(M105:N105)</f>
        <v>88013988.276800007</v>
      </c>
      <c r="P105" s="146">
        <f>SUM(P98:P104)</f>
        <v>81301997.47240001</v>
      </c>
      <c r="Q105" s="10">
        <f>SUM(Q98:Q104)</f>
        <v>2012759.8117</v>
      </c>
      <c r="R105" s="147">
        <f>SUM(P105:Q105)</f>
        <v>83314757.284100011</v>
      </c>
      <c r="S105" s="146">
        <f>SUM(S98:S104)</f>
        <v>91731333.315300003</v>
      </c>
      <c r="T105" s="10">
        <f>SUM(T98:T104)</f>
        <v>5676001.1677000001</v>
      </c>
      <c r="U105" s="147">
        <f>SUM(S105:T105)</f>
        <v>97407334.48300001</v>
      </c>
      <c r="V105" s="146">
        <f>SUM(V98:V104)</f>
        <v>129415921.0054</v>
      </c>
      <c r="W105" s="10">
        <f>SUM(W98:W104)</f>
        <v>710136.23930000002</v>
      </c>
      <c r="X105" s="147">
        <f>SUM(V105:W105)</f>
        <v>130126057.2447</v>
      </c>
      <c r="Y105" s="10">
        <f>SUM(Y98:Y104)</f>
        <v>0</v>
      </c>
      <c r="Z105" s="10">
        <f>SUM(Z98:Z104)</f>
        <v>0</v>
      </c>
      <c r="AA105" s="30">
        <f>SUM(Y105:Z105)</f>
        <v>0</v>
      </c>
      <c r="AB105" s="11">
        <f>K105+J105+M105+N105+P105+Q105+S105+T105+V105+W105+Y105+Z105</f>
        <v>425607325.87540001</v>
      </c>
    </row>
    <row r="106" spans="1:28" ht="30" x14ac:dyDescent="0.25">
      <c r="A106" s="160">
        <v>22</v>
      </c>
      <c r="B106" s="7">
        <v>20648562.776999999</v>
      </c>
      <c r="C106" s="7"/>
      <c r="D106" s="7">
        <v>20648562.776999999</v>
      </c>
      <c r="I106" s="18" t="s">
        <v>48</v>
      </c>
      <c r="J106" s="14">
        <f>J105/$I$97</f>
        <v>6.7211905268543218E-2</v>
      </c>
      <c r="K106" s="14">
        <f>K105/$I$97</f>
        <v>2.6441620162393617E-3</v>
      </c>
      <c r="L106" s="31">
        <f>J106+K106</f>
        <v>6.985606728478258E-2</v>
      </c>
      <c r="M106" s="14">
        <f>M105/$I$97</f>
        <v>0.22243049922186875</v>
      </c>
      <c r="N106" s="14">
        <f>N105/$I$97</f>
        <v>7.4542543334187366E-3</v>
      </c>
      <c r="O106" s="31">
        <f>M106+N106</f>
        <v>0.22988475355528748</v>
      </c>
      <c r="P106" s="14">
        <f>P105/$I$97</f>
        <v>0.2123536271724876</v>
      </c>
      <c r="Q106" s="14">
        <f>Q105/$I$97</f>
        <v>5.257150622733537E-3</v>
      </c>
      <c r="R106" s="31">
        <f>P106+Q106</f>
        <v>0.21761077779522114</v>
      </c>
      <c r="S106" s="14">
        <f>S105/$I$97</f>
        <v>0.23959413003948893</v>
      </c>
      <c r="T106" s="14">
        <f>T105/$I$97</f>
        <v>1.4825213073092649E-2</v>
      </c>
      <c r="U106" s="31">
        <f>S106+T106</f>
        <v>0.25441934311258158</v>
      </c>
      <c r="V106" s="14">
        <f>V105/$I$97</f>
        <v>0.33802294031821606</v>
      </c>
      <c r="W106" s="14">
        <f>W105/$I$97</f>
        <v>1.8548130536790006E-3</v>
      </c>
      <c r="X106" s="31">
        <f>V106+W106</f>
        <v>0.33987775337189507</v>
      </c>
      <c r="Y106" s="14">
        <f>Y105/$I$83</f>
        <v>0</v>
      </c>
      <c r="Z106" s="14">
        <f>Z105/$I$83</f>
        <v>0</v>
      </c>
      <c r="AA106" s="31">
        <f>Y106+Z106</f>
        <v>0</v>
      </c>
      <c r="AB106" s="14">
        <f>SUM(L106+O106+R106+U106+X106+AA106)</f>
        <v>1.1116486951197679</v>
      </c>
    </row>
    <row r="107" spans="1:28" x14ac:dyDescent="0.25">
      <c r="A107" s="160">
        <v>23</v>
      </c>
      <c r="B107" s="7">
        <v>18560891.699099999</v>
      </c>
      <c r="C107" s="7">
        <v>25489417.118299998</v>
      </c>
      <c r="D107" s="7">
        <v>44050308.817399994</v>
      </c>
      <c r="I107" s="16" t="s">
        <v>57</v>
      </c>
      <c r="L107" s="22">
        <f>AVERAGE(L98:L102)</f>
        <v>1.3442381053708641E-2</v>
      </c>
      <c r="O107" s="22">
        <f>AVERAGE(O98:O102)</f>
        <v>4.4486099844373753E-2</v>
      </c>
      <c r="R107" s="22">
        <f>AVERAGE(R98:R102)</f>
        <v>4.2470725434497522E-2</v>
      </c>
      <c r="U107" s="22">
        <f>AVERAGE(U98:U102)</f>
        <v>4.7918826007897784E-2</v>
      </c>
      <c r="X107" s="22">
        <f>AVERAGE(X98:X102)</f>
        <v>6.7604588063643195E-2</v>
      </c>
    </row>
    <row r="108" spans="1:28" ht="30" x14ac:dyDescent="0.25">
      <c r="A108" s="160">
        <v>24</v>
      </c>
      <c r="B108" s="7">
        <v>5676001.1677000001</v>
      </c>
      <c r="C108" s="7">
        <v>16781484.137200002</v>
      </c>
      <c r="D108" s="7">
        <v>22457485.304900002</v>
      </c>
      <c r="I108" s="37" t="s">
        <v>58</v>
      </c>
      <c r="J108" s="14">
        <f>(L103+O103+R103+U103+X103)/5</f>
        <v>6.4071186198326564E-3</v>
      </c>
    </row>
    <row r="109" spans="1:28" x14ac:dyDescent="0.25">
      <c r="A109" s="160">
        <v>25</v>
      </c>
      <c r="B109" s="7"/>
      <c r="C109" s="7">
        <v>30210995.447900001</v>
      </c>
      <c r="D109" s="7">
        <v>30210995.447900001</v>
      </c>
      <c r="H109">
        <v>11230</v>
      </c>
      <c r="I109" s="16" t="s">
        <v>81</v>
      </c>
      <c r="J109" s="208" t="s">
        <v>32</v>
      </c>
      <c r="K109" s="208" t="s">
        <v>33</v>
      </c>
      <c r="L109" s="112" t="s">
        <v>49</v>
      </c>
      <c r="M109" s="208" t="s">
        <v>34</v>
      </c>
      <c r="N109" s="208" t="s">
        <v>35</v>
      </c>
      <c r="O109" s="112" t="s">
        <v>49</v>
      </c>
      <c r="P109" s="208" t="s">
        <v>36</v>
      </c>
      <c r="Q109" s="208" t="s">
        <v>33</v>
      </c>
      <c r="R109" s="112" t="s">
        <v>49</v>
      </c>
      <c r="S109" s="208" t="s">
        <v>37</v>
      </c>
      <c r="T109" s="208" t="s">
        <v>33</v>
      </c>
      <c r="U109" s="112" t="s">
        <v>49</v>
      </c>
      <c r="V109" s="208" t="s">
        <v>46</v>
      </c>
      <c r="W109" s="208" t="s">
        <v>33</v>
      </c>
      <c r="X109" s="112" t="s">
        <v>49</v>
      </c>
      <c r="Y109" s="216" t="s">
        <v>54</v>
      </c>
      <c r="Z109" s="216" t="s">
        <v>33</v>
      </c>
      <c r="AA109" s="112" t="s">
        <v>49</v>
      </c>
      <c r="AB109" s="206" t="s">
        <v>47</v>
      </c>
    </row>
    <row r="110" spans="1:28" x14ac:dyDescent="0.25">
      <c r="A110" s="160">
        <v>26</v>
      </c>
      <c r="B110" s="7">
        <v>19562924.886799999</v>
      </c>
      <c r="C110" s="7">
        <v>21990286.069600001</v>
      </c>
      <c r="D110" s="7">
        <v>41553210.9564</v>
      </c>
      <c r="H110" s="163">
        <v>28065.35</v>
      </c>
      <c r="I110" s="93">
        <f>H109*H110</f>
        <v>315173880.5</v>
      </c>
      <c r="J110" s="208"/>
      <c r="K110" s="208"/>
      <c r="L110" s="112" t="s">
        <v>50</v>
      </c>
      <c r="M110" s="208"/>
      <c r="N110" s="208"/>
      <c r="O110" s="112" t="s">
        <v>50</v>
      </c>
      <c r="P110" s="208"/>
      <c r="Q110" s="208"/>
      <c r="R110" s="112" t="s">
        <v>50</v>
      </c>
      <c r="S110" s="208"/>
      <c r="T110" s="208"/>
      <c r="U110" s="112" t="s">
        <v>50</v>
      </c>
      <c r="V110" s="208"/>
      <c r="W110" s="208"/>
      <c r="X110" s="112" t="s">
        <v>50</v>
      </c>
      <c r="Y110" s="217"/>
      <c r="Z110" s="217"/>
      <c r="AA110" s="112" t="s">
        <v>50</v>
      </c>
      <c r="AB110" s="207"/>
    </row>
    <row r="111" spans="1:28" x14ac:dyDescent="0.25">
      <c r="A111" s="160">
        <v>27</v>
      </c>
      <c r="B111" s="7">
        <v>17792256.758499999</v>
      </c>
      <c r="C111" s="7">
        <v>20986148.230999999</v>
      </c>
      <c r="D111" s="7">
        <v>38778404.989500001</v>
      </c>
      <c r="I111" s="16" t="s">
        <v>38</v>
      </c>
      <c r="J111" s="7">
        <v>8287509.0689000003</v>
      </c>
      <c r="K111" s="10"/>
      <c r="L111" s="14">
        <f>J111/$I$110</f>
        <v>2.6295037697135568E-2</v>
      </c>
      <c r="M111" s="7">
        <v>14086808.649900001</v>
      </c>
      <c r="N111" s="10"/>
      <c r="O111" s="14">
        <f>M111/$I$110</f>
        <v>4.4695355552789855E-2</v>
      </c>
      <c r="P111" s="7">
        <v>12531383.2535</v>
      </c>
      <c r="Q111" s="10"/>
      <c r="R111" s="14">
        <f>P111/$I$110</f>
        <v>3.9760221353431602E-2</v>
      </c>
      <c r="S111" s="7">
        <v>25489417.118299998</v>
      </c>
      <c r="T111" s="10"/>
      <c r="U111" s="14">
        <f>S111/$I$110</f>
        <v>8.0874141847867995E-2</v>
      </c>
      <c r="V111" s="7">
        <v>36571375.835199997</v>
      </c>
      <c r="W111" s="10"/>
      <c r="X111" s="14">
        <f>V111/$I$110</f>
        <v>0.11603555401603147</v>
      </c>
      <c r="Y111" s="7"/>
      <c r="Z111" s="10"/>
      <c r="AA111" s="14">
        <f>Y111/$I$110</f>
        <v>0</v>
      </c>
      <c r="AB111" s="9"/>
    </row>
    <row r="112" spans="1:28" x14ac:dyDescent="0.25">
      <c r="A112" s="160">
        <v>28</v>
      </c>
      <c r="B112" s="7">
        <v>28966192.047800001</v>
      </c>
      <c r="C112" s="7">
        <v>2243859.1461999998</v>
      </c>
      <c r="D112" s="7">
        <v>31210051.194000002</v>
      </c>
      <c r="I112" s="16" t="s">
        <v>39</v>
      </c>
      <c r="J112" s="7">
        <v>18979502.990699999</v>
      </c>
      <c r="K112" s="10"/>
      <c r="L112" s="14">
        <f t="shared" ref="L112:L117" si="29">J112/$I$110</f>
        <v>6.0219149380622609E-2</v>
      </c>
      <c r="M112" s="7">
        <v>27737928.7733</v>
      </c>
      <c r="N112" s="10"/>
      <c r="O112" s="14">
        <f t="shared" ref="O112:O117" si="30">M112/$I$110</f>
        <v>8.8008335999467446E-2</v>
      </c>
      <c r="P112" s="7">
        <v>6045133.5570999999</v>
      </c>
      <c r="Q112" s="10"/>
      <c r="R112" s="14">
        <f t="shared" ref="R112:R117" si="31">P112/$I$110</f>
        <v>1.9180312618259622E-2</v>
      </c>
      <c r="S112" s="7">
        <v>16781484.137200002</v>
      </c>
      <c r="T112" s="10"/>
      <c r="U112" s="14">
        <f t="shared" ref="U112:U117" si="32">S112/$I$110</f>
        <v>5.3245161402897416E-2</v>
      </c>
      <c r="V112" s="111"/>
      <c r="W112" s="10"/>
      <c r="X112" s="14">
        <f t="shared" ref="X112:X117" si="33">V112/$I$110</f>
        <v>0</v>
      </c>
      <c r="Y112" s="10"/>
      <c r="Z112" s="10"/>
      <c r="AA112" s="14">
        <f t="shared" ref="AA112:AA117" si="34">Y112/$I$110</f>
        <v>0</v>
      </c>
      <c r="AB112" s="9"/>
    </row>
    <row r="113" spans="1:28" x14ac:dyDescent="0.25">
      <c r="A113" s="160">
        <v>29</v>
      </c>
      <c r="B113" s="7">
        <v>22580362.7282</v>
      </c>
      <c r="C113" s="7"/>
      <c r="D113" s="7">
        <v>22580362.7282</v>
      </c>
      <c r="I113" s="16" t="s">
        <v>40</v>
      </c>
      <c r="J113" s="7">
        <v>23470865.778299998</v>
      </c>
      <c r="K113" s="10"/>
      <c r="L113" s="14">
        <f t="shared" si="29"/>
        <v>7.4469577685388172E-2</v>
      </c>
      <c r="M113" s="7">
        <v>29681348.749699999</v>
      </c>
      <c r="N113" s="10"/>
      <c r="O113" s="14">
        <f t="shared" si="30"/>
        <v>9.4174519483063573E-2</v>
      </c>
      <c r="P113" s="111"/>
      <c r="Q113" s="10"/>
      <c r="R113" s="14">
        <f t="shared" si="31"/>
        <v>0</v>
      </c>
      <c r="S113" s="7">
        <v>30210995.447900001</v>
      </c>
      <c r="T113" s="10"/>
      <c r="U113" s="14">
        <f t="shared" si="32"/>
        <v>9.5855009939188163E-2</v>
      </c>
      <c r="V113" s="111"/>
      <c r="W113" s="10"/>
      <c r="X113" s="14">
        <f t="shared" si="33"/>
        <v>0</v>
      </c>
      <c r="Y113" s="10"/>
      <c r="Z113" s="10"/>
      <c r="AA113" s="14">
        <f t="shared" si="34"/>
        <v>0</v>
      </c>
      <c r="AB113" s="9"/>
    </row>
    <row r="114" spans="1:28" x14ac:dyDescent="0.25">
      <c r="A114" s="160">
        <v>30</v>
      </c>
      <c r="B114" s="7">
        <v>40514184.584100001</v>
      </c>
      <c r="C114" s="7">
        <v>36571375.835199997</v>
      </c>
      <c r="D114" s="7">
        <v>77085560.41929999</v>
      </c>
      <c r="I114" s="16" t="s">
        <v>41</v>
      </c>
      <c r="J114" s="7">
        <v>23004120.541200001</v>
      </c>
      <c r="K114" s="10"/>
      <c r="L114" s="14">
        <f t="shared" si="29"/>
        <v>7.2988664240531825E-2</v>
      </c>
      <c r="M114" s="7">
        <v>18491637.784600001</v>
      </c>
      <c r="N114" s="10"/>
      <c r="O114" s="14">
        <f t="shared" si="30"/>
        <v>5.867122540505066E-2</v>
      </c>
      <c r="P114" s="111"/>
      <c r="Q114" s="10"/>
      <c r="R114" s="14">
        <f t="shared" si="31"/>
        <v>0</v>
      </c>
      <c r="S114" s="7">
        <v>21990286.069600001</v>
      </c>
      <c r="T114" s="10"/>
      <c r="U114" s="14">
        <f t="shared" si="32"/>
        <v>6.9771917757632834E-2</v>
      </c>
      <c r="V114" s="111"/>
      <c r="W114" s="10"/>
      <c r="X114" s="14">
        <f t="shared" si="33"/>
        <v>0</v>
      </c>
      <c r="Y114" s="10"/>
      <c r="Z114" s="10"/>
      <c r="AA114" s="14">
        <f t="shared" si="34"/>
        <v>0</v>
      </c>
      <c r="AB114" s="9"/>
    </row>
    <row r="115" spans="1:28" x14ac:dyDescent="0.25">
      <c r="A115" s="160">
        <v>31</v>
      </c>
      <c r="B115" s="7">
        <v>710136.23930000002</v>
      </c>
      <c r="C115" s="7"/>
      <c r="D115" s="7">
        <v>710136.23930000002</v>
      </c>
      <c r="I115" s="16" t="s">
        <v>42</v>
      </c>
      <c r="J115" s="7">
        <v>16922199.014899999</v>
      </c>
      <c r="K115" s="10"/>
      <c r="L115" s="14">
        <f t="shared" si="29"/>
        <v>5.369162884961845E-2</v>
      </c>
      <c r="M115" s="7">
        <v>23522435.9921</v>
      </c>
      <c r="N115" s="10"/>
      <c r="O115" s="14">
        <f t="shared" si="30"/>
        <v>7.4633202328769757E-2</v>
      </c>
      <c r="P115" s="111"/>
      <c r="Q115" s="10"/>
      <c r="R115" s="14">
        <f t="shared" si="31"/>
        <v>0</v>
      </c>
      <c r="S115" s="7">
        <v>20986148.230999999</v>
      </c>
      <c r="T115" s="10"/>
      <c r="U115" s="14">
        <f t="shared" si="32"/>
        <v>6.6585937253769351E-2</v>
      </c>
      <c r="V115" s="111"/>
      <c r="W115" s="10"/>
      <c r="X115" s="14">
        <f t="shared" si="33"/>
        <v>0</v>
      </c>
      <c r="Y115" s="10"/>
      <c r="Z115" s="10"/>
      <c r="AA115" s="14">
        <f t="shared" si="34"/>
        <v>0</v>
      </c>
      <c r="AB115" s="9"/>
    </row>
    <row r="116" spans="1:28" x14ac:dyDescent="0.25">
      <c r="A116" s="160" t="s">
        <v>29</v>
      </c>
      <c r="B116" s="7">
        <v>425607325.87540001</v>
      </c>
      <c r="C116" s="7">
        <v>380596877.7924</v>
      </c>
      <c r="D116" s="7">
        <v>806204203.66780007</v>
      </c>
      <c r="I116" s="16" t="s">
        <v>43</v>
      </c>
      <c r="J116" s="7"/>
      <c r="K116" s="7">
        <v>1256896.5499</v>
      </c>
      <c r="L116" s="14">
        <f>K116/$I$110</f>
        <v>3.9879464247038069E-3</v>
      </c>
      <c r="M116" s="7"/>
      <c r="N116" s="7">
        <v>2305541.1028999998</v>
      </c>
      <c r="O116" s="14">
        <f>N116/$I$110</f>
        <v>7.315140135478326E-3</v>
      </c>
      <c r="P116" s="9"/>
      <c r="Q116" s="111"/>
      <c r="R116" s="14">
        <f>Q116/$I$110</f>
        <v>0</v>
      </c>
      <c r="S116" s="7"/>
      <c r="T116" s="7">
        <v>2243859.1461999998</v>
      </c>
      <c r="U116" s="14">
        <f>T116/$I$110</f>
        <v>7.1194324308863528E-3</v>
      </c>
      <c r="V116" s="111"/>
      <c r="W116" s="111"/>
      <c r="X116" s="14">
        <f>W116/$I$110</f>
        <v>0</v>
      </c>
      <c r="Y116" s="10"/>
      <c r="Z116" s="10"/>
      <c r="AA116" s="14">
        <f>Z116/$I$110</f>
        <v>0</v>
      </c>
      <c r="AB116" s="9"/>
    </row>
    <row r="117" spans="1:28" x14ac:dyDescent="0.25">
      <c r="I117" s="16" t="s">
        <v>44</v>
      </c>
      <c r="J117" s="10"/>
      <c r="K117" s="10"/>
      <c r="L117" s="14">
        <f t="shared" si="29"/>
        <v>0</v>
      </c>
      <c r="M117" s="10"/>
      <c r="N117" s="10"/>
      <c r="O117" s="14">
        <f t="shared" si="30"/>
        <v>0</v>
      </c>
      <c r="P117" s="10"/>
      <c r="Q117" s="10"/>
      <c r="R117" s="14">
        <f t="shared" si="31"/>
        <v>0</v>
      </c>
      <c r="S117" s="10"/>
      <c r="T117" s="10"/>
      <c r="U117" s="14">
        <f t="shared" si="32"/>
        <v>0</v>
      </c>
      <c r="V117" s="10"/>
      <c r="W117" s="10"/>
      <c r="X117" s="14">
        <f t="shared" si="33"/>
        <v>0</v>
      </c>
      <c r="Y117" s="10"/>
      <c r="Z117" s="10"/>
      <c r="AA117" s="14">
        <f t="shared" si="34"/>
        <v>0</v>
      </c>
      <c r="AB117" s="9"/>
    </row>
    <row r="118" spans="1:28" x14ac:dyDescent="0.25">
      <c r="I118" s="16" t="s">
        <v>45</v>
      </c>
      <c r="J118" s="146">
        <f>SUM(J111:J117)</f>
        <v>90664197.393999994</v>
      </c>
      <c r="K118" s="10">
        <f>SUM(K111:K117)</f>
        <v>1256896.5499</v>
      </c>
      <c r="L118" s="147">
        <f>SUM(J118:K118)</f>
        <v>91921093.943899989</v>
      </c>
      <c r="M118" s="146">
        <f>SUM(M111:M117)</f>
        <v>113520159.9496</v>
      </c>
      <c r="N118" s="10">
        <f>SUM(N111:N117)</f>
        <v>2305541.1028999998</v>
      </c>
      <c r="O118" s="147">
        <f>SUM(M118:N118)</f>
        <v>115825701.05249999</v>
      </c>
      <c r="P118" s="146">
        <f>SUM(P111:P117)</f>
        <v>18576516.810599998</v>
      </c>
      <c r="Q118" s="10">
        <f>SUM(Q111:Q117)</f>
        <v>0</v>
      </c>
      <c r="R118" s="147">
        <f>SUM(P118:Q118)</f>
        <v>18576516.810599998</v>
      </c>
      <c r="S118" s="146">
        <f>SUM(S111:S117)</f>
        <v>115458331.00400001</v>
      </c>
      <c r="T118" s="10">
        <f>SUM(T111:T117)</f>
        <v>2243859.1461999998</v>
      </c>
      <c r="U118" s="147">
        <f>SUM(S118:T118)</f>
        <v>117702190.15020001</v>
      </c>
      <c r="V118" s="146">
        <f>SUM(V111:V117)</f>
        <v>36571375.835199997</v>
      </c>
      <c r="W118" s="10">
        <f>SUM(W111:W117)</f>
        <v>0</v>
      </c>
      <c r="X118" s="147">
        <f>SUM(V118:W118)</f>
        <v>36571375.835199997</v>
      </c>
      <c r="Y118" s="146">
        <f>SUM(Y111:Y117)</f>
        <v>0</v>
      </c>
      <c r="Z118" s="10">
        <f>SUM(Z111:Z117)</f>
        <v>0</v>
      </c>
      <c r="AA118" s="147">
        <f>SUM(Y118:Z118)</f>
        <v>0</v>
      </c>
      <c r="AB118" s="11">
        <f>K118+J118+M118+N118+P118+Q118+S118+T118+V118+W118+Y118+Z118</f>
        <v>380596877.7924</v>
      </c>
    </row>
    <row r="119" spans="1:28" ht="30" x14ac:dyDescent="0.25">
      <c r="I119" s="18" t="s">
        <v>48</v>
      </c>
      <c r="J119" s="14">
        <f>J118/$I$110</f>
        <v>0.28766405785329663</v>
      </c>
      <c r="K119" s="14">
        <f>K118/$I$110</f>
        <v>3.9879464247038069E-3</v>
      </c>
      <c r="L119" s="31">
        <f>J119+K119</f>
        <v>0.29165200427800042</v>
      </c>
      <c r="M119" s="14">
        <f>M118/$I$110</f>
        <v>0.36018263876914125</v>
      </c>
      <c r="N119" s="14">
        <f>N118/$I$110</f>
        <v>7.315140135478326E-3</v>
      </c>
      <c r="O119" s="31">
        <f>M119+N119</f>
        <v>0.3674977789046196</v>
      </c>
      <c r="P119" s="14">
        <f>P118/$I$110</f>
        <v>5.8940533971691217E-2</v>
      </c>
      <c r="Q119" s="14">
        <f>Q118/$I$110</f>
        <v>0</v>
      </c>
      <c r="R119" s="31">
        <f>P119+Q119</f>
        <v>5.8940533971691217E-2</v>
      </c>
      <c r="S119" s="14">
        <f>S118/$I$110</f>
        <v>0.36633216820135578</v>
      </c>
      <c r="T119" s="14">
        <f>T118/$I$110</f>
        <v>7.1194324308863528E-3</v>
      </c>
      <c r="U119" s="31">
        <f>S119+T119</f>
        <v>0.37345160063224214</v>
      </c>
      <c r="V119" s="14">
        <f>V118/$I$110</f>
        <v>0.11603555401603147</v>
      </c>
      <c r="W119" s="14">
        <f>W118/$I$110</f>
        <v>0</v>
      </c>
      <c r="X119" s="31">
        <f>V119+W119</f>
        <v>0.11603555401603147</v>
      </c>
      <c r="Y119" s="14">
        <f>Y118/$I$110</f>
        <v>0</v>
      </c>
      <c r="Z119" s="14">
        <f>Z118/$I$110</f>
        <v>0</v>
      </c>
      <c r="AA119" s="31">
        <f>Y119+Z119</f>
        <v>0</v>
      </c>
      <c r="AB119" s="14">
        <f>SUM(L119+O119+R119+U119+X119+AA119)</f>
        <v>1.2075774718025847</v>
      </c>
    </row>
    <row r="120" spans="1:28" x14ac:dyDescent="0.25">
      <c r="I120" s="16" t="s">
        <v>57</v>
      </c>
      <c r="L120" s="22">
        <f>AVERAGE(L111:L115)</f>
        <v>5.7532811570659328E-2</v>
      </c>
      <c r="O120" s="22">
        <f>AVERAGE(O111:O115)</f>
        <v>7.2036527753828267E-2</v>
      </c>
      <c r="R120" s="22">
        <f>AVERAGE(R111:R115)</f>
        <v>1.1788106794338244E-2</v>
      </c>
      <c r="U120" s="22">
        <f>AVERAGE(U111:U115)</f>
        <v>7.3266433640271147E-2</v>
      </c>
      <c r="X120" s="22">
        <f>AVERAGE(X111:X115)</f>
        <v>2.3207110803206293E-2</v>
      </c>
      <c r="AA120" s="22">
        <f>AVERAGE(AA111:AA115)</f>
        <v>0</v>
      </c>
    </row>
    <row r="121" spans="1:28" ht="30" x14ac:dyDescent="0.25">
      <c r="I121" s="37" t="s">
        <v>58</v>
      </c>
      <c r="J121" s="14">
        <f>(L116+O116+R116+U116)/4</f>
        <v>4.6056297477671216E-3</v>
      </c>
    </row>
  </sheetData>
  <mergeCells count="67">
    <mergeCell ref="K45:K46"/>
    <mergeCell ref="M45:M46"/>
    <mergeCell ref="N45:N46"/>
    <mergeCell ref="P45:P46"/>
    <mergeCell ref="AB45:AB46"/>
    <mergeCell ref="W45:W46"/>
    <mergeCell ref="Y45:Y46"/>
    <mergeCell ref="Z45:Z46"/>
    <mergeCell ref="J62:J63"/>
    <mergeCell ref="K62:K63"/>
    <mergeCell ref="M62:M63"/>
    <mergeCell ref="N62:N63"/>
    <mergeCell ref="P62:P63"/>
    <mergeCell ref="Q62:Q63"/>
    <mergeCell ref="S62:S63"/>
    <mergeCell ref="T62:T63"/>
    <mergeCell ref="V62:V63"/>
    <mergeCell ref="S45:S46"/>
    <mergeCell ref="T45:T46"/>
    <mergeCell ref="V45:V46"/>
    <mergeCell ref="Z62:Z63"/>
    <mergeCell ref="AB62:AB63"/>
    <mergeCell ref="J82:J83"/>
    <mergeCell ref="K82:K83"/>
    <mergeCell ref="M82:M83"/>
    <mergeCell ref="N82:N83"/>
    <mergeCell ref="P82:P83"/>
    <mergeCell ref="Q82:Q83"/>
    <mergeCell ref="AB82:AB83"/>
    <mergeCell ref="W82:W83"/>
    <mergeCell ref="Y82:Y83"/>
    <mergeCell ref="Z82:Z83"/>
    <mergeCell ref="S82:S83"/>
    <mergeCell ref="T82:T83"/>
    <mergeCell ref="V82:V83"/>
    <mergeCell ref="W62:W63"/>
    <mergeCell ref="Y62:Y63"/>
    <mergeCell ref="G30:G31"/>
    <mergeCell ref="A12:B12"/>
    <mergeCell ref="J96:J97"/>
    <mergeCell ref="K96:K97"/>
    <mergeCell ref="M96:M97"/>
    <mergeCell ref="N96:N97"/>
    <mergeCell ref="P96:P97"/>
    <mergeCell ref="Q96:Q97"/>
    <mergeCell ref="S96:S97"/>
    <mergeCell ref="T96:T97"/>
    <mergeCell ref="V96:V97"/>
    <mergeCell ref="W96:W97"/>
    <mergeCell ref="Y96:Y97"/>
    <mergeCell ref="Q45:Q46"/>
    <mergeCell ref="J45:J46"/>
    <mergeCell ref="Z96:Z97"/>
    <mergeCell ref="AB96:AB97"/>
    <mergeCell ref="J109:J110"/>
    <mergeCell ref="K109:K110"/>
    <mergeCell ref="M109:M110"/>
    <mergeCell ref="N109:N110"/>
    <mergeCell ref="P109:P110"/>
    <mergeCell ref="Y109:Y110"/>
    <mergeCell ref="Z109:Z110"/>
    <mergeCell ref="AB109:AB110"/>
    <mergeCell ref="Q109:Q110"/>
    <mergeCell ref="S109:S110"/>
    <mergeCell ref="T109:T110"/>
    <mergeCell ref="V109:V110"/>
    <mergeCell ref="W109:W110"/>
  </mergeCells>
  <conditionalFormatting sqref="I29">
    <cfRule type="cellIs" dxfId="99" priority="9" operator="lessThan">
      <formula>1</formula>
    </cfRule>
    <cfRule type="cellIs" dxfId="98" priority="10" operator="greaterThan">
      <formula>1</formula>
    </cfRule>
    <cfRule type="cellIs" dxfId="97" priority="11" operator="greaterThan">
      <formula>$E$4</formula>
    </cfRule>
    <cfRule type="cellIs" dxfId="96" priority="12" operator="lessThan">
      <formula>$E$4</formula>
    </cfRule>
  </conditionalFormatting>
  <conditionalFormatting sqref="J29">
    <cfRule type="cellIs" dxfId="95" priority="7" operator="lessThan">
      <formula>0</formula>
    </cfRule>
    <cfRule type="cellIs" dxfId="94" priority="8" operator="greaterThan">
      <formula>0</formula>
    </cfRule>
  </conditionalFormatting>
  <conditionalFormatting sqref="H29">
    <cfRule type="cellIs" dxfId="93" priority="15" operator="lessThan">
      <formula>$L$111</formula>
    </cfRule>
    <cfRule type="cellIs" dxfId="92" priority="16" operator="greaterThan">
      <formula>$L$111</formula>
    </cfRule>
  </conditionalFormatting>
  <pageMargins left="0.7" right="0.7" top="0.75" bottom="0.75" header="0.3" footer="0.3"/>
  <pageSetup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64" workbookViewId="0">
      <selection activeCell="B83" sqref="B8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2.140625" customWidth="1"/>
    <col min="5" max="5" width="13.7109375" bestFit="1" customWidth="1"/>
    <col min="7" max="8" width="17.5703125" customWidth="1"/>
  </cols>
  <sheetData>
    <row r="1" spans="1:8" x14ac:dyDescent="0.25">
      <c r="A1" s="155" t="s">
        <v>0</v>
      </c>
      <c r="B1" s="155"/>
      <c r="C1" s="155"/>
      <c r="D1" s="155"/>
      <c r="E1" s="155"/>
      <c r="F1" s="155"/>
      <c r="G1" s="155"/>
      <c r="H1" s="156"/>
    </row>
    <row r="2" spans="1:8" x14ac:dyDescent="0.25">
      <c r="A2" s="155" t="s">
        <v>1</v>
      </c>
      <c r="B2" s="155" t="s">
        <v>2</v>
      </c>
      <c r="C2" s="155" t="s">
        <v>3</v>
      </c>
      <c r="D2" s="155" t="s">
        <v>18</v>
      </c>
      <c r="E2" s="155" t="s">
        <v>4</v>
      </c>
      <c r="F2" s="155" t="s">
        <v>5</v>
      </c>
      <c r="G2" s="155" t="s">
        <v>6</v>
      </c>
      <c r="H2" s="155" t="s">
        <v>7</v>
      </c>
    </row>
    <row r="3" spans="1:8" x14ac:dyDescent="0.25">
      <c r="A3" s="150" t="s">
        <v>8</v>
      </c>
      <c r="B3" s="150" t="s">
        <v>9</v>
      </c>
      <c r="C3" s="150" t="s">
        <v>10</v>
      </c>
      <c r="D3" s="150" t="s">
        <v>53</v>
      </c>
      <c r="E3" s="150" t="s">
        <v>11</v>
      </c>
      <c r="F3" s="150" t="s">
        <v>12</v>
      </c>
      <c r="G3" s="150" t="s">
        <v>13</v>
      </c>
      <c r="H3" s="150" t="s">
        <v>14</v>
      </c>
    </row>
    <row r="4" spans="1:8" x14ac:dyDescent="0.25">
      <c r="A4" s="164"/>
      <c r="B4" s="164"/>
      <c r="C4" s="156"/>
      <c r="D4" s="156"/>
      <c r="E4" s="156"/>
      <c r="F4" s="156"/>
      <c r="G4" s="156"/>
      <c r="H4" s="156"/>
    </row>
    <row r="5" spans="1:8" x14ac:dyDescent="0.25">
      <c r="A5" s="155" t="s">
        <v>15</v>
      </c>
      <c r="B5" s="155" t="s">
        <v>16</v>
      </c>
      <c r="C5" s="165" t="s">
        <v>17</v>
      </c>
      <c r="D5" s="165" t="s">
        <v>19</v>
      </c>
      <c r="E5" s="165" t="s">
        <v>20</v>
      </c>
      <c r="F5" s="165" t="s">
        <v>21</v>
      </c>
      <c r="G5" s="165" t="s">
        <v>22</v>
      </c>
      <c r="H5" s="165" t="s">
        <v>77</v>
      </c>
    </row>
    <row r="6" spans="1:8" x14ac:dyDescent="0.25">
      <c r="A6" s="157" t="s">
        <v>23</v>
      </c>
      <c r="B6" s="158" t="s">
        <v>24</v>
      </c>
      <c r="C6" s="166">
        <v>2</v>
      </c>
      <c r="D6" s="152">
        <v>-4793237</v>
      </c>
      <c r="E6" s="153">
        <v>-241822.32699999999</v>
      </c>
      <c r="F6" s="154">
        <v>5.0450734441046835E-2</v>
      </c>
      <c r="G6" s="152">
        <v>10482</v>
      </c>
      <c r="H6" s="152">
        <v>-4551414.6730999965</v>
      </c>
    </row>
    <row r="7" spans="1:8" x14ac:dyDescent="0.25">
      <c r="A7" s="157" t="str">
        <f t="shared" ref="A7:A29" si="0">+A6</f>
        <v>2017</v>
      </c>
      <c r="B7" s="158" t="str">
        <f t="shared" ref="B7:B29" si="1">+B6</f>
        <v>Octubre</v>
      </c>
      <c r="C7" s="166">
        <v>3</v>
      </c>
      <c r="D7" s="152">
        <v>59780701.939999998</v>
      </c>
      <c r="E7" s="153">
        <v>24808387.628400002</v>
      </c>
      <c r="F7" s="154">
        <v>0.41498990181312012</v>
      </c>
      <c r="G7" s="152">
        <v>52098</v>
      </c>
      <c r="H7" s="152">
        <v>34972314.311699986</v>
      </c>
    </row>
    <row r="8" spans="1:8" x14ac:dyDescent="0.25">
      <c r="A8" s="157" t="str">
        <f t="shared" si="0"/>
        <v>2017</v>
      </c>
      <c r="B8" s="158" t="str">
        <f t="shared" si="1"/>
        <v>Octubre</v>
      </c>
      <c r="C8" s="166">
        <v>4</v>
      </c>
      <c r="D8" s="152">
        <v>44752658.460000001</v>
      </c>
      <c r="E8" s="153">
        <v>17442807.539700001</v>
      </c>
      <c r="F8" s="154">
        <v>0.38976025424926231</v>
      </c>
      <c r="G8" s="152">
        <v>28084</v>
      </c>
      <c r="H8" s="152">
        <v>27309850.920300003</v>
      </c>
    </row>
    <row r="9" spans="1:8" x14ac:dyDescent="0.25">
      <c r="A9" s="157" t="str">
        <f t="shared" si="0"/>
        <v>2017</v>
      </c>
      <c r="B9" s="158" t="str">
        <f t="shared" si="1"/>
        <v>Octubre</v>
      </c>
      <c r="C9" s="166">
        <v>5</v>
      </c>
      <c r="D9" s="152">
        <v>28834125</v>
      </c>
      <c r="E9" s="153">
        <v>11842154.6457</v>
      </c>
      <c r="F9" s="154">
        <v>0.41069928932124694</v>
      </c>
      <c r="G9" s="152">
        <v>27537</v>
      </c>
      <c r="H9" s="152">
        <v>16991970.354399998</v>
      </c>
    </row>
    <row r="10" spans="1:8" x14ac:dyDescent="0.25">
      <c r="A10" s="157" t="str">
        <f t="shared" si="0"/>
        <v>2017</v>
      </c>
      <c r="B10" s="158" t="str">
        <f t="shared" si="1"/>
        <v>Octubre</v>
      </c>
      <c r="C10" s="166">
        <v>6</v>
      </c>
      <c r="D10" s="152">
        <v>50214254.170000002</v>
      </c>
      <c r="E10" s="153">
        <v>20140711.642700002</v>
      </c>
      <c r="F10" s="154">
        <v>0.40109550516301135</v>
      </c>
      <c r="G10" s="152">
        <v>37183</v>
      </c>
      <c r="H10" s="152">
        <v>30073542.527300008</v>
      </c>
    </row>
    <row r="11" spans="1:8" x14ac:dyDescent="0.25">
      <c r="A11" s="157" t="str">
        <f t="shared" si="0"/>
        <v>2017</v>
      </c>
      <c r="B11" s="158" t="str">
        <f t="shared" si="1"/>
        <v>Octubre</v>
      </c>
      <c r="C11" s="166">
        <v>7</v>
      </c>
      <c r="D11" s="152">
        <v>19883230</v>
      </c>
      <c r="E11" s="153">
        <v>8148278.1514999997</v>
      </c>
      <c r="F11" s="154">
        <v>0.40980656319420938</v>
      </c>
      <c r="G11" s="152">
        <v>13416</v>
      </c>
      <c r="H11" s="152">
        <v>11734951.8485</v>
      </c>
    </row>
    <row r="12" spans="1:8" x14ac:dyDescent="0.25">
      <c r="A12" s="157" t="str">
        <f t="shared" si="0"/>
        <v>2017</v>
      </c>
      <c r="B12" s="158" t="str">
        <f t="shared" si="1"/>
        <v>Octubre</v>
      </c>
      <c r="C12" s="166">
        <v>10</v>
      </c>
      <c r="D12" s="152">
        <v>39537951</v>
      </c>
      <c r="E12" s="153">
        <v>16181965.946900001</v>
      </c>
      <c r="F12" s="154">
        <v>0.40927679704241626</v>
      </c>
      <c r="G12" s="152">
        <v>35406</v>
      </c>
      <c r="H12" s="152">
        <v>23355985.053199999</v>
      </c>
    </row>
    <row r="13" spans="1:8" x14ac:dyDescent="0.25">
      <c r="A13" s="157" t="str">
        <f t="shared" si="0"/>
        <v>2017</v>
      </c>
      <c r="B13" s="158" t="str">
        <f t="shared" si="1"/>
        <v>Octubre</v>
      </c>
      <c r="C13" s="166">
        <v>11</v>
      </c>
      <c r="D13" s="152">
        <v>43026809</v>
      </c>
      <c r="E13" s="153">
        <v>16905335.167199999</v>
      </c>
      <c r="F13" s="154">
        <v>0.39290236854887378</v>
      </c>
      <c r="G13" s="152">
        <v>42281</v>
      </c>
      <c r="H13" s="152">
        <v>26121473.832800001</v>
      </c>
    </row>
    <row r="14" spans="1:8" x14ac:dyDescent="0.25">
      <c r="A14" s="157" t="str">
        <f t="shared" si="0"/>
        <v>2017</v>
      </c>
      <c r="B14" s="158" t="str">
        <f t="shared" si="1"/>
        <v>Octubre</v>
      </c>
      <c r="C14" s="166">
        <v>12</v>
      </c>
      <c r="D14" s="152">
        <v>40448794</v>
      </c>
      <c r="E14" s="153">
        <v>14699730.1434</v>
      </c>
      <c r="F14" s="154">
        <v>0.36341578301197314</v>
      </c>
      <c r="G14" s="152">
        <v>45195</v>
      </c>
      <c r="H14" s="152">
        <v>25749063.856699999</v>
      </c>
    </row>
    <row r="15" spans="1:8" x14ac:dyDescent="0.25">
      <c r="A15" s="157" t="str">
        <f t="shared" si="0"/>
        <v>2017</v>
      </c>
      <c r="B15" s="158" t="str">
        <f t="shared" si="1"/>
        <v>Octubre</v>
      </c>
      <c r="C15" s="166">
        <v>13</v>
      </c>
      <c r="D15" s="152">
        <v>36826164</v>
      </c>
      <c r="E15" s="153">
        <v>15650088.263499999</v>
      </c>
      <c r="F15" s="154">
        <v>0.42497199174749778</v>
      </c>
      <c r="G15" s="152">
        <v>47241</v>
      </c>
      <c r="H15" s="152">
        <v>21176075.736599989</v>
      </c>
    </row>
    <row r="16" spans="1:8" x14ac:dyDescent="0.25">
      <c r="A16" s="157" t="str">
        <f t="shared" si="0"/>
        <v>2017</v>
      </c>
      <c r="B16" s="158" t="str">
        <f t="shared" si="1"/>
        <v>Octubre</v>
      </c>
      <c r="C16" s="166">
        <v>14</v>
      </c>
      <c r="D16" s="152">
        <v>5728373</v>
      </c>
      <c r="E16" s="153">
        <v>2025306.2949999999</v>
      </c>
      <c r="F16" s="154">
        <v>0.35355698642529038</v>
      </c>
      <c r="G16" s="152">
        <v>4799</v>
      </c>
      <c r="H16" s="152">
        <v>3703066.7050999999</v>
      </c>
    </row>
    <row r="17" spans="1:8" x14ac:dyDescent="0.25">
      <c r="A17" s="157" t="str">
        <f t="shared" si="0"/>
        <v>2017</v>
      </c>
      <c r="B17" s="158" t="str">
        <f t="shared" si="1"/>
        <v>Octubre</v>
      </c>
      <c r="C17" s="166">
        <v>16</v>
      </c>
      <c r="D17" s="152">
        <v>47208260</v>
      </c>
      <c r="E17" s="153">
        <v>20154435.324299999</v>
      </c>
      <c r="F17" s="154">
        <v>0.42692603633982695</v>
      </c>
      <c r="G17" s="152">
        <v>34418</v>
      </c>
      <c r="H17" s="152">
        <v>27053824.675700001</v>
      </c>
    </row>
    <row r="18" spans="1:8" x14ac:dyDescent="0.25">
      <c r="A18" s="157" t="str">
        <f t="shared" si="0"/>
        <v>2017</v>
      </c>
      <c r="B18" s="158" t="str">
        <f t="shared" si="1"/>
        <v>Octubre</v>
      </c>
      <c r="C18" s="166">
        <v>17</v>
      </c>
      <c r="D18" s="152">
        <v>57168735.640000001</v>
      </c>
      <c r="E18" s="153">
        <v>25428436.1074</v>
      </c>
      <c r="F18" s="154">
        <v>0.44479619538075199</v>
      </c>
      <c r="G18" s="152">
        <v>51564</v>
      </c>
      <c r="H18" s="152">
        <v>31740299.532699987</v>
      </c>
    </row>
    <row r="19" spans="1:8" x14ac:dyDescent="0.25">
      <c r="A19" s="157" t="str">
        <f t="shared" si="0"/>
        <v>2017</v>
      </c>
      <c r="B19" s="158" t="str">
        <f t="shared" si="1"/>
        <v>Octubre</v>
      </c>
      <c r="C19" s="166">
        <v>18</v>
      </c>
      <c r="D19" s="152">
        <v>87617806</v>
      </c>
      <c r="E19" s="153">
        <v>28946892.379500002</v>
      </c>
      <c r="F19" s="154">
        <v>0.33037682294281601</v>
      </c>
      <c r="G19" s="152">
        <v>53473</v>
      </c>
      <c r="H19" s="152">
        <v>58670913.620500021</v>
      </c>
    </row>
    <row r="20" spans="1:8" x14ac:dyDescent="0.25">
      <c r="A20" s="157" t="str">
        <f t="shared" si="0"/>
        <v>2017</v>
      </c>
      <c r="B20" s="158" t="str">
        <f t="shared" si="1"/>
        <v>Octubre</v>
      </c>
      <c r="C20" s="166">
        <v>19</v>
      </c>
      <c r="D20" s="152">
        <v>48317732</v>
      </c>
      <c r="E20" s="153">
        <v>17573978.190699998</v>
      </c>
      <c r="F20" s="154">
        <v>0.36371695158829059</v>
      </c>
      <c r="G20" s="152">
        <v>46449</v>
      </c>
      <c r="H20" s="152">
        <v>30743753.809300002</v>
      </c>
    </row>
    <row r="21" spans="1:8" x14ac:dyDescent="0.25">
      <c r="A21" s="157" t="str">
        <f t="shared" si="0"/>
        <v>2017</v>
      </c>
      <c r="B21" s="158" t="str">
        <f t="shared" si="1"/>
        <v>Octubre</v>
      </c>
      <c r="C21" s="166">
        <v>20</v>
      </c>
      <c r="D21" s="152">
        <v>42291818</v>
      </c>
      <c r="E21" s="153">
        <v>16317264.317500001</v>
      </c>
      <c r="F21" s="154">
        <v>0.38582555891780296</v>
      </c>
      <c r="G21" s="152">
        <v>31079</v>
      </c>
      <c r="H21" s="152">
        <v>25974553.682500012</v>
      </c>
    </row>
    <row r="22" spans="1:8" x14ac:dyDescent="0.25">
      <c r="A22" s="157" t="str">
        <f t="shared" si="0"/>
        <v>2017</v>
      </c>
      <c r="B22" s="158" t="str">
        <f t="shared" si="1"/>
        <v>Octubre</v>
      </c>
      <c r="C22" s="166">
        <v>21</v>
      </c>
      <c r="D22" s="152">
        <v>6226380</v>
      </c>
      <c r="E22" s="153">
        <v>2559089.1973999999</v>
      </c>
      <c r="F22" s="154">
        <v>0.41100755132195593</v>
      </c>
      <c r="G22" s="152">
        <v>6223</v>
      </c>
      <c r="H22" s="152">
        <v>3667290.802600001</v>
      </c>
    </row>
    <row r="23" spans="1:8" x14ac:dyDescent="0.25">
      <c r="A23" s="157" t="str">
        <f t="shared" si="0"/>
        <v>2017</v>
      </c>
      <c r="B23" s="158" t="str">
        <f t="shared" si="1"/>
        <v>Octubre</v>
      </c>
      <c r="C23" s="166">
        <v>23</v>
      </c>
      <c r="D23" s="152">
        <v>42247258</v>
      </c>
      <c r="E23" s="153">
        <v>17364965.299199998</v>
      </c>
      <c r="F23" s="154">
        <v>0.41103177155781329</v>
      </c>
      <c r="G23" s="152">
        <v>31268</v>
      </c>
      <c r="H23" s="152">
        <v>24882292.700800005</v>
      </c>
    </row>
    <row r="24" spans="1:8" x14ac:dyDescent="0.25">
      <c r="A24" s="157" t="str">
        <f t="shared" si="0"/>
        <v>2017</v>
      </c>
      <c r="B24" s="158" t="str">
        <f t="shared" si="1"/>
        <v>Octubre</v>
      </c>
      <c r="C24" s="166">
        <v>24</v>
      </c>
      <c r="D24" s="152">
        <v>51096433</v>
      </c>
      <c r="E24" s="153">
        <v>20628050.574700002</v>
      </c>
      <c r="F24" s="154">
        <v>0.40370823095811798</v>
      </c>
      <c r="G24" s="152">
        <v>85232</v>
      </c>
      <c r="H24" s="152">
        <v>30468382.425399993</v>
      </c>
    </row>
    <row r="25" spans="1:8" x14ac:dyDescent="0.25">
      <c r="A25" s="157" t="str">
        <f t="shared" si="0"/>
        <v>2017</v>
      </c>
      <c r="B25" s="158" t="str">
        <f t="shared" si="1"/>
        <v>Octubre</v>
      </c>
      <c r="C25" s="166">
        <v>25</v>
      </c>
      <c r="D25" s="152">
        <v>50191595</v>
      </c>
      <c r="E25" s="153">
        <v>18354754.607500002</v>
      </c>
      <c r="F25" s="154">
        <v>0.36569379011565584</v>
      </c>
      <c r="G25" s="152">
        <v>41633</v>
      </c>
      <c r="H25" s="152">
        <v>31836840.392500002</v>
      </c>
    </row>
    <row r="26" spans="1:8" x14ac:dyDescent="0.25">
      <c r="A26" s="157" t="str">
        <f t="shared" si="0"/>
        <v>2017</v>
      </c>
      <c r="B26" s="158" t="str">
        <f t="shared" si="1"/>
        <v>Octubre</v>
      </c>
      <c r="C26" s="166">
        <v>26</v>
      </c>
      <c r="D26" s="152">
        <v>41532934.420000002</v>
      </c>
      <c r="E26" s="153">
        <v>16369968.063100001</v>
      </c>
      <c r="F26" s="154">
        <v>0.3941442686798724</v>
      </c>
      <c r="G26" s="152">
        <v>41187.174999999996</v>
      </c>
      <c r="H26" s="152">
        <v>25162966.356999993</v>
      </c>
    </row>
    <row r="27" spans="1:8" x14ac:dyDescent="0.25">
      <c r="A27" s="157" t="str">
        <f t="shared" si="0"/>
        <v>2017</v>
      </c>
      <c r="B27" s="158" t="str">
        <f t="shared" si="1"/>
        <v>Octubre</v>
      </c>
      <c r="C27" s="166">
        <v>27</v>
      </c>
      <c r="D27" s="152">
        <v>4132831</v>
      </c>
      <c r="E27" s="153">
        <v>1564643.3285000001</v>
      </c>
      <c r="F27" s="154">
        <v>0.37858875151197813</v>
      </c>
      <c r="G27" s="152">
        <v>3957</v>
      </c>
      <c r="H27" s="152">
        <v>2568187.6715999995</v>
      </c>
    </row>
    <row r="28" spans="1:8" x14ac:dyDescent="0.25">
      <c r="A28" s="157" t="str">
        <f t="shared" si="0"/>
        <v>2017</v>
      </c>
      <c r="B28" s="158" t="str">
        <f t="shared" si="1"/>
        <v>Octubre</v>
      </c>
      <c r="C28" s="166">
        <v>30</v>
      </c>
      <c r="D28" s="152">
        <v>48218081.100000001</v>
      </c>
      <c r="E28" s="153">
        <v>20274217.853799999</v>
      </c>
      <c r="F28" s="154">
        <v>0.42046919726550464</v>
      </c>
      <c r="G28" s="152">
        <v>38009</v>
      </c>
      <c r="H28" s="152">
        <v>27943863.246299997</v>
      </c>
    </row>
    <row r="29" spans="1:8" x14ac:dyDescent="0.25">
      <c r="A29" s="157" t="str">
        <f t="shared" si="0"/>
        <v>2017</v>
      </c>
      <c r="B29" s="158" t="str">
        <f t="shared" si="1"/>
        <v>Octubre</v>
      </c>
      <c r="C29" s="166">
        <v>31</v>
      </c>
      <c r="D29" s="152">
        <v>119900146.2</v>
      </c>
      <c r="E29" s="153">
        <v>41933701.365199998</v>
      </c>
      <c r="F29" s="154">
        <v>0.34973853405693345</v>
      </c>
      <c r="G29" s="152">
        <v>89385</v>
      </c>
      <c r="H29" s="152">
        <v>77966444.834899992</v>
      </c>
    </row>
    <row r="30" spans="1:8" x14ac:dyDescent="0.25">
      <c r="A30" s="157" t="s">
        <v>26</v>
      </c>
      <c r="B30" s="158" t="s">
        <v>24</v>
      </c>
      <c r="C30" s="166">
        <v>1</v>
      </c>
      <c r="D30" s="152">
        <v>16376958</v>
      </c>
      <c r="E30" s="153">
        <v>6992908.5511999996</v>
      </c>
      <c r="F30" s="154">
        <v>0.42699679337273749</v>
      </c>
      <c r="G30" s="152">
        <v>14633</v>
      </c>
      <c r="H30" s="152">
        <v>9384049.4488999974</v>
      </c>
    </row>
    <row r="31" spans="1:8" x14ac:dyDescent="0.25">
      <c r="A31" s="157" t="str">
        <f t="shared" ref="A31:A55" si="2">+A30</f>
        <v>2018</v>
      </c>
      <c r="B31" s="158" t="str">
        <f t="shared" ref="B31:B55" si="3">+B30</f>
        <v>Octubre</v>
      </c>
      <c r="C31" s="166">
        <v>2</v>
      </c>
      <c r="D31" s="152">
        <v>54308440</v>
      </c>
      <c r="E31" s="153">
        <v>24667943.804099999</v>
      </c>
      <c r="F31" s="154">
        <v>0.45421934056842728</v>
      </c>
      <c r="G31" s="152">
        <v>97273</v>
      </c>
      <c r="H31" s="152">
        <v>29640496.195900001</v>
      </c>
    </row>
    <row r="32" spans="1:8" x14ac:dyDescent="0.25">
      <c r="A32" s="157" t="str">
        <f t="shared" si="2"/>
        <v>2018</v>
      </c>
      <c r="B32" s="158" t="str">
        <f t="shared" si="3"/>
        <v>Octubre</v>
      </c>
      <c r="C32" s="166">
        <v>3</v>
      </c>
      <c r="D32" s="152">
        <v>37871930</v>
      </c>
      <c r="E32" s="153">
        <v>15059311.4124</v>
      </c>
      <c r="F32" s="154">
        <v>0.39763781281809507</v>
      </c>
      <c r="G32" s="152">
        <v>36502</v>
      </c>
      <c r="H32" s="152">
        <v>22812618.5876</v>
      </c>
    </row>
    <row r="33" spans="1:8" x14ac:dyDescent="0.25">
      <c r="A33" s="157" t="str">
        <f t="shared" si="2"/>
        <v>2018</v>
      </c>
      <c r="B33" s="158" t="str">
        <f t="shared" si="3"/>
        <v>Octubre</v>
      </c>
      <c r="C33" s="166">
        <v>4</v>
      </c>
      <c r="D33" s="152">
        <v>40139015</v>
      </c>
      <c r="E33" s="153">
        <v>16271589.623</v>
      </c>
      <c r="F33" s="154">
        <v>0.40538088996453947</v>
      </c>
      <c r="G33" s="152">
        <v>28842</v>
      </c>
      <c r="H33" s="152">
        <v>23867425.377</v>
      </c>
    </row>
    <row r="34" spans="1:8" x14ac:dyDescent="0.25">
      <c r="A34" s="157" t="str">
        <f t="shared" si="2"/>
        <v>2018</v>
      </c>
      <c r="B34" s="158" t="str">
        <f t="shared" si="3"/>
        <v>Octubre</v>
      </c>
      <c r="C34" s="166">
        <v>5</v>
      </c>
      <c r="D34" s="152">
        <v>51865723</v>
      </c>
      <c r="E34" s="153">
        <v>18785153.0779</v>
      </c>
      <c r="F34" s="154">
        <v>0.36218820429631338</v>
      </c>
      <c r="G34" s="152">
        <v>29096</v>
      </c>
      <c r="H34" s="152">
        <v>33080569.922199994</v>
      </c>
    </row>
    <row r="35" spans="1:8" x14ac:dyDescent="0.25">
      <c r="A35" s="157" t="str">
        <f t="shared" si="2"/>
        <v>2018</v>
      </c>
      <c r="B35" s="158" t="str">
        <f t="shared" si="3"/>
        <v>Octubre</v>
      </c>
      <c r="C35" s="166">
        <v>6</v>
      </c>
      <c r="D35" s="152">
        <v>9150085</v>
      </c>
      <c r="E35" s="153">
        <v>3827079.5624000002</v>
      </c>
      <c r="F35" s="154">
        <v>0.41825617602459431</v>
      </c>
      <c r="G35" s="152">
        <v>3740</v>
      </c>
      <c r="H35" s="152">
        <v>5323005.4376999997</v>
      </c>
    </row>
    <row r="36" spans="1:8" x14ac:dyDescent="0.25">
      <c r="A36" s="157" t="str">
        <f t="shared" si="2"/>
        <v>2018</v>
      </c>
      <c r="B36" s="158" t="str">
        <f t="shared" si="3"/>
        <v>Octubre</v>
      </c>
      <c r="C36" s="166">
        <v>8</v>
      </c>
      <c r="D36" s="152">
        <v>37963692</v>
      </c>
      <c r="E36" s="153">
        <v>15454715.7127</v>
      </c>
      <c r="F36" s="154">
        <v>0.40709201077439994</v>
      </c>
      <c r="G36" s="152">
        <v>35648</v>
      </c>
      <c r="H36" s="152">
        <v>22508976.2874</v>
      </c>
    </row>
    <row r="37" spans="1:8" x14ac:dyDescent="0.25">
      <c r="A37" s="157" t="str">
        <f t="shared" si="2"/>
        <v>2018</v>
      </c>
      <c r="B37" s="158" t="str">
        <f t="shared" si="3"/>
        <v>Octubre</v>
      </c>
      <c r="C37" s="166">
        <v>9</v>
      </c>
      <c r="D37" s="152">
        <v>50592991</v>
      </c>
      <c r="E37" s="153">
        <v>17974351.078600001</v>
      </c>
      <c r="F37" s="154">
        <v>0.3552735413211684</v>
      </c>
      <c r="G37" s="152">
        <v>35246.999999999993</v>
      </c>
      <c r="H37" s="152">
        <v>32618639.921499997</v>
      </c>
    </row>
    <row r="38" spans="1:8" x14ac:dyDescent="0.25">
      <c r="A38" s="157" t="str">
        <f t="shared" si="2"/>
        <v>2018</v>
      </c>
      <c r="B38" s="158" t="str">
        <f t="shared" si="3"/>
        <v>Octubre</v>
      </c>
      <c r="C38" s="166">
        <v>10</v>
      </c>
      <c r="D38" s="152">
        <v>36782303</v>
      </c>
      <c r="E38" s="153">
        <v>13866114.004000001</v>
      </c>
      <c r="F38" s="154">
        <v>0.37697786362099189</v>
      </c>
      <c r="G38" s="152">
        <v>43885.192000000003</v>
      </c>
      <c r="H38" s="152">
        <v>22916188.996099997</v>
      </c>
    </row>
    <row r="39" spans="1:8" x14ac:dyDescent="0.25">
      <c r="A39" s="157" t="str">
        <f t="shared" si="2"/>
        <v>2018</v>
      </c>
      <c r="B39" s="158" t="str">
        <f t="shared" si="3"/>
        <v>Octubre</v>
      </c>
      <c r="C39" s="166">
        <v>11</v>
      </c>
      <c r="D39" s="152">
        <v>41477370</v>
      </c>
      <c r="E39" s="153">
        <v>17898680.686999999</v>
      </c>
      <c r="F39" s="154">
        <v>0.43152882371760792</v>
      </c>
      <c r="G39" s="152">
        <v>43259</v>
      </c>
      <c r="H39" s="152">
        <v>23578689.313099999</v>
      </c>
    </row>
    <row r="40" spans="1:8" x14ac:dyDescent="0.25">
      <c r="A40" s="157" t="str">
        <f t="shared" si="2"/>
        <v>2018</v>
      </c>
      <c r="B40" s="158" t="str">
        <f t="shared" si="3"/>
        <v>Octubre</v>
      </c>
      <c r="C40" s="166">
        <v>12</v>
      </c>
      <c r="D40" s="152">
        <v>40029024</v>
      </c>
      <c r="E40" s="153">
        <v>15867309.9504</v>
      </c>
      <c r="F40" s="154">
        <v>0.39639512445769348</v>
      </c>
      <c r="G40" s="152">
        <v>28126</v>
      </c>
      <c r="H40" s="152">
        <v>24161714.049600001</v>
      </c>
    </row>
    <row r="41" spans="1:8" x14ac:dyDescent="0.25">
      <c r="A41" s="157" t="str">
        <f t="shared" si="2"/>
        <v>2018</v>
      </c>
      <c r="B41" s="158" t="str">
        <f t="shared" si="3"/>
        <v>Octubre</v>
      </c>
      <c r="C41" s="166">
        <v>13</v>
      </c>
      <c r="D41" s="152">
        <v>4866218</v>
      </c>
      <c r="E41" s="153">
        <v>1690739.5981999999</v>
      </c>
      <c r="F41" s="154">
        <v>0.34744427771217812</v>
      </c>
      <c r="G41" s="152">
        <v>4463</v>
      </c>
      <c r="H41" s="152">
        <v>3175478.4018999999</v>
      </c>
    </row>
    <row r="42" spans="1:8" x14ac:dyDescent="0.25">
      <c r="A42" s="157" t="str">
        <f t="shared" si="2"/>
        <v>2018</v>
      </c>
      <c r="B42" s="158" t="str">
        <f t="shared" si="3"/>
        <v>Octubre</v>
      </c>
      <c r="C42" s="166">
        <v>16</v>
      </c>
      <c r="D42" s="152">
        <v>38554662</v>
      </c>
      <c r="E42" s="153">
        <v>16114488.083900001</v>
      </c>
      <c r="F42" s="154">
        <v>0.41796470901236277</v>
      </c>
      <c r="G42" s="152">
        <v>31134</v>
      </c>
      <c r="H42" s="152">
        <v>22440173.916100003</v>
      </c>
    </row>
    <row r="43" spans="1:8" x14ac:dyDescent="0.25">
      <c r="A43" s="157" t="str">
        <f t="shared" si="2"/>
        <v>2018</v>
      </c>
      <c r="B43" s="158" t="str">
        <f t="shared" si="3"/>
        <v>Octubre</v>
      </c>
      <c r="C43" s="166">
        <v>17</v>
      </c>
      <c r="D43" s="152">
        <v>37075501</v>
      </c>
      <c r="E43" s="153">
        <v>15345959.5931</v>
      </c>
      <c r="F43" s="154">
        <v>0.41391105121141858</v>
      </c>
      <c r="G43" s="152">
        <v>25804</v>
      </c>
      <c r="H43" s="152">
        <v>21729541.406900004</v>
      </c>
    </row>
    <row r="44" spans="1:8" x14ac:dyDescent="0.25">
      <c r="A44" s="157" t="str">
        <f t="shared" si="2"/>
        <v>2018</v>
      </c>
      <c r="B44" s="158" t="str">
        <f t="shared" si="3"/>
        <v>Octubre</v>
      </c>
      <c r="C44" s="166">
        <v>18</v>
      </c>
      <c r="D44" s="152">
        <v>45535661</v>
      </c>
      <c r="E44" s="153">
        <v>17278099.537300002</v>
      </c>
      <c r="F44" s="154">
        <v>0.37944106131016742</v>
      </c>
      <c r="G44" s="152">
        <v>58172.38</v>
      </c>
      <c r="H44" s="152">
        <v>28257561.462700006</v>
      </c>
    </row>
    <row r="45" spans="1:8" x14ac:dyDescent="0.25">
      <c r="A45" s="157" t="str">
        <f t="shared" si="2"/>
        <v>2018</v>
      </c>
      <c r="B45" s="158" t="str">
        <f t="shared" si="3"/>
        <v>Octubre</v>
      </c>
      <c r="C45" s="166">
        <v>19</v>
      </c>
      <c r="D45" s="152">
        <v>67199517.819999993</v>
      </c>
      <c r="E45" s="153">
        <v>22367052.0165</v>
      </c>
      <c r="F45" s="154">
        <v>0.3328454242248014</v>
      </c>
      <c r="G45" s="152">
        <v>38948.383999999998</v>
      </c>
      <c r="H45" s="152">
        <v>44832465.803500004</v>
      </c>
    </row>
    <row r="46" spans="1:8" x14ac:dyDescent="0.25">
      <c r="A46" s="157" t="str">
        <f t="shared" si="2"/>
        <v>2018</v>
      </c>
      <c r="B46" s="158" t="str">
        <f t="shared" si="3"/>
        <v>Octubre</v>
      </c>
      <c r="C46" s="166">
        <v>20</v>
      </c>
      <c r="D46" s="152">
        <v>2807542</v>
      </c>
      <c r="E46" s="153">
        <v>1177071.6481000001</v>
      </c>
      <c r="F46" s="154">
        <v>0.41925344237058609</v>
      </c>
      <c r="G46" s="152">
        <v>1189</v>
      </c>
      <c r="H46" s="152">
        <v>1630470.3519000001</v>
      </c>
    </row>
    <row r="47" spans="1:8" x14ac:dyDescent="0.25">
      <c r="A47" s="157" t="str">
        <f t="shared" si="2"/>
        <v>2018</v>
      </c>
      <c r="B47" s="158" t="str">
        <f t="shared" si="3"/>
        <v>Octubre</v>
      </c>
      <c r="C47" s="166">
        <v>22</v>
      </c>
      <c r="D47" s="152">
        <v>34960206</v>
      </c>
      <c r="E47" s="153">
        <v>14283942.060000001</v>
      </c>
      <c r="F47" s="154">
        <v>0.40857717085534334</v>
      </c>
      <c r="G47" s="152">
        <v>26266</v>
      </c>
      <c r="H47" s="152">
        <v>20676263.940000001</v>
      </c>
    </row>
    <row r="48" spans="1:8" x14ac:dyDescent="0.25">
      <c r="A48" s="157" t="str">
        <f t="shared" si="2"/>
        <v>2018</v>
      </c>
      <c r="B48" s="158" t="str">
        <f t="shared" si="3"/>
        <v>Octubre</v>
      </c>
      <c r="C48" s="166">
        <v>23</v>
      </c>
      <c r="D48" s="152">
        <v>37348302.979999997</v>
      </c>
      <c r="E48" s="153">
        <v>15497289.425799999</v>
      </c>
      <c r="F48" s="154">
        <v>0.41493958732472508</v>
      </c>
      <c r="G48" s="152">
        <v>40379</v>
      </c>
      <c r="H48" s="152">
        <v>21851013.554299995</v>
      </c>
    </row>
    <row r="49" spans="1:8" x14ac:dyDescent="0.25">
      <c r="A49" s="157" t="str">
        <f t="shared" si="2"/>
        <v>2018</v>
      </c>
      <c r="B49" s="158" t="str">
        <f t="shared" si="3"/>
        <v>Octubre</v>
      </c>
      <c r="C49" s="166">
        <v>24</v>
      </c>
      <c r="D49" s="152">
        <v>49690269</v>
      </c>
      <c r="E49" s="153">
        <v>19363498.797200002</v>
      </c>
      <c r="F49" s="154">
        <v>0.38968391974694283</v>
      </c>
      <c r="G49" s="152">
        <v>49520</v>
      </c>
      <c r="H49" s="152">
        <v>30326770.202800002</v>
      </c>
    </row>
    <row r="50" spans="1:8" x14ac:dyDescent="0.25">
      <c r="A50" s="157" t="str">
        <f t="shared" si="2"/>
        <v>2018</v>
      </c>
      <c r="B50" s="158" t="str">
        <f t="shared" si="3"/>
        <v>Octubre</v>
      </c>
      <c r="C50" s="166">
        <v>25</v>
      </c>
      <c r="D50" s="152">
        <v>48344607</v>
      </c>
      <c r="E50" s="153">
        <v>19061335.866700001</v>
      </c>
      <c r="F50" s="154">
        <v>0.39428050096053113</v>
      </c>
      <c r="G50" s="152">
        <v>36846</v>
      </c>
      <c r="H50" s="152">
        <v>29283271.133399993</v>
      </c>
    </row>
    <row r="51" spans="1:8" x14ac:dyDescent="0.25">
      <c r="A51" s="157" t="str">
        <f t="shared" si="2"/>
        <v>2018</v>
      </c>
      <c r="B51" s="158" t="str">
        <f t="shared" si="3"/>
        <v>Octubre</v>
      </c>
      <c r="C51" s="166">
        <v>26</v>
      </c>
      <c r="D51" s="152">
        <v>44578822</v>
      </c>
      <c r="E51" s="153">
        <v>17809872.8651</v>
      </c>
      <c r="F51" s="154">
        <v>0.39951421024763734</v>
      </c>
      <c r="G51" s="152">
        <v>33869</v>
      </c>
      <c r="H51" s="152">
        <v>26768949.134999998</v>
      </c>
    </row>
    <row r="52" spans="1:8" x14ac:dyDescent="0.25">
      <c r="A52" s="157" t="str">
        <f t="shared" si="2"/>
        <v>2018</v>
      </c>
      <c r="B52" s="158" t="str">
        <f t="shared" si="3"/>
        <v>Octubre</v>
      </c>
      <c r="C52" s="166">
        <v>27</v>
      </c>
      <c r="D52" s="152">
        <v>3665279</v>
      </c>
      <c r="E52" s="153">
        <v>1537837.6427</v>
      </c>
      <c r="F52" s="154">
        <v>0.41956905400652994</v>
      </c>
      <c r="G52" s="152">
        <v>4180</v>
      </c>
      <c r="H52" s="152">
        <v>2127441.3573999996</v>
      </c>
    </row>
    <row r="53" spans="1:8" x14ac:dyDescent="0.25">
      <c r="A53" s="157" t="str">
        <f t="shared" si="2"/>
        <v>2018</v>
      </c>
      <c r="B53" s="158" t="str">
        <f t="shared" si="3"/>
        <v>Octubre</v>
      </c>
      <c r="C53" s="166">
        <v>29</v>
      </c>
      <c r="D53" s="152">
        <v>46145297</v>
      </c>
      <c r="E53" s="153">
        <v>17616005.9892</v>
      </c>
      <c r="F53" s="154">
        <v>0.38175084211073557</v>
      </c>
      <c r="G53" s="152">
        <v>39457</v>
      </c>
      <c r="H53" s="152">
        <v>28529291.010899998</v>
      </c>
    </row>
    <row r="54" spans="1:8" x14ac:dyDescent="0.25">
      <c r="A54" s="157" t="str">
        <f t="shared" si="2"/>
        <v>2018</v>
      </c>
      <c r="B54" s="158" t="str">
        <f t="shared" si="3"/>
        <v>Octubre</v>
      </c>
      <c r="C54" s="166">
        <v>30</v>
      </c>
      <c r="D54" s="152">
        <v>63936152</v>
      </c>
      <c r="E54" s="153">
        <v>26800005.596700002</v>
      </c>
      <c r="F54" s="154">
        <v>0.41916826018400355</v>
      </c>
      <c r="G54" s="152">
        <v>54383</v>
      </c>
      <c r="H54" s="152">
        <v>37136146.403399996</v>
      </c>
    </row>
    <row r="55" spans="1:8" x14ac:dyDescent="0.25">
      <c r="A55" s="157" t="str">
        <f t="shared" si="2"/>
        <v>2018</v>
      </c>
      <c r="B55" s="158" t="str">
        <f t="shared" si="3"/>
        <v>Octubre</v>
      </c>
      <c r="C55" s="166">
        <v>31</v>
      </c>
      <c r="D55" s="152">
        <v>117339512</v>
      </c>
      <c r="E55" s="153">
        <v>36139450.485600002</v>
      </c>
      <c r="F55" s="154">
        <v>0.30799046177727413</v>
      </c>
      <c r="G55" s="152">
        <v>77896.034440000003</v>
      </c>
      <c r="H55" s="152">
        <v>81200061.51440002</v>
      </c>
    </row>
    <row r="56" spans="1:8" x14ac:dyDescent="0.25">
      <c r="A56" s="157" t="s">
        <v>27</v>
      </c>
      <c r="B56" s="158" t="s">
        <v>24</v>
      </c>
      <c r="C56" s="166">
        <v>1</v>
      </c>
      <c r="D56" s="152">
        <v>17181285</v>
      </c>
      <c r="E56" s="153">
        <v>7765435.2489999998</v>
      </c>
      <c r="F56" s="154">
        <v>0.45197057431967397</v>
      </c>
      <c r="G56" s="152">
        <v>10927</v>
      </c>
      <c r="H56" s="152">
        <v>9415849.7510000002</v>
      </c>
    </row>
    <row r="57" spans="1:8" x14ac:dyDescent="0.25">
      <c r="A57" s="157" t="str">
        <f t="shared" ref="A57:A81" si="4">+A56</f>
        <v>2019</v>
      </c>
      <c r="B57" s="158" t="str">
        <f t="shared" ref="B57:B81" si="5">+B56</f>
        <v>Octubre</v>
      </c>
      <c r="C57" s="166">
        <v>2</v>
      </c>
      <c r="D57" s="152">
        <v>49492470</v>
      </c>
      <c r="E57" s="153">
        <v>23677951.581700001</v>
      </c>
      <c r="F57" s="154">
        <v>0.4784152333011466</v>
      </c>
      <c r="G57" s="152">
        <v>51249</v>
      </c>
      <c r="H57" s="152">
        <v>25814518.418300007</v>
      </c>
    </row>
    <row r="58" spans="1:8" x14ac:dyDescent="0.25">
      <c r="A58" s="157" t="str">
        <f t="shared" si="4"/>
        <v>2019</v>
      </c>
      <c r="B58" s="158" t="str">
        <f t="shared" si="5"/>
        <v>Octubre</v>
      </c>
      <c r="C58" s="166">
        <v>3</v>
      </c>
      <c r="D58" s="152">
        <v>42588503</v>
      </c>
      <c r="E58" s="153">
        <v>18422109.6569</v>
      </c>
      <c r="F58" s="154">
        <v>0.43256062925949756</v>
      </c>
      <c r="G58" s="152">
        <v>46196</v>
      </c>
      <c r="H58" s="152">
        <v>24166393.343199994</v>
      </c>
    </row>
    <row r="59" spans="1:8" x14ac:dyDescent="0.25">
      <c r="A59" s="157" t="str">
        <f t="shared" si="4"/>
        <v>2019</v>
      </c>
      <c r="B59" s="158" t="str">
        <f t="shared" si="5"/>
        <v>Octubre</v>
      </c>
      <c r="C59" s="166">
        <v>4</v>
      </c>
      <c r="D59" s="152">
        <v>52775835</v>
      </c>
      <c r="E59" s="153">
        <v>21288529.495999999</v>
      </c>
      <c r="F59" s="154">
        <v>0.40337646000295402</v>
      </c>
      <c r="G59" s="152">
        <v>43897.582000000002</v>
      </c>
      <c r="H59" s="152">
        <v>31487305.504000001</v>
      </c>
    </row>
    <row r="60" spans="1:8" x14ac:dyDescent="0.25">
      <c r="A60" s="157" t="str">
        <f t="shared" si="4"/>
        <v>2019</v>
      </c>
      <c r="B60" s="158" t="str">
        <f t="shared" si="5"/>
        <v>Octubre</v>
      </c>
      <c r="C60" s="166">
        <v>5</v>
      </c>
      <c r="D60" s="152">
        <v>5400472</v>
      </c>
      <c r="E60" s="153">
        <v>2365282.0910999998</v>
      </c>
      <c r="F60" s="154">
        <v>0.43797691962850654</v>
      </c>
      <c r="G60" s="152">
        <v>10826</v>
      </c>
      <c r="H60" s="152">
        <v>3035189.9089000002</v>
      </c>
    </row>
    <row r="61" spans="1:8" x14ac:dyDescent="0.25">
      <c r="A61" s="157" t="str">
        <f t="shared" si="4"/>
        <v>2019</v>
      </c>
      <c r="B61" s="158" t="str">
        <f t="shared" si="5"/>
        <v>Octubre</v>
      </c>
      <c r="C61" s="166">
        <v>7</v>
      </c>
      <c r="D61" s="152">
        <v>27393983</v>
      </c>
      <c r="E61" s="153">
        <v>12171865.591</v>
      </c>
      <c r="F61" s="154">
        <v>0.44432624459904208</v>
      </c>
      <c r="G61" s="152">
        <v>21358</v>
      </c>
      <c r="H61" s="152">
        <v>15222117.409000002</v>
      </c>
    </row>
    <row r="62" spans="1:8" x14ac:dyDescent="0.25">
      <c r="A62" s="157" t="str">
        <f t="shared" si="4"/>
        <v>2019</v>
      </c>
      <c r="B62" s="158" t="str">
        <f t="shared" si="5"/>
        <v>Octubre</v>
      </c>
      <c r="C62" s="166">
        <v>8</v>
      </c>
      <c r="D62" s="152">
        <v>57584507</v>
      </c>
      <c r="E62" s="153">
        <v>24472335.067600001</v>
      </c>
      <c r="F62" s="154">
        <v>0.42498123788052922</v>
      </c>
      <c r="G62" s="152">
        <v>45322</v>
      </c>
      <c r="H62" s="152">
        <v>33112171.932400007</v>
      </c>
    </row>
    <row r="63" spans="1:8" x14ac:dyDescent="0.25">
      <c r="A63" s="157" t="str">
        <f t="shared" si="4"/>
        <v>2019</v>
      </c>
      <c r="B63" s="158" t="str">
        <f t="shared" si="5"/>
        <v>Octubre</v>
      </c>
      <c r="C63" s="166">
        <v>9</v>
      </c>
      <c r="D63" s="152">
        <v>56881270</v>
      </c>
      <c r="E63" s="153">
        <v>25713335.597100001</v>
      </c>
      <c r="F63" s="154">
        <v>0.45205276881300294</v>
      </c>
      <c r="G63" s="152">
        <v>36051</v>
      </c>
      <c r="H63" s="152">
        <v>31167934.402900003</v>
      </c>
    </row>
    <row r="64" spans="1:8" x14ac:dyDescent="0.25">
      <c r="A64" s="157" t="str">
        <f t="shared" si="4"/>
        <v>2019</v>
      </c>
      <c r="B64" s="158" t="str">
        <f t="shared" si="5"/>
        <v>Octubre</v>
      </c>
      <c r="C64" s="166">
        <v>10</v>
      </c>
      <c r="D64" s="152">
        <v>52265575</v>
      </c>
      <c r="E64" s="153">
        <v>24495806.681499999</v>
      </c>
      <c r="F64" s="154">
        <v>0.46867955975802428</v>
      </c>
      <c r="G64" s="152">
        <v>33374</v>
      </c>
      <c r="H64" s="152">
        <v>27769768.318500005</v>
      </c>
    </row>
    <row r="65" spans="1:8" x14ac:dyDescent="0.25">
      <c r="A65" s="157" t="str">
        <f t="shared" si="4"/>
        <v>2019</v>
      </c>
      <c r="B65" s="158" t="str">
        <f t="shared" si="5"/>
        <v>Octubre</v>
      </c>
      <c r="C65" s="166">
        <v>11</v>
      </c>
      <c r="D65" s="152">
        <v>40501950</v>
      </c>
      <c r="E65" s="153">
        <v>19983152.810699999</v>
      </c>
      <c r="F65" s="154">
        <v>0.49338742482028641</v>
      </c>
      <c r="G65" s="152">
        <v>33317</v>
      </c>
      <c r="H65" s="152">
        <v>20518797.189300001</v>
      </c>
    </row>
    <row r="66" spans="1:8" x14ac:dyDescent="0.25">
      <c r="A66" s="157" t="str">
        <f t="shared" si="4"/>
        <v>2019</v>
      </c>
      <c r="B66" s="158" t="str">
        <f t="shared" si="5"/>
        <v>Octubre</v>
      </c>
      <c r="C66" s="166">
        <v>12</v>
      </c>
      <c r="D66" s="152">
        <v>8085332</v>
      </c>
      <c r="E66" s="153">
        <v>4820163.9605</v>
      </c>
      <c r="F66" s="154">
        <v>0.59616153801723915</v>
      </c>
      <c r="G66" s="152">
        <v>4348</v>
      </c>
      <c r="H66" s="152">
        <v>3265168.0395999998</v>
      </c>
    </row>
    <row r="67" spans="1:8" x14ac:dyDescent="0.25">
      <c r="A67" s="157" t="str">
        <f t="shared" si="4"/>
        <v>2019</v>
      </c>
      <c r="B67" s="158" t="str">
        <f t="shared" si="5"/>
        <v>Octubre</v>
      </c>
      <c r="C67" s="166">
        <v>14</v>
      </c>
      <c r="D67" s="152">
        <v>56539305</v>
      </c>
      <c r="E67" s="153">
        <v>19723117.765099999</v>
      </c>
      <c r="F67" s="154">
        <v>0.34883905568170676</v>
      </c>
      <c r="G67" s="152">
        <v>27623</v>
      </c>
      <c r="H67" s="152">
        <v>36816187.234999992</v>
      </c>
    </row>
    <row r="68" spans="1:8" x14ac:dyDescent="0.25">
      <c r="A68" s="157" t="str">
        <f t="shared" si="4"/>
        <v>2019</v>
      </c>
      <c r="B68" s="158" t="str">
        <f t="shared" si="5"/>
        <v>Octubre</v>
      </c>
      <c r="C68" s="166">
        <v>15</v>
      </c>
      <c r="D68" s="152">
        <v>62483572.600000001</v>
      </c>
      <c r="E68" s="153">
        <v>27382067.318999998</v>
      </c>
      <c r="F68" s="154">
        <v>0.43822826031877699</v>
      </c>
      <c r="G68" s="152">
        <v>55103</v>
      </c>
      <c r="H68" s="152">
        <v>35101505.281099997</v>
      </c>
    </row>
    <row r="69" spans="1:8" x14ac:dyDescent="0.25">
      <c r="A69" s="157" t="str">
        <f t="shared" si="4"/>
        <v>2019</v>
      </c>
      <c r="B69" s="158" t="str">
        <f t="shared" si="5"/>
        <v>Octubre</v>
      </c>
      <c r="C69" s="166">
        <v>16</v>
      </c>
      <c r="D69" s="152">
        <v>55916198</v>
      </c>
      <c r="E69" s="153">
        <v>25605705.429299999</v>
      </c>
      <c r="F69" s="154">
        <v>0.45793001572281433</v>
      </c>
      <c r="G69" s="152">
        <v>45717</v>
      </c>
      <c r="H69" s="152">
        <v>30310492.570799995</v>
      </c>
    </row>
    <row r="70" spans="1:8" x14ac:dyDescent="0.25">
      <c r="A70" s="157" t="str">
        <f t="shared" si="4"/>
        <v>2019</v>
      </c>
      <c r="B70" s="158" t="str">
        <f t="shared" si="5"/>
        <v>Octubre</v>
      </c>
      <c r="C70" s="166">
        <v>17</v>
      </c>
      <c r="D70" s="152">
        <v>44772199</v>
      </c>
      <c r="E70" s="153">
        <v>19766219.1635</v>
      </c>
      <c r="F70" s="154">
        <v>0.44148421576300062</v>
      </c>
      <c r="G70" s="152">
        <v>32307</v>
      </c>
      <c r="H70" s="152">
        <v>25005979.836500004</v>
      </c>
    </row>
    <row r="71" spans="1:8" x14ac:dyDescent="0.25">
      <c r="A71" s="157" t="str">
        <f t="shared" si="4"/>
        <v>2019</v>
      </c>
      <c r="B71" s="158" t="str">
        <f t="shared" si="5"/>
        <v>Octubre</v>
      </c>
      <c r="C71" s="166">
        <v>18</v>
      </c>
      <c r="D71" s="152">
        <v>44687767</v>
      </c>
      <c r="E71" s="153">
        <v>20252423.278299998</v>
      </c>
      <c r="F71" s="154">
        <v>0.45319837257252082</v>
      </c>
      <c r="G71" s="152">
        <v>32495</v>
      </c>
      <c r="H71" s="152">
        <v>24435343.721799999</v>
      </c>
    </row>
    <row r="72" spans="1:8" x14ac:dyDescent="0.25">
      <c r="A72" s="157" t="str">
        <f t="shared" si="4"/>
        <v>2019</v>
      </c>
      <c r="B72" s="158" t="str">
        <f t="shared" si="5"/>
        <v>Octubre</v>
      </c>
      <c r="C72" s="166">
        <v>19</v>
      </c>
      <c r="D72" s="152">
        <v>5625065</v>
      </c>
      <c r="E72" s="153">
        <v>2760188.8535000002</v>
      </c>
      <c r="F72" s="154">
        <v>0.49069457037385344</v>
      </c>
      <c r="G72" s="152">
        <v>603</v>
      </c>
      <c r="H72" s="152">
        <v>2864876.1465000003</v>
      </c>
    </row>
    <row r="73" spans="1:8" x14ac:dyDescent="0.25">
      <c r="A73" s="157" t="str">
        <f t="shared" si="4"/>
        <v>2019</v>
      </c>
      <c r="B73" s="158" t="str">
        <f t="shared" si="5"/>
        <v>Octubre</v>
      </c>
      <c r="C73" s="166">
        <v>21</v>
      </c>
      <c r="D73" s="152">
        <v>22479666</v>
      </c>
      <c r="E73" s="153">
        <v>8126116.8492000001</v>
      </c>
      <c r="F73" s="154">
        <v>0.36148743709982167</v>
      </c>
      <c r="G73" s="152">
        <v>13805</v>
      </c>
      <c r="H73" s="152">
        <v>14353549.150899995</v>
      </c>
    </row>
    <row r="74" spans="1:8" x14ac:dyDescent="0.25">
      <c r="A74" s="157" t="str">
        <f t="shared" si="4"/>
        <v>2019</v>
      </c>
      <c r="B74" s="158" t="str">
        <f t="shared" si="5"/>
        <v>Octubre</v>
      </c>
      <c r="C74" s="166">
        <v>22</v>
      </c>
      <c r="D74" s="152">
        <v>33863850</v>
      </c>
      <c r="E74" s="153">
        <v>14670331.6603</v>
      </c>
      <c r="F74" s="154">
        <v>0.43321511465175994</v>
      </c>
      <c r="G74" s="152">
        <v>25591</v>
      </c>
      <c r="H74" s="152">
        <v>19193518.339799996</v>
      </c>
    </row>
    <row r="75" spans="1:8" x14ac:dyDescent="0.25">
      <c r="A75" s="157" t="str">
        <f t="shared" si="4"/>
        <v>2019</v>
      </c>
      <c r="B75" s="158" t="str">
        <f t="shared" si="5"/>
        <v>Octubre</v>
      </c>
      <c r="C75" s="166">
        <v>23</v>
      </c>
      <c r="D75" s="152">
        <v>45124370.880000003</v>
      </c>
      <c r="E75" s="153">
        <v>21283013.434999999</v>
      </c>
      <c r="F75" s="154">
        <v>0.47165230273455283</v>
      </c>
      <c r="G75" s="152">
        <v>36077</v>
      </c>
      <c r="H75" s="152">
        <v>23841357.445000004</v>
      </c>
    </row>
    <row r="76" spans="1:8" x14ac:dyDescent="0.25">
      <c r="A76" s="157" t="str">
        <f t="shared" si="4"/>
        <v>2019</v>
      </c>
      <c r="B76" s="158" t="str">
        <f t="shared" si="5"/>
        <v>Octubre</v>
      </c>
      <c r="C76" s="166">
        <v>24</v>
      </c>
      <c r="D76" s="152">
        <v>47009732</v>
      </c>
      <c r="E76" s="153">
        <v>20086207.592300002</v>
      </c>
      <c r="F76" s="154">
        <v>0.42727764523950063</v>
      </c>
      <c r="G76" s="152">
        <v>38792</v>
      </c>
      <c r="H76" s="152">
        <v>26923524.40770001</v>
      </c>
    </row>
    <row r="77" spans="1:8" x14ac:dyDescent="0.25">
      <c r="A77" s="157" t="str">
        <f t="shared" si="4"/>
        <v>2019</v>
      </c>
      <c r="B77" s="158" t="str">
        <f t="shared" si="5"/>
        <v>Octubre</v>
      </c>
      <c r="C77" s="166">
        <v>25</v>
      </c>
      <c r="D77" s="152">
        <v>47678243</v>
      </c>
      <c r="E77" s="153">
        <v>21599322.135299999</v>
      </c>
      <c r="F77" s="154">
        <v>0.45302261107440556</v>
      </c>
      <c r="G77" s="152">
        <v>40140</v>
      </c>
      <c r="H77" s="152">
        <v>26078920.864799991</v>
      </c>
    </row>
    <row r="78" spans="1:8" x14ac:dyDescent="0.25">
      <c r="A78" s="157" t="str">
        <f t="shared" si="4"/>
        <v>2019</v>
      </c>
      <c r="B78" s="158" t="str">
        <f t="shared" si="5"/>
        <v>Octubre</v>
      </c>
      <c r="C78" s="166">
        <v>26</v>
      </c>
      <c r="D78" s="152">
        <v>7419905</v>
      </c>
      <c r="E78" s="153">
        <v>3561904.2189000002</v>
      </c>
      <c r="F78" s="154">
        <v>0.48004714600793408</v>
      </c>
      <c r="G78" s="152">
        <v>3660</v>
      </c>
      <c r="H78" s="152">
        <v>3858000.7812000001</v>
      </c>
    </row>
    <row r="79" spans="1:8" x14ac:dyDescent="0.25">
      <c r="A79" s="157" t="str">
        <f t="shared" si="4"/>
        <v>2019</v>
      </c>
      <c r="B79" s="158" t="str">
        <f t="shared" si="5"/>
        <v>Octubre</v>
      </c>
      <c r="C79" s="166">
        <v>28</v>
      </c>
      <c r="D79" s="152">
        <v>38484405</v>
      </c>
      <c r="E79" s="153">
        <v>15989352.105599999</v>
      </c>
      <c r="F79" s="154">
        <v>0.41547614171506614</v>
      </c>
      <c r="G79" s="152">
        <v>47519</v>
      </c>
      <c r="H79" s="152">
        <v>22495052.894499999</v>
      </c>
    </row>
    <row r="80" spans="1:8" x14ac:dyDescent="0.25">
      <c r="A80" s="157" t="str">
        <f t="shared" si="4"/>
        <v>2019</v>
      </c>
      <c r="B80" s="158" t="str">
        <f t="shared" si="5"/>
        <v>Octubre</v>
      </c>
      <c r="C80" s="166">
        <v>29</v>
      </c>
      <c r="D80" s="152">
        <v>60826587</v>
      </c>
      <c r="E80" s="153">
        <v>19802859.724199999</v>
      </c>
      <c r="F80" s="154">
        <v>0.32556256566228187</v>
      </c>
      <c r="G80" s="152">
        <v>34607</v>
      </c>
      <c r="H80" s="152"/>
    </row>
    <row r="81" spans="1:8" x14ac:dyDescent="0.25">
      <c r="A81" s="157" t="str">
        <f t="shared" si="4"/>
        <v>2019</v>
      </c>
      <c r="B81" s="158" t="str">
        <f t="shared" si="5"/>
        <v>Octubre</v>
      </c>
      <c r="C81" s="166">
        <v>30</v>
      </c>
      <c r="D81" s="152">
        <v>101586568</v>
      </c>
      <c r="E81" s="153">
        <v>44239273.388400003</v>
      </c>
      <c r="F81" s="154">
        <v>0.4354834921522302</v>
      </c>
      <c r="G81" s="152">
        <v>89627</v>
      </c>
      <c r="H81" s="152"/>
    </row>
    <row r="92" spans="1:8" x14ac:dyDescent="0.25">
      <c r="A92" s="5" t="s">
        <v>74</v>
      </c>
      <c r="B92" s="5" t="s">
        <v>28</v>
      </c>
    </row>
    <row r="93" spans="1:8" x14ac:dyDescent="0.25">
      <c r="A93" s="5" t="s">
        <v>31</v>
      </c>
      <c r="B93" t="s">
        <v>23</v>
      </c>
      <c r="C93" t="s">
        <v>26</v>
      </c>
      <c r="D93" t="s">
        <v>27</v>
      </c>
      <c r="E93" t="s">
        <v>29</v>
      </c>
    </row>
    <row r="94" spans="1:8" x14ac:dyDescent="0.25">
      <c r="A94" s="6">
        <v>1</v>
      </c>
      <c r="B94" s="7"/>
      <c r="C94" s="7">
        <v>6992908.5511999996</v>
      </c>
      <c r="D94" s="7">
        <v>7765435.2489999998</v>
      </c>
      <c r="E94" s="7">
        <v>14758343.8002</v>
      </c>
    </row>
    <row r="95" spans="1:8" x14ac:dyDescent="0.25">
      <c r="A95" s="6">
        <v>2</v>
      </c>
      <c r="B95" s="7">
        <v>-241822.32699999999</v>
      </c>
      <c r="C95" s="7">
        <v>24667943.804099999</v>
      </c>
      <c r="D95" s="7">
        <v>23677951.581700001</v>
      </c>
      <c r="E95" s="7">
        <v>48104073.058799997</v>
      </c>
    </row>
    <row r="96" spans="1:8" x14ac:dyDescent="0.25">
      <c r="A96" s="6">
        <v>3</v>
      </c>
      <c r="B96" s="7">
        <v>24808387.628400002</v>
      </c>
      <c r="C96" s="7">
        <v>15059311.4124</v>
      </c>
      <c r="D96" s="7">
        <v>18422109.6569</v>
      </c>
      <c r="E96" s="7">
        <v>58289808.697700009</v>
      </c>
    </row>
    <row r="97" spans="1:5" x14ac:dyDescent="0.25">
      <c r="A97" s="6">
        <v>4</v>
      </c>
      <c r="B97" s="7">
        <v>17442807.539700001</v>
      </c>
      <c r="C97" s="7">
        <v>16271589.623</v>
      </c>
      <c r="D97" s="7">
        <v>21288529.495999999</v>
      </c>
      <c r="E97" s="7">
        <v>55002926.658699997</v>
      </c>
    </row>
    <row r="98" spans="1:5" x14ac:dyDescent="0.25">
      <c r="A98" s="6">
        <v>5</v>
      </c>
      <c r="B98" s="7">
        <v>11842154.6457</v>
      </c>
      <c r="C98" s="7">
        <v>18785153.0779</v>
      </c>
      <c r="D98" s="7">
        <v>2365282.0910999998</v>
      </c>
      <c r="E98" s="7">
        <v>32992589.8147</v>
      </c>
    </row>
    <row r="99" spans="1:5" x14ac:dyDescent="0.25">
      <c r="A99" s="6">
        <v>6</v>
      </c>
      <c r="B99" s="7">
        <v>20140711.642700002</v>
      </c>
      <c r="C99" s="7">
        <v>3827079.5624000002</v>
      </c>
      <c r="D99" s="7"/>
      <c r="E99" s="7">
        <v>23967791.2051</v>
      </c>
    </row>
    <row r="100" spans="1:5" x14ac:dyDescent="0.25">
      <c r="A100" s="6">
        <v>7</v>
      </c>
      <c r="B100" s="7">
        <v>8148278.1514999997</v>
      </c>
      <c r="C100" s="7"/>
      <c r="D100" s="7">
        <v>12171865.591</v>
      </c>
      <c r="E100" s="7">
        <v>20320143.7425</v>
      </c>
    </row>
    <row r="101" spans="1:5" x14ac:dyDescent="0.25">
      <c r="A101" s="6">
        <v>8</v>
      </c>
      <c r="B101" s="7"/>
      <c r="C101" s="7">
        <v>15454715.7127</v>
      </c>
      <c r="D101" s="7">
        <v>24472335.067600001</v>
      </c>
      <c r="E101" s="7">
        <v>39927050.780299999</v>
      </c>
    </row>
    <row r="102" spans="1:5" x14ac:dyDescent="0.25">
      <c r="A102" s="6">
        <v>9</v>
      </c>
      <c r="B102" s="7"/>
      <c r="C102" s="7">
        <v>17974351.078600001</v>
      </c>
      <c r="D102" s="7">
        <v>25713335.597100001</v>
      </c>
      <c r="E102" s="7">
        <v>43687686.675700001</v>
      </c>
    </row>
    <row r="103" spans="1:5" x14ac:dyDescent="0.25">
      <c r="A103" s="6">
        <v>10</v>
      </c>
      <c r="B103" s="7">
        <v>16181965.946900001</v>
      </c>
      <c r="C103" s="7">
        <v>13866114.004000001</v>
      </c>
      <c r="D103" s="7">
        <v>24495806.681499999</v>
      </c>
      <c r="E103" s="7">
        <v>54543886.632400006</v>
      </c>
    </row>
    <row r="104" spans="1:5" x14ac:dyDescent="0.25">
      <c r="A104" s="6">
        <v>11</v>
      </c>
      <c r="B104" s="7">
        <v>16905335.167199999</v>
      </c>
      <c r="C104" s="7">
        <v>17898680.686999999</v>
      </c>
      <c r="D104" s="7">
        <v>19983152.810699999</v>
      </c>
      <c r="E104" s="7">
        <v>54787168.664899997</v>
      </c>
    </row>
    <row r="105" spans="1:5" x14ac:dyDescent="0.25">
      <c r="A105" s="6">
        <v>12</v>
      </c>
      <c r="B105" s="7">
        <v>14699730.1434</v>
      </c>
      <c r="C105" s="7">
        <v>15867309.9504</v>
      </c>
      <c r="D105" s="7">
        <v>4820163.9605</v>
      </c>
      <c r="E105" s="7">
        <v>35387204.054300003</v>
      </c>
    </row>
    <row r="106" spans="1:5" x14ac:dyDescent="0.25">
      <c r="A106" s="6">
        <v>13</v>
      </c>
      <c r="B106" s="7">
        <v>15650088.263499999</v>
      </c>
      <c r="C106" s="7">
        <v>1690739.5981999999</v>
      </c>
      <c r="D106" s="7"/>
      <c r="E106" s="7">
        <v>17340827.861699998</v>
      </c>
    </row>
    <row r="107" spans="1:5" x14ac:dyDescent="0.25">
      <c r="A107" s="6">
        <v>14</v>
      </c>
      <c r="B107" s="7">
        <v>2025306.2949999999</v>
      </c>
      <c r="C107" s="7"/>
      <c r="D107" s="7">
        <v>19723117.765099999</v>
      </c>
      <c r="E107" s="7">
        <v>21748424.060099997</v>
      </c>
    </row>
    <row r="108" spans="1:5" x14ac:dyDescent="0.25">
      <c r="A108" s="6">
        <v>15</v>
      </c>
      <c r="B108" s="7"/>
      <c r="C108" s="7"/>
      <c r="D108" s="7">
        <v>27382067.318999998</v>
      </c>
      <c r="E108" s="7">
        <v>27382067.318999998</v>
      </c>
    </row>
    <row r="109" spans="1:5" x14ac:dyDescent="0.25">
      <c r="A109" s="6">
        <v>16</v>
      </c>
      <c r="B109" s="7">
        <v>20154435.324299999</v>
      </c>
      <c r="C109" s="7">
        <v>16114488.083900001</v>
      </c>
      <c r="D109" s="7">
        <v>25605705.429299999</v>
      </c>
      <c r="E109" s="7">
        <v>61874628.837499991</v>
      </c>
    </row>
    <row r="110" spans="1:5" x14ac:dyDescent="0.25">
      <c r="A110" s="6">
        <v>17</v>
      </c>
      <c r="B110" s="7">
        <v>25428436.1074</v>
      </c>
      <c r="C110" s="7">
        <v>15345959.5931</v>
      </c>
      <c r="D110" s="7">
        <v>19766219.1635</v>
      </c>
      <c r="E110" s="7">
        <v>60540614.863999993</v>
      </c>
    </row>
    <row r="111" spans="1:5" x14ac:dyDescent="0.25">
      <c r="A111" s="6">
        <v>18</v>
      </c>
      <c r="B111" s="7">
        <v>28946892.379500002</v>
      </c>
      <c r="C111" s="7">
        <v>17278099.537300002</v>
      </c>
      <c r="D111" s="7">
        <v>20252423.278299998</v>
      </c>
      <c r="E111" s="7">
        <v>66477415.195100009</v>
      </c>
    </row>
    <row r="112" spans="1:5" x14ac:dyDescent="0.25">
      <c r="A112" s="6">
        <v>19</v>
      </c>
      <c r="B112" s="7">
        <v>17573978.190699998</v>
      </c>
      <c r="C112" s="7">
        <v>22367052.0165</v>
      </c>
      <c r="D112" s="7">
        <v>2760188.8535000002</v>
      </c>
      <c r="E112" s="7">
        <v>42701219.060699999</v>
      </c>
    </row>
    <row r="113" spans="1:5" x14ac:dyDescent="0.25">
      <c r="A113" s="6">
        <v>20</v>
      </c>
      <c r="B113" s="7">
        <v>16317264.317500001</v>
      </c>
      <c r="C113" s="7">
        <v>1177071.6481000001</v>
      </c>
      <c r="D113" s="7"/>
      <c r="E113" s="7">
        <v>17494335.965600003</v>
      </c>
    </row>
    <row r="114" spans="1:5" x14ac:dyDescent="0.25">
      <c r="A114" s="6">
        <v>21</v>
      </c>
      <c r="B114" s="7">
        <v>2559089.1973999999</v>
      </c>
      <c r="C114" s="7"/>
      <c r="D114" s="7">
        <v>8126116.8492000001</v>
      </c>
      <c r="E114" s="7">
        <v>10685206.046599999</v>
      </c>
    </row>
    <row r="115" spans="1:5" x14ac:dyDescent="0.25">
      <c r="A115" s="6">
        <v>22</v>
      </c>
      <c r="B115" s="7"/>
      <c r="C115" s="7">
        <v>14283942.060000001</v>
      </c>
      <c r="D115" s="7">
        <v>14670331.6603</v>
      </c>
      <c r="E115" s="7">
        <v>28954273.7203</v>
      </c>
    </row>
    <row r="116" spans="1:5" x14ac:dyDescent="0.25">
      <c r="A116" s="6">
        <v>23</v>
      </c>
      <c r="B116" s="7">
        <v>17364965.299199998</v>
      </c>
      <c r="C116" s="7">
        <v>15497289.425799999</v>
      </c>
      <c r="D116" s="7">
        <v>21283013.434999999</v>
      </c>
      <c r="E116" s="7">
        <v>54145268.159999996</v>
      </c>
    </row>
    <row r="117" spans="1:5" x14ac:dyDescent="0.25">
      <c r="A117" s="6">
        <v>24</v>
      </c>
      <c r="B117" s="7">
        <v>20628050.574700002</v>
      </c>
      <c r="C117" s="7">
        <v>19363498.797200002</v>
      </c>
      <c r="D117" s="7">
        <v>20086207.592300002</v>
      </c>
      <c r="E117" s="7">
        <v>60077756.964200005</v>
      </c>
    </row>
    <row r="118" spans="1:5" x14ac:dyDescent="0.25">
      <c r="A118" s="6">
        <v>25</v>
      </c>
      <c r="B118" s="7">
        <v>18354754.607500002</v>
      </c>
      <c r="C118" s="7">
        <v>19061335.866700001</v>
      </c>
      <c r="D118" s="7">
        <v>21599322.135299999</v>
      </c>
      <c r="E118" s="7">
        <v>59015412.609500006</v>
      </c>
    </row>
    <row r="119" spans="1:5" x14ac:dyDescent="0.25">
      <c r="A119" s="6">
        <v>26</v>
      </c>
      <c r="B119" s="7">
        <v>16369968.063100001</v>
      </c>
      <c r="C119" s="7">
        <v>17809872.8651</v>
      </c>
      <c r="D119" s="7">
        <v>3561904.2189000002</v>
      </c>
      <c r="E119" s="7">
        <v>37741745.147100002</v>
      </c>
    </row>
    <row r="120" spans="1:5" x14ac:dyDescent="0.25">
      <c r="A120" s="6">
        <v>27</v>
      </c>
      <c r="B120" s="7">
        <v>1564643.3285000001</v>
      </c>
      <c r="C120" s="7">
        <v>1537837.6427</v>
      </c>
      <c r="D120" s="7"/>
      <c r="E120" s="7">
        <v>3102480.9712</v>
      </c>
    </row>
    <row r="121" spans="1:5" x14ac:dyDescent="0.25">
      <c r="A121" s="6">
        <v>28</v>
      </c>
      <c r="B121" s="7"/>
      <c r="C121" s="7"/>
      <c r="D121" s="7">
        <v>15989352.105599999</v>
      </c>
      <c r="E121" s="7">
        <v>15989352.105599999</v>
      </c>
    </row>
    <row r="122" spans="1:5" x14ac:dyDescent="0.25">
      <c r="A122" s="6">
        <v>29</v>
      </c>
      <c r="B122" s="7"/>
      <c r="C122" s="7">
        <v>17616005.9892</v>
      </c>
      <c r="D122" s="7">
        <v>19802859.724199999</v>
      </c>
      <c r="E122" s="7">
        <v>37418865.713399999</v>
      </c>
    </row>
    <row r="123" spans="1:5" x14ac:dyDescent="0.25">
      <c r="A123" s="6">
        <v>30</v>
      </c>
      <c r="B123" s="7">
        <v>20274217.853799999</v>
      </c>
      <c r="C123" s="7">
        <v>26800005.596700002</v>
      </c>
      <c r="D123" s="7">
        <v>44239273.388400003</v>
      </c>
      <c r="E123" s="7">
        <v>91313496.8389</v>
      </c>
    </row>
    <row r="124" spans="1:5" x14ac:dyDescent="0.25">
      <c r="A124" s="6">
        <v>31</v>
      </c>
      <c r="B124" s="7">
        <v>41933701.365199998</v>
      </c>
      <c r="C124" s="7">
        <v>36139450.485600002</v>
      </c>
      <c r="D124" s="7"/>
      <c r="E124" s="7">
        <v>78073151.850800008</v>
      </c>
    </row>
    <row r="125" spans="1:5" x14ac:dyDescent="0.25">
      <c r="A125" s="6" t="s">
        <v>29</v>
      </c>
      <c r="B125" s="7">
        <v>395073339.70579994</v>
      </c>
      <c r="C125" s="7">
        <v>408747806.66980004</v>
      </c>
      <c r="D125" s="7">
        <v>470024070.70100003</v>
      </c>
      <c r="E125" s="7">
        <v>1273845217.0765998</v>
      </c>
    </row>
    <row r="126" spans="1:5" x14ac:dyDescent="0.25">
      <c r="A126" s="160"/>
      <c r="B126" s="2"/>
    </row>
    <row r="127" spans="1:5" x14ac:dyDescent="0.25">
      <c r="A127" s="160"/>
      <c r="B127" s="2"/>
    </row>
    <row r="128" spans="1:5" x14ac:dyDescent="0.25">
      <c r="A128" s="160"/>
      <c r="B128" s="2"/>
    </row>
    <row r="129" spans="1:2" x14ac:dyDescent="0.25">
      <c r="A129" s="160"/>
      <c r="B129" s="2"/>
    </row>
    <row r="130" spans="1:2" x14ac:dyDescent="0.25">
      <c r="A130" s="160"/>
      <c r="B130" s="2"/>
    </row>
    <row r="131" spans="1:2" x14ac:dyDescent="0.25">
      <c r="A131" s="160"/>
      <c r="B131" s="2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6" workbookViewId="0">
      <selection activeCell="C76" sqref="C76"/>
    </sheetView>
  </sheetViews>
  <sheetFormatPr baseColWidth="10" defaultRowHeight="15" x14ac:dyDescent="0.25"/>
  <cols>
    <col min="4" max="4" width="12.71093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18</v>
      </c>
    </row>
    <row r="3" spans="1:8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53</v>
      </c>
    </row>
    <row r="5" spans="1:8" x14ac:dyDescent="0.25">
      <c r="A5" s="29" t="s">
        <v>15</v>
      </c>
      <c r="B5" s="29" t="s">
        <v>16</v>
      </c>
      <c r="C5" s="29" t="s">
        <v>17</v>
      </c>
      <c r="D5" s="29" t="s">
        <v>19</v>
      </c>
      <c r="E5" s="29" t="s">
        <v>20</v>
      </c>
      <c r="F5" s="29" t="s">
        <v>21</v>
      </c>
      <c r="G5" s="29" t="s">
        <v>22</v>
      </c>
    </row>
    <row r="6" spans="1:8" x14ac:dyDescent="0.25">
      <c r="A6" t="s">
        <v>23</v>
      </c>
      <c r="B6" t="s">
        <v>24</v>
      </c>
      <c r="C6" s="2">
        <v>2</v>
      </c>
      <c r="D6" s="3">
        <v>-4793237</v>
      </c>
      <c r="E6" s="3">
        <v>-241822.32699999999</v>
      </c>
      <c r="F6" s="4">
        <v>5.0450734441046835E-2</v>
      </c>
      <c r="G6">
        <v>10482</v>
      </c>
    </row>
    <row r="7" spans="1:8" x14ac:dyDescent="0.25">
      <c r="A7" t="str">
        <f t="shared" ref="A7:A29" si="0">+A6</f>
        <v>2017</v>
      </c>
      <c r="B7" t="str">
        <f t="shared" ref="B7:B29" si="1">+B6</f>
        <v>Octubre</v>
      </c>
      <c r="C7" s="2">
        <v>3</v>
      </c>
      <c r="D7" s="3">
        <v>59780701.939999998</v>
      </c>
      <c r="E7" s="3">
        <v>24808387.6283</v>
      </c>
      <c r="F7" s="4">
        <v>0.41498990181144735</v>
      </c>
      <c r="G7">
        <v>52098</v>
      </c>
    </row>
    <row r="8" spans="1:8" x14ac:dyDescent="0.25">
      <c r="A8" t="str">
        <f t="shared" si="0"/>
        <v>2017</v>
      </c>
      <c r="B8" t="str">
        <f t="shared" si="1"/>
        <v>Octubre</v>
      </c>
      <c r="C8" s="2">
        <v>4</v>
      </c>
      <c r="D8" s="3">
        <v>44752658.460000001</v>
      </c>
      <c r="E8" s="3">
        <v>17442807.539700001</v>
      </c>
      <c r="F8" s="4">
        <v>0.38976025424926231</v>
      </c>
      <c r="G8">
        <v>28084</v>
      </c>
    </row>
    <row r="9" spans="1:8" x14ac:dyDescent="0.25">
      <c r="A9" t="str">
        <f t="shared" si="0"/>
        <v>2017</v>
      </c>
      <c r="B9" t="str">
        <f t="shared" si="1"/>
        <v>Octubre</v>
      </c>
      <c r="C9" s="2">
        <v>5</v>
      </c>
      <c r="D9" s="3">
        <v>28834125</v>
      </c>
      <c r="E9" s="3">
        <v>11842154.6457</v>
      </c>
      <c r="F9" s="4">
        <v>0.41069928932124694</v>
      </c>
      <c r="G9">
        <v>27537</v>
      </c>
    </row>
    <row r="10" spans="1:8" x14ac:dyDescent="0.25">
      <c r="A10" t="str">
        <f t="shared" si="0"/>
        <v>2017</v>
      </c>
      <c r="B10" t="str">
        <f t="shared" si="1"/>
        <v>Octubre</v>
      </c>
      <c r="C10" s="2">
        <v>6</v>
      </c>
      <c r="D10" s="3">
        <v>50214254.170000002</v>
      </c>
      <c r="E10" s="3">
        <v>20140711.6428</v>
      </c>
      <c r="F10" s="4">
        <v>0.40109550516500281</v>
      </c>
      <c r="G10">
        <v>37183</v>
      </c>
    </row>
    <row r="11" spans="1:8" x14ac:dyDescent="0.25">
      <c r="A11" t="str">
        <f t="shared" si="0"/>
        <v>2017</v>
      </c>
      <c r="B11" t="str">
        <f t="shared" si="1"/>
        <v>Octubre</v>
      </c>
      <c r="C11" s="2">
        <v>7</v>
      </c>
      <c r="D11" s="3">
        <v>19883230</v>
      </c>
      <c r="E11" s="3">
        <v>8148278.1514999997</v>
      </c>
      <c r="F11" s="4">
        <v>0.40980656319420938</v>
      </c>
      <c r="G11">
        <v>13416</v>
      </c>
    </row>
    <row r="12" spans="1:8" x14ac:dyDescent="0.25">
      <c r="A12" t="str">
        <f t="shared" si="0"/>
        <v>2017</v>
      </c>
      <c r="B12" t="str">
        <f t="shared" si="1"/>
        <v>Octubre</v>
      </c>
      <c r="C12" s="2">
        <v>10</v>
      </c>
      <c r="D12" s="3">
        <v>39537951</v>
      </c>
      <c r="E12" s="3">
        <v>16181965.946799999</v>
      </c>
      <c r="F12" s="4">
        <v>0.40927679703988706</v>
      </c>
      <c r="G12">
        <v>35406</v>
      </c>
    </row>
    <row r="13" spans="1:8" x14ac:dyDescent="0.25">
      <c r="A13" t="str">
        <f t="shared" si="0"/>
        <v>2017</v>
      </c>
      <c r="B13" t="str">
        <f t="shared" si="1"/>
        <v>Octubre</v>
      </c>
      <c r="C13" s="2">
        <v>11</v>
      </c>
      <c r="D13" s="3">
        <v>43026809</v>
      </c>
      <c r="E13" s="3">
        <v>16905335.167199999</v>
      </c>
      <c r="F13" s="4">
        <v>0.39290236854887378</v>
      </c>
      <c r="G13">
        <v>42281</v>
      </c>
    </row>
    <row r="14" spans="1:8" x14ac:dyDescent="0.25">
      <c r="A14" t="str">
        <f t="shared" si="0"/>
        <v>2017</v>
      </c>
      <c r="B14" t="str">
        <f t="shared" si="1"/>
        <v>Octubre</v>
      </c>
      <c r="C14" s="2">
        <v>12</v>
      </c>
      <c r="D14" s="3">
        <v>40448794</v>
      </c>
      <c r="E14" s="3">
        <v>14699730.1434</v>
      </c>
      <c r="F14" s="4">
        <v>0.36341578301197314</v>
      </c>
      <c r="G14">
        <v>45195</v>
      </c>
    </row>
    <row r="15" spans="1:8" x14ac:dyDescent="0.25">
      <c r="A15" t="str">
        <f t="shared" si="0"/>
        <v>2017</v>
      </c>
      <c r="B15" t="str">
        <f t="shared" si="1"/>
        <v>Octubre</v>
      </c>
      <c r="C15" s="2">
        <v>13</v>
      </c>
      <c r="D15" s="3">
        <v>36826164</v>
      </c>
      <c r="E15" s="3">
        <v>15650088.2634</v>
      </c>
      <c r="F15" s="4">
        <v>0.42497199174478234</v>
      </c>
      <c r="G15">
        <v>47241</v>
      </c>
    </row>
    <row r="16" spans="1:8" x14ac:dyDescent="0.25">
      <c r="A16" t="str">
        <f t="shared" si="0"/>
        <v>2017</v>
      </c>
      <c r="B16" t="str">
        <f t="shared" si="1"/>
        <v>Octubre</v>
      </c>
      <c r="C16" s="2">
        <v>14</v>
      </c>
      <c r="D16" s="3">
        <v>5728373</v>
      </c>
      <c r="E16" s="3">
        <v>2025306.2949999999</v>
      </c>
      <c r="F16" s="4">
        <v>0.35355698642529038</v>
      </c>
      <c r="G16">
        <v>4799</v>
      </c>
    </row>
    <row r="17" spans="1:7" x14ac:dyDescent="0.25">
      <c r="A17" t="str">
        <f t="shared" si="0"/>
        <v>2017</v>
      </c>
      <c r="B17" t="str">
        <f t="shared" si="1"/>
        <v>Octubre</v>
      </c>
      <c r="C17" s="2">
        <v>16</v>
      </c>
      <c r="D17" s="3">
        <v>47208260</v>
      </c>
      <c r="E17" s="3">
        <v>20154435.324299999</v>
      </c>
      <c r="F17" s="4">
        <v>0.42692603633982695</v>
      </c>
      <c r="G17">
        <v>34418</v>
      </c>
    </row>
    <row r="18" spans="1:7" x14ac:dyDescent="0.25">
      <c r="A18" t="str">
        <f t="shared" si="0"/>
        <v>2017</v>
      </c>
      <c r="B18" t="str">
        <f t="shared" si="1"/>
        <v>Octubre</v>
      </c>
      <c r="C18" s="2">
        <v>17</v>
      </c>
      <c r="D18" s="3">
        <v>57168735.640000001</v>
      </c>
      <c r="E18" s="3">
        <v>25428436.1074</v>
      </c>
      <c r="F18" s="4">
        <v>0.44479619538075199</v>
      </c>
      <c r="G18">
        <v>51564</v>
      </c>
    </row>
    <row r="19" spans="1:7" x14ac:dyDescent="0.25">
      <c r="A19" t="str">
        <f t="shared" si="0"/>
        <v>2017</v>
      </c>
      <c r="B19" t="str">
        <f t="shared" si="1"/>
        <v>Octubre</v>
      </c>
      <c r="C19" s="2">
        <v>18</v>
      </c>
      <c r="D19" s="3">
        <v>87617806</v>
      </c>
      <c r="E19" s="3">
        <v>28946892.3796</v>
      </c>
      <c r="F19" s="4">
        <v>0.33037682294395732</v>
      </c>
      <c r="G19">
        <v>53473</v>
      </c>
    </row>
    <row r="20" spans="1:7" x14ac:dyDescent="0.25">
      <c r="A20" t="str">
        <f t="shared" si="0"/>
        <v>2017</v>
      </c>
      <c r="B20" t="str">
        <f t="shared" si="1"/>
        <v>Octubre</v>
      </c>
      <c r="C20" s="2">
        <v>19</v>
      </c>
      <c r="D20" s="3">
        <v>48317732</v>
      </c>
      <c r="E20" s="3">
        <v>17573978.1908</v>
      </c>
      <c r="F20" s="4">
        <v>0.36371695159036022</v>
      </c>
      <c r="G20">
        <v>46449</v>
      </c>
    </row>
    <row r="21" spans="1:7" x14ac:dyDescent="0.25">
      <c r="A21" t="str">
        <f t="shared" si="0"/>
        <v>2017</v>
      </c>
      <c r="B21" t="str">
        <f t="shared" si="1"/>
        <v>Octubre</v>
      </c>
      <c r="C21" s="2">
        <v>20</v>
      </c>
      <c r="D21" s="3">
        <v>42291818</v>
      </c>
      <c r="E21" s="3">
        <v>16317264.317500001</v>
      </c>
      <c r="F21" s="4">
        <v>0.38582555891780296</v>
      </c>
      <c r="G21">
        <v>31079</v>
      </c>
    </row>
    <row r="22" spans="1:7" x14ac:dyDescent="0.25">
      <c r="A22" t="str">
        <f t="shared" si="0"/>
        <v>2017</v>
      </c>
      <c r="B22" t="str">
        <f t="shared" si="1"/>
        <v>Octubre</v>
      </c>
      <c r="C22" s="2">
        <v>21</v>
      </c>
      <c r="D22" s="3">
        <v>6226380</v>
      </c>
      <c r="E22" s="3">
        <v>2559089.1973999999</v>
      </c>
      <c r="F22" s="4">
        <v>0.41100755132195593</v>
      </c>
      <c r="G22">
        <v>6223</v>
      </c>
    </row>
    <row r="23" spans="1:7" x14ac:dyDescent="0.25">
      <c r="A23" t="str">
        <f t="shared" si="0"/>
        <v>2017</v>
      </c>
      <c r="B23" t="str">
        <f t="shared" si="1"/>
        <v>Octubre</v>
      </c>
      <c r="C23" s="2">
        <v>23</v>
      </c>
      <c r="D23" s="3">
        <v>42247258</v>
      </c>
      <c r="E23" s="3">
        <v>17364965.2993</v>
      </c>
      <c r="F23" s="4">
        <v>0.41103177156018028</v>
      </c>
      <c r="G23">
        <v>31268</v>
      </c>
    </row>
    <row r="24" spans="1:7" x14ac:dyDescent="0.25">
      <c r="A24" t="str">
        <f t="shared" si="0"/>
        <v>2017</v>
      </c>
      <c r="B24" t="str">
        <f t="shared" si="1"/>
        <v>Octubre</v>
      </c>
      <c r="C24" s="2">
        <v>24</v>
      </c>
      <c r="D24" s="3">
        <v>51096433</v>
      </c>
      <c r="E24" s="3">
        <v>20628050.5746</v>
      </c>
      <c r="F24" s="4">
        <v>0.40370823095616087</v>
      </c>
      <c r="G24">
        <v>85232</v>
      </c>
    </row>
    <row r="25" spans="1:7" x14ac:dyDescent="0.25">
      <c r="A25" t="str">
        <f t="shared" si="0"/>
        <v>2017</v>
      </c>
      <c r="B25" t="str">
        <f t="shared" si="1"/>
        <v>Octubre</v>
      </c>
      <c r="C25" s="2">
        <v>25</v>
      </c>
      <c r="D25" s="3">
        <v>50191595</v>
      </c>
      <c r="E25" s="3">
        <v>18354754.6076</v>
      </c>
      <c r="F25" s="4">
        <v>0.36569379011764819</v>
      </c>
      <c r="G25">
        <v>41633</v>
      </c>
    </row>
    <row r="26" spans="1:7" x14ac:dyDescent="0.25">
      <c r="A26" t="str">
        <f t="shared" si="0"/>
        <v>2017</v>
      </c>
      <c r="B26" t="str">
        <f t="shared" si="1"/>
        <v>Octubre</v>
      </c>
      <c r="C26" s="2">
        <v>26</v>
      </c>
      <c r="D26" s="3">
        <v>41532934.420000002</v>
      </c>
      <c r="E26" s="3">
        <v>16369968.062999999</v>
      </c>
      <c r="F26" s="4">
        <v>0.39414426867746466</v>
      </c>
      <c r="G26">
        <v>41187.175000000003</v>
      </c>
    </row>
    <row r="27" spans="1:7" x14ac:dyDescent="0.25">
      <c r="A27" t="str">
        <f t="shared" si="0"/>
        <v>2017</v>
      </c>
      <c r="B27" t="str">
        <f t="shared" si="1"/>
        <v>Octubre</v>
      </c>
      <c r="C27" s="2">
        <v>27</v>
      </c>
      <c r="D27" s="3">
        <v>4132831</v>
      </c>
      <c r="E27" s="3">
        <v>1564643.3285000001</v>
      </c>
      <c r="F27" s="4">
        <v>0.37858875151197813</v>
      </c>
      <c r="G27">
        <v>3957</v>
      </c>
    </row>
    <row r="28" spans="1:7" x14ac:dyDescent="0.25">
      <c r="A28" t="str">
        <f t="shared" si="0"/>
        <v>2017</v>
      </c>
      <c r="B28" t="str">
        <f t="shared" si="1"/>
        <v>Octubre</v>
      </c>
      <c r="C28" s="2">
        <v>30</v>
      </c>
      <c r="D28" s="3">
        <v>48218081.100000001</v>
      </c>
      <c r="E28" s="3">
        <v>20274217.853700001</v>
      </c>
      <c r="F28" s="4">
        <v>0.42046919726343068</v>
      </c>
      <c r="G28">
        <v>38009</v>
      </c>
    </row>
    <row r="29" spans="1:7" x14ac:dyDescent="0.25">
      <c r="A29" t="str">
        <f t="shared" si="0"/>
        <v>2017</v>
      </c>
      <c r="B29" t="str">
        <f t="shared" si="1"/>
        <v>Octubre</v>
      </c>
      <c r="C29" s="2">
        <v>31</v>
      </c>
      <c r="D29" s="3">
        <v>119900146.2</v>
      </c>
      <c r="E29" s="3">
        <v>41933701.365199998</v>
      </c>
      <c r="F29" s="4">
        <v>0.34973853405693345</v>
      </c>
      <c r="G29">
        <v>89385</v>
      </c>
    </row>
    <row r="30" spans="1:7" x14ac:dyDescent="0.25">
      <c r="A30" t="s">
        <v>26</v>
      </c>
      <c r="B30" t="s">
        <v>24</v>
      </c>
      <c r="C30" s="2">
        <v>1</v>
      </c>
      <c r="D30" s="3">
        <v>16376958</v>
      </c>
      <c r="E30" s="3">
        <v>6992908.5510999998</v>
      </c>
      <c r="F30" s="4">
        <v>0.42699679336663132</v>
      </c>
      <c r="G30">
        <v>14633</v>
      </c>
    </row>
    <row r="31" spans="1:7" x14ac:dyDescent="0.25">
      <c r="A31" t="str">
        <f t="shared" ref="A31:A55" si="2">+A30</f>
        <v>2018</v>
      </c>
      <c r="B31" t="str">
        <f t="shared" ref="B31:B55" si="3">+B30</f>
        <v>Octubre</v>
      </c>
      <c r="C31" s="2">
        <v>2</v>
      </c>
      <c r="D31" s="3">
        <v>54308440</v>
      </c>
      <c r="E31" s="3">
        <v>24667943.804200001</v>
      </c>
      <c r="F31" s="4">
        <v>0.45421934057026864</v>
      </c>
      <c r="G31">
        <v>97273</v>
      </c>
    </row>
    <row r="32" spans="1:7" x14ac:dyDescent="0.25">
      <c r="A32" t="str">
        <f t="shared" si="2"/>
        <v>2018</v>
      </c>
      <c r="B32" t="str">
        <f t="shared" si="3"/>
        <v>Octubre</v>
      </c>
      <c r="C32" s="2">
        <v>3</v>
      </c>
      <c r="D32" s="3">
        <v>37871930</v>
      </c>
      <c r="E32" s="3">
        <v>15059311.4124</v>
      </c>
      <c r="F32" s="4">
        <v>0.39763781281809507</v>
      </c>
      <c r="G32">
        <v>36502</v>
      </c>
    </row>
    <row r="33" spans="1:7" x14ac:dyDescent="0.25">
      <c r="A33" t="str">
        <f t="shared" si="2"/>
        <v>2018</v>
      </c>
      <c r="B33" t="str">
        <f t="shared" si="3"/>
        <v>Octubre</v>
      </c>
      <c r="C33" s="2">
        <v>4</v>
      </c>
      <c r="D33" s="3">
        <v>40139015</v>
      </c>
      <c r="E33" s="3">
        <v>16271589.6231</v>
      </c>
      <c r="F33" s="4">
        <v>0.40538088996703081</v>
      </c>
      <c r="G33">
        <v>28842</v>
      </c>
    </row>
    <row r="34" spans="1:7" x14ac:dyDescent="0.25">
      <c r="A34" t="str">
        <f t="shared" si="2"/>
        <v>2018</v>
      </c>
      <c r="B34" t="str">
        <f t="shared" si="3"/>
        <v>Octubre</v>
      </c>
      <c r="C34" s="2">
        <v>5</v>
      </c>
      <c r="D34" s="3">
        <v>51865723</v>
      </c>
      <c r="E34" s="3">
        <v>18785153.0779</v>
      </c>
      <c r="F34" s="4">
        <v>0.36218820429631338</v>
      </c>
      <c r="G34">
        <v>29096</v>
      </c>
    </row>
    <row r="35" spans="1:7" x14ac:dyDescent="0.25">
      <c r="A35" t="str">
        <f t="shared" si="2"/>
        <v>2018</v>
      </c>
      <c r="B35" t="str">
        <f t="shared" si="3"/>
        <v>Octubre</v>
      </c>
      <c r="C35" s="2">
        <v>6</v>
      </c>
      <c r="D35" s="3">
        <v>9150085</v>
      </c>
      <c r="E35" s="3">
        <v>3827079.5624000002</v>
      </c>
      <c r="F35" s="4">
        <v>0.41825617602459431</v>
      </c>
      <c r="G35">
        <v>3740</v>
      </c>
    </row>
    <row r="36" spans="1:7" x14ac:dyDescent="0.25">
      <c r="A36" t="str">
        <f t="shared" si="2"/>
        <v>2018</v>
      </c>
      <c r="B36" t="str">
        <f t="shared" si="3"/>
        <v>Octubre</v>
      </c>
      <c r="C36" s="2">
        <v>8</v>
      </c>
      <c r="D36" s="3">
        <v>37963692</v>
      </c>
      <c r="E36" s="3">
        <v>15454715.7127</v>
      </c>
      <c r="F36" s="4">
        <v>0.40709201077439994</v>
      </c>
      <c r="G36">
        <v>35648</v>
      </c>
    </row>
    <row r="37" spans="1:7" x14ac:dyDescent="0.25">
      <c r="A37" t="str">
        <f t="shared" si="2"/>
        <v>2018</v>
      </c>
      <c r="B37" t="str">
        <f t="shared" si="3"/>
        <v>Octubre</v>
      </c>
      <c r="C37" s="2">
        <v>9</v>
      </c>
      <c r="D37" s="3">
        <v>50592991</v>
      </c>
      <c r="E37" s="3">
        <v>17974351.078499999</v>
      </c>
      <c r="F37" s="4">
        <v>0.35527354131919181</v>
      </c>
      <c r="G37">
        <v>35246.999999999993</v>
      </c>
    </row>
    <row r="38" spans="1:7" x14ac:dyDescent="0.25">
      <c r="A38" t="str">
        <f t="shared" si="2"/>
        <v>2018</v>
      </c>
      <c r="B38" t="str">
        <f t="shared" si="3"/>
        <v>Octubre</v>
      </c>
      <c r="C38" s="2">
        <v>10</v>
      </c>
      <c r="D38" s="3">
        <v>36782303</v>
      </c>
      <c r="E38" s="3">
        <v>13866114.004000001</v>
      </c>
      <c r="F38" s="4">
        <v>0.37697786362099189</v>
      </c>
      <c r="G38">
        <v>43885.191999999995</v>
      </c>
    </row>
    <row r="39" spans="1:7" x14ac:dyDescent="0.25">
      <c r="A39" t="str">
        <f t="shared" si="2"/>
        <v>2018</v>
      </c>
      <c r="B39" t="str">
        <f t="shared" si="3"/>
        <v>Octubre</v>
      </c>
      <c r="C39" s="2">
        <v>11</v>
      </c>
      <c r="D39" s="3">
        <v>41477370</v>
      </c>
      <c r="E39" s="3">
        <v>17898680.686900001</v>
      </c>
      <c r="F39" s="4">
        <v>0.43152882371519696</v>
      </c>
      <c r="G39">
        <v>43259</v>
      </c>
    </row>
    <row r="40" spans="1:7" x14ac:dyDescent="0.25">
      <c r="A40" t="str">
        <f t="shared" si="2"/>
        <v>2018</v>
      </c>
      <c r="B40" t="str">
        <f t="shared" si="3"/>
        <v>Octubre</v>
      </c>
      <c r="C40" s="2">
        <v>12</v>
      </c>
      <c r="D40" s="3">
        <v>40029024</v>
      </c>
      <c r="E40" s="3">
        <v>15867309.9504</v>
      </c>
      <c r="F40" s="4">
        <v>0.39639512445769348</v>
      </c>
      <c r="G40">
        <v>28126</v>
      </c>
    </row>
    <row r="41" spans="1:7" x14ac:dyDescent="0.25">
      <c r="A41" t="str">
        <f t="shared" si="2"/>
        <v>2018</v>
      </c>
      <c r="B41" t="str">
        <f t="shared" si="3"/>
        <v>Octubre</v>
      </c>
      <c r="C41" s="2">
        <v>13</v>
      </c>
      <c r="D41" s="3">
        <v>4866218</v>
      </c>
      <c r="E41" s="3">
        <v>1690739.5981999999</v>
      </c>
      <c r="F41" s="4">
        <v>0.34744427771217812</v>
      </c>
      <c r="G41">
        <v>4463</v>
      </c>
    </row>
    <row r="42" spans="1:7" x14ac:dyDescent="0.25">
      <c r="A42" t="str">
        <f t="shared" si="2"/>
        <v>2018</v>
      </c>
      <c r="B42" t="str">
        <f t="shared" si="3"/>
        <v>Octubre</v>
      </c>
      <c r="C42" s="2">
        <v>16</v>
      </c>
      <c r="D42" s="3">
        <v>38554662</v>
      </c>
      <c r="E42" s="3">
        <v>16114488.084000001</v>
      </c>
      <c r="F42" s="4">
        <v>0.41796470901495647</v>
      </c>
      <c r="G42">
        <v>31134</v>
      </c>
    </row>
    <row r="43" spans="1:7" x14ac:dyDescent="0.25">
      <c r="A43" t="str">
        <f t="shared" si="2"/>
        <v>2018</v>
      </c>
      <c r="B43" t="str">
        <f t="shared" si="3"/>
        <v>Octubre</v>
      </c>
      <c r="C43" s="2">
        <v>17</v>
      </c>
      <c r="D43" s="3">
        <v>37075501</v>
      </c>
      <c r="E43" s="3">
        <v>15345959.5931</v>
      </c>
      <c r="F43" s="4">
        <v>0.41391105121141858</v>
      </c>
      <c r="G43">
        <v>25804</v>
      </c>
    </row>
    <row r="44" spans="1:7" x14ac:dyDescent="0.25">
      <c r="A44" t="str">
        <f t="shared" si="2"/>
        <v>2018</v>
      </c>
      <c r="B44" t="str">
        <f t="shared" si="3"/>
        <v>Octubre</v>
      </c>
      <c r="C44" s="2">
        <v>18</v>
      </c>
      <c r="D44" s="3">
        <v>45535661</v>
      </c>
      <c r="E44" s="3">
        <v>17278099.537300002</v>
      </c>
      <c r="F44" s="4">
        <v>0.37944106131016742</v>
      </c>
      <c r="G44">
        <v>58172.38</v>
      </c>
    </row>
    <row r="45" spans="1:7" x14ac:dyDescent="0.25">
      <c r="A45" t="str">
        <f t="shared" si="2"/>
        <v>2018</v>
      </c>
      <c r="B45" t="str">
        <f t="shared" si="3"/>
        <v>Octubre</v>
      </c>
      <c r="C45" s="2">
        <v>19</v>
      </c>
      <c r="D45" s="3">
        <v>67199517.819999993</v>
      </c>
      <c r="E45" s="3">
        <v>22367052.0165</v>
      </c>
      <c r="F45" s="4">
        <v>0.3328454242248014</v>
      </c>
      <c r="G45">
        <v>38948.383999999998</v>
      </c>
    </row>
    <row r="46" spans="1:7" x14ac:dyDescent="0.25">
      <c r="A46" t="str">
        <f t="shared" si="2"/>
        <v>2018</v>
      </c>
      <c r="B46" t="str">
        <f t="shared" si="3"/>
        <v>Octubre</v>
      </c>
      <c r="C46" s="2">
        <v>20</v>
      </c>
      <c r="D46" s="3">
        <v>2807542</v>
      </c>
      <c r="E46" s="3">
        <v>1177071.6481000001</v>
      </c>
      <c r="F46" s="4">
        <v>0.41925344237058609</v>
      </c>
      <c r="G46">
        <v>1189</v>
      </c>
    </row>
    <row r="47" spans="1:7" x14ac:dyDescent="0.25">
      <c r="A47" t="str">
        <f t="shared" si="2"/>
        <v>2018</v>
      </c>
      <c r="B47" t="str">
        <f t="shared" si="3"/>
        <v>Octubre</v>
      </c>
      <c r="C47" s="2">
        <v>22</v>
      </c>
      <c r="D47" s="3">
        <v>34960206</v>
      </c>
      <c r="E47" s="3">
        <v>14283942.0601</v>
      </c>
      <c r="F47" s="4">
        <v>0.40857717085820378</v>
      </c>
      <c r="G47">
        <v>26266</v>
      </c>
    </row>
    <row r="48" spans="1:7" x14ac:dyDescent="0.25">
      <c r="A48" t="str">
        <f t="shared" si="2"/>
        <v>2018</v>
      </c>
      <c r="B48" t="str">
        <f t="shared" si="3"/>
        <v>Octubre</v>
      </c>
      <c r="C48" s="2">
        <v>23</v>
      </c>
      <c r="D48" s="3">
        <v>37348302.979999997</v>
      </c>
      <c r="E48" s="3">
        <v>15497289.425799999</v>
      </c>
      <c r="F48" s="4">
        <v>0.41493958732472508</v>
      </c>
      <c r="G48">
        <v>40379</v>
      </c>
    </row>
    <row r="49" spans="1:7" x14ac:dyDescent="0.25">
      <c r="A49" t="str">
        <f t="shared" si="2"/>
        <v>2018</v>
      </c>
      <c r="B49" t="str">
        <f t="shared" si="3"/>
        <v>Octubre</v>
      </c>
      <c r="C49" s="2">
        <v>24</v>
      </c>
      <c r="D49" s="3">
        <v>49690269</v>
      </c>
      <c r="E49" s="3">
        <v>19363498.797200002</v>
      </c>
      <c r="F49" s="4">
        <v>0.38968391974694283</v>
      </c>
      <c r="G49">
        <v>49520</v>
      </c>
    </row>
    <row r="50" spans="1:7" x14ac:dyDescent="0.25">
      <c r="A50" t="str">
        <f t="shared" si="2"/>
        <v>2018</v>
      </c>
      <c r="B50" t="str">
        <f t="shared" si="3"/>
        <v>Octubre</v>
      </c>
      <c r="C50" s="2">
        <v>25</v>
      </c>
      <c r="D50" s="3">
        <v>48344607</v>
      </c>
      <c r="E50" s="3">
        <v>19061335.866700001</v>
      </c>
      <c r="F50" s="4">
        <v>0.39428050096053113</v>
      </c>
      <c r="G50">
        <v>36846</v>
      </c>
    </row>
    <row r="51" spans="1:7" x14ac:dyDescent="0.25">
      <c r="A51" t="str">
        <f t="shared" si="2"/>
        <v>2018</v>
      </c>
      <c r="B51" t="str">
        <f t="shared" si="3"/>
        <v>Octubre</v>
      </c>
      <c r="C51" s="2">
        <v>26</v>
      </c>
      <c r="D51" s="3">
        <v>44578822</v>
      </c>
      <c r="E51" s="3">
        <v>17809872.8651</v>
      </c>
      <c r="F51" s="4">
        <v>0.39951421024763734</v>
      </c>
      <c r="G51">
        <v>33869</v>
      </c>
    </row>
    <row r="52" spans="1:7" x14ac:dyDescent="0.25">
      <c r="A52" t="str">
        <f t="shared" si="2"/>
        <v>2018</v>
      </c>
      <c r="B52" t="str">
        <f t="shared" si="3"/>
        <v>Octubre</v>
      </c>
      <c r="C52" s="2">
        <v>27</v>
      </c>
      <c r="D52" s="3">
        <v>3665279</v>
      </c>
      <c r="E52" s="3">
        <v>1537837.6425999999</v>
      </c>
      <c r="F52" s="4">
        <v>0.41956905397924688</v>
      </c>
      <c r="G52">
        <v>4180</v>
      </c>
    </row>
    <row r="53" spans="1:7" x14ac:dyDescent="0.25">
      <c r="A53" t="str">
        <f t="shared" si="2"/>
        <v>2018</v>
      </c>
      <c r="B53" t="str">
        <f t="shared" si="3"/>
        <v>Octubre</v>
      </c>
      <c r="C53" s="2">
        <v>29</v>
      </c>
      <c r="D53" s="3">
        <v>46145297</v>
      </c>
      <c r="E53" s="3">
        <v>17616005.9892</v>
      </c>
      <c r="F53" s="4">
        <v>0.38175084211073557</v>
      </c>
      <c r="G53">
        <v>39457</v>
      </c>
    </row>
    <row r="54" spans="1:7" x14ac:dyDescent="0.25">
      <c r="A54" t="str">
        <f t="shared" si="2"/>
        <v>2018</v>
      </c>
      <c r="B54" t="str">
        <f t="shared" si="3"/>
        <v>Octubre</v>
      </c>
      <c r="C54" s="2">
        <v>30</v>
      </c>
      <c r="D54" s="3">
        <v>63936152</v>
      </c>
      <c r="E54" s="3">
        <v>26800005.596700002</v>
      </c>
      <c r="F54" s="4">
        <v>0.41916826018400355</v>
      </c>
      <c r="G54">
        <v>54383</v>
      </c>
    </row>
    <row r="55" spans="1:7" x14ac:dyDescent="0.25">
      <c r="A55" t="str">
        <f t="shared" si="2"/>
        <v>2018</v>
      </c>
      <c r="B55" t="str">
        <f t="shared" si="3"/>
        <v>Octubre</v>
      </c>
      <c r="C55" s="2">
        <v>31</v>
      </c>
      <c r="D55" s="3">
        <v>117339512</v>
      </c>
      <c r="E55" s="3">
        <v>36139450.485600002</v>
      </c>
      <c r="F55" s="4">
        <v>0.30799046177727413</v>
      </c>
      <c r="G55">
        <v>77896.034440000003</v>
      </c>
    </row>
    <row r="56" spans="1:7" x14ac:dyDescent="0.25">
      <c r="A56" t="s">
        <v>27</v>
      </c>
      <c r="B56" t="s">
        <v>24</v>
      </c>
      <c r="C56" s="2">
        <v>1</v>
      </c>
      <c r="D56" s="3">
        <v>17181285</v>
      </c>
      <c r="E56" s="3">
        <v>7765435.2489999998</v>
      </c>
      <c r="F56" s="4">
        <v>0.45197057431967397</v>
      </c>
      <c r="G56">
        <v>10927</v>
      </c>
    </row>
    <row r="57" spans="1:7" x14ac:dyDescent="0.25">
      <c r="A57" t="str">
        <f t="shared" ref="A57:A81" si="4">+A56</f>
        <v>2019</v>
      </c>
      <c r="B57" t="str">
        <f t="shared" ref="B57:B81" si="5">+B56</f>
        <v>Octubre</v>
      </c>
      <c r="C57" s="2">
        <v>2</v>
      </c>
      <c r="D57" s="3">
        <v>49492470</v>
      </c>
      <c r="E57" s="3">
        <v>23677951.581700001</v>
      </c>
      <c r="F57" s="4">
        <v>0.4784152333011466</v>
      </c>
      <c r="G57">
        <v>51249</v>
      </c>
    </row>
    <row r="58" spans="1:7" x14ac:dyDescent="0.25">
      <c r="A58" t="str">
        <f t="shared" si="4"/>
        <v>2019</v>
      </c>
      <c r="B58" t="str">
        <f t="shared" si="5"/>
        <v>Octubre</v>
      </c>
      <c r="C58" s="2">
        <v>3</v>
      </c>
      <c r="D58" s="3">
        <v>42588503</v>
      </c>
      <c r="E58" s="3">
        <v>18422109.656800002</v>
      </c>
      <c r="F58" s="4">
        <v>0.4325606292571495</v>
      </c>
      <c r="G58">
        <v>46196</v>
      </c>
    </row>
    <row r="59" spans="1:7" x14ac:dyDescent="0.25">
      <c r="A59" t="str">
        <f t="shared" si="4"/>
        <v>2019</v>
      </c>
      <c r="B59" t="str">
        <f t="shared" si="5"/>
        <v>Octubre</v>
      </c>
      <c r="C59" s="2">
        <v>4</v>
      </c>
      <c r="D59" s="3">
        <v>52775835</v>
      </c>
      <c r="E59" s="3">
        <v>21288529.495999999</v>
      </c>
      <c r="F59" s="4">
        <v>0.40337646000295402</v>
      </c>
      <c r="G59">
        <v>43897.582000000002</v>
      </c>
    </row>
    <row r="60" spans="1:7" x14ac:dyDescent="0.25">
      <c r="A60" t="str">
        <f t="shared" si="4"/>
        <v>2019</v>
      </c>
      <c r="B60" t="str">
        <f t="shared" si="5"/>
        <v>Octubre</v>
      </c>
      <c r="C60" s="2">
        <v>5</v>
      </c>
      <c r="D60" s="3">
        <v>5400472</v>
      </c>
      <c r="E60" s="3">
        <v>2365282.0912000001</v>
      </c>
      <c r="F60" s="4">
        <v>0.43797691964702345</v>
      </c>
      <c r="G60">
        <v>10826</v>
      </c>
    </row>
    <row r="61" spans="1:7" x14ac:dyDescent="0.25">
      <c r="A61" t="str">
        <f t="shared" si="4"/>
        <v>2019</v>
      </c>
      <c r="B61" t="str">
        <f t="shared" si="5"/>
        <v>Octubre</v>
      </c>
      <c r="C61" s="2">
        <v>7</v>
      </c>
      <c r="D61" s="3">
        <v>27393983</v>
      </c>
      <c r="E61" s="3">
        <v>12171865.591</v>
      </c>
      <c r="F61" s="4">
        <v>0.44432624459904208</v>
      </c>
      <c r="G61">
        <v>21358</v>
      </c>
    </row>
    <row r="62" spans="1:7" x14ac:dyDescent="0.25">
      <c r="A62" t="str">
        <f t="shared" si="4"/>
        <v>2019</v>
      </c>
      <c r="B62" t="str">
        <f t="shared" si="5"/>
        <v>Octubre</v>
      </c>
      <c r="C62" s="2">
        <v>8</v>
      </c>
      <c r="D62" s="3">
        <v>57584507</v>
      </c>
      <c r="E62" s="3">
        <v>24472335.067699999</v>
      </c>
      <c r="F62" s="4">
        <v>0.42498123788226577</v>
      </c>
      <c r="G62">
        <v>45322</v>
      </c>
    </row>
    <row r="63" spans="1:7" x14ac:dyDescent="0.25">
      <c r="A63" t="str">
        <f t="shared" si="4"/>
        <v>2019</v>
      </c>
      <c r="B63" t="str">
        <f t="shared" si="5"/>
        <v>Octubre</v>
      </c>
      <c r="C63" s="2">
        <v>9</v>
      </c>
      <c r="D63" s="3">
        <v>56881270</v>
      </c>
      <c r="E63" s="3">
        <v>25713335.597199999</v>
      </c>
      <c r="F63" s="4">
        <v>0.45205276881476097</v>
      </c>
      <c r="G63">
        <v>36051</v>
      </c>
    </row>
    <row r="64" spans="1:7" x14ac:dyDescent="0.25">
      <c r="A64" t="str">
        <f t="shared" si="4"/>
        <v>2019</v>
      </c>
      <c r="B64" t="str">
        <f t="shared" si="5"/>
        <v>Octubre</v>
      </c>
      <c r="C64" s="2">
        <v>10</v>
      </c>
      <c r="D64" s="3">
        <v>52265575</v>
      </c>
      <c r="E64" s="3">
        <v>24495806.681600001</v>
      </c>
      <c r="F64" s="4">
        <v>0.46867955975993758</v>
      </c>
      <c r="G64">
        <v>33374</v>
      </c>
    </row>
    <row r="65" spans="1:7" x14ac:dyDescent="0.25">
      <c r="A65" t="str">
        <f t="shared" si="4"/>
        <v>2019</v>
      </c>
      <c r="B65" t="str">
        <f t="shared" si="5"/>
        <v>Octubre</v>
      </c>
      <c r="C65" s="2">
        <v>11</v>
      </c>
      <c r="D65" s="3">
        <v>40501950</v>
      </c>
      <c r="E65" s="3">
        <v>19983152.810800001</v>
      </c>
      <c r="F65" s="4">
        <v>0.49338742482275544</v>
      </c>
      <c r="G65">
        <v>33317</v>
      </c>
    </row>
    <row r="66" spans="1:7" x14ac:dyDescent="0.25">
      <c r="A66" t="str">
        <f t="shared" si="4"/>
        <v>2019</v>
      </c>
      <c r="B66" t="str">
        <f t="shared" si="5"/>
        <v>Octubre</v>
      </c>
      <c r="C66" s="2">
        <v>12</v>
      </c>
      <c r="D66" s="3">
        <v>8085332</v>
      </c>
      <c r="E66" s="3">
        <v>4820163.9604000002</v>
      </c>
      <c r="F66" s="4">
        <v>0.59616153800487104</v>
      </c>
      <c r="G66">
        <v>4348</v>
      </c>
    </row>
    <row r="67" spans="1:7" x14ac:dyDescent="0.25">
      <c r="A67" t="str">
        <f t="shared" si="4"/>
        <v>2019</v>
      </c>
      <c r="B67" t="str">
        <f t="shared" si="5"/>
        <v>Octubre</v>
      </c>
      <c r="C67" s="2">
        <v>14</v>
      </c>
      <c r="D67" s="3">
        <v>56539305</v>
      </c>
      <c r="E67" s="3">
        <v>19723117.765099999</v>
      </c>
      <c r="F67" s="4">
        <v>0.34883905568170676</v>
      </c>
      <c r="G67">
        <v>27623</v>
      </c>
    </row>
    <row r="68" spans="1:7" x14ac:dyDescent="0.25">
      <c r="A68" t="str">
        <f t="shared" si="4"/>
        <v>2019</v>
      </c>
      <c r="B68" t="str">
        <f t="shared" si="5"/>
        <v>Octubre</v>
      </c>
      <c r="C68" s="2">
        <v>15</v>
      </c>
      <c r="D68" s="3">
        <v>62483572.600000001</v>
      </c>
      <c r="E68" s="3">
        <v>27382067.318999998</v>
      </c>
      <c r="F68" s="4">
        <v>0.43822826031877699</v>
      </c>
      <c r="G68">
        <v>55103</v>
      </c>
    </row>
    <row r="69" spans="1:7" x14ac:dyDescent="0.25">
      <c r="A69" t="str">
        <f t="shared" si="4"/>
        <v>2019</v>
      </c>
      <c r="B69" t="str">
        <f t="shared" si="5"/>
        <v>Octubre</v>
      </c>
      <c r="C69" s="2">
        <v>16</v>
      </c>
      <c r="D69" s="3">
        <v>55916198</v>
      </c>
      <c r="E69" s="3">
        <v>25605705.429299999</v>
      </c>
      <c r="F69" s="4">
        <v>0.45793001572281433</v>
      </c>
      <c r="G69">
        <v>45717</v>
      </c>
    </row>
    <row r="70" spans="1:7" x14ac:dyDescent="0.25">
      <c r="A70" t="str">
        <f t="shared" si="4"/>
        <v>2019</v>
      </c>
      <c r="B70" t="str">
        <f t="shared" si="5"/>
        <v>Octubre</v>
      </c>
      <c r="C70" s="2">
        <v>17</v>
      </c>
      <c r="D70" s="3">
        <v>44772199</v>
      </c>
      <c r="E70" s="3">
        <v>19766219.163600001</v>
      </c>
      <c r="F70" s="4">
        <v>0.44148421576523411</v>
      </c>
      <c r="G70">
        <v>32307</v>
      </c>
    </row>
    <row r="71" spans="1:7" x14ac:dyDescent="0.25">
      <c r="A71" t="str">
        <f t="shared" si="4"/>
        <v>2019</v>
      </c>
      <c r="B71" t="str">
        <f t="shared" si="5"/>
        <v>Octubre</v>
      </c>
      <c r="C71" s="2">
        <v>18</v>
      </c>
      <c r="D71" s="3">
        <v>44687767</v>
      </c>
      <c r="E71" s="3">
        <v>20252423.278200001</v>
      </c>
      <c r="F71" s="4">
        <v>0.45319837257028306</v>
      </c>
      <c r="G71">
        <v>32495</v>
      </c>
    </row>
    <row r="72" spans="1:7" x14ac:dyDescent="0.25">
      <c r="A72" t="str">
        <f t="shared" si="4"/>
        <v>2019</v>
      </c>
      <c r="B72" t="str">
        <f t="shared" si="5"/>
        <v>Octubre</v>
      </c>
      <c r="C72" s="2">
        <v>19</v>
      </c>
      <c r="D72" s="3">
        <v>5625065</v>
      </c>
      <c r="E72" s="3">
        <v>2760188.8535000002</v>
      </c>
      <c r="F72" s="4">
        <v>0.49069457037385344</v>
      </c>
      <c r="G72">
        <v>603</v>
      </c>
    </row>
    <row r="73" spans="1:7" x14ac:dyDescent="0.25">
      <c r="A73" t="str">
        <f t="shared" si="4"/>
        <v>2019</v>
      </c>
      <c r="B73" t="str">
        <f t="shared" si="5"/>
        <v>Octubre</v>
      </c>
      <c r="C73" s="2">
        <v>21</v>
      </c>
      <c r="D73" s="3">
        <v>22479666</v>
      </c>
      <c r="E73" s="3">
        <v>8126116.8492000001</v>
      </c>
      <c r="F73" s="4">
        <v>0.36148743709982167</v>
      </c>
      <c r="G73">
        <v>13805</v>
      </c>
    </row>
    <row r="74" spans="1:7" x14ac:dyDescent="0.25">
      <c r="A74" t="str">
        <f t="shared" si="4"/>
        <v>2019</v>
      </c>
      <c r="B74" t="str">
        <f t="shared" si="5"/>
        <v>Octubre</v>
      </c>
      <c r="C74" s="2">
        <v>22</v>
      </c>
      <c r="D74" s="3">
        <v>33863850</v>
      </c>
      <c r="E74" s="3">
        <v>14670331.6603</v>
      </c>
      <c r="F74" s="4">
        <v>0.43321511465175994</v>
      </c>
      <c r="G74">
        <v>25591</v>
      </c>
    </row>
    <row r="75" spans="1:7" x14ac:dyDescent="0.25">
      <c r="A75" t="str">
        <f t="shared" si="4"/>
        <v>2019</v>
      </c>
      <c r="B75" t="str">
        <f t="shared" si="5"/>
        <v>Octubre</v>
      </c>
      <c r="C75" s="2">
        <v>23</v>
      </c>
      <c r="D75" s="3">
        <v>45124370.880000003</v>
      </c>
      <c r="E75" s="3">
        <v>21283013.4351</v>
      </c>
      <c r="F75" s="4">
        <v>0.47165230273676895</v>
      </c>
      <c r="G75">
        <v>36077</v>
      </c>
    </row>
    <row r="76" spans="1:7" x14ac:dyDescent="0.25">
      <c r="A76" t="str">
        <f t="shared" si="4"/>
        <v>2019</v>
      </c>
      <c r="B76" t="str">
        <f t="shared" si="5"/>
        <v>Octubre</v>
      </c>
      <c r="C76" s="2">
        <v>24</v>
      </c>
      <c r="D76" s="3">
        <v>47009732</v>
      </c>
      <c r="E76" s="3">
        <v>20086207.592300002</v>
      </c>
      <c r="F76" s="4">
        <v>0.42727764523950063</v>
      </c>
      <c r="G76">
        <v>38792</v>
      </c>
    </row>
    <row r="77" spans="1:7" x14ac:dyDescent="0.25">
      <c r="A77" t="str">
        <f t="shared" si="4"/>
        <v>2019</v>
      </c>
      <c r="B77" t="str">
        <f t="shared" si="5"/>
        <v>Octubre</v>
      </c>
      <c r="C77" s="2">
        <v>25</v>
      </c>
      <c r="D77" s="3">
        <v>47678243</v>
      </c>
      <c r="E77" s="3">
        <v>21599322.135299999</v>
      </c>
      <c r="F77" s="4">
        <v>0.45302261107440556</v>
      </c>
      <c r="G77">
        <v>40140</v>
      </c>
    </row>
    <row r="78" spans="1:7" x14ac:dyDescent="0.25">
      <c r="A78" t="str">
        <f t="shared" si="4"/>
        <v>2019</v>
      </c>
      <c r="B78" t="str">
        <f t="shared" si="5"/>
        <v>Octubre</v>
      </c>
      <c r="C78" s="2">
        <v>26</v>
      </c>
      <c r="D78" s="3">
        <v>7419905</v>
      </c>
      <c r="E78" s="3">
        <v>3561904.2189000002</v>
      </c>
      <c r="F78" s="4">
        <v>0.48004714600793408</v>
      </c>
      <c r="G78">
        <v>3660</v>
      </c>
    </row>
    <row r="79" spans="1:7" x14ac:dyDescent="0.25">
      <c r="A79" t="str">
        <f t="shared" si="4"/>
        <v>2019</v>
      </c>
      <c r="B79" t="str">
        <f t="shared" si="5"/>
        <v>Octubre</v>
      </c>
      <c r="C79">
        <v>28</v>
      </c>
      <c r="D79" s="3">
        <v>38484405</v>
      </c>
      <c r="E79" s="3">
        <v>15989352.105599999</v>
      </c>
      <c r="F79" s="4">
        <v>0.41547614171506614</v>
      </c>
      <c r="G79">
        <v>47519</v>
      </c>
    </row>
    <row r="80" spans="1:7" x14ac:dyDescent="0.25">
      <c r="A80" t="str">
        <f t="shared" si="4"/>
        <v>2019</v>
      </c>
      <c r="B80" t="str">
        <f t="shared" si="5"/>
        <v>Octubre</v>
      </c>
      <c r="C80">
        <v>29</v>
      </c>
      <c r="D80" s="3">
        <v>60826587</v>
      </c>
      <c r="E80" s="3">
        <v>19802859.724199999</v>
      </c>
      <c r="F80" s="4">
        <v>0.32556256566228187</v>
      </c>
      <c r="G80">
        <v>34607</v>
      </c>
    </row>
    <row r="81" spans="1:7" x14ac:dyDescent="0.25">
      <c r="A81" t="str">
        <f t="shared" si="4"/>
        <v>2019</v>
      </c>
      <c r="B81" t="str">
        <f t="shared" si="5"/>
        <v>Octubre</v>
      </c>
      <c r="C81">
        <v>30</v>
      </c>
      <c r="D81" s="3">
        <v>101586568</v>
      </c>
      <c r="E81" s="3">
        <v>44239273.388400003</v>
      </c>
      <c r="F81" s="4">
        <v>0.4354834921522302</v>
      </c>
      <c r="G81">
        <v>89627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E1" sqref="E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" bestFit="1" customWidth="1"/>
    <col min="4" max="5" width="12.5703125" bestFit="1" customWidth="1"/>
  </cols>
  <sheetData>
    <row r="3" spans="1:4" x14ac:dyDescent="0.25">
      <c r="A3" s="5" t="s">
        <v>74</v>
      </c>
      <c r="B3" s="5" t="s">
        <v>28</v>
      </c>
    </row>
    <row r="4" spans="1:4" x14ac:dyDescent="0.25">
      <c r="A4" s="5" t="s">
        <v>31</v>
      </c>
      <c r="B4" t="s">
        <v>78</v>
      </c>
      <c r="C4" t="s">
        <v>79</v>
      </c>
      <c r="D4" t="s">
        <v>29</v>
      </c>
    </row>
    <row r="5" spans="1:4" x14ac:dyDescent="0.25">
      <c r="A5" s="160">
        <v>1</v>
      </c>
      <c r="B5" s="2">
        <v>7361068.5938999997</v>
      </c>
      <c r="C5" s="2"/>
      <c r="D5" s="2">
        <v>7361068.5938999997</v>
      </c>
    </row>
    <row r="6" spans="1:4" x14ac:dyDescent="0.25">
      <c r="A6" s="160">
        <v>2</v>
      </c>
      <c r="B6" s="2">
        <v>18371772.540100001</v>
      </c>
      <c r="C6" s="2">
        <v>8287509.0689000003</v>
      </c>
      <c r="D6" s="2">
        <v>26659281.609000001</v>
      </c>
    </row>
    <row r="7" spans="1:4" x14ac:dyDescent="0.25">
      <c r="A7" s="160">
        <v>3</v>
      </c>
      <c r="B7" s="2">
        <v>1012347.4528</v>
      </c>
      <c r="C7" s="2">
        <v>18979502.990699999</v>
      </c>
      <c r="D7" s="2">
        <v>19991850.443499997</v>
      </c>
    </row>
    <row r="8" spans="1:4" x14ac:dyDescent="0.25">
      <c r="A8" s="160">
        <v>4</v>
      </c>
      <c r="B8" s="2"/>
      <c r="C8" s="2">
        <v>23470865.778299998</v>
      </c>
      <c r="D8" s="2">
        <v>23470865.778299998</v>
      </c>
    </row>
    <row r="9" spans="1:4" x14ac:dyDescent="0.25">
      <c r="A9" s="160">
        <v>5</v>
      </c>
      <c r="B9" s="2">
        <v>13396878.318399999</v>
      </c>
      <c r="C9" s="2">
        <v>23004120.541200001</v>
      </c>
      <c r="D9" s="2">
        <v>36400998.8596</v>
      </c>
    </row>
    <row r="10" spans="1:4" x14ac:dyDescent="0.25">
      <c r="A10" s="160">
        <v>6</v>
      </c>
      <c r="B10" s="2">
        <v>13554910.7051</v>
      </c>
      <c r="C10" s="2">
        <v>16922199.014899999</v>
      </c>
      <c r="D10" s="2">
        <v>30477109.719999999</v>
      </c>
    </row>
    <row r="11" spans="1:4" x14ac:dyDescent="0.25">
      <c r="A11" s="160">
        <v>7</v>
      </c>
      <c r="B11" s="2">
        <v>28886104.2995</v>
      </c>
      <c r="C11" s="2">
        <v>1256896.5499</v>
      </c>
      <c r="D11" s="2">
        <v>30143000.849399999</v>
      </c>
    </row>
    <row r="12" spans="1:4" x14ac:dyDescent="0.25">
      <c r="A12" s="160">
        <v>8</v>
      </c>
      <c r="B12" s="2">
        <v>12316883.320800001</v>
      </c>
      <c r="C12" s="2"/>
      <c r="D12" s="2">
        <v>12316883.320800001</v>
      </c>
    </row>
    <row r="13" spans="1:4" x14ac:dyDescent="0.25">
      <c r="A13" s="160">
        <v>9</v>
      </c>
      <c r="B13" s="2">
        <v>17005265.7172</v>
      </c>
      <c r="C13" s="2">
        <v>14086808.649900001</v>
      </c>
      <c r="D13" s="2">
        <v>31092074.3671</v>
      </c>
    </row>
    <row r="14" spans="1:4" x14ac:dyDescent="0.25">
      <c r="A14" s="160">
        <v>10</v>
      </c>
      <c r="B14" s="2">
        <v>2853945.9158000001</v>
      </c>
      <c r="C14" s="2">
        <v>27737928.7733</v>
      </c>
      <c r="D14" s="2">
        <v>30591874.689100001</v>
      </c>
    </row>
    <row r="15" spans="1:4" x14ac:dyDescent="0.25">
      <c r="A15" s="160">
        <v>11</v>
      </c>
      <c r="B15" s="2"/>
      <c r="C15" s="2">
        <v>29681348.749699999</v>
      </c>
      <c r="D15" s="2">
        <v>29681348.749699999</v>
      </c>
    </row>
    <row r="16" spans="1:4" x14ac:dyDescent="0.25">
      <c r="A16" s="160">
        <v>12</v>
      </c>
      <c r="B16" s="2">
        <v>23124136.27</v>
      </c>
      <c r="C16" s="2">
        <v>18491637.784600001</v>
      </c>
      <c r="D16" s="2">
        <v>41615774.0546</v>
      </c>
    </row>
    <row r="17" spans="1:4" x14ac:dyDescent="0.25">
      <c r="A17" s="160">
        <v>13</v>
      </c>
      <c r="B17" s="2">
        <v>16042970.5307</v>
      </c>
      <c r="C17" s="2">
        <v>23522435.9921</v>
      </c>
      <c r="D17" s="2">
        <v>39565406.522799999</v>
      </c>
    </row>
    <row r="18" spans="1:4" x14ac:dyDescent="0.25">
      <c r="A18" s="160">
        <v>14</v>
      </c>
      <c r="B18" s="2">
        <v>22264055.363400001</v>
      </c>
      <c r="C18" s="2">
        <v>2305541.1028999998</v>
      </c>
      <c r="D18" s="2">
        <v>24569596.4663</v>
      </c>
    </row>
    <row r="19" spans="1:4" x14ac:dyDescent="0.25">
      <c r="A19" s="160">
        <v>15</v>
      </c>
      <c r="B19" s="2">
        <v>3978713.0395</v>
      </c>
      <c r="C19" s="2"/>
      <c r="D19" s="2">
        <v>3978713.0395</v>
      </c>
    </row>
    <row r="20" spans="1:4" x14ac:dyDescent="0.25">
      <c r="A20" s="160">
        <v>16</v>
      </c>
      <c r="B20" s="2">
        <v>15892122.2688</v>
      </c>
      <c r="C20" s="2">
        <v>12531383.2535</v>
      </c>
      <c r="D20" s="2">
        <v>28423505.522299998</v>
      </c>
    </row>
    <row r="21" spans="1:4" x14ac:dyDescent="0.25">
      <c r="A21" s="160">
        <v>17</v>
      </c>
      <c r="B21" s="2">
        <v>2012759.8117</v>
      </c>
      <c r="C21" s="2">
        <v>6045133.5570999999</v>
      </c>
      <c r="D21" s="2">
        <v>8057893.3687999994</v>
      </c>
    </row>
    <row r="22" spans="1:4" x14ac:dyDescent="0.25">
      <c r="A22" s="160">
        <v>19</v>
      </c>
      <c r="B22" s="2">
        <v>14143508.686100001</v>
      </c>
      <c r="C22" s="2"/>
      <c r="D22" s="2">
        <v>14143508.686100001</v>
      </c>
    </row>
    <row r="23" spans="1:4" x14ac:dyDescent="0.25">
      <c r="A23" s="160">
        <v>20</v>
      </c>
      <c r="B23" s="2">
        <v>17575997.904899999</v>
      </c>
      <c r="C23" s="2"/>
      <c r="D23" s="2">
        <v>17575997.904899999</v>
      </c>
    </row>
    <row r="24" spans="1:4" x14ac:dyDescent="0.25">
      <c r="A24" s="160">
        <v>21</v>
      </c>
      <c r="B24" s="2">
        <v>20802372.248199999</v>
      </c>
      <c r="C24" s="2"/>
      <c r="D24" s="2">
        <v>20802372.248199999</v>
      </c>
    </row>
    <row r="25" spans="1:4" x14ac:dyDescent="0.25">
      <c r="A25" s="160">
        <v>22</v>
      </c>
      <c r="B25" s="2">
        <v>20648562.776999999</v>
      </c>
      <c r="C25" s="2"/>
      <c r="D25" s="2">
        <v>20648562.776999999</v>
      </c>
    </row>
    <row r="26" spans="1:4" x14ac:dyDescent="0.25">
      <c r="A26" s="160">
        <v>23</v>
      </c>
      <c r="B26" s="2">
        <v>18560891.699099999</v>
      </c>
      <c r="C26" s="2">
        <v>25489417.118299998</v>
      </c>
      <c r="D26" s="2">
        <v>44050308.817399994</v>
      </c>
    </row>
    <row r="27" spans="1:4" x14ac:dyDescent="0.25">
      <c r="A27" s="160">
        <v>24</v>
      </c>
      <c r="B27" s="2">
        <v>5676001.1677000001</v>
      </c>
      <c r="C27" s="2">
        <v>16781484.137200002</v>
      </c>
      <c r="D27" s="2">
        <v>22457485.304900002</v>
      </c>
    </row>
    <row r="28" spans="1:4" x14ac:dyDescent="0.25">
      <c r="A28" s="160">
        <v>25</v>
      </c>
      <c r="B28" s="2"/>
      <c r="C28" s="2">
        <v>30210995.447900001</v>
      </c>
      <c r="D28" s="2">
        <v>30210995.447900001</v>
      </c>
    </row>
    <row r="29" spans="1:4" x14ac:dyDescent="0.25">
      <c r="A29" s="160">
        <v>26</v>
      </c>
      <c r="B29" s="2">
        <v>19562924.886799999</v>
      </c>
      <c r="C29" s="2">
        <v>21990286.069600001</v>
      </c>
      <c r="D29" s="2">
        <v>41553210.9564</v>
      </c>
    </row>
    <row r="30" spans="1:4" x14ac:dyDescent="0.25">
      <c r="A30" s="160">
        <v>27</v>
      </c>
      <c r="B30" s="2">
        <v>17792256.758499999</v>
      </c>
      <c r="C30" s="2">
        <v>20986148.230999999</v>
      </c>
      <c r="D30" s="2">
        <v>38778404.989500001</v>
      </c>
    </row>
    <row r="31" spans="1:4" x14ac:dyDescent="0.25">
      <c r="A31" s="160">
        <v>28</v>
      </c>
      <c r="B31" s="2">
        <v>28966192.047800001</v>
      </c>
      <c r="C31" s="2">
        <v>2243859.1461999998</v>
      </c>
      <c r="D31" s="2">
        <v>31210051.194000002</v>
      </c>
    </row>
    <row r="32" spans="1:4" x14ac:dyDescent="0.25">
      <c r="A32" s="160">
        <v>29</v>
      </c>
      <c r="B32" s="2">
        <v>22580362.7282</v>
      </c>
      <c r="C32" s="2"/>
      <c r="D32" s="2">
        <v>22580362.7282</v>
      </c>
    </row>
    <row r="33" spans="1:4" x14ac:dyDescent="0.25">
      <c r="A33" s="160">
        <v>30</v>
      </c>
      <c r="B33" s="2">
        <v>40514184.584100001</v>
      </c>
      <c r="C33" s="2">
        <v>36571375.835199997</v>
      </c>
      <c r="D33" s="2">
        <v>77085560.41929999</v>
      </c>
    </row>
    <row r="34" spans="1:4" x14ac:dyDescent="0.25">
      <c r="A34" s="160">
        <v>31</v>
      </c>
      <c r="B34" s="2">
        <v>710136.23930000002</v>
      </c>
      <c r="C34" s="2"/>
      <c r="D34" s="2">
        <v>710136.23930000002</v>
      </c>
    </row>
    <row r="35" spans="1:4" x14ac:dyDescent="0.25">
      <c r="A35" s="160" t="s">
        <v>29</v>
      </c>
      <c r="B35" s="2">
        <v>425607325.87540001</v>
      </c>
      <c r="C35" s="2">
        <v>380596877.7924</v>
      </c>
      <c r="D35" s="2">
        <v>806204203.66780007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6" workbookViewId="0">
      <selection activeCell="A5" sqref="A5"/>
    </sheetView>
  </sheetViews>
  <sheetFormatPr baseColWidth="10" defaultRowHeight="15" x14ac:dyDescent="0.25"/>
  <cols>
    <col min="4" max="4" width="15.28515625" bestFit="1" customWidth="1"/>
    <col min="5" max="5" width="14.28515625" bestFit="1" customWidth="1"/>
    <col min="7" max="7" width="11.28515625" customWidth="1"/>
    <col min="8" max="8" width="17.5703125" customWidth="1"/>
  </cols>
  <sheetData>
    <row r="1" spans="1:8" x14ac:dyDescent="0.25">
      <c r="A1" s="222" t="s">
        <v>0</v>
      </c>
      <c r="B1" s="222"/>
      <c r="C1" s="222"/>
      <c r="D1" s="222"/>
      <c r="E1" s="222"/>
      <c r="F1" s="222"/>
      <c r="G1" s="222"/>
      <c r="H1" s="222"/>
    </row>
    <row r="2" spans="1:8" x14ac:dyDescent="0.25">
      <c r="A2" s="149" t="s">
        <v>1</v>
      </c>
      <c r="B2" s="149" t="s">
        <v>2</v>
      </c>
      <c r="C2" s="149" t="s">
        <v>3</v>
      </c>
      <c r="D2" s="149" t="s">
        <v>18</v>
      </c>
      <c r="E2" s="149" t="s">
        <v>4</v>
      </c>
      <c r="F2" s="149" t="s">
        <v>5</v>
      </c>
      <c r="G2" s="149" t="s">
        <v>6</v>
      </c>
      <c r="H2" s="149" t="s">
        <v>7</v>
      </c>
    </row>
    <row r="3" spans="1:8" x14ac:dyDescent="0.25">
      <c r="A3" s="150" t="s">
        <v>8</v>
      </c>
      <c r="B3" s="150" t="s">
        <v>9</v>
      </c>
      <c r="C3" s="150" t="s">
        <v>10</v>
      </c>
      <c r="D3" s="150" t="s">
        <v>53</v>
      </c>
      <c r="E3" s="150" t="s">
        <v>11</v>
      </c>
      <c r="F3" s="150" t="s">
        <v>12</v>
      </c>
      <c r="G3" s="150" t="s">
        <v>13</v>
      </c>
      <c r="H3" s="150" t="s">
        <v>14</v>
      </c>
    </row>
    <row r="4" spans="1:8" x14ac:dyDescent="0.25">
      <c r="A4" s="223"/>
      <c r="B4" s="223"/>
      <c r="C4" s="223"/>
      <c r="D4" s="151"/>
      <c r="E4" s="151"/>
      <c r="F4" s="151"/>
      <c r="G4" s="151"/>
      <c r="H4" s="151"/>
    </row>
    <row r="5" spans="1:8" x14ac:dyDescent="0.25">
      <c r="A5" s="149" t="s">
        <v>15</v>
      </c>
      <c r="B5" s="149" t="s">
        <v>16</v>
      </c>
      <c r="C5" s="149" t="s">
        <v>17</v>
      </c>
      <c r="D5" s="150" t="s">
        <v>19</v>
      </c>
      <c r="E5" s="150" t="s">
        <v>20</v>
      </c>
      <c r="F5" s="150" t="s">
        <v>21</v>
      </c>
      <c r="G5" s="150" t="s">
        <v>22</v>
      </c>
      <c r="H5" s="150" t="s">
        <v>77</v>
      </c>
    </row>
    <row r="6" spans="1:8" x14ac:dyDescent="0.25">
      <c r="A6" s="157" t="s">
        <v>27</v>
      </c>
      <c r="B6" s="157" t="s">
        <v>78</v>
      </c>
      <c r="C6" s="158">
        <v>1</v>
      </c>
      <c r="D6" s="152">
        <v>15340261.6</v>
      </c>
      <c r="E6" s="152">
        <v>7361068.5938999997</v>
      </c>
      <c r="F6" s="153">
        <v>0.47985287251555087</v>
      </c>
      <c r="G6" s="154">
        <v>13160</v>
      </c>
      <c r="H6" s="152">
        <v>7979193.0061999988</v>
      </c>
    </row>
    <row r="7" spans="1:8" x14ac:dyDescent="0.25">
      <c r="A7" s="157" t="str">
        <f t="shared" ref="A7:A33" si="0">+A6</f>
        <v>2019</v>
      </c>
      <c r="B7" s="157" t="str">
        <f t="shared" ref="B7:B32" si="1">+B6</f>
        <v>Agosto</v>
      </c>
      <c r="C7" s="158">
        <v>2</v>
      </c>
      <c r="D7" s="152">
        <v>39796972</v>
      </c>
      <c r="E7" s="152">
        <v>18371772.540100001</v>
      </c>
      <c r="F7" s="153">
        <v>0.46163744669066781</v>
      </c>
      <c r="G7" s="154">
        <v>33947</v>
      </c>
      <c r="H7" s="152">
        <v>21425199.459900007</v>
      </c>
    </row>
    <row r="8" spans="1:8" x14ac:dyDescent="0.25">
      <c r="A8" s="157" t="str">
        <f t="shared" si="0"/>
        <v>2019</v>
      </c>
      <c r="B8" s="157" t="str">
        <f t="shared" si="1"/>
        <v>Agosto</v>
      </c>
      <c r="C8" s="158">
        <v>3</v>
      </c>
      <c r="D8" s="152">
        <v>2101606</v>
      </c>
      <c r="E8" s="152">
        <v>1012347.4528</v>
      </c>
      <c r="F8" s="153">
        <v>0.48170182841122455</v>
      </c>
      <c r="G8" s="154">
        <v>1103</v>
      </c>
      <c r="H8" s="152">
        <v>1089258.5472000001</v>
      </c>
    </row>
    <row r="9" spans="1:8" x14ac:dyDescent="0.25">
      <c r="A9" s="157" t="str">
        <f t="shared" si="0"/>
        <v>2019</v>
      </c>
      <c r="B9" s="157" t="str">
        <f t="shared" si="1"/>
        <v>Agosto</v>
      </c>
      <c r="C9" s="158">
        <v>5</v>
      </c>
      <c r="D9" s="152">
        <v>32497245</v>
      </c>
      <c r="E9" s="152">
        <v>13396878.318399999</v>
      </c>
      <c r="F9" s="153">
        <v>0.41224658639216955</v>
      </c>
      <c r="G9" s="154">
        <v>30877.887999999999</v>
      </c>
      <c r="H9" s="152">
        <v>19100366.681699999</v>
      </c>
    </row>
    <row r="10" spans="1:8" x14ac:dyDescent="0.25">
      <c r="A10" s="157" t="str">
        <f t="shared" si="0"/>
        <v>2019</v>
      </c>
      <c r="B10" s="157" t="str">
        <f t="shared" si="1"/>
        <v>Agosto</v>
      </c>
      <c r="C10" s="158">
        <v>6</v>
      </c>
      <c r="D10" s="152">
        <v>31950209</v>
      </c>
      <c r="E10" s="152">
        <v>13554910.7051</v>
      </c>
      <c r="F10" s="153">
        <v>0.42425108095850017</v>
      </c>
      <c r="G10" s="154">
        <v>18363</v>
      </c>
      <c r="H10" s="152">
        <v>18395298.294999998</v>
      </c>
    </row>
    <row r="11" spans="1:8" x14ac:dyDescent="0.25">
      <c r="A11" s="157" t="str">
        <f t="shared" si="0"/>
        <v>2019</v>
      </c>
      <c r="B11" s="157" t="str">
        <f t="shared" si="1"/>
        <v>Agosto</v>
      </c>
      <c r="C11" s="158">
        <v>7</v>
      </c>
      <c r="D11" s="152">
        <v>59939040</v>
      </c>
      <c r="E11" s="152">
        <v>28886104.2995</v>
      </c>
      <c r="F11" s="153">
        <v>0.48192470716080871</v>
      </c>
      <c r="G11" s="154">
        <v>48694</v>
      </c>
      <c r="H11" s="152">
        <v>31052935.700599995</v>
      </c>
    </row>
    <row r="12" spans="1:8" x14ac:dyDescent="0.25">
      <c r="A12" s="157" t="str">
        <f t="shared" si="0"/>
        <v>2019</v>
      </c>
      <c r="B12" s="157" t="str">
        <f t="shared" si="1"/>
        <v>Agosto</v>
      </c>
      <c r="C12" s="158">
        <v>8</v>
      </c>
      <c r="D12" s="152">
        <v>31659894</v>
      </c>
      <c r="E12" s="152">
        <v>12316883.320800001</v>
      </c>
      <c r="F12" s="153">
        <v>0.38903741499576722</v>
      </c>
      <c r="G12" s="154">
        <v>19638</v>
      </c>
      <c r="H12" s="152">
        <v>19343010.679299995</v>
      </c>
    </row>
    <row r="13" spans="1:8" x14ac:dyDescent="0.25">
      <c r="A13" s="157" t="str">
        <f t="shared" si="0"/>
        <v>2019</v>
      </c>
      <c r="B13" s="157" t="str">
        <f t="shared" si="1"/>
        <v>Agosto</v>
      </c>
      <c r="C13" s="158">
        <v>9</v>
      </c>
      <c r="D13" s="152">
        <v>40950249.780000001</v>
      </c>
      <c r="E13" s="152">
        <v>17005265.7172</v>
      </c>
      <c r="F13" s="153">
        <v>0.41526647110966658</v>
      </c>
      <c r="G13" s="154">
        <v>29794</v>
      </c>
      <c r="H13" s="152">
        <v>23944984.062899999</v>
      </c>
    </row>
    <row r="14" spans="1:8" x14ac:dyDescent="0.25">
      <c r="A14" s="157" t="str">
        <f t="shared" si="0"/>
        <v>2019</v>
      </c>
      <c r="B14" s="157" t="str">
        <f t="shared" si="1"/>
        <v>Agosto</v>
      </c>
      <c r="C14" s="158">
        <v>10</v>
      </c>
      <c r="D14" s="152">
        <v>5305883</v>
      </c>
      <c r="E14" s="152">
        <v>2853945.9158000001</v>
      </c>
      <c r="F14" s="153">
        <v>0.537883310996492</v>
      </c>
      <c r="G14" s="154">
        <v>3642</v>
      </c>
      <c r="H14" s="152">
        <v>2451937.0842999998</v>
      </c>
    </row>
    <row r="15" spans="1:8" x14ac:dyDescent="0.25">
      <c r="A15" s="157" t="str">
        <f t="shared" si="0"/>
        <v>2019</v>
      </c>
      <c r="B15" s="157" t="str">
        <f t="shared" si="1"/>
        <v>Agosto</v>
      </c>
      <c r="C15" s="158">
        <v>12</v>
      </c>
      <c r="D15" s="152">
        <v>59121740</v>
      </c>
      <c r="E15" s="152">
        <v>23124136.27</v>
      </c>
      <c r="F15" s="153">
        <v>0.39112746461792225</v>
      </c>
      <c r="G15" s="154">
        <v>31989</v>
      </c>
      <c r="H15" s="152">
        <v>35997603.730099998</v>
      </c>
    </row>
    <row r="16" spans="1:8" x14ac:dyDescent="0.25">
      <c r="A16" s="157" t="str">
        <f t="shared" si="0"/>
        <v>2019</v>
      </c>
      <c r="B16" s="157" t="str">
        <f t="shared" si="1"/>
        <v>Agosto</v>
      </c>
      <c r="C16" s="158">
        <v>13</v>
      </c>
      <c r="D16" s="152">
        <v>39894461</v>
      </c>
      <c r="E16" s="152">
        <v>16042970.5307</v>
      </c>
      <c r="F16" s="153">
        <v>0.40213528716931407</v>
      </c>
      <c r="G16" s="154">
        <v>38758</v>
      </c>
      <c r="H16" s="152">
        <v>23851490.4694</v>
      </c>
    </row>
    <row r="17" spans="1:8" x14ac:dyDescent="0.25">
      <c r="A17" s="157" t="str">
        <f t="shared" si="0"/>
        <v>2019</v>
      </c>
      <c r="B17" s="157" t="str">
        <f t="shared" si="1"/>
        <v>Agosto</v>
      </c>
      <c r="C17" s="158">
        <v>14</v>
      </c>
      <c r="D17" s="152">
        <v>52807444</v>
      </c>
      <c r="E17" s="152">
        <v>22264055.363400001</v>
      </c>
      <c r="F17" s="153">
        <v>0.42160827483716123</v>
      </c>
      <c r="G17" s="154">
        <v>50437</v>
      </c>
      <c r="H17" s="152">
        <v>30543388.636600003</v>
      </c>
    </row>
    <row r="18" spans="1:8" x14ac:dyDescent="0.25">
      <c r="A18" s="157" t="str">
        <f t="shared" si="0"/>
        <v>2019</v>
      </c>
      <c r="B18" s="157" t="str">
        <f t="shared" si="1"/>
        <v>Agosto</v>
      </c>
      <c r="C18" s="158">
        <v>15</v>
      </c>
      <c r="D18" s="152">
        <v>12447314</v>
      </c>
      <c r="E18" s="152">
        <v>3978713.0395</v>
      </c>
      <c r="F18" s="153">
        <v>0.31964430555057904</v>
      </c>
      <c r="G18" s="154">
        <v>7288</v>
      </c>
      <c r="H18" s="152">
        <v>8468600.9605999999</v>
      </c>
    </row>
    <row r="19" spans="1:8" x14ac:dyDescent="0.25">
      <c r="A19" s="157" t="str">
        <f t="shared" si="0"/>
        <v>2019</v>
      </c>
      <c r="B19" s="157" t="str">
        <f t="shared" si="1"/>
        <v>Agosto</v>
      </c>
      <c r="C19" s="158">
        <v>16</v>
      </c>
      <c r="D19" s="152">
        <v>35578758</v>
      </c>
      <c r="E19" s="152">
        <v>15892122.2688</v>
      </c>
      <c r="F19" s="153">
        <v>0.44667445302053543</v>
      </c>
      <c r="G19" s="154">
        <v>24508</v>
      </c>
      <c r="H19" s="152">
        <v>19686635.731299993</v>
      </c>
    </row>
    <row r="20" spans="1:8" x14ac:dyDescent="0.25">
      <c r="A20" s="157" t="str">
        <f t="shared" si="0"/>
        <v>2019</v>
      </c>
      <c r="B20" s="157" t="str">
        <f t="shared" si="1"/>
        <v>Agosto</v>
      </c>
      <c r="C20" s="158">
        <v>17</v>
      </c>
      <c r="D20" s="152">
        <v>4548285</v>
      </c>
      <c r="E20" s="152">
        <v>2012759.8117</v>
      </c>
      <c r="F20" s="153">
        <v>0.44253159415032262</v>
      </c>
      <c r="G20" s="154">
        <v>1252</v>
      </c>
      <c r="H20" s="152">
        <v>2535525.1883</v>
      </c>
    </row>
    <row r="21" spans="1:8" x14ac:dyDescent="0.25">
      <c r="A21" s="157" t="str">
        <f t="shared" si="0"/>
        <v>2019</v>
      </c>
      <c r="B21" s="157" t="str">
        <f t="shared" si="1"/>
        <v>Agosto</v>
      </c>
      <c r="C21" s="158">
        <v>19</v>
      </c>
      <c r="D21" s="152">
        <v>38971189</v>
      </c>
      <c r="E21" s="152">
        <v>14143508.686100001</v>
      </c>
      <c r="F21" s="153">
        <v>0.36292217530494131</v>
      </c>
      <c r="G21" s="154">
        <v>24411</v>
      </c>
      <c r="H21" s="152">
        <v>24827680.313900001</v>
      </c>
    </row>
    <row r="22" spans="1:8" x14ac:dyDescent="0.25">
      <c r="A22" s="157" t="str">
        <f t="shared" si="0"/>
        <v>2019</v>
      </c>
      <c r="B22" s="157" t="str">
        <f t="shared" si="1"/>
        <v>Agosto</v>
      </c>
      <c r="C22" s="158">
        <v>20</v>
      </c>
      <c r="D22" s="152">
        <v>42248623.979999997</v>
      </c>
      <c r="E22" s="152">
        <v>17575997.904899999</v>
      </c>
      <c r="F22" s="153">
        <v>0.41601349935610377</v>
      </c>
      <c r="G22" s="154">
        <v>29147</v>
      </c>
      <c r="H22" s="152">
        <v>24672626.075100005</v>
      </c>
    </row>
    <row r="23" spans="1:8" x14ac:dyDescent="0.25">
      <c r="A23" s="157" t="str">
        <f t="shared" si="0"/>
        <v>2019</v>
      </c>
      <c r="B23" s="157" t="str">
        <f t="shared" si="1"/>
        <v>Agosto</v>
      </c>
      <c r="C23" s="158">
        <v>21</v>
      </c>
      <c r="D23" s="152">
        <v>47769594.57</v>
      </c>
      <c r="E23" s="152">
        <v>20802372.248199999</v>
      </c>
      <c r="F23" s="153">
        <v>0.43547307519465933</v>
      </c>
      <c r="G23" s="154">
        <v>49090</v>
      </c>
      <c r="H23" s="152">
        <v>26967222.321800001</v>
      </c>
    </row>
    <row r="24" spans="1:8" x14ac:dyDescent="0.25">
      <c r="A24" s="157" t="str">
        <f t="shared" si="0"/>
        <v>2019</v>
      </c>
      <c r="B24" s="157" t="str">
        <f t="shared" si="1"/>
        <v>Agosto</v>
      </c>
      <c r="C24" s="158">
        <v>22</v>
      </c>
      <c r="D24" s="152">
        <v>60573320</v>
      </c>
      <c r="E24" s="152">
        <v>20648562.776999999</v>
      </c>
      <c r="F24" s="153">
        <v>0.34088543895233081</v>
      </c>
      <c r="G24" s="154">
        <v>36411.728000000003</v>
      </c>
      <c r="H24" s="152">
        <v>39924757.223099992</v>
      </c>
    </row>
    <row r="25" spans="1:8" x14ac:dyDescent="0.25">
      <c r="A25" s="157" t="str">
        <f t="shared" si="0"/>
        <v>2019</v>
      </c>
      <c r="B25" s="157" t="str">
        <f t="shared" si="1"/>
        <v>Agosto</v>
      </c>
      <c r="C25" s="158">
        <v>23</v>
      </c>
      <c r="D25" s="152">
        <v>48173721</v>
      </c>
      <c r="E25" s="152">
        <v>18560891.699099999</v>
      </c>
      <c r="F25" s="153">
        <v>0.38529080406929744</v>
      </c>
      <c r="G25" s="154">
        <v>43291</v>
      </c>
      <c r="H25" s="152">
        <v>29612829.300999999</v>
      </c>
    </row>
    <row r="26" spans="1:8" x14ac:dyDescent="0.25">
      <c r="A26" s="157" t="str">
        <f t="shared" si="0"/>
        <v>2019</v>
      </c>
      <c r="B26" s="157" t="str">
        <f t="shared" si="1"/>
        <v>Agosto</v>
      </c>
      <c r="C26" s="158">
        <v>24</v>
      </c>
      <c r="D26" s="152">
        <v>13224506</v>
      </c>
      <c r="E26" s="152">
        <v>5676001.1677000001</v>
      </c>
      <c r="F26" s="153">
        <v>0.42920326609553505</v>
      </c>
      <c r="G26" s="154">
        <v>8825</v>
      </c>
      <c r="H26" s="152">
        <v>7548504.8323000008</v>
      </c>
    </row>
    <row r="27" spans="1:8" x14ac:dyDescent="0.25">
      <c r="A27" s="157" t="str">
        <f t="shared" si="0"/>
        <v>2019</v>
      </c>
      <c r="B27" s="157" t="str">
        <f t="shared" si="1"/>
        <v>Agosto</v>
      </c>
      <c r="C27" s="158">
        <v>26</v>
      </c>
      <c r="D27" s="152">
        <v>65651976</v>
      </c>
      <c r="E27" s="152">
        <v>19562924.886799999</v>
      </c>
      <c r="F27" s="153">
        <v>0.29797922436942342</v>
      </c>
      <c r="G27" s="154">
        <v>26560.772000000001</v>
      </c>
      <c r="H27" s="152">
        <v>46089051.113299996</v>
      </c>
    </row>
    <row r="28" spans="1:8" x14ac:dyDescent="0.25">
      <c r="A28" s="157" t="str">
        <f t="shared" si="0"/>
        <v>2019</v>
      </c>
      <c r="B28" s="157" t="str">
        <f t="shared" si="1"/>
        <v>Agosto</v>
      </c>
      <c r="C28" s="158">
        <v>27</v>
      </c>
      <c r="D28" s="152">
        <v>65380247</v>
      </c>
      <c r="E28" s="152">
        <v>17792256.758499999</v>
      </c>
      <c r="F28" s="153">
        <v>0.27213504957391793</v>
      </c>
      <c r="G28" s="154">
        <v>37159</v>
      </c>
      <c r="H28" s="152">
        <v>47587990.241599999</v>
      </c>
    </row>
    <row r="29" spans="1:8" x14ac:dyDescent="0.25">
      <c r="A29" s="157" t="str">
        <f t="shared" si="0"/>
        <v>2019</v>
      </c>
      <c r="B29" s="157" t="str">
        <f t="shared" si="1"/>
        <v>Agosto</v>
      </c>
      <c r="C29" s="158">
        <v>28</v>
      </c>
      <c r="D29" s="152">
        <v>67584323</v>
      </c>
      <c r="E29" s="152">
        <v>28966192.047800001</v>
      </c>
      <c r="F29" s="153">
        <v>0.42859335955470029</v>
      </c>
      <c r="G29" s="154">
        <v>62701</v>
      </c>
      <c r="H29" s="152">
        <v>38618130.952299997</v>
      </c>
    </row>
    <row r="30" spans="1:8" x14ac:dyDescent="0.25">
      <c r="A30" s="157" t="str">
        <f t="shared" si="0"/>
        <v>2019</v>
      </c>
      <c r="B30" s="157" t="str">
        <f t="shared" si="1"/>
        <v>Agosto</v>
      </c>
      <c r="C30" s="158">
        <v>29</v>
      </c>
      <c r="D30" s="152">
        <v>54053958</v>
      </c>
      <c r="E30" s="152">
        <v>22580362.7282</v>
      </c>
      <c r="F30" s="153">
        <v>0.4177374527911536</v>
      </c>
      <c r="G30" s="154">
        <v>38156</v>
      </c>
      <c r="H30" s="152">
        <v>31473595.271899994</v>
      </c>
    </row>
    <row r="31" spans="1:8" x14ac:dyDescent="0.25">
      <c r="A31" s="157" t="str">
        <f t="shared" si="0"/>
        <v>2019</v>
      </c>
      <c r="B31" s="157" t="str">
        <f t="shared" si="1"/>
        <v>Agosto</v>
      </c>
      <c r="C31" s="158">
        <v>30</v>
      </c>
      <c r="D31" s="152">
        <v>119593343</v>
      </c>
      <c r="E31" s="152">
        <v>40514184.584100001</v>
      </c>
      <c r="F31" s="153">
        <v>0.33876621865232082</v>
      </c>
      <c r="G31" s="154">
        <v>79665.536999999997</v>
      </c>
      <c r="H31" s="152">
        <v>79079158.415999994</v>
      </c>
    </row>
    <row r="32" spans="1:8" x14ac:dyDescent="0.25">
      <c r="A32" s="157" t="str">
        <f t="shared" si="0"/>
        <v>2019</v>
      </c>
      <c r="B32" s="157" t="str">
        <f t="shared" si="1"/>
        <v>Agosto</v>
      </c>
      <c r="C32" s="158">
        <v>31</v>
      </c>
      <c r="D32" s="152">
        <v>2085748</v>
      </c>
      <c r="E32" s="152">
        <v>710136.23930000002</v>
      </c>
      <c r="F32" s="153">
        <v>0.34047077561622979</v>
      </c>
      <c r="G32" s="154">
        <v>1058</v>
      </c>
      <c r="H32" s="152">
        <v>1375611.7607999998</v>
      </c>
    </row>
    <row r="33" spans="1:8" x14ac:dyDescent="0.25">
      <c r="A33" s="157" t="str">
        <f t="shared" si="0"/>
        <v>2019</v>
      </c>
      <c r="B33" s="157" t="s">
        <v>79</v>
      </c>
      <c r="C33" s="158">
        <v>2</v>
      </c>
      <c r="D33" s="152">
        <v>17910126</v>
      </c>
      <c r="E33" s="152">
        <v>8287509.0689000003</v>
      </c>
      <c r="F33" s="153">
        <v>0.4627275692476982</v>
      </c>
      <c r="G33" s="154">
        <v>13945</v>
      </c>
      <c r="H33" s="152">
        <v>9622616.9311000034</v>
      </c>
    </row>
    <row r="34" spans="1:8" x14ac:dyDescent="0.25">
      <c r="A34" s="157" t="str">
        <f t="shared" ref="A34:A53" si="2">+A33</f>
        <v>2019</v>
      </c>
      <c r="B34" s="157" t="str">
        <f t="shared" ref="B34:B53" si="3">+B33</f>
        <v>Septiembre</v>
      </c>
      <c r="C34" s="158">
        <v>3</v>
      </c>
      <c r="D34" s="152">
        <v>42837453</v>
      </c>
      <c r="E34" s="152">
        <v>18979502.990699999</v>
      </c>
      <c r="F34" s="153">
        <v>0.44305862420671932</v>
      </c>
      <c r="G34" s="154">
        <v>30111</v>
      </c>
      <c r="H34" s="152">
        <v>23857950.009399999</v>
      </c>
    </row>
    <row r="35" spans="1:8" x14ac:dyDescent="0.25">
      <c r="A35" s="157" t="str">
        <f t="shared" si="2"/>
        <v>2019</v>
      </c>
      <c r="B35" s="157" t="str">
        <f t="shared" si="3"/>
        <v>Septiembre</v>
      </c>
      <c r="C35" s="158">
        <v>4</v>
      </c>
      <c r="D35" s="152">
        <v>55471865</v>
      </c>
      <c r="E35" s="152">
        <v>23470865.778299998</v>
      </c>
      <c r="F35" s="153">
        <v>0.42311297408695381</v>
      </c>
      <c r="G35" s="154">
        <v>65286</v>
      </c>
      <c r="H35" s="152">
        <v>32000999.221799992</v>
      </c>
    </row>
    <row r="36" spans="1:8" x14ac:dyDescent="0.25">
      <c r="A36" s="157" t="str">
        <f t="shared" si="2"/>
        <v>2019</v>
      </c>
      <c r="B36" s="157" t="str">
        <f t="shared" si="3"/>
        <v>Septiembre</v>
      </c>
      <c r="C36" s="158">
        <v>5</v>
      </c>
      <c r="D36" s="152">
        <v>51574320</v>
      </c>
      <c r="E36" s="152">
        <v>23004120.541200001</v>
      </c>
      <c r="F36" s="153">
        <v>0.4460382713955317</v>
      </c>
      <c r="G36" s="154">
        <v>46776</v>
      </c>
      <c r="H36" s="152">
        <v>28570199.458899993</v>
      </c>
    </row>
    <row r="37" spans="1:8" x14ac:dyDescent="0.25">
      <c r="A37" s="157" t="str">
        <f t="shared" si="2"/>
        <v>2019</v>
      </c>
      <c r="B37" s="157" t="str">
        <f t="shared" si="3"/>
        <v>Septiembre</v>
      </c>
      <c r="C37" s="158">
        <v>6</v>
      </c>
      <c r="D37" s="152">
        <v>39337699</v>
      </c>
      <c r="E37" s="152">
        <v>16922199.014899999</v>
      </c>
      <c r="F37" s="153">
        <v>0.43017765261003194</v>
      </c>
      <c r="G37" s="154">
        <v>37117</v>
      </c>
      <c r="H37" s="152">
        <v>22415499.985100001</v>
      </c>
    </row>
    <row r="38" spans="1:8" x14ac:dyDescent="0.25">
      <c r="A38" s="157" t="str">
        <f t="shared" si="2"/>
        <v>2019</v>
      </c>
      <c r="B38" s="157" t="str">
        <f t="shared" si="3"/>
        <v>Septiembre</v>
      </c>
      <c r="C38" s="158">
        <v>7</v>
      </c>
      <c r="D38" s="152">
        <v>2723067</v>
      </c>
      <c r="E38" s="152">
        <v>1256896.5499</v>
      </c>
      <c r="F38" s="153">
        <v>0.46157386134825179</v>
      </c>
      <c r="G38" s="154">
        <v>3790</v>
      </c>
      <c r="H38" s="152">
        <v>1466170.4501</v>
      </c>
    </row>
    <row r="39" spans="1:8" x14ac:dyDescent="0.25">
      <c r="A39" s="157" t="str">
        <f t="shared" si="2"/>
        <v>2019</v>
      </c>
      <c r="B39" s="157" t="str">
        <f t="shared" si="3"/>
        <v>Septiembre</v>
      </c>
      <c r="C39" s="158">
        <v>9</v>
      </c>
      <c r="D39" s="152">
        <v>30219166</v>
      </c>
      <c r="E39" s="152">
        <v>14086808.649900001</v>
      </c>
      <c r="F39" s="153">
        <v>0.46615477905313468</v>
      </c>
      <c r="G39" s="154">
        <v>15752</v>
      </c>
      <c r="H39" s="152">
        <v>16132357.350100005</v>
      </c>
    </row>
    <row r="40" spans="1:8" x14ac:dyDescent="0.25">
      <c r="A40" s="157" t="str">
        <f t="shared" si="2"/>
        <v>2019</v>
      </c>
      <c r="B40" s="157" t="str">
        <f t="shared" si="3"/>
        <v>Septiembre</v>
      </c>
      <c r="C40" s="158">
        <v>10</v>
      </c>
      <c r="D40" s="152">
        <v>68500230</v>
      </c>
      <c r="E40" s="152">
        <v>27737928.7733</v>
      </c>
      <c r="F40" s="153">
        <v>0.40493190713812199</v>
      </c>
      <c r="G40" s="154">
        <v>80546.463000000003</v>
      </c>
      <c r="H40" s="152">
        <v>40762301.226700008</v>
      </c>
    </row>
    <row r="41" spans="1:8" x14ac:dyDescent="0.25">
      <c r="A41" s="157" t="str">
        <f t="shared" si="2"/>
        <v>2019</v>
      </c>
      <c r="B41" s="157" t="str">
        <f t="shared" si="3"/>
        <v>Septiembre</v>
      </c>
      <c r="C41" s="158">
        <v>11</v>
      </c>
      <c r="D41" s="152">
        <v>69644414</v>
      </c>
      <c r="E41" s="152">
        <v>29681348.749699999</v>
      </c>
      <c r="F41" s="153">
        <v>0.42618419834360299</v>
      </c>
      <c r="G41" s="154">
        <v>71269.966</v>
      </c>
      <c r="H41" s="152">
        <v>39963065.250300005</v>
      </c>
    </row>
    <row r="42" spans="1:8" x14ac:dyDescent="0.25">
      <c r="A42" s="157" t="str">
        <f t="shared" si="2"/>
        <v>2019</v>
      </c>
      <c r="B42" s="157" t="str">
        <f t="shared" si="3"/>
        <v>Septiembre</v>
      </c>
      <c r="C42" s="158">
        <v>12</v>
      </c>
      <c r="D42" s="152">
        <v>41541452</v>
      </c>
      <c r="E42" s="152">
        <v>18491637.784600001</v>
      </c>
      <c r="F42" s="153">
        <v>0.4451370112099115</v>
      </c>
      <c r="G42" s="154">
        <v>29151</v>
      </c>
      <c r="H42" s="152">
        <v>23049814.215499997</v>
      </c>
    </row>
    <row r="43" spans="1:8" x14ac:dyDescent="0.25">
      <c r="A43" s="157" t="str">
        <f t="shared" si="2"/>
        <v>2019</v>
      </c>
      <c r="B43" s="157" t="str">
        <f t="shared" si="3"/>
        <v>Septiembre</v>
      </c>
      <c r="C43" s="158">
        <v>13</v>
      </c>
      <c r="D43" s="152">
        <v>53527343</v>
      </c>
      <c r="E43" s="152">
        <v>23522435.9921</v>
      </c>
      <c r="F43" s="153">
        <v>0.43944710635272893</v>
      </c>
      <c r="G43" s="154">
        <v>43620</v>
      </c>
      <c r="H43" s="152">
        <v>30004907.007999994</v>
      </c>
    </row>
    <row r="44" spans="1:8" x14ac:dyDescent="0.25">
      <c r="A44" s="157" t="str">
        <f t="shared" si="2"/>
        <v>2019</v>
      </c>
      <c r="B44" s="157" t="str">
        <f t="shared" si="3"/>
        <v>Septiembre</v>
      </c>
      <c r="C44" s="158">
        <v>14</v>
      </c>
      <c r="D44" s="152">
        <v>3950719</v>
      </c>
      <c r="E44" s="152">
        <v>2305541.1028999998</v>
      </c>
      <c r="F44" s="153">
        <v>0.58357506643727386</v>
      </c>
      <c r="G44" s="154">
        <v>3595</v>
      </c>
      <c r="H44" s="152">
        <v>1645177.8971000002</v>
      </c>
    </row>
    <row r="45" spans="1:8" x14ac:dyDescent="0.25">
      <c r="A45" s="157" t="str">
        <f t="shared" si="2"/>
        <v>2019</v>
      </c>
      <c r="B45" s="157" t="str">
        <f t="shared" si="3"/>
        <v>Septiembre</v>
      </c>
      <c r="C45" s="158">
        <v>16</v>
      </c>
      <c r="D45" s="152">
        <v>27649026</v>
      </c>
      <c r="E45" s="152">
        <v>12531383.2535</v>
      </c>
      <c r="F45" s="153">
        <v>0.45323054973075722</v>
      </c>
      <c r="G45" s="154">
        <v>16163</v>
      </c>
      <c r="H45" s="152">
        <v>15117642.7465</v>
      </c>
    </row>
    <row r="46" spans="1:8" x14ac:dyDescent="0.25">
      <c r="A46" s="157" t="str">
        <f t="shared" si="2"/>
        <v>2019</v>
      </c>
      <c r="B46" s="157" t="str">
        <f t="shared" si="3"/>
        <v>Septiembre</v>
      </c>
      <c r="C46" s="158">
        <v>17</v>
      </c>
      <c r="D46" s="152">
        <v>13065978</v>
      </c>
      <c r="E46" s="152">
        <v>6045133.5570999999</v>
      </c>
      <c r="F46" s="153">
        <v>0.46266215641110064</v>
      </c>
      <c r="G46" s="154">
        <v>16972</v>
      </c>
      <c r="H46" s="152">
        <v>7020844.442999999</v>
      </c>
    </row>
    <row r="47" spans="1:8" x14ac:dyDescent="0.25">
      <c r="A47" s="157" t="str">
        <f t="shared" si="2"/>
        <v>2019</v>
      </c>
      <c r="B47" s="157" t="str">
        <f t="shared" si="3"/>
        <v>Septiembre</v>
      </c>
      <c r="C47" s="158">
        <v>23</v>
      </c>
      <c r="D47" s="152">
        <v>56822600.479999997</v>
      </c>
      <c r="E47" s="152">
        <v>25489417.118299998</v>
      </c>
      <c r="F47" s="153">
        <v>0.44857885600064323</v>
      </c>
      <c r="G47" s="154">
        <v>55881</v>
      </c>
      <c r="H47" s="152">
        <v>31333183.36170001</v>
      </c>
    </row>
    <row r="48" spans="1:8" x14ac:dyDescent="0.25">
      <c r="A48" s="157" t="str">
        <f t="shared" si="2"/>
        <v>2019</v>
      </c>
      <c r="B48" s="157" t="str">
        <f t="shared" si="3"/>
        <v>Septiembre</v>
      </c>
      <c r="C48" s="158">
        <v>24</v>
      </c>
      <c r="D48" s="152">
        <v>36418222</v>
      </c>
      <c r="E48" s="152">
        <v>16781484.137200002</v>
      </c>
      <c r="F48" s="153">
        <v>0.4607991059310913</v>
      </c>
      <c r="G48" s="154">
        <v>34202</v>
      </c>
      <c r="H48" s="152">
        <v>19636737.862899996</v>
      </c>
    </row>
    <row r="49" spans="1:8" x14ac:dyDescent="0.25">
      <c r="A49" s="157" t="str">
        <f t="shared" si="2"/>
        <v>2019</v>
      </c>
      <c r="B49" s="157" t="str">
        <f t="shared" si="3"/>
        <v>Septiembre</v>
      </c>
      <c r="C49" s="158">
        <v>25</v>
      </c>
      <c r="D49" s="152">
        <v>65025146</v>
      </c>
      <c r="E49" s="152">
        <v>30210995.447900001</v>
      </c>
      <c r="F49" s="153">
        <v>0.46460480762165457</v>
      </c>
      <c r="G49" s="154">
        <v>75484</v>
      </c>
      <c r="H49" s="152">
        <v>34814150.552199997</v>
      </c>
    </row>
    <row r="50" spans="1:8" x14ac:dyDescent="0.25">
      <c r="A50" s="157" t="str">
        <f t="shared" si="2"/>
        <v>2019</v>
      </c>
      <c r="B50" s="157" t="str">
        <f t="shared" si="3"/>
        <v>Septiembre</v>
      </c>
      <c r="C50" s="158">
        <v>26</v>
      </c>
      <c r="D50" s="152">
        <v>54112048</v>
      </c>
      <c r="E50" s="152">
        <v>21990286.069600001</v>
      </c>
      <c r="F50" s="153">
        <v>0.40638428746219324</v>
      </c>
      <c r="G50" s="154">
        <v>67966</v>
      </c>
      <c r="H50" s="152">
        <v>32121761.930499993</v>
      </c>
    </row>
    <row r="51" spans="1:8" x14ac:dyDescent="0.25">
      <c r="A51" s="157" t="str">
        <f t="shared" si="2"/>
        <v>2019</v>
      </c>
      <c r="B51" s="157" t="str">
        <f t="shared" si="3"/>
        <v>Septiembre</v>
      </c>
      <c r="C51" s="158">
        <v>27</v>
      </c>
      <c r="D51" s="152">
        <v>56317232</v>
      </c>
      <c r="E51" s="152">
        <v>20986148.230999999</v>
      </c>
      <c r="F51" s="153">
        <v>0.37264168507074352</v>
      </c>
      <c r="G51" s="154">
        <v>38773</v>
      </c>
      <c r="H51" s="152">
        <v>35331083.769099988</v>
      </c>
    </row>
    <row r="52" spans="1:8" x14ac:dyDescent="0.25">
      <c r="A52" s="157" t="str">
        <f t="shared" si="2"/>
        <v>2019</v>
      </c>
      <c r="B52" s="157" t="str">
        <f t="shared" si="3"/>
        <v>Septiembre</v>
      </c>
      <c r="C52" s="158">
        <v>28</v>
      </c>
      <c r="D52" s="152">
        <v>5252953</v>
      </c>
      <c r="E52" s="152">
        <v>2243859.1461999998</v>
      </c>
      <c r="F52" s="153">
        <v>0.42716147397473381</v>
      </c>
      <c r="G52" s="154">
        <v>4187</v>
      </c>
      <c r="H52" s="152">
        <v>3009093.8538000002</v>
      </c>
    </row>
    <row r="53" spans="1:8" x14ac:dyDescent="0.25">
      <c r="A53" s="157" t="str">
        <f t="shared" si="2"/>
        <v>2019</v>
      </c>
      <c r="B53" s="157" t="str">
        <f t="shared" si="3"/>
        <v>Septiembre</v>
      </c>
      <c r="C53" s="158">
        <v>30</v>
      </c>
      <c r="D53" s="152">
        <v>96175955</v>
      </c>
      <c r="E53" s="152">
        <v>36571375.835199997</v>
      </c>
      <c r="F53" s="153">
        <v>0.38025487592194951</v>
      </c>
      <c r="G53" s="154">
        <v>70677.135000000009</v>
      </c>
      <c r="H53" s="152">
        <v>59604579.164800018</v>
      </c>
    </row>
  </sheetData>
  <mergeCells count="2">
    <mergeCell ref="A1:H1"/>
    <mergeCell ref="A4:C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U175"/>
  <sheetViews>
    <sheetView tabSelected="1" workbookViewId="0">
      <selection activeCell="C26" sqref="C26"/>
    </sheetView>
  </sheetViews>
  <sheetFormatPr baseColWidth="10" defaultRowHeight="15" x14ac:dyDescent="0.25"/>
  <cols>
    <col min="1" max="1" width="18.7109375" customWidth="1"/>
    <col min="2" max="2" width="20.140625" bestFit="1" customWidth="1"/>
    <col min="3" max="3" width="16.28515625" bestFit="1" customWidth="1"/>
    <col min="4" max="4" width="17.28515625" bestFit="1" customWidth="1"/>
    <col min="5" max="5" width="18.28515625" bestFit="1" customWidth="1"/>
    <col min="6" max="6" width="18.7109375" bestFit="1" customWidth="1"/>
    <col min="7" max="7" width="22.42578125" bestFit="1" customWidth="1"/>
    <col min="8" max="8" width="18.28515625" bestFit="1" customWidth="1"/>
    <col min="9" max="9" width="16.28515625" bestFit="1" customWidth="1"/>
    <col min="10" max="11" width="18.28515625" bestFit="1" customWidth="1"/>
    <col min="12" max="12" width="16.28515625" bestFit="1" customWidth="1"/>
    <col min="13" max="14" width="18.28515625" bestFit="1" customWidth="1"/>
    <col min="15" max="15" width="16.28515625" bestFit="1" customWidth="1"/>
    <col min="16" max="16" width="18.28515625" bestFit="1" customWidth="1"/>
    <col min="17" max="17" width="9.42578125" bestFit="1" customWidth="1"/>
    <col min="18" max="18" width="13.7109375" bestFit="1" customWidth="1"/>
    <col min="19" max="19" width="10.5703125" bestFit="1" customWidth="1"/>
    <col min="20" max="20" width="18.28515625" bestFit="1" customWidth="1"/>
    <col min="21" max="21" width="6.5703125" bestFit="1" customWidth="1"/>
    <col min="22" max="22" width="13.7109375" bestFit="1" customWidth="1"/>
    <col min="23" max="23" width="12" bestFit="1" customWidth="1"/>
    <col min="24" max="24" width="9.42578125" bestFit="1" customWidth="1"/>
    <col min="25" max="25" width="13.7109375" bestFit="1" customWidth="1"/>
    <col min="26" max="26" width="10.5703125" bestFit="1" customWidth="1"/>
    <col min="27" max="27" width="13.5703125" bestFit="1" customWidth="1"/>
  </cols>
  <sheetData>
    <row r="13" spans="1:10" ht="15.75" thickBot="1" x14ac:dyDescent="0.3">
      <c r="A13" t="s">
        <v>25</v>
      </c>
    </row>
    <row r="14" spans="1:10" ht="15.75" thickBot="1" x14ac:dyDescent="0.3">
      <c r="A14" s="218" t="s">
        <v>64</v>
      </c>
      <c r="B14" s="53"/>
      <c r="C14" s="53" t="s">
        <v>60</v>
      </c>
      <c r="D14" s="52"/>
      <c r="E14" s="21"/>
      <c r="F14" s="9"/>
      <c r="G14" s="95"/>
      <c r="H14" s="54"/>
      <c r="I14" s="68" t="s">
        <v>67</v>
      </c>
      <c r="J14" s="55"/>
    </row>
    <row r="15" spans="1:10" ht="15.75" thickBot="1" x14ac:dyDescent="0.3">
      <c r="A15" s="219"/>
      <c r="B15" s="25" t="s">
        <v>65</v>
      </c>
      <c r="C15" s="44" t="s">
        <v>51</v>
      </c>
      <c r="D15" s="65">
        <f>A112</f>
        <v>1190968767.4226584</v>
      </c>
      <c r="E15" s="74"/>
      <c r="F15" s="96" t="s">
        <v>66</v>
      </c>
      <c r="H15" s="56"/>
      <c r="I15" s="70">
        <v>0</v>
      </c>
      <c r="J15" s="57"/>
    </row>
    <row r="16" spans="1:10" ht="15.75" thickBot="1" x14ac:dyDescent="0.3">
      <c r="A16" s="63"/>
      <c r="B16" s="25"/>
      <c r="C16" s="24"/>
      <c r="D16" s="24">
        <v>2019</v>
      </c>
      <c r="E16" s="73" t="s">
        <v>69</v>
      </c>
      <c r="F16" s="66">
        <v>2019</v>
      </c>
      <c r="G16" s="24" t="s">
        <v>83</v>
      </c>
      <c r="H16" s="69" t="s">
        <v>52</v>
      </c>
      <c r="I16" s="78" t="s">
        <v>55</v>
      </c>
      <c r="J16" s="76" t="s">
        <v>56</v>
      </c>
    </row>
    <row r="17" spans="1:10" x14ac:dyDescent="0.25">
      <c r="A17" s="63">
        <v>1</v>
      </c>
      <c r="B17" s="25">
        <v>0</v>
      </c>
      <c r="C17" s="25" t="s">
        <v>32</v>
      </c>
      <c r="D17" s="45">
        <f>($B$29*$B$17)+($B$28*$A$17)</f>
        <v>4.5106678061400691E-3</v>
      </c>
      <c r="E17" s="71">
        <f>D17</f>
        <v>4.5106678061400691E-3</v>
      </c>
      <c r="F17" s="23">
        <f t="shared" ref="F17:F20" si="0">$V$88</f>
        <v>0</v>
      </c>
      <c r="G17" s="50">
        <f>$D$15*D17</f>
        <v>5372064.4773317054</v>
      </c>
      <c r="H17" s="201" t="e">
        <f>G119</f>
        <v>#DIV/0!</v>
      </c>
      <c r="I17" s="77">
        <f>F17</f>
        <v>0</v>
      </c>
      <c r="J17" s="72">
        <f t="shared" ref="J17:J22" si="1">F17-D17</f>
        <v>-4.5106678061400691E-3</v>
      </c>
    </row>
    <row r="18" spans="1:10" x14ac:dyDescent="0.25">
      <c r="A18" s="63">
        <v>1</v>
      </c>
      <c r="B18" s="25">
        <v>5</v>
      </c>
      <c r="C18" s="25" t="s">
        <v>34</v>
      </c>
      <c r="D18" s="45">
        <f>($B$30*$B$18)+($B$28*$A$18)</f>
        <v>0.21345589592075032</v>
      </c>
      <c r="E18" s="34">
        <f>D18+E17</f>
        <v>0.21796656372689038</v>
      </c>
      <c r="F18" s="23">
        <f t="shared" si="0"/>
        <v>0</v>
      </c>
      <c r="G18" s="50">
        <f t="shared" ref="G18:G22" si="2">$D$15*D18</f>
        <v>254219305.26383528</v>
      </c>
      <c r="H18" s="28">
        <f>G120</f>
        <v>0</v>
      </c>
      <c r="I18" s="75">
        <f>F18+I17</f>
        <v>0</v>
      </c>
      <c r="J18" s="72">
        <f t="shared" si="1"/>
        <v>-0.21345589592075032</v>
      </c>
    </row>
    <row r="19" spans="1:10" x14ac:dyDescent="0.25">
      <c r="A19" s="63">
        <v>1</v>
      </c>
      <c r="B19" s="25">
        <v>5</v>
      </c>
      <c r="C19" s="25" t="s">
        <v>36</v>
      </c>
      <c r="D19" s="45">
        <f>(B31*B19)+(B28*A19)</f>
        <v>0.18587461937335359</v>
      </c>
      <c r="E19" s="34">
        <f>D19+E18</f>
        <v>0.40384118310024397</v>
      </c>
      <c r="F19" s="23">
        <f t="shared" si="0"/>
        <v>0</v>
      </c>
      <c r="G19" s="50">
        <f t="shared" si="2"/>
        <v>221370866.3302387</v>
      </c>
      <c r="H19" s="28">
        <f>J120</f>
        <v>0</v>
      </c>
      <c r="I19" s="75">
        <f t="shared" ref="I19:I22" si="3">F19+I18</f>
        <v>0</v>
      </c>
      <c r="J19" s="72">
        <f t="shared" si="1"/>
        <v>-0.18587461937335359</v>
      </c>
    </row>
    <row r="20" spans="1:10" x14ac:dyDescent="0.25">
      <c r="A20" s="63">
        <v>1</v>
      </c>
      <c r="B20" s="25">
        <v>5</v>
      </c>
      <c r="C20" s="25" t="s">
        <v>37</v>
      </c>
      <c r="D20" s="45">
        <f>($B$32*$B$20)+($B$28*$A$20)</f>
        <v>0.22887326822125062</v>
      </c>
      <c r="E20" s="34">
        <f>D20+E19</f>
        <v>0.63271445132149462</v>
      </c>
      <c r="F20" s="23">
        <f t="shared" si="0"/>
        <v>0</v>
      </c>
      <c r="G20" s="50">
        <f t="shared" si="2"/>
        <v>272580914.14945835</v>
      </c>
      <c r="H20" s="28">
        <f>M120</f>
        <v>0</v>
      </c>
      <c r="I20" s="75">
        <f t="shared" si="3"/>
        <v>0</v>
      </c>
      <c r="J20" s="72">
        <f t="shared" si="1"/>
        <v>-0.22887326822125062</v>
      </c>
    </row>
    <row r="21" spans="1:10" x14ac:dyDescent="0.25">
      <c r="A21" s="63">
        <v>1</v>
      </c>
      <c r="B21" s="25">
        <v>4</v>
      </c>
      <c r="C21" s="25" t="s">
        <v>46</v>
      </c>
      <c r="D21" s="45">
        <f>($B$33*$B$21)+($B$28*$A$21)</f>
        <v>0.20699989910164718</v>
      </c>
      <c r="E21" s="34">
        <f>D21+E20</f>
        <v>0.8397143504231418</v>
      </c>
      <c r="F21" s="23">
        <f>$V$88</f>
        <v>0</v>
      </c>
      <c r="G21" s="50">
        <f t="shared" si="2"/>
        <v>246530414.6897034</v>
      </c>
      <c r="H21" s="28">
        <f>P120</f>
        <v>0</v>
      </c>
      <c r="I21" s="75">
        <f t="shared" si="3"/>
        <v>0</v>
      </c>
      <c r="J21" s="72">
        <f t="shared" si="1"/>
        <v>-0.20699989910164718</v>
      </c>
    </row>
    <row r="22" spans="1:10" x14ac:dyDescent="0.25">
      <c r="A22" s="63">
        <v>0</v>
      </c>
      <c r="B22" s="25">
        <v>1</v>
      </c>
      <c r="C22" s="25" t="s">
        <v>63</v>
      </c>
      <c r="D22" s="45">
        <f>B34</f>
        <v>0.1097020149985182</v>
      </c>
      <c r="E22" s="34">
        <f>D22+E21</f>
        <v>0.94941636542165997</v>
      </c>
      <c r="F22" s="23">
        <f>$V$88</f>
        <v>0</v>
      </c>
      <c r="G22" s="50">
        <f t="shared" si="2"/>
        <v>130651673.58656721</v>
      </c>
      <c r="H22" s="28">
        <f>N116</f>
        <v>0</v>
      </c>
      <c r="I22" s="75">
        <f t="shared" si="3"/>
        <v>0</v>
      </c>
      <c r="J22" s="72">
        <f t="shared" si="1"/>
        <v>-0.1097020149985182</v>
      </c>
    </row>
    <row r="23" spans="1:10" ht="19.5" thickBot="1" x14ac:dyDescent="0.35">
      <c r="A23" s="63"/>
      <c r="B23" s="46"/>
      <c r="C23" s="46"/>
      <c r="D23" s="58"/>
      <c r="E23" s="58"/>
      <c r="F23" s="80"/>
      <c r="G23" s="48"/>
      <c r="H23" s="26" t="e">
        <f>SUM(H17:H22)</f>
        <v>#DIV/0!</v>
      </c>
      <c r="I23" s="27">
        <f>I22</f>
        <v>0</v>
      </c>
      <c r="J23" s="59">
        <f>I23-I15</f>
        <v>0</v>
      </c>
    </row>
    <row r="24" spans="1:10" ht="15.75" thickBot="1" x14ac:dyDescent="0.3">
      <c r="A24" s="60"/>
      <c r="B24" s="61"/>
      <c r="C24" s="61"/>
      <c r="D24" s="79"/>
      <c r="E24" s="82" t="str">
        <f>C14</f>
        <v>Proyeccion</v>
      </c>
      <c r="F24" s="83">
        <f>SUM(G17:G23)</f>
        <v>1130725238.4971347</v>
      </c>
      <c r="H24" s="51"/>
      <c r="I24" s="62"/>
    </row>
    <row r="25" spans="1:10" ht="15.75" thickBot="1" x14ac:dyDescent="0.3">
      <c r="E25" s="81"/>
      <c r="F25" s="94">
        <f>E22</f>
        <v>0.94941636542165997</v>
      </c>
      <c r="G25" s="85" t="s">
        <v>68</v>
      </c>
      <c r="H25" s="86"/>
      <c r="I25" s="87">
        <f>H25/D15</f>
        <v>0</v>
      </c>
    </row>
    <row r="26" spans="1:10" ht="15.75" thickBot="1" x14ac:dyDescent="0.3"/>
    <row r="27" spans="1:10" ht="15.75" thickBot="1" x14ac:dyDescent="0.3">
      <c r="A27" s="214" t="s">
        <v>61</v>
      </c>
      <c r="B27" s="215"/>
    </row>
    <row r="28" spans="1:10" x14ac:dyDescent="0.25">
      <c r="A28" s="90" t="s">
        <v>64</v>
      </c>
      <c r="B28" s="91">
        <f>(B103+B86+B174+B156+B138)/5</f>
        <v>4.5106678061400691E-3</v>
      </c>
    </row>
    <row r="29" spans="1:10" x14ac:dyDescent="0.25">
      <c r="A29" s="25" t="s">
        <v>32</v>
      </c>
      <c r="B29" s="42">
        <f>(D85+D102+D137+D155+D173)/5</f>
        <v>2.3402083919955706E-2</v>
      </c>
    </row>
    <row r="30" spans="1:10" x14ac:dyDescent="0.25">
      <c r="A30" s="25" t="s">
        <v>34</v>
      </c>
      <c r="B30" s="42">
        <f>(G85+G102+G137+G155+G173)/5</f>
        <v>4.1789045622922051E-2</v>
      </c>
    </row>
    <row r="31" spans="1:10" x14ac:dyDescent="0.25">
      <c r="A31" s="25" t="s">
        <v>36</v>
      </c>
      <c r="B31" s="42">
        <f>(J85+J102+J137+J155+J173)/5</f>
        <v>3.6272790313442702E-2</v>
      </c>
    </row>
    <row r="32" spans="1:10" x14ac:dyDescent="0.25">
      <c r="A32" s="25" t="s">
        <v>37</v>
      </c>
      <c r="B32" s="42">
        <f>(M102+M85+M137+M155+M173)/5</f>
        <v>4.4872520083022109E-2</v>
      </c>
    </row>
    <row r="33" spans="1:9" x14ac:dyDescent="0.25">
      <c r="A33" s="25" t="s">
        <v>46</v>
      </c>
      <c r="B33" s="42">
        <f>(P102+P85+P137+P173)/4</f>
        <v>5.0622307823876778E-2</v>
      </c>
    </row>
    <row r="34" spans="1:9" x14ac:dyDescent="0.25">
      <c r="A34" s="25" t="s">
        <v>62</v>
      </c>
      <c r="B34" s="43">
        <f>(B104)</f>
        <v>0.1097020149985182</v>
      </c>
    </row>
    <row r="39" spans="1:9" x14ac:dyDescent="0.25">
      <c r="A39" s="5" t="s">
        <v>30</v>
      </c>
      <c r="B39" s="5" t="s">
        <v>28</v>
      </c>
      <c r="F39" s="5" t="s">
        <v>30</v>
      </c>
      <c r="G39" s="5" t="s">
        <v>28</v>
      </c>
    </row>
    <row r="40" spans="1:9" x14ac:dyDescent="0.25">
      <c r="A40" s="5" t="s">
        <v>31</v>
      </c>
      <c r="B40" t="s">
        <v>23</v>
      </c>
      <c r="C40" t="s">
        <v>26</v>
      </c>
      <c r="D40" t="s">
        <v>29</v>
      </c>
      <c r="F40" s="5" t="s">
        <v>31</v>
      </c>
      <c r="G40" t="s">
        <v>78</v>
      </c>
      <c r="H40" t="s">
        <v>79</v>
      </c>
      <c r="I40" t="s">
        <v>29</v>
      </c>
    </row>
    <row r="41" spans="1:9" x14ac:dyDescent="0.25">
      <c r="A41" s="6">
        <v>1</v>
      </c>
      <c r="B41" s="7"/>
      <c r="C41" s="7">
        <v>119400</v>
      </c>
      <c r="D41" s="7">
        <v>119400</v>
      </c>
      <c r="F41" s="160">
        <v>1</v>
      </c>
      <c r="G41" s="7">
        <v>15340261.6</v>
      </c>
      <c r="H41" s="7"/>
      <c r="I41" s="7">
        <v>15340261.6</v>
      </c>
    </row>
    <row r="42" spans="1:9" x14ac:dyDescent="0.25">
      <c r="A42" s="6">
        <v>2</v>
      </c>
      <c r="B42" s="7">
        <v>22573203</v>
      </c>
      <c r="C42" s="7"/>
      <c r="D42" s="7">
        <v>22573203</v>
      </c>
      <c r="F42" s="160">
        <v>2</v>
      </c>
      <c r="G42" s="7">
        <v>39796972</v>
      </c>
      <c r="H42" s="7">
        <v>17910126</v>
      </c>
      <c r="I42" s="7">
        <v>57707098</v>
      </c>
    </row>
    <row r="43" spans="1:9" x14ac:dyDescent="0.25">
      <c r="A43" s="6">
        <v>3</v>
      </c>
      <c r="B43" s="7">
        <v>43008309</v>
      </c>
      <c r="C43" s="7"/>
      <c r="D43" s="7">
        <v>43008309</v>
      </c>
      <c r="F43" s="160">
        <v>3</v>
      </c>
      <c r="G43" s="7">
        <v>2101606</v>
      </c>
      <c r="H43" s="7">
        <v>42837453</v>
      </c>
      <c r="I43" s="7">
        <v>44939059</v>
      </c>
    </row>
    <row r="44" spans="1:9" x14ac:dyDescent="0.25">
      <c r="A44" s="6">
        <v>4</v>
      </c>
      <c r="B44" s="7">
        <v>6908039</v>
      </c>
      <c r="C44" s="7"/>
      <c r="D44" s="7">
        <v>6908039</v>
      </c>
      <c r="F44" s="160">
        <v>4</v>
      </c>
      <c r="G44" s="7"/>
      <c r="H44" s="7">
        <v>55471865</v>
      </c>
      <c r="I44" s="7">
        <v>55471865</v>
      </c>
    </row>
    <row r="45" spans="1:9" x14ac:dyDescent="0.25">
      <c r="A45" s="6">
        <v>5</v>
      </c>
      <c r="B45" s="7"/>
      <c r="C45" s="7">
        <v>19958625</v>
      </c>
      <c r="D45" s="7">
        <v>19958625</v>
      </c>
      <c r="F45" s="160">
        <v>5</v>
      </c>
      <c r="G45" s="7">
        <v>32497245</v>
      </c>
      <c r="H45" s="7">
        <v>51574320</v>
      </c>
      <c r="I45" s="7">
        <v>84071565</v>
      </c>
    </row>
    <row r="46" spans="1:9" x14ac:dyDescent="0.25">
      <c r="A46" s="6">
        <v>6</v>
      </c>
      <c r="B46" s="7">
        <v>27465678</v>
      </c>
      <c r="C46" s="7">
        <v>41133675</v>
      </c>
      <c r="D46" s="7">
        <v>68599353</v>
      </c>
      <c r="F46" s="160">
        <v>6</v>
      </c>
      <c r="G46" s="7">
        <v>31950209</v>
      </c>
      <c r="H46" s="7">
        <v>39337699</v>
      </c>
      <c r="I46" s="7">
        <v>71287908</v>
      </c>
    </row>
    <row r="47" spans="1:9" x14ac:dyDescent="0.25">
      <c r="A47" s="6">
        <v>7</v>
      </c>
      <c r="B47" s="7">
        <v>53210249</v>
      </c>
      <c r="C47" s="7">
        <v>39846540</v>
      </c>
      <c r="D47" s="7">
        <v>93056789</v>
      </c>
      <c r="F47" s="160">
        <v>7</v>
      </c>
      <c r="G47" s="7">
        <v>59939040</v>
      </c>
      <c r="H47" s="7">
        <v>2723067</v>
      </c>
      <c r="I47" s="7">
        <v>62662107</v>
      </c>
    </row>
    <row r="48" spans="1:9" x14ac:dyDescent="0.25">
      <c r="A48" s="6">
        <v>8</v>
      </c>
      <c r="B48" s="7">
        <v>32854907</v>
      </c>
      <c r="C48" s="7">
        <v>43155991.530000001</v>
      </c>
      <c r="D48" s="7">
        <v>76010898.530000001</v>
      </c>
      <c r="F48" s="160">
        <v>8</v>
      </c>
      <c r="G48" s="7">
        <v>31659894</v>
      </c>
      <c r="H48" s="7"/>
      <c r="I48" s="7">
        <v>31659894</v>
      </c>
    </row>
    <row r="49" spans="1:9" x14ac:dyDescent="0.25">
      <c r="A49" s="6">
        <v>9</v>
      </c>
      <c r="B49" s="7">
        <v>42247501</v>
      </c>
      <c r="C49" s="7">
        <v>52572804</v>
      </c>
      <c r="D49" s="7">
        <v>94820305</v>
      </c>
      <c r="F49" s="160">
        <v>9</v>
      </c>
      <c r="G49" s="7">
        <v>40950249.780000001</v>
      </c>
      <c r="H49" s="7">
        <v>30219166</v>
      </c>
      <c r="I49" s="7">
        <v>71169415.780000001</v>
      </c>
    </row>
    <row r="50" spans="1:9" x14ac:dyDescent="0.25">
      <c r="A50" s="6">
        <v>10</v>
      </c>
      <c r="B50" s="7">
        <v>44152427</v>
      </c>
      <c r="C50" s="7">
        <v>4633238</v>
      </c>
      <c r="D50" s="7">
        <v>48785665</v>
      </c>
      <c r="F50" s="160">
        <v>10</v>
      </c>
      <c r="G50" s="7">
        <v>5305883</v>
      </c>
      <c r="H50" s="7">
        <v>68500230</v>
      </c>
      <c r="I50" s="7">
        <v>73806113</v>
      </c>
    </row>
    <row r="51" spans="1:9" x14ac:dyDescent="0.25">
      <c r="A51" s="6">
        <v>11</v>
      </c>
      <c r="B51" s="7">
        <v>6501029</v>
      </c>
      <c r="C51" s="7"/>
      <c r="D51" s="7">
        <v>6501029</v>
      </c>
      <c r="F51" s="160">
        <v>11</v>
      </c>
      <c r="G51" s="7"/>
      <c r="H51" s="7">
        <v>69644414</v>
      </c>
      <c r="I51" s="7">
        <v>69644414</v>
      </c>
    </row>
    <row r="52" spans="1:9" x14ac:dyDescent="0.25">
      <c r="A52" s="6">
        <v>12</v>
      </c>
      <c r="B52" s="7"/>
      <c r="C52" s="7">
        <v>29803056</v>
      </c>
      <c r="D52" s="7">
        <v>29803056</v>
      </c>
      <c r="F52" s="160">
        <v>12</v>
      </c>
      <c r="G52" s="7">
        <v>59121740</v>
      </c>
      <c r="H52" s="7">
        <v>41541452</v>
      </c>
      <c r="I52" s="7">
        <v>100663192</v>
      </c>
    </row>
    <row r="53" spans="1:9" x14ac:dyDescent="0.25">
      <c r="A53" s="6">
        <v>13</v>
      </c>
      <c r="B53" s="7">
        <v>41855457</v>
      </c>
      <c r="C53" s="7">
        <v>55397821.289999999</v>
      </c>
      <c r="D53" s="7">
        <v>97253278.289999992</v>
      </c>
      <c r="F53" s="160">
        <v>13</v>
      </c>
      <c r="G53" s="7">
        <v>39894461</v>
      </c>
      <c r="H53" s="7">
        <v>53527343</v>
      </c>
      <c r="I53" s="7">
        <v>93421804</v>
      </c>
    </row>
    <row r="54" spans="1:9" x14ac:dyDescent="0.25">
      <c r="A54" s="6">
        <v>14</v>
      </c>
      <c r="B54" s="7">
        <v>61781317</v>
      </c>
      <c r="C54" s="7">
        <v>53565881</v>
      </c>
      <c r="D54" s="7">
        <v>115347198</v>
      </c>
      <c r="F54" s="160">
        <v>14</v>
      </c>
      <c r="G54" s="7">
        <v>52807444</v>
      </c>
      <c r="H54" s="7">
        <v>3950719</v>
      </c>
      <c r="I54" s="7">
        <v>56758163</v>
      </c>
    </row>
    <row r="55" spans="1:9" x14ac:dyDescent="0.25">
      <c r="A55" s="6">
        <v>15</v>
      </c>
      <c r="B55" s="7">
        <v>37128554.049999997</v>
      </c>
      <c r="C55" s="7">
        <v>35146774</v>
      </c>
      <c r="D55" s="7">
        <v>72275328.049999997</v>
      </c>
      <c r="F55" s="160">
        <v>15</v>
      </c>
      <c r="G55" s="7">
        <v>12447314</v>
      </c>
      <c r="H55" s="7"/>
      <c r="I55" s="7">
        <v>12447314</v>
      </c>
    </row>
    <row r="56" spans="1:9" x14ac:dyDescent="0.25">
      <c r="A56" s="6">
        <v>16</v>
      </c>
      <c r="B56" s="7">
        <v>48441226</v>
      </c>
      <c r="C56" s="7">
        <v>44841397</v>
      </c>
      <c r="D56" s="7">
        <v>93282623</v>
      </c>
      <c r="F56" s="160">
        <v>16</v>
      </c>
      <c r="G56" s="7">
        <v>35578758</v>
      </c>
      <c r="H56" s="7">
        <v>27649026</v>
      </c>
      <c r="I56" s="7">
        <v>63227784</v>
      </c>
    </row>
    <row r="57" spans="1:9" x14ac:dyDescent="0.25">
      <c r="A57" s="6">
        <v>17</v>
      </c>
      <c r="B57" s="7">
        <v>43911461</v>
      </c>
      <c r="C57" s="7">
        <v>6257115</v>
      </c>
      <c r="D57" s="7">
        <v>50168576</v>
      </c>
      <c r="F57" s="160">
        <v>17</v>
      </c>
      <c r="G57" s="7">
        <v>4548285</v>
      </c>
      <c r="H57" s="7">
        <v>13065978</v>
      </c>
      <c r="I57" s="7">
        <v>17614263</v>
      </c>
    </row>
    <row r="58" spans="1:9" x14ac:dyDescent="0.25">
      <c r="A58" s="6">
        <v>18</v>
      </c>
      <c r="B58" s="7">
        <v>7012852</v>
      </c>
      <c r="C58" s="7"/>
      <c r="D58" s="7">
        <v>7012852</v>
      </c>
      <c r="F58" s="160">
        <v>19</v>
      </c>
      <c r="G58" s="7">
        <v>38971189</v>
      </c>
      <c r="H58" s="7"/>
      <c r="I58" s="7">
        <v>38971189</v>
      </c>
    </row>
    <row r="59" spans="1:9" x14ac:dyDescent="0.25">
      <c r="A59" s="6">
        <v>19</v>
      </c>
      <c r="B59" s="7"/>
      <c r="C59" s="7">
        <v>30274879</v>
      </c>
      <c r="D59" s="7">
        <v>30274879</v>
      </c>
      <c r="F59" s="160">
        <v>20</v>
      </c>
      <c r="G59" s="7">
        <v>42248623.979999997</v>
      </c>
      <c r="H59" s="7"/>
      <c r="I59" s="7">
        <v>42248623.979999997</v>
      </c>
    </row>
    <row r="60" spans="1:9" x14ac:dyDescent="0.25">
      <c r="A60" s="6">
        <v>20</v>
      </c>
      <c r="B60" s="7">
        <v>36279957</v>
      </c>
      <c r="C60" s="7">
        <v>51088803</v>
      </c>
      <c r="D60" s="7">
        <v>87368760</v>
      </c>
      <c r="F60" s="160">
        <v>21</v>
      </c>
      <c r="G60" s="7">
        <v>47769594.57</v>
      </c>
      <c r="H60" s="7"/>
      <c r="I60" s="7">
        <v>47769594.57</v>
      </c>
    </row>
    <row r="61" spans="1:9" x14ac:dyDescent="0.25">
      <c r="A61" s="6">
        <v>21</v>
      </c>
      <c r="B61" s="7">
        <v>65150836</v>
      </c>
      <c r="C61" s="7">
        <v>55959951.020000003</v>
      </c>
      <c r="D61" s="7">
        <v>121110787.02000001</v>
      </c>
      <c r="F61" s="160">
        <v>22</v>
      </c>
      <c r="G61" s="7">
        <v>60573320</v>
      </c>
      <c r="H61" s="7"/>
      <c r="I61" s="7">
        <v>60573320</v>
      </c>
    </row>
    <row r="62" spans="1:9" x14ac:dyDescent="0.25">
      <c r="A62" s="6">
        <v>22</v>
      </c>
      <c r="B62" s="7">
        <v>46244791</v>
      </c>
      <c r="C62" s="7">
        <v>44408036</v>
      </c>
      <c r="D62" s="7">
        <v>90652827</v>
      </c>
      <c r="F62" s="160">
        <v>23</v>
      </c>
      <c r="G62" s="7">
        <v>48173721</v>
      </c>
      <c r="H62" s="7">
        <v>56822600.479999997</v>
      </c>
      <c r="I62" s="7">
        <v>104996321.47999999</v>
      </c>
    </row>
    <row r="63" spans="1:9" x14ac:dyDescent="0.25">
      <c r="A63" s="6">
        <v>23</v>
      </c>
      <c r="B63" s="7">
        <v>50049674</v>
      </c>
      <c r="C63" s="7">
        <v>78254589</v>
      </c>
      <c r="D63" s="7">
        <v>128304263</v>
      </c>
      <c r="F63" s="160">
        <v>24</v>
      </c>
      <c r="G63" s="7">
        <v>13224506</v>
      </c>
      <c r="H63" s="7">
        <v>36418222</v>
      </c>
      <c r="I63" s="7">
        <v>49642728</v>
      </c>
    </row>
    <row r="64" spans="1:9" x14ac:dyDescent="0.25">
      <c r="A64" s="6">
        <v>24</v>
      </c>
      <c r="B64" s="7">
        <v>50088601</v>
      </c>
      <c r="C64" s="7">
        <v>2803572</v>
      </c>
      <c r="D64" s="7">
        <v>52892173</v>
      </c>
      <c r="F64" s="160">
        <v>25</v>
      </c>
      <c r="G64" s="7"/>
      <c r="H64" s="7">
        <v>65025146</v>
      </c>
      <c r="I64" s="7">
        <v>65025146</v>
      </c>
    </row>
    <row r="65" spans="1:20" x14ac:dyDescent="0.25">
      <c r="A65" s="6">
        <v>25</v>
      </c>
      <c r="B65" s="7">
        <v>7896211</v>
      </c>
      <c r="C65" s="7"/>
      <c r="D65" s="7">
        <v>7896211</v>
      </c>
      <c r="F65" s="160">
        <v>26</v>
      </c>
      <c r="G65" s="7">
        <v>65651976</v>
      </c>
      <c r="H65" s="7">
        <v>54112048</v>
      </c>
      <c r="I65" s="7">
        <v>119764024</v>
      </c>
    </row>
    <row r="66" spans="1:20" x14ac:dyDescent="0.25">
      <c r="A66" s="6">
        <v>26</v>
      </c>
      <c r="B66" s="7"/>
      <c r="C66" s="7">
        <v>51022407</v>
      </c>
      <c r="D66" s="7">
        <v>51022407</v>
      </c>
      <c r="F66" s="160">
        <v>27</v>
      </c>
      <c r="G66" s="7">
        <v>65380247</v>
      </c>
      <c r="H66" s="7">
        <v>56317232</v>
      </c>
      <c r="I66" s="7">
        <v>121697479</v>
      </c>
    </row>
    <row r="67" spans="1:20" x14ac:dyDescent="0.25">
      <c r="A67" s="6">
        <v>27</v>
      </c>
      <c r="B67" s="7">
        <v>64032478</v>
      </c>
      <c r="C67" s="7">
        <v>38448220.799999997</v>
      </c>
      <c r="D67" s="7">
        <v>102480698.8</v>
      </c>
      <c r="F67" s="160">
        <v>28</v>
      </c>
      <c r="G67" s="7">
        <v>67584323</v>
      </c>
      <c r="H67" s="7">
        <v>5252953</v>
      </c>
      <c r="I67" s="7">
        <v>72837276</v>
      </c>
    </row>
    <row r="68" spans="1:20" x14ac:dyDescent="0.25">
      <c r="A68" s="6">
        <v>28</v>
      </c>
      <c r="B68" s="7">
        <v>102192683</v>
      </c>
      <c r="C68" s="7">
        <v>67109100</v>
      </c>
      <c r="D68" s="7">
        <v>169301783</v>
      </c>
      <c r="F68" s="160">
        <v>29</v>
      </c>
      <c r="G68" s="7">
        <v>54053958</v>
      </c>
      <c r="H68" s="7"/>
      <c r="I68" s="7">
        <v>54053958</v>
      </c>
    </row>
    <row r="69" spans="1:20" x14ac:dyDescent="0.25">
      <c r="A69" s="6">
        <v>29</v>
      </c>
      <c r="B69" s="7">
        <v>38732689.049999997</v>
      </c>
      <c r="C69" s="7">
        <v>43294266</v>
      </c>
      <c r="D69" s="7">
        <v>82026955.049999997</v>
      </c>
      <c r="F69" s="160">
        <v>30</v>
      </c>
      <c r="G69" s="7">
        <v>119593343</v>
      </c>
      <c r="H69" s="7">
        <v>96175955</v>
      </c>
      <c r="I69" s="7">
        <v>215769298</v>
      </c>
    </row>
    <row r="70" spans="1:20" x14ac:dyDescent="0.25">
      <c r="A70" s="6">
        <v>30</v>
      </c>
      <c r="B70" s="7">
        <v>140237465</v>
      </c>
      <c r="C70" s="7">
        <v>133543105.98</v>
      </c>
      <c r="D70" s="7">
        <v>273780570.98000002</v>
      </c>
      <c r="F70" s="160">
        <v>31</v>
      </c>
      <c r="G70" s="7">
        <v>2085748</v>
      </c>
      <c r="H70" s="7"/>
      <c r="I70" s="7">
        <v>2085748</v>
      </c>
    </row>
    <row r="71" spans="1:20" x14ac:dyDescent="0.25">
      <c r="A71" s="6" t="s">
        <v>29</v>
      </c>
      <c r="B71" s="7">
        <v>1119957594.0999999</v>
      </c>
      <c r="C71" s="7">
        <v>1022639247.62</v>
      </c>
      <c r="D71" s="7">
        <v>2142596841.7199998</v>
      </c>
      <c r="F71" s="160" t="s">
        <v>29</v>
      </c>
      <c r="G71" s="7">
        <v>1089249911.9300001</v>
      </c>
      <c r="H71" s="7">
        <v>888077014.48000002</v>
      </c>
      <c r="I71" s="7">
        <v>1977326926.4100001</v>
      </c>
    </row>
    <row r="74" spans="1:20" x14ac:dyDescent="0.25">
      <c r="A74" s="64" t="s">
        <v>70</v>
      </c>
      <c r="B74" s="208" t="s">
        <v>32</v>
      </c>
      <c r="C74" s="208" t="s">
        <v>33</v>
      </c>
      <c r="D74" s="17" t="s">
        <v>49</v>
      </c>
      <c r="E74" s="208" t="s">
        <v>34</v>
      </c>
      <c r="F74" s="208" t="s">
        <v>35</v>
      </c>
      <c r="G74" s="17" t="s">
        <v>49</v>
      </c>
      <c r="H74" s="208" t="s">
        <v>36</v>
      </c>
      <c r="I74" s="208" t="s">
        <v>33</v>
      </c>
      <c r="J74" s="17" t="s">
        <v>49</v>
      </c>
      <c r="K74" s="208" t="s">
        <v>37</v>
      </c>
      <c r="L74" s="208" t="s">
        <v>33</v>
      </c>
      <c r="M74" s="17" t="s">
        <v>49</v>
      </c>
      <c r="N74" s="208" t="s">
        <v>46</v>
      </c>
      <c r="O74" s="208" t="s">
        <v>33</v>
      </c>
      <c r="P74" s="17" t="s">
        <v>49</v>
      </c>
      <c r="Q74" s="216" t="s">
        <v>54</v>
      </c>
      <c r="R74" s="216" t="s">
        <v>33</v>
      </c>
      <c r="S74" s="17" t="s">
        <v>49</v>
      </c>
      <c r="T74" s="206" t="s">
        <v>47</v>
      </c>
    </row>
    <row r="75" spans="1:20" x14ac:dyDescent="0.25">
      <c r="A75" s="49">
        <v>1181358463</v>
      </c>
      <c r="B75" s="208"/>
      <c r="C75" s="208"/>
      <c r="D75" s="17" t="s">
        <v>50</v>
      </c>
      <c r="E75" s="208"/>
      <c r="F75" s="208"/>
      <c r="G75" s="17" t="s">
        <v>50</v>
      </c>
      <c r="H75" s="208"/>
      <c r="I75" s="208"/>
      <c r="J75" s="17" t="s">
        <v>50</v>
      </c>
      <c r="K75" s="208"/>
      <c r="L75" s="208"/>
      <c r="M75" s="17" t="s">
        <v>50</v>
      </c>
      <c r="N75" s="208"/>
      <c r="O75" s="208"/>
      <c r="P75" s="17" t="s">
        <v>50</v>
      </c>
      <c r="Q75" s="217"/>
      <c r="R75" s="217"/>
      <c r="S75" s="17" t="s">
        <v>50</v>
      </c>
      <c r="T75" s="207"/>
    </row>
    <row r="76" spans="1:20" x14ac:dyDescent="0.25">
      <c r="A76" s="16" t="s">
        <v>38</v>
      </c>
      <c r="B76" s="10"/>
      <c r="C76" s="10"/>
      <c r="D76" s="14">
        <f>B76/$A$75</f>
        <v>0</v>
      </c>
      <c r="E76" s="10">
        <f>GETPIVOTDATA("Valor Neto",$A$39,"Year","2017","Day",6)</f>
        <v>27465678</v>
      </c>
      <c r="F76" s="10"/>
      <c r="G76" s="14">
        <f>E76/$A$75</f>
        <v>2.3249232862185033E-2</v>
      </c>
      <c r="H76" s="10">
        <f>GETPIVOTDATA("Valor Neto",$A$39,"Year","2018","Day",12)</f>
        <v>29803056</v>
      </c>
      <c r="I76" s="10"/>
      <c r="J76" s="14">
        <f>H76/$A$75</f>
        <v>2.5227783888995596E-2</v>
      </c>
      <c r="K76" s="10">
        <f>GETPIVOTDATA("Valor Neto",$A$39,"Year","2017","Day",20)</f>
        <v>36279957</v>
      </c>
      <c r="L76" s="10"/>
      <c r="M76" s="14">
        <f>K76/$A$75</f>
        <v>3.0710371268572356E-2</v>
      </c>
      <c r="N76" s="10">
        <f>GETPIVOTDATA("Valor Neto",$A$39,"Year","2017","Day",27)</f>
        <v>64032478</v>
      </c>
      <c r="O76" s="10"/>
      <c r="P76" s="14">
        <f>N76/$A$75</f>
        <v>5.4202411888930616E-2</v>
      </c>
      <c r="Q76" s="10"/>
      <c r="R76" s="10"/>
      <c r="S76" s="14">
        <f t="shared" ref="S76:S81" si="4">Q76/$A$75</f>
        <v>0</v>
      </c>
      <c r="T76" s="9"/>
    </row>
    <row r="77" spans="1:20" x14ac:dyDescent="0.25">
      <c r="A77" s="16" t="s">
        <v>39</v>
      </c>
      <c r="B77" s="10"/>
      <c r="C77" s="10"/>
      <c r="D77" s="14">
        <f>B77/$A$75</f>
        <v>0</v>
      </c>
      <c r="E77" s="10">
        <f>GETPIVOTDATA("Valor Neto",$A$39,"Year","2017","Day",7)</f>
        <v>53210249</v>
      </c>
      <c r="F77" s="10"/>
      <c r="G77" s="14">
        <f>E77/$A$75</f>
        <v>4.5041577697657716E-2</v>
      </c>
      <c r="H77" s="10">
        <f>GETPIVOTDATA("Valor Neto",$A$39,"Year","2018","Day",13)</f>
        <v>55397821.289999999</v>
      </c>
      <c r="I77" s="10"/>
      <c r="J77" s="14">
        <f>H77/$A$75</f>
        <v>4.6893320719369157E-2</v>
      </c>
      <c r="K77" s="10">
        <f>GETPIVOTDATA("Valor Neto",$A$39,"Year","2017","Day",21)</f>
        <v>65150836</v>
      </c>
      <c r="L77" s="10"/>
      <c r="M77" s="14">
        <f>K77/$A$75</f>
        <v>5.5149083060320868E-2</v>
      </c>
      <c r="N77" s="10">
        <f>GETPIVOTDATA("Valor Neto",$A$39,"Year","2017","Day",28)</f>
        <v>102192683</v>
      </c>
      <c r="O77" s="10"/>
      <c r="P77" s="14">
        <f>N77/$A$75</f>
        <v>8.650438135473873E-2</v>
      </c>
      <c r="Q77" s="10"/>
      <c r="R77" s="10"/>
      <c r="S77" s="14">
        <f t="shared" si="4"/>
        <v>0</v>
      </c>
      <c r="T77" s="9"/>
    </row>
    <row r="78" spans="1:20" x14ac:dyDescent="0.25">
      <c r="A78" s="16" t="s">
        <v>40</v>
      </c>
      <c r="B78" s="10"/>
      <c r="C78" s="10"/>
      <c r="D78" s="14">
        <f>B78/$A$75</f>
        <v>0</v>
      </c>
      <c r="E78" s="10">
        <f>GETPIVOTDATA("Valor Neto",$A$39,"Year","2017","Day",8)</f>
        <v>32854907</v>
      </c>
      <c r="F78" s="10"/>
      <c r="G78" s="14">
        <f>E78/$A$75</f>
        <v>2.7811124251454235E-2</v>
      </c>
      <c r="H78" s="10">
        <f>GETPIVOTDATA("Valor Neto",$A$39,"Year","2018","Day",14)</f>
        <v>53565881</v>
      </c>
      <c r="I78" s="10"/>
      <c r="J78" s="14">
        <f>H78/$A$75</f>
        <v>4.5342614183312452E-2</v>
      </c>
      <c r="K78" s="10">
        <f>GETPIVOTDATA("Valor Neto",$A$39,"Year","2017","Day",22)</f>
        <v>46244791</v>
      </c>
      <c r="L78" s="10"/>
      <c r="M78" s="14">
        <f>K78/$A$75</f>
        <v>3.9145435063430024E-2</v>
      </c>
      <c r="N78" s="10">
        <f>GETPIVOTDATA("Valor Neto",$A$39,"Year","2017","Day",29)</f>
        <v>38732689.049999997</v>
      </c>
      <c r="O78" s="10"/>
      <c r="P78" s="14">
        <f>N78/$A$75</f>
        <v>3.2786567551766038E-2</v>
      </c>
      <c r="Q78" s="10"/>
      <c r="R78" s="10"/>
      <c r="S78" s="14">
        <f t="shared" si="4"/>
        <v>0</v>
      </c>
      <c r="T78" s="9"/>
    </row>
    <row r="79" spans="1:20" x14ac:dyDescent="0.25">
      <c r="A79" s="16" t="s">
        <v>41</v>
      </c>
      <c r="B79" s="10">
        <f>GETPIVOTDATA("Valor Neto",$A$39,"Year","2017","Day",2)</f>
        <v>22573203</v>
      </c>
      <c r="C79" s="10"/>
      <c r="D79" s="14">
        <f>B79/$A$75</f>
        <v>1.9107835349718064E-2</v>
      </c>
      <c r="E79" s="10">
        <f>GETPIVOTDATA("Valor Neto",$A$39,"Year","2017","Day",9)</f>
        <v>42247501</v>
      </c>
      <c r="F79" s="10"/>
      <c r="G79" s="14">
        <f>E79/$A$75</f>
        <v>3.5761796544559903E-2</v>
      </c>
      <c r="H79" s="10">
        <f>GETPIVOTDATA("Valor Neto",$A$39,"Year","2018","Day",15)</f>
        <v>35146774</v>
      </c>
      <c r="I79" s="10"/>
      <c r="J79" s="14">
        <f>H79/$A$75</f>
        <v>2.9751150984897969E-2</v>
      </c>
      <c r="K79" s="10">
        <f>GETPIVOTDATA("Valor Neto",$A$39,"Year","2017","Day",23)</f>
        <v>50049674</v>
      </c>
      <c r="L79" s="10"/>
      <c r="M79" s="14">
        <f>K79/$A$75</f>
        <v>4.2366204304239194E-2</v>
      </c>
      <c r="N79" s="10">
        <f>GETPIVOTDATA("Valor Neto",$A$39,"Year","2017","Day",30)</f>
        <v>140237465</v>
      </c>
      <c r="O79" s="10"/>
      <c r="P79" s="14">
        <f>N79/$A$75</f>
        <v>0.11870864719915246</v>
      </c>
      <c r="Q79" s="10"/>
      <c r="R79" s="10"/>
      <c r="S79" s="14">
        <f t="shared" si="4"/>
        <v>0</v>
      </c>
      <c r="T79" s="9"/>
    </row>
    <row r="80" spans="1:20" x14ac:dyDescent="0.25">
      <c r="A80" s="16" t="s">
        <v>42</v>
      </c>
      <c r="B80" s="10">
        <f>GETPIVOTDATA("Valor Neto",$A$39,"Year","2017","Day",3)</f>
        <v>43008309</v>
      </c>
      <c r="C80" s="10"/>
      <c r="D80" s="14">
        <f>B80/$A$75</f>
        <v>3.6405807675667368E-2</v>
      </c>
      <c r="E80" s="10">
        <f>GETPIVOTDATA("Valor Neto",$A$39,"Year","2017","Day",10)</f>
        <v>44152427</v>
      </c>
      <c r="F80" s="10"/>
      <c r="G80" s="14">
        <f>E80/$A$75</f>
        <v>3.7374284252281183E-2</v>
      </c>
      <c r="H80" s="10">
        <f>GETPIVOTDATA("Valor Neto",$A$39,"Year","2018","Day",16)</f>
        <v>44841397</v>
      </c>
      <c r="I80" s="10"/>
      <c r="J80" s="14">
        <f>H80/$A$75</f>
        <v>3.7957485728868055E-2</v>
      </c>
      <c r="K80" s="10">
        <f>GETPIVOTDATA("Valor Neto",$A$39,"Year","2017","Day",24)</f>
        <v>50088601</v>
      </c>
      <c r="L80" s="10"/>
      <c r="M80" s="14">
        <f>K80/$A$75</f>
        <v>4.2399155352730561E-2</v>
      </c>
      <c r="N80" s="10"/>
      <c r="O80" s="10"/>
      <c r="P80" s="14">
        <f>N80/$A$75</f>
        <v>0</v>
      </c>
      <c r="Q80" s="10"/>
      <c r="R80" s="10"/>
      <c r="S80" s="14">
        <f t="shared" si="4"/>
        <v>0</v>
      </c>
      <c r="T80" s="9"/>
    </row>
    <row r="81" spans="1:20" x14ac:dyDescent="0.25">
      <c r="A81" s="16" t="s">
        <v>43</v>
      </c>
      <c r="C81" s="10">
        <f>GETPIVOTDATA("Valor Neto",$A$39,"Year","2017","Day",4)</f>
        <v>6908039</v>
      </c>
      <c r="D81" s="14">
        <f>C81/$A$75</f>
        <v>5.8475384198436982E-3</v>
      </c>
      <c r="F81" s="10">
        <f>GETPIVOTDATA("Valor Neto",$A$39,"Year","2017","Day",11)</f>
        <v>6501029</v>
      </c>
      <c r="G81" s="14">
        <f>F81/$A$75</f>
        <v>5.5030113243451665E-3</v>
      </c>
      <c r="I81" s="10">
        <f>GETPIVOTDATA("Valor Neto",$A$39,"Year","2018","Day",17)</f>
        <v>6257115</v>
      </c>
      <c r="J81" s="14">
        <f>I81/$A$75</f>
        <v>5.2965422401176805E-3</v>
      </c>
      <c r="L81" s="10">
        <f>GETPIVOTDATA("Valor Neto",$A$39,"Year","2017","Day",25)</f>
        <v>7896211</v>
      </c>
      <c r="M81" s="14">
        <f>L81/$A$75</f>
        <v>6.6840093395090019E-3</v>
      </c>
      <c r="O81" s="10"/>
      <c r="P81" s="14">
        <f>O81/$A$75</f>
        <v>0</v>
      </c>
      <c r="R81" s="10"/>
      <c r="S81" s="14">
        <f t="shared" si="4"/>
        <v>0</v>
      </c>
      <c r="T81" s="9"/>
    </row>
    <row r="82" spans="1:20" x14ac:dyDescent="0.25">
      <c r="A82" s="16" t="s">
        <v>44</v>
      </c>
      <c r="B82" s="10"/>
      <c r="C82" s="10"/>
      <c r="D82" s="14"/>
      <c r="E82" s="10"/>
      <c r="F82" s="10"/>
      <c r="G82" s="14"/>
      <c r="H82" s="10"/>
      <c r="I82" s="10"/>
      <c r="J82" s="14"/>
      <c r="K82" s="10"/>
      <c r="L82" s="10"/>
      <c r="M82" s="14"/>
      <c r="N82" s="10"/>
      <c r="O82" s="10"/>
      <c r="P82" s="14"/>
      <c r="Q82" s="10"/>
      <c r="R82" s="10"/>
      <c r="S82" s="14"/>
      <c r="T82" s="9"/>
    </row>
    <row r="83" spans="1:20" x14ac:dyDescent="0.25">
      <c r="A83" s="16" t="s">
        <v>45</v>
      </c>
      <c r="B83" s="10">
        <f>SUM(B76:B82)</f>
        <v>65581512</v>
      </c>
      <c r="C83" s="10">
        <f>SUM(C76:C82)</f>
        <v>6908039</v>
      </c>
      <c r="D83" s="30">
        <f>SUM(B83:C83)</f>
        <v>72489551</v>
      </c>
      <c r="E83" s="10">
        <f>SUM(E76:E82)</f>
        <v>199930762</v>
      </c>
      <c r="F83" s="10">
        <f>SUM(F76:F82)</f>
        <v>6501029</v>
      </c>
      <c r="G83" s="30">
        <f>SUM(E83:F83)</f>
        <v>206431791</v>
      </c>
      <c r="H83" s="10">
        <f>SUM(H76:H82)</f>
        <v>218754929.28999999</v>
      </c>
      <c r="I83" s="10">
        <f>SUM(I76:I82)</f>
        <v>6257115</v>
      </c>
      <c r="J83" s="30">
        <f>SUM(H83:I83)</f>
        <v>225012044.28999999</v>
      </c>
      <c r="K83" s="10">
        <f>SUM(K76:K82)</f>
        <v>247813859</v>
      </c>
      <c r="L83" s="10">
        <f>SUM(L76:L82)</f>
        <v>7896211</v>
      </c>
      <c r="M83" s="30">
        <f>SUM(K83:L83)</f>
        <v>255710070</v>
      </c>
      <c r="N83" s="10">
        <f>SUM(N76:N82)</f>
        <v>345195315.05000001</v>
      </c>
      <c r="O83" s="10">
        <f>SUM(O76:O82)</f>
        <v>0</v>
      </c>
      <c r="P83" s="30">
        <f>SUM(N83:O83)</f>
        <v>345195315.05000001</v>
      </c>
      <c r="Q83" s="10">
        <f>SUM(Q76:Q82)</f>
        <v>0</v>
      </c>
      <c r="R83" s="10">
        <f>SUM(R76:R82)</f>
        <v>0</v>
      </c>
      <c r="S83" s="30">
        <f>SUM(Q83:R83)</f>
        <v>0</v>
      </c>
      <c r="T83" s="11">
        <f>C83+B83+E83+F83+H83+I83+K83+L83+N83+O83+Q83+R83</f>
        <v>1104838771.3399999</v>
      </c>
    </row>
    <row r="84" spans="1:20" x14ac:dyDescent="0.25">
      <c r="A84" s="18" t="s">
        <v>48</v>
      </c>
      <c r="B84" s="14">
        <f>B83/$A$75</f>
        <v>5.5513643025385431E-2</v>
      </c>
      <c r="C84" s="14">
        <f>C83/$A$75</f>
        <v>5.8475384198436982E-3</v>
      </c>
      <c r="D84" s="31">
        <f>B84+C84</f>
        <v>6.1361181445229132E-2</v>
      </c>
      <c r="E84" s="14">
        <f>E83/$A$75</f>
        <v>0.16923801560813806</v>
      </c>
      <c r="F84" s="14">
        <f>F83/$A$75</f>
        <v>5.5030113243451665E-3</v>
      </c>
      <c r="G84" s="31">
        <f>E84+F84</f>
        <v>0.17474102693248322</v>
      </c>
      <c r="H84" s="14">
        <f>H83/$A$75</f>
        <v>0.18517235550544323</v>
      </c>
      <c r="I84" s="14">
        <f>I83/$A$75</f>
        <v>5.2965422401176805E-3</v>
      </c>
      <c r="J84" s="31">
        <f>H84+I84</f>
        <v>0.19046889774556092</v>
      </c>
      <c r="K84" s="14">
        <f>K83/$A$75</f>
        <v>0.20977024904929301</v>
      </c>
      <c r="L84" s="14">
        <f>L83/$A$75</f>
        <v>6.6840093395090019E-3</v>
      </c>
      <c r="M84" s="31">
        <f>K84+L84</f>
        <v>0.216454258388802</v>
      </c>
      <c r="N84" s="14">
        <f>N83/$A$75</f>
        <v>0.29220200799458784</v>
      </c>
      <c r="O84" s="14">
        <f>O83/$A$75</f>
        <v>0</v>
      </c>
      <c r="P84" s="31">
        <f>N84+O84</f>
        <v>0.29220200799458784</v>
      </c>
      <c r="Q84" s="14">
        <f>Q83/$A$75</f>
        <v>0</v>
      </c>
      <c r="R84" s="14">
        <f>R83/$A$75</f>
        <v>0</v>
      </c>
      <c r="S84" s="31">
        <f>Q84+R84</f>
        <v>0</v>
      </c>
      <c r="T84" s="12">
        <f>SUM(D84+G84+J84+M84+P84+S84)</f>
        <v>0.9352273725066631</v>
      </c>
    </row>
    <row r="85" spans="1:20" ht="15.75" thickBot="1" x14ac:dyDescent="0.3">
      <c r="A85" s="92" t="s">
        <v>57</v>
      </c>
      <c r="D85" s="22">
        <f>AVERAGE(D76:D80)</f>
        <v>1.1102728605077087E-2</v>
      </c>
      <c r="G85" s="22">
        <f>AVERAGE(G76:G80)</f>
        <v>3.3847603121627615E-2</v>
      </c>
      <c r="J85" s="22">
        <f>AVERAGE(J76:J80)</f>
        <v>3.7034471101088644E-2</v>
      </c>
      <c r="M85" s="22">
        <f>AVERAGE(M76:M80)</f>
        <v>4.1954049809858604E-2</v>
      </c>
      <c r="P85" s="22">
        <f>AVERAGE(P76:P78)</f>
        <v>5.7831120265145135E-2</v>
      </c>
      <c r="S85" s="22">
        <f>AVERAGE(S76:S80)</f>
        <v>0</v>
      </c>
      <c r="T85" s="41"/>
    </row>
    <row r="86" spans="1:20" ht="30.75" thickBot="1" x14ac:dyDescent="0.3">
      <c r="A86" s="89" t="s">
        <v>58</v>
      </c>
      <c r="B86" s="88">
        <f>(D81+G81+J81)/3</f>
        <v>5.5490306614355148E-3</v>
      </c>
      <c r="Q86" s="39"/>
      <c r="R86" s="39"/>
      <c r="S86" s="40"/>
      <c r="T86" s="41"/>
    </row>
    <row r="87" spans="1:20" x14ac:dyDescent="0.25">
      <c r="A87" s="38"/>
      <c r="B87" s="39"/>
      <c r="C87" s="39"/>
      <c r="D87" s="40"/>
      <c r="E87" s="39"/>
      <c r="F87" s="39"/>
      <c r="G87" s="40"/>
      <c r="H87" s="39"/>
      <c r="I87" s="39"/>
      <c r="J87" s="40"/>
      <c r="K87" s="39"/>
      <c r="L87" s="39"/>
      <c r="M87" s="40"/>
      <c r="N87" s="39"/>
      <c r="O87" s="39"/>
      <c r="P87" s="40"/>
      <c r="Q87" s="39"/>
      <c r="R87" s="39"/>
      <c r="S87" s="40"/>
      <c r="T87" s="41"/>
    </row>
    <row r="88" spans="1:20" x14ac:dyDescent="0.25">
      <c r="A88" s="38"/>
      <c r="B88" s="39"/>
      <c r="C88" s="39"/>
      <c r="D88" s="40"/>
      <c r="E88" s="39"/>
      <c r="F88" s="39"/>
      <c r="G88" s="40"/>
      <c r="H88" s="39"/>
      <c r="I88" s="39"/>
      <c r="J88" s="40"/>
      <c r="K88" s="39"/>
      <c r="L88" s="39"/>
      <c r="M88" s="40"/>
      <c r="N88" s="39"/>
      <c r="O88" s="39"/>
      <c r="P88" s="40"/>
      <c r="Q88" s="39"/>
      <c r="R88" s="39"/>
      <c r="S88" s="40"/>
      <c r="T88" s="41"/>
    </row>
    <row r="89" spans="1:20" x14ac:dyDescent="0.25">
      <c r="A89" s="13"/>
    </row>
    <row r="90" spans="1:20" x14ac:dyDescent="0.25">
      <c r="A90" s="16">
        <v>2018</v>
      </c>
    </row>
    <row r="91" spans="1:20" x14ac:dyDescent="0.25">
      <c r="A91" s="25" t="s">
        <v>51</v>
      </c>
      <c r="B91" s="208" t="s">
        <v>32</v>
      </c>
      <c r="C91" s="208" t="s">
        <v>33</v>
      </c>
      <c r="D91" s="17" t="s">
        <v>49</v>
      </c>
      <c r="E91" s="208" t="s">
        <v>34</v>
      </c>
      <c r="F91" s="208" t="s">
        <v>35</v>
      </c>
      <c r="G91" s="17" t="s">
        <v>49</v>
      </c>
      <c r="H91" s="208" t="s">
        <v>36</v>
      </c>
      <c r="I91" s="208" t="s">
        <v>33</v>
      </c>
      <c r="J91" s="17" t="s">
        <v>49</v>
      </c>
      <c r="K91" s="208" t="s">
        <v>37</v>
      </c>
      <c r="L91" s="208" t="s">
        <v>33</v>
      </c>
      <c r="M91" s="17" t="s">
        <v>49</v>
      </c>
      <c r="N91" s="208" t="s">
        <v>46</v>
      </c>
      <c r="O91" s="208" t="s">
        <v>33</v>
      </c>
      <c r="P91" s="19" t="s">
        <v>49</v>
      </c>
      <c r="Q91" s="216" t="s">
        <v>54</v>
      </c>
      <c r="R91" s="216" t="s">
        <v>33</v>
      </c>
      <c r="S91" s="17" t="s">
        <v>49</v>
      </c>
      <c r="T91" s="206" t="s">
        <v>47</v>
      </c>
    </row>
    <row r="92" spans="1:20" x14ac:dyDescent="0.25">
      <c r="A92" s="93">
        <v>1257054463</v>
      </c>
      <c r="B92" s="208"/>
      <c r="C92" s="208"/>
      <c r="D92" s="17" t="s">
        <v>50</v>
      </c>
      <c r="E92" s="208"/>
      <c r="F92" s="208"/>
      <c r="G92" s="17" t="s">
        <v>50</v>
      </c>
      <c r="H92" s="208"/>
      <c r="I92" s="208"/>
      <c r="J92" s="17" t="s">
        <v>50</v>
      </c>
      <c r="K92" s="208"/>
      <c r="L92" s="208"/>
      <c r="M92" s="17" t="s">
        <v>50</v>
      </c>
      <c r="N92" s="208"/>
      <c r="O92" s="208"/>
      <c r="P92" s="20" t="s">
        <v>50</v>
      </c>
      <c r="Q92" s="217"/>
      <c r="R92" s="217"/>
      <c r="S92" s="17" t="s">
        <v>50</v>
      </c>
      <c r="T92" s="207"/>
    </row>
    <row r="93" spans="1:20" x14ac:dyDescent="0.25">
      <c r="A93" s="16" t="s">
        <v>38</v>
      </c>
      <c r="B93" s="10"/>
      <c r="C93" s="10"/>
      <c r="D93" s="14">
        <f>B93/$A$92</f>
        <v>0</v>
      </c>
      <c r="E93" s="10">
        <f>GETPIVOTDATA("Valor Neto",$A$39,"Year","2018","Day",5)</f>
        <v>19958625</v>
      </c>
      <c r="F93" s="10"/>
      <c r="G93" s="14">
        <f>E93/$A$92</f>
        <v>1.587729536584128E-2</v>
      </c>
      <c r="H93" s="10">
        <f>GETPIVOTDATA("Valor Neto",$A$39,"Year","2018","Day",12)</f>
        <v>29803056</v>
      </c>
      <c r="I93" s="10"/>
      <c r="J93" s="14">
        <f>H93/$A$92</f>
        <v>2.3708643401873033E-2</v>
      </c>
      <c r="K93" s="10">
        <f>GETPIVOTDATA("Valor Neto",$A$39,"Year","2018","Day",19)</f>
        <v>30274879</v>
      </c>
      <c r="L93" s="10"/>
      <c r="M93" s="14">
        <f>K93/$A$92</f>
        <v>2.4083983543360603E-2</v>
      </c>
      <c r="N93" s="10">
        <f>GETPIVOTDATA("Valor Neto",$A$39,"Year","2018","Day",26)</f>
        <v>51022407</v>
      </c>
      <c r="O93" s="10"/>
      <c r="P93" s="14">
        <f>N93/$A$92</f>
        <v>4.0588859513877723E-2</v>
      </c>
      <c r="Q93" s="10"/>
      <c r="R93" s="10"/>
      <c r="S93" s="14">
        <f>Q93/$A$92</f>
        <v>0</v>
      </c>
      <c r="T93" s="9"/>
    </row>
    <row r="94" spans="1:20" x14ac:dyDescent="0.25">
      <c r="A94" s="16" t="s">
        <v>39</v>
      </c>
      <c r="B94" s="10"/>
      <c r="C94" s="10"/>
      <c r="D94" s="14">
        <f>B94/$A$92</f>
        <v>0</v>
      </c>
      <c r="E94" s="10">
        <f>GETPIVOTDATA("Valor Neto",$A$39,"Year","2018","Day",6)</f>
        <v>41133675</v>
      </c>
      <c r="F94" s="10"/>
      <c r="G94" s="14">
        <f>E94/$A$92</f>
        <v>3.2722269568044964E-2</v>
      </c>
      <c r="H94" s="10">
        <f>GETPIVOTDATA("Valor Neto",$A$39,"Year","2018","Day",13)</f>
        <v>55397821.289999999</v>
      </c>
      <c r="I94" s="10"/>
      <c r="J94" s="14">
        <f>H94/$A$92</f>
        <v>4.4069547438534487E-2</v>
      </c>
      <c r="K94" s="10">
        <f>GETPIVOTDATA("Valor Neto",$A$39,"Year","2018","Day",20)</f>
        <v>51088803</v>
      </c>
      <c r="L94" s="10"/>
      <c r="M94" s="14">
        <f>K94/$A$92</f>
        <v>4.0641678227747557E-2</v>
      </c>
      <c r="N94" s="10">
        <f>GETPIVOTDATA("Valor Neto",$A$39,"Year","2018","Day",27)</f>
        <v>38448220.799999997</v>
      </c>
      <c r="O94" s="10"/>
      <c r="P94" s="14">
        <f>N94/$A$92</f>
        <v>3.0585962606776883E-2</v>
      </c>
      <c r="Q94" s="10"/>
      <c r="R94" s="10"/>
      <c r="S94" s="14">
        <f>Q94/$A$92</f>
        <v>0</v>
      </c>
      <c r="T94" s="9"/>
    </row>
    <row r="95" spans="1:20" x14ac:dyDescent="0.25">
      <c r="A95" s="16" t="s">
        <v>40</v>
      </c>
      <c r="B95" s="10"/>
      <c r="C95" s="10"/>
      <c r="D95" s="14">
        <f>B95/$A$92</f>
        <v>0</v>
      </c>
      <c r="E95" s="10">
        <f>GETPIVOTDATA("Valor Neto",$A$39,"Year","2018","Day",7)</f>
        <v>39846540</v>
      </c>
      <c r="F95" s="10"/>
      <c r="G95" s="14">
        <f>E95/$A$92</f>
        <v>3.1698340185599423E-2</v>
      </c>
      <c r="H95" s="10">
        <f>GETPIVOTDATA("Valor Neto",$A$39,"Year","2018","Day",14)</f>
        <v>53565881</v>
      </c>
      <c r="I95" s="10"/>
      <c r="J95" s="14">
        <f>H95/$A$92</f>
        <v>4.2612219738008279E-2</v>
      </c>
      <c r="K95" s="10">
        <f>GETPIVOTDATA("Valor Neto",$A$39,"Year","2018","Day",21)</f>
        <v>55959951.020000003</v>
      </c>
      <c r="L95" s="10"/>
      <c r="M95" s="14">
        <f>K95/$A$92</f>
        <v>4.451672753020567E-2</v>
      </c>
      <c r="N95" s="10">
        <f>GETPIVOTDATA("Valor Neto",$A$39,"Year","2018","Day",28)</f>
        <v>67109100</v>
      </c>
      <c r="O95" s="10"/>
      <c r="P95" s="14">
        <f>N95/$A$92</f>
        <v>5.3385992393553121E-2</v>
      </c>
      <c r="Q95" s="10"/>
      <c r="R95" s="10"/>
      <c r="S95" s="14">
        <f>Q95/$A$92</f>
        <v>0</v>
      </c>
      <c r="T95" s="9"/>
    </row>
    <row r="96" spans="1:20" x14ac:dyDescent="0.25">
      <c r="A96" s="16" t="s">
        <v>41</v>
      </c>
      <c r="B96" s="10">
        <f>GETPIVOTDATA("Valor Neto",$A$39,"Year","2018","Day",1)</f>
        <v>119400</v>
      </c>
      <c r="C96" s="10"/>
      <c r="D96" s="14">
        <f>B96/$A$92</f>
        <v>9.4983951383497057E-5</v>
      </c>
      <c r="E96" s="10">
        <f>GETPIVOTDATA("Valor Neto",$A$39,"Year","2018","Day",8)</f>
        <v>43155991.530000001</v>
      </c>
      <c r="F96" s="10"/>
      <c r="G96" s="14">
        <f>E96/$A$92</f>
        <v>3.4331043562748166E-2</v>
      </c>
      <c r="H96" s="10">
        <f>GETPIVOTDATA("Valor Neto",$A$39,"Year","2018","Day",15)</f>
        <v>35146774</v>
      </c>
      <c r="I96" s="10"/>
      <c r="J96" s="14">
        <f>H96/$A$92</f>
        <v>2.7959627076237507E-2</v>
      </c>
      <c r="K96" s="10">
        <f>GETPIVOTDATA("Valor Neto",$A$39,"Year","2018","Day",22)</f>
        <v>44408036</v>
      </c>
      <c r="L96" s="10"/>
      <c r="M96" s="14">
        <f>K96/$A$92</f>
        <v>3.5327058060808936E-2</v>
      </c>
      <c r="N96" s="10">
        <f>GETPIVOTDATA("Valor Neto",$A$39,"Year","2018","Day",29)</f>
        <v>43294266</v>
      </c>
      <c r="O96" s="10"/>
      <c r="P96" s="14">
        <f>N96/$A$92</f>
        <v>3.4441042352832407E-2</v>
      </c>
      <c r="Q96" s="10"/>
      <c r="R96" s="10"/>
      <c r="S96" s="14">
        <f>Q96/$A$92</f>
        <v>0</v>
      </c>
      <c r="T96" s="9"/>
    </row>
    <row r="97" spans="1:20" x14ac:dyDescent="0.25">
      <c r="A97" s="16" t="s">
        <v>42</v>
      </c>
      <c r="B97" s="10"/>
      <c r="C97" s="10"/>
      <c r="D97" s="14">
        <f>B97/$A$92</f>
        <v>0</v>
      </c>
      <c r="E97" s="10">
        <f>GETPIVOTDATA("Valor Neto",$A$39,"Year","2018","Day",9)</f>
        <v>52572804</v>
      </c>
      <c r="F97" s="10"/>
      <c r="G97" s="14">
        <f>E97/$A$92</f>
        <v>4.1822216576466661E-2</v>
      </c>
      <c r="H97" s="10">
        <f>GETPIVOTDATA("Valor Neto",$A$39,"Year","2018","Day",16)</f>
        <v>44841397</v>
      </c>
      <c r="I97" s="10"/>
      <c r="J97" s="14">
        <f>H97/$A$92</f>
        <v>3.5671801278191716E-2</v>
      </c>
      <c r="K97" s="10">
        <f>GETPIVOTDATA("Valor Neto",$A$39,"Year","2018","Day",23)</f>
        <v>78254589</v>
      </c>
      <c r="L97" s="10"/>
      <c r="M97" s="14">
        <f>K97/$A$92</f>
        <v>6.2252345704451789E-2</v>
      </c>
      <c r="N97" s="10">
        <f>GETPIVOTDATA("Valor Neto",$A$39,"Year","2018","Day",30)</f>
        <v>133543105.98</v>
      </c>
      <c r="O97" s="10"/>
      <c r="P97" s="14">
        <f>N97/$A$92</f>
        <v>0.10623494041880666</v>
      </c>
      <c r="Q97" s="10"/>
      <c r="R97" s="10"/>
      <c r="S97" s="14">
        <f>Q97/$A$92</f>
        <v>0</v>
      </c>
      <c r="T97" s="9"/>
    </row>
    <row r="98" spans="1:20" x14ac:dyDescent="0.25">
      <c r="A98" s="16" t="s">
        <v>43</v>
      </c>
      <c r="C98" s="10"/>
      <c r="D98" s="14">
        <f>C98/$A$92</f>
        <v>0</v>
      </c>
      <c r="F98" s="10">
        <f>GETPIVOTDATA("Valor Neto",$A$39,"Year","2018","Day",10)</f>
        <v>4633238</v>
      </c>
      <c r="G98" s="14">
        <f>F98/$A$92</f>
        <v>3.685789388108636E-3</v>
      </c>
      <c r="I98" s="10">
        <f>GETPIVOTDATA("Valor Neto",$A$39,"Year","2018","Day",17)</f>
        <v>6257115</v>
      </c>
      <c r="J98" s="14">
        <f>I98/$A$92</f>
        <v>4.977600560811978E-3</v>
      </c>
      <c r="L98" s="10">
        <f>GETPIVOTDATA("Valor Neto",$A$39,"Year","2018","Day",24)</f>
        <v>2803572</v>
      </c>
      <c r="M98" s="14">
        <f>L98/$A$92</f>
        <v>2.230270909113347E-3</v>
      </c>
      <c r="O98" s="10"/>
      <c r="P98" s="14">
        <f>O98/$A$92</f>
        <v>0</v>
      </c>
      <c r="R98" s="10"/>
      <c r="S98" s="14">
        <f>R98/$A$92</f>
        <v>0</v>
      </c>
      <c r="T98" s="9"/>
    </row>
    <row r="99" spans="1:20" x14ac:dyDescent="0.25">
      <c r="A99" s="16" t="s">
        <v>44</v>
      </c>
      <c r="B99" s="10"/>
      <c r="C99" s="10"/>
      <c r="D99" s="14"/>
      <c r="E99" s="10"/>
      <c r="F99" s="10"/>
      <c r="G99" s="14"/>
      <c r="H99" s="10"/>
      <c r="I99" s="10"/>
      <c r="J99" s="14"/>
      <c r="K99" s="10"/>
      <c r="L99" s="10"/>
      <c r="M99" s="14"/>
      <c r="N99" s="10"/>
      <c r="O99" s="10"/>
      <c r="P99" s="14"/>
      <c r="Q99" s="10"/>
      <c r="R99" s="10"/>
      <c r="S99" s="14"/>
      <c r="T99" s="9"/>
    </row>
    <row r="100" spans="1:20" x14ac:dyDescent="0.25">
      <c r="A100" s="16" t="s">
        <v>45</v>
      </c>
      <c r="B100" s="10">
        <f>SUM(B93:B99)</f>
        <v>119400</v>
      </c>
      <c r="C100" s="10">
        <f>SUM(C93:C99)</f>
        <v>0</v>
      </c>
      <c r="D100" s="30">
        <f>SUM(B100:C100)</f>
        <v>119400</v>
      </c>
      <c r="E100" s="10">
        <f>SUM(E93:E99)</f>
        <v>196667635.53</v>
      </c>
      <c r="F100" s="10">
        <f>SUM(F93:F99)</f>
        <v>4633238</v>
      </c>
      <c r="G100" s="30">
        <f>SUM(E100:F100)</f>
        <v>201300873.53</v>
      </c>
      <c r="H100" s="10">
        <f>SUM(H93:H99)</f>
        <v>218754929.28999999</v>
      </c>
      <c r="I100" s="10">
        <f>SUM(I93:I99)</f>
        <v>6257115</v>
      </c>
      <c r="J100" s="30">
        <f>SUM(H100:I100)</f>
        <v>225012044.28999999</v>
      </c>
      <c r="K100" s="10">
        <f>SUM(K93:K99)</f>
        <v>259986258.02000001</v>
      </c>
      <c r="L100" s="10">
        <f>SUM(L93:L99)</f>
        <v>2803572</v>
      </c>
      <c r="M100" s="30">
        <f>SUM(K100:L100)</f>
        <v>262789830.02000001</v>
      </c>
      <c r="N100" s="10">
        <f>SUM(N93:N99)</f>
        <v>333417099.78000003</v>
      </c>
      <c r="O100" s="10">
        <f>SUM(O93:O99)</f>
        <v>0</v>
      </c>
      <c r="P100" s="30">
        <f>SUM(N100:O100)</f>
        <v>333417099.78000003</v>
      </c>
      <c r="Q100" s="10">
        <f>SUM(Q93:Q99)</f>
        <v>0</v>
      </c>
      <c r="R100" s="10">
        <f>SUM(R93:R99)</f>
        <v>0</v>
      </c>
      <c r="S100" s="30">
        <f>SUM(Q100:R100)</f>
        <v>0</v>
      </c>
      <c r="T100" s="11">
        <f>C100+B100+E100+F100+H100+I100+K100+L100+N100+O100+Q100+R100</f>
        <v>1022639247.6200001</v>
      </c>
    </row>
    <row r="101" spans="1:20" x14ac:dyDescent="0.25">
      <c r="A101" s="18" t="s">
        <v>48</v>
      </c>
      <c r="B101" s="14">
        <f>B100/$A$92</f>
        <v>9.4983951383497057E-5</v>
      </c>
      <c r="C101" s="14">
        <f>C100/$A$92</f>
        <v>0</v>
      </c>
      <c r="D101" s="31">
        <f>B101+C101</f>
        <v>9.4983951383497057E-5</v>
      </c>
      <c r="E101" s="14">
        <f>E100/$A$92</f>
        <v>0.15645116525870048</v>
      </c>
      <c r="F101" s="14">
        <f>F100/$A$92</f>
        <v>3.685789388108636E-3</v>
      </c>
      <c r="G101" s="31">
        <f>E101+F101</f>
        <v>0.1601369546468091</v>
      </c>
      <c r="H101" s="14">
        <f>H100/$A$92</f>
        <v>0.17402183893284501</v>
      </c>
      <c r="I101" s="14">
        <f>I100/$A$92</f>
        <v>4.977600560811978E-3</v>
      </c>
      <c r="J101" s="31">
        <f>H101+I101</f>
        <v>0.17899943949365699</v>
      </c>
      <c r="K101" s="14">
        <f>K100/$A$92</f>
        <v>0.20682179306657456</v>
      </c>
      <c r="L101" s="14">
        <f>L100/$A$92</f>
        <v>2.230270909113347E-3</v>
      </c>
      <c r="M101" s="31">
        <f>K101+L101</f>
        <v>0.2090520639756879</v>
      </c>
      <c r="N101" s="14">
        <f>N100/$A$92</f>
        <v>0.26523679728584681</v>
      </c>
      <c r="O101" s="14">
        <f>O100/$A$92</f>
        <v>0</v>
      </c>
      <c r="P101" s="31">
        <f>N101+O101</f>
        <v>0.26523679728584681</v>
      </c>
      <c r="Q101" s="14">
        <f>Q100/$A$92</f>
        <v>0</v>
      </c>
      <c r="R101" s="14">
        <f>R100/$A$92</f>
        <v>0</v>
      </c>
      <c r="S101" s="31">
        <f>Q101+R101</f>
        <v>0</v>
      </c>
      <c r="T101" s="12">
        <f>SUM(D101+G101+J101+M101+P101+S101)</f>
        <v>0.81352023935338424</v>
      </c>
    </row>
    <row r="102" spans="1:20" x14ac:dyDescent="0.25">
      <c r="A102" s="16" t="s">
        <v>57</v>
      </c>
      <c r="D102" s="22">
        <f>AVERAGE(D93:D97)</f>
        <v>1.8996790276699413E-5</v>
      </c>
      <c r="G102" s="22">
        <f>AVERAGE(G93:G97)</f>
        <v>3.1290233051740099E-2</v>
      </c>
      <c r="J102" s="22">
        <f>AVERAGE(J93:J97)</f>
        <v>3.4804367786569007E-2</v>
      </c>
      <c r="M102" s="22">
        <f>AVERAGE(M93:M97)</f>
        <v>4.136435861331491E-2</v>
      </c>
      <c r="P102" s="22">
        <f>AVERAGE(P93:P96)</f>
        <v>3.9750464216760033E-2</v>
      </c>
      <c r="S102" s="22">
        <f>AVERAGE(S93:S97)</f>
        <v>0</v>
      </c>
    </row>
    <row r="103" spans="1:20" ht="30.75" thickBot="1" x14ac:dyDescent="0.3">
      <c r="A103" s="37" t="s">
        <v>58</v>
      </c>
      <c r="B103" s="14">
        <f>(D98+G98+J98+M98)/4</f>
        <v>2.7234152145084903E-3</v>
      </c>
    </row>
    <row r="104" spans="1:20" ht="30.75" thickBot="1" x14ac:dyDescent="0.3">
      <c r="A104" s="89" t="s">
        <v>59</v>
      </c>
      <c r="B104" s="88">
        <f>(P97+P79+P132+P146+P166)/5</f>
        <v>0.1097020149985182</v>
      </c>
      <c r="N104" s="8"/>
    </row>
    <row r="111" spans="1:20" x14ac:dyDescent="0.25">
      <c r="A111" s="16" t="s">
        <v>71</v>
      </c>
      <c r="B111" s="112" t="s">
        <v>32</v>
      </c>
      <c r="C111" s="112" t="s">
        <v>33</v>
      </c>
      <c r="D111" s="112" t="s">
        <v>49</v>
      </c>
      <c r="E111" s="112" t="s">
        <v>34</v>
      </c>
      <c r="F111" s="112" t="s">
        <v>35</v>
      </c>
      <c r="G111" s="112" t="s">
        <v>49</v>
      </c>
      <c r="H111" s="112" t="s">
        <v>36</v>
      </c>
      <c r="I111" s="112" t="s">
        <v>33</v>
      </c>
      <c r="J111" s="112" t="s">
        <v>49</v>
      </c>
      <c r="K111" s="112" t="s">
        <v>37</v>
      </c>
      <c r="L111" s="112" t="s">
        <v>33</v>
      </c>
      <c r="M111" s="112" t="s">
        <v>49</v>
      </c>
      <c r="N111" s="112" t="s">
        <v>46</v>
      </c>
      <c r="O111" s="208" t="s">
        <v>33</v>
      </c>
      <c r="P111" s="17" t="s">
        <v>49</v>
      </c>
      <c r="Q111" s="216" t="s">
        <v>54</v>
      </c>
      <c r="R111" s="216" t="s">
        <v>33</v>
      </c>
      <c r="S111" s="17" t="s">
        <v>49</v>
      </c>
      <c r="T111" s="206" t="s">
        <v>47</v>
      </c>
    </row>
    <row r="112" spans="1:20" x14ac:dyDescent="0.25">
      <c r="A112" s="93">
        <v>1190968767.4226584</v>
      </c>
      <c r="B112" s="112"/>
      <c r="C112" s="112"/>
      <c r="D112" s="112" t="s">
        <v>50</v>
      </c>
      <c r="E112" s="112"/>
      <c r="F112" s="112"/>
      <c r="G112" s="112" t="s">
        <v>50</v>
      </c>
      <c r="H112" s="112"/>
      <c r="I112" s="112"/>
      <c r="J112" s="112" t="s">
        <v>50</v>
      </c>
      <c r="K112" s="112"/>
      <c r="L112" s="112"/>
      <c r="M112" s="112" t="s">
        <v>50</v>
      </c>
      <c r="N112" s="112"/>
      <c r="O112" s="208"/>
      <c r="P112" s="17" t="s">
        <v>50</v>
      </c>
      <c r="Q112" s="217"/>
      <c r="R112" s="217"/>
      <c r="S112" s="17" t="s">
        <v>50</v>
      </c>
      <c r="T112" s="207"/>
    </row>
    <row r="113" spans="1:21" x14ac:dyDescent="0.25">
      <c r="A113" s="16" t="s">
        <v>38</v>
      </c>
      <c r="B113" s="10"/>
      <c r="C113" s="10"/>
      <c r="D113" s="15">
        <f t="shared" ref="D113:D119" si="5">B113/$A$112</f>
        <v>0</v>
      </c>
      <c r="E113" s="10"/>
      <c r="F113" s="10"/>
      <c r="G113" s="15">
        <f>E113/$A$112</f>
        <v>0</v>
      </c>
      <c r="H113" s="10"/>
      <c r="I113" s="10"/>
      <c r="J113" s="14" t="e">
        <f>H113/$AA$87</f>
        <v>#DIV/0!</v>
      </c>
      <c r="K113" s="10"/>
      <c r="L113" s="10"/>
      <c r="M113" s="14" t="e">
        <f>K113/$AA$87</f>
        <v>#DIV/0!</v>
      </c>
      <c r="N113" s="10"/>
      <c r="O113" s="9"/>
      <c r="P113" s="14" t="e">
        <f>N113/$AA$87</f>
        <v>#DIV/0!</v>
      </c>
      <c r="Q113" s="10"/>
      <c r="R113" s="9"/>
      <c r="S113" s="14" t="e">
        <f>Q113/$AA$87</f>
        <v>#DIV/0!</v>
      </c>
      <c r="T113" s="9"/>
    </row>
    <row r="114" spans="1:21" x14ac:dyDescent="0.25">
      <c r="A114" s="16" t="s">
        <v>39</v>
      </c>
      <c r="B114" s="10"/>
      <c r="C114" s="10"/>
      <c r="D114" s="15">
        <f t="shared" si="5"/>
        <v>0</v>
      </c>
      <c r="E114" s="10"/>
      <c r="F114" s="10"/>
      <c r="G114" s="14" t="e">
        <f t="shared" ref="G114:G119" si="6">E114/$AA$87</f>
        <v>#DIV/0!</v>
      </c>
      <c r="H114" s="10"/>
      <c r="I114" s="10"/>
      <c r="J114" s="14" t="e">
        <f t="shared" ref="J114:J119" si="7">H114/$AA$87</f>
        <v>#DIV/0!</v>
      </c>
      <c r="K114" s="10"/>
      <c r="L114" s="10"/>
      <c r="M114" s="14" t="e">
        <f t="shared" ref="M114:M119" si="8">K114/$AA$87</f>
        <v>#DIV/0!</v>
      </c>
      <c r="N114" s="10"/>
      <c r="O114" s="9"/>
      <c r="P114" s="14" t="e">
        <f t="shared" ref="P114:P119" si="9">N114/$AA$87</f>
        <v>#DIV/0!</v>
      </c>
      <c r="Q114" s="10"/>
      <c r="R114" s="9"/>
      <c r="S114" s="14" t="e">
        <f t="shared" ref="S114:S119" si="10">Q114/$AA$87</f>
        <v>#DIV/0!</v>
      </c>
      <c r="T114" s="9"/>
    </row>
    <row r="115" spans="1:21" x14ac:dyDescent="0.25">
      <c r="A115" s="16" t="s">
        <v>40</v>
      </c>
      <c r="B115" s="10"/>
      <c r="C115" s="10"/>
      <c r="D115" s="15">
        <f t="shared" si="5"/>
        <v>0</v>
      </c>
      <c r="E115" s="10"/>
      <c r="F115" s="10"/>
      <c r="G115" s="14" t="e">
        <f t="shared" si="6"/>
        <v>#DIV/0!</v>
      </c>
      <c r="H115" s="10"/>
      <c r="I115" s="10"/>
      <c r="J115" s="14" t="e">
        <f t="shared" si="7"/>
        <v>#DIV/0!</v>
      </c>
      <c r="K115" s="10"/>
      <c r="L115" s="10"/>
      <c r="M115" s="14" t="e">
        <f t="shared" si="8"/>
        <v>#DIV/0!</v>
      </c>
      <c r="N115" s="10"/>
      <c r="O115" s="9"/>
      <c r="P115" s="14" t="e">
        <f t="shared" si="9"/>
        <v>#DIV/0!</v>
      </c>
      <c r="Q115" s="10"/>
      <c r="R115" s="9"/>
      <c r="S115" s="14" t="e">
        <f t="shared" si="10"/>
        <v>#DIV/0!</v>
      </c>
      <c r="T115" s="9"/>
    </row>
    <row r="116" spans="1:21" x14ac:dyDescent="0.25">
      <c r="A116" s="16" t="s">
        <v>41</v>
      </c>
      <c r="B116" s="10"/>
      <c r="C116" s="10"/>
      <c r="D116" s="15">
        <f t="shared" si="5"/>
        <v>0</v>
      </c>
      <c r="E116" s="10"/>
      <c r="F116" s="10"/>
      <c r="G116" s="14" t="e">
        <f t="shared" si="6"/>
        <v>#DIV/0!</v>
      </c>
      <c r="H116" s="10"/>
      <c r="I116" s="10"/>
      <c r="J116" s="14" t="e">
        <f t="shared" si="7"/>
        <v>#DIV/0!</v>
      </c>
      <c r="K116" s="10"/>
      <c r="L116" s="10"/>
      <c r="M116" s="14" t="e">
        <f t="shared" si="8"/>
        <v>#DIV/0!</v>
      </c>
      <c r="N116" s="10"/>
      <c r="O116" s="9"/>
      <c r="P116" s="14" t="e">
        <f t="shared" si="9"/>
        <v>#DIV/0!</v>
      </c>
      <c r="Q116" s="10"/>
      <c r="R116" s="9"/>
      <c r="S116" s="14" t="e">
        <f t="shared" si="10"/>
        <v>#DIV/0!</v>
      </c>
      <c r="T116" s="9"/>
    </row>
    <row r="117" spans="1:21" x14ac:dyDescent="0.25">
      <c r="A117" s="16" t="s">
        <v>42</v>
      </c>
      <c r="B117" s="10"/>
      <c r="C117" s="10"/>
      <c r="D117" s="15">
        <f t="shared" si="5"/>
        <v>0</v>
      </c>
      <c r="E117" s="10"/>
      <c r="F117" s="10"/>
      <c r="G117" s="14" t="e">
        <f t="shared" si="6"/>
        <v>#DIV/0!</v>
      </c>
      <c r="H117" s="10"/>
      <c r="I117" s="10"/>
      <c r="J117" s="14" t="e">
        <f t="shared" si="7"/>
        <v>#DIV/0!</v>
      </c>
      <c r="K117" s="10"/>
      <c r="L117" s="10"/>
      <c r="M117" s="14" t="e">
        <f t="shared" si="8"/>
        <v>#DIV/0!</v>
      </c>
      <c r="N117" s="10"/>
      <c r="O117" s="9"/>
      <c r="P117" s="14" t="e">
        <f t="shared" si="9"/>
        <v>#DIV/0!</v>
      </c>
      <c r="Q117" s="10"/>
      <c r="R117" s="9"/>
      <c r="S117" s="14" t="e">
        <f t="shared" si="10"/>
        <v>#DIV/0!</v>
      </c>
      <c r="T117" s="9"/>
    </row>
    <row r="118" spans="1:21" x14ac:dyDescent="0.25">
      <c r="A118" s="16" t="s">
        <v>43</v>
      </c>
      <c r="B118" s="10"/>
      <c r="C118" s="10"/>
      <c r="D118" s="15">
        <f t="shared" si="5"/>
        <v>0</v>
      </c>
      <c r="E118" s="10"/>
      <c r="F118" s="10"/>
      <c r="G118" s="14" t="e">
        <f>F118/$AA$87</f>
        <v>#DIV/0!</v>
      </c>
      <c r="H118" s="10"/>
      <c r="I118" s="10"/>
      <c r="J118" s="14" t="e">
        <f>I118/$AA$87</f>
        <v>#DIV/0!</v>
      </c>
      <c r="K118" s="10"/>
      <c r="L118" s="10"/>
      <c r="M118" s="14" t="e">
        <f>L118/$AA$87</f>
        <v>#DIV/0!</v>
      </c>
      <c r="N118" s="10"/>
      <c r="O118" s="10"/>
      <c r="P118" s="14" t="e">
        <f>O118/$AA$87</f>
        <v>#DIV/0!</v>
      </c>
      <c r="Q118" s="10"/>
      <c r="R118" s="9"/>
      <c r="S118" s="14" t="e">
        <f>R118/$AA$87</f>
        <v>#DIV/0!</v>
      </c>
      <c r="T118" s="9"/>
    </row>
    <row r="119" spans="1:21" x14ac:dyDescent="0.25">
      <c r="A119" s="16" t="s">
        <v>44</v>
      </c>
      <c r="B119" s="10"/>
      <c r="C119" s="10"/>
      <c r="D119" s="15">
        <f t="shared" si="5"/>
        <v>0</v>
      </c>
      <c r="E119" s="10"/>
      <c r="F119" s="10"/>
      <c r="G119" s="14" t="e">
        <f t="shared" si="6"/>
        <v>#DIV/0!</v>
      </c>
      <c r="H119" s="10"/>
      <c r="I119" s="10"/>
      <c r="J119" s="14" t="e">
        <f t="shared" si="7"/>
        <v>#DIV/0!</v>
      </c>
      <c r="K119" s="10"/>
      <c r="L119" s="10"/>
      <c r="M119" s="14" t="e">
        <f t="shared" si="8"/>
        <v>#DIV/0!</v>
      </c>
      <c r="N119" s="10"/>
      <c r="O119" s="9"/>
      <c r="P119" s="14" t="e">
        <f t="shared" si="9"/>
        <v>#DIV/0!</v>
      </c>
      <c r="Q119" s="10"/>
      <c r="R119" s="9"/>
      <c r="S119" s="14" t="e">
        <f t="shared" si="10"/>
        <v>#DIV/0!</v>
      </c>
      <c r="T119" s="9"/>
    </row>
    <row r="120" spans="1:21" x14ac:dyDescent="0.25">
      <c r="A120" s="16" t="s">
        <v>45</v>
      </c>
      <c r="B120" s="10">
        <f>SUM(B113:B119)</f>
        <v>0</v>
      </c>
      <c r="C120" s="10">
        <f>SUM(C113:C119)</f>
        <v>0</v>
      </c>
      <c r="D120" s="30">
        <f>SUM(B120:C120)</f>
        <v>0</v>
      </c>
      <c r="E120" s="10">
        <f>SUM(E113:E119)</f>
        <v>0</v>
      </c>
      <c r="F120" s="10">
        <f>SUM(F113:F119)</f>
        <v>0</v>
      </c>
      <c r="G120" s="30">
        <f>SUM(E120:F120)</f>
        <v>0</v>
      </c>
      <c r="H120" s="10">
        <f>SUM(H113:H119)</f>
        <v>0</v>
      </c>
      <c r="I120" s="10">
        <f>SUM(I113:I119)</f>
        <v>0</v>
      </c>
      <c r="J120" s="30">
        <f>SUM(H120:I120)</f>
        <v>0</v>
      </c>
      <c r="K120" s="10">
        <f>SUM(K113:K119)</f>
        <v>0</v>
      </c>
      <c r="L120" s="10">
        <f>SUM(L113:L119)</f>
        <v>0</v>
      </c>
      <c r="M120" s="30">
        <f>SUM(K120:L120)</f>
        <v>0</v>
      </c>
      <c r="N120" s="10">
        <f>SUM(N113:N119)</f>
        <v>0</v>
      </c>
      <c r="O120" s="10">
        <f>SUM(O113:O119)</f>
        <v>0</v>
      </c>
      <c r="P120" s="30">
        <f>SUM(N120:O120)</f>
        <v>0</v>
      </c>
      <c r="Q120" s="10">
        <f>SUM(Q113:Q119)</f>
        <v>0</v>
      </c>
      <c r="R120" s="10">
        <f>SUM(R113:R119)</f>
        <v>0</v>
      </c>
      <c r="S120" s="30">
        <f>SUM(Q120:R120)</f>
        <v>0</v>
      </c>
      <c r="T120" s="11">
        <f>C120+B120+E120+F120+H120+I120+K120+L120+N120+O120+Q120+R120</f>
        <v>0</v>
      </c>
      <c r="U120" s="11" t="e">
        <f>#REF!</f>
        <v>#REF!</v>
      </c>
    </row>
    <row r="121" spans="1:21" x14ac:dyDescent="0.25">
      <c r="A121" s="18" t="s">
        <v>48</v>
      </c>
      <c r="B121" s="15">
        <f>B120/$A$112</f>
        <v>0</v>
      </c>
      <c r="C121" s="15">
        <f>C120/$A$112</f>
        <v>0</v>
      </c>
      <c r="D121" s="31">
        <f>B121+C121</f>
        <v>0</v>
      </c>
      <c r="E121" s="14" t="e">
        <f>E120/$AA$87</f>
        <v>#DIV/0!</v>
      </c>
      <c r="F121" s="14" t="e">
        <f>F120/$AA$87</f>
        <v>#DIV/0!</v>
      </c>
      <c r="G121" s="31" t="e">
        <f>E121+F121</f>
        <v>#DIV/0!</v>
      </c>
      <c r="H121" s="14" t="e">
        <f>H120/$AA$87</f>
        <v>#DIV/0!</v>
      </c>
      <c r="I121" s="14" t="e">
        <f>I120/$AA$87</f>
        <v>#DIV/0!</v>
      </c>
      <c r="J121" s="31" t="e">
        <f>H121+I121</f>
        <v>#DIV/0!</v>
      </c>
      <c r="K121" s="14" t="e">
        <f>K120/$AA$87</f>
        <v>#DIV/0!</v>
      </c>
      <c r="L121" s="14" t="e">
        <f>L120/$AA$87</f>
        <v>#DIV/0!</v>
      </c>
      <c r="M121" s="31" t="e">
        <f>K121+L121</f>
        <v>#DIV/0!</v>
      </c>
      <c r="N121" s="14" t="e">
        <f>N120/$AA$87</f>
        <v>#DIV/0!</v>
      </c>
      <c r="O121" s="14" t="e">
        <f>O120/$AA$87</f>
        <v>#DIV/0!</v>
      </c>
      <c r="P121" s="31" t="e">
        <f>N121+O121</f>
        <v>#DIV/0!</v>
      </c>
      <c r="Q121" s="14" t="e">
        <f>Q120/$AA$87</f>
        <v>#DIV/0!</v>
      </c>
      <c r="R121" s="14" t="e">
        <f>R120/$AA$87</f>
        <v>#DIV/0!</v>
      </c>
      <c r="S121" s="31" t="e">
        <f>Q121+R121</f>
        <v>#DIV/0!</v>
      </c>
      <c r="T121" s="12" t="e">
        <f>SUM(D121+G121+J121+M121+P121+S121)</f>
        <v>#DIV/0!</v>
      </c>
      <c r="U121" s="12"/>
    </row>
    <row r="125" spans="1:21" x14ac:dyDescent="0.25">
      <c r="A125" s="172"/>
    </row>
    <row r="126" spans="1:21" x14ac:dyDescent="0.25">
      <c r="A126" s="16" t="s">
        <v>80</v>
      </c>
      <c r="B126" s="216" t="s">
        <v>32</v>
      </c>
      <c r="C126" s="216" t="s">
        <v>33</v>
      </c>
      <c r="D126" s="161" t="s">
        <v>49</v>
      </c>
      <c r="E126" s="216" t="s">
        <v>34</v>
      </c>
      <c r="F126" s="216" t="s">
        <v>35</v>
      </c>
      <c r="G126" s="161" t="s">
        <v>49</v>
      </c>
      <c r="H126" s="216" t="s">
        <v>36</v>
      </c>
      <c r="I126" s="216" t="s">
        <v>33</v>
      </c>
      <c r="J126" s="161" t="s">
        <v>49</v>
      </c>
      <c r="K126" s="216" t="s">
        <v>37</v>
      </c>
      <c r="L126" s="216" t="s">
        <v>33</v>
      </c>
      <c r="M126" s="161" t="s">
        <v>49</v>
      </c>
      <c r="N126" s="216" t="s">
        <v>46</v>
      </c>
      <c r="O126" s="216" t="s">
        <v>33</v>
      </c>
      <c r="P126" s="161" t="s">
        <v>49</v>
      </c>
      <c r="Q126" s="216" t="s">
        <v>54</v>
      </c>
      <c r="R126" s="216" t="s">
        <v>33</v>
      </c>
      <c r="S126" s="161" t="s">
        <v>49</v>
      </c>
      <c r="T126" s="206" t="s">
        <v>47</v>
      </c>
    </row>
    <row r="127" spans="1:21" x14ac:dyDescent="0.25">
      <c r="A127" s="93">
        <v>1000198288</v>
      </c>
      <c r="B127" s="217"/>
      <c r="C127" s="217"/>
      <c r="D127" s="161" t="s">
        <v>50</v>
      </c>
      <c r="E127" s="217"/>
      <c r="F127" s="217"/>
      <c r="G127" s="161" t="s">
        <v>50</v>
      </c>
      <c r="H127" s="217"/>
      <c r="I127" s="217"/>
      <c r="J127" s="161" t="s">
        <v>50</v>
      </c>
      <c r="K127" s="217"/>
      <c r="L127" s="217"/>
      <c r="M127" s="161" t="s">
        <v>50</v>
      </c>
      <c r="N127" s="217"/>
      <c r="O127" s="217"/>
      <c r="P127" s="161" t="s">
        <v>50</v>
      </c>
      <c r="Q127" s="217"/>
      <c r="R127" s="217"/>
      <c r="S127" s="161" t="s">
        <v>50</v>
      </c>
      <c r="T127" s="207"/>
    </row>
    <row r="128" spans="1:21" x14ac:dyDescent="0.25">
      <c r="A128" s="16" t="s">
        <v>38</v>
      </c>
      <c r="B128" s="111"/>
      <c r="C128" s="10"/>
      <c r="D128" s="14">
        <f>B128/$A$127</f>
        <v>0</v>
      </c>
      <c r="E128" s="111">
        <v>32497245</v>
      </c>
      <c r="F128" s="10"/>
      <c r="G128" s="14">
        <f>E128/$A$127</f>
        <v>3.2490802463761063E-2</v>
      </c>
      <c r="H128" s="111">
        <v>59121740</v>
      </c>
      <c r="I128" s="10"/>
      <c r="J128" s="14">
        <f>H128/$A$127</f>
        <v>5.9110019192514351E-2</v>
      </c>
      <c r="K128" s="7">
        <v>38971189</v>
      </c>
      <c r="L128" s="10"/>
      <c r="M128" s="14">
        <f>K128/$A$127</f>
        <v>3.896346301284611E-2</v>
      </c>
      <c r="N128" s="7">
        <v>65651976</v>
      </c>
      <c r="O128" s="10"/>
      <c r="P128" s="14">
        <f>N128/$A$127</f>
        <v>6.5638960581784159E-2</v>
      </c>
      <c r="Q128" s="111"/>
      <c r="R128" s="10"/>
      <c r="S128" s="14">
        <f>Q128/$A$127</f>
        <v>0</v>
      </c>
      <c r="T128" s="9"/>
    </row>
    <row r="129" spans="1:20" x14ac:dyDescent="0.25">
      <c r="A129" s="16" t="s">
        <v>39</v>
      </c>
      <c r="B129" s="111"/>
      <c r="C129" s="10"/>
      <c r="D129" s="14">
        <f t="shared" ref="D129:D134" si="11">B129/$A$127</f>
        <v>0</v>
      </c>
      <c r="E129" s="111">
        <v>31950209</v>
      </c>
      <c r="F129" s="10"/>
      <c r="G129" s="14">
        <f t="shared" ref="G129:G134" si="12">E129/$A$127</f>
        <v>3.1943874912931262E-2</v>
      </c>
      <c r="H129" s="111">
        <v>39894461</v>
      </c>
      <c r="I129" s="10"/>
      <c r="J129" s="14">
        <f t="shared" ref="J129:J134" si="13">H129/$A$127</f>
        <v>3.9886551975381906E-2</v>
      </c>
      <c r="K129" s="7">
        <v>42248623.979999997</v>
      </c>
      <c r="L129" s="10"/>
      <c r="M129" s="14">
        <f t="shared" ref="M129:M134" si="14">K129/$A$127</f>
        <v>4.2240248245655865E-2</v>
      </c>
      <c r="N129" s="7">
        <v>65380247</v>
      </c>
      <c r="O129" s="10"/>
      <c r="P129" s="14">
        <f t="shared" ref="P129:P134" si="15">N129/$A$127</f>
        <v>6.5367285451702353E-2</v>
      </c>
      <c r="Q129" s="111"/>
      <c r="R129" s="10"/>
      <c r="S129" s="14">
        <f t="shared" ref="S129:S134" si="16">Q129/$A$127</f>
        <v>0</v>
      </c>
      <c r="T129" s="9"/>
    </row>
    <row r="130" spans="1:20" x14ac:dyDescent="0.25">
      <c r="A130" s="16" t="s">
        <v>40</v>
      </c>
      <c r="B130" s="111"/>
      <c r="C130" s="10"/>
      <c r="D130" s="14">
        <f t="shared" si="11"/>
        <v>0</v>
      </c>
      <c r="E130" s="111">
        <v>59939040</v>
      </c>
      <c r="F130" s="10"/>
      <c r="G130" s="14">
        <f t="shared" si="12"/>
        <v>5.9927157163860295E-2</v>
      </c>
      <c r="H130" s="111">
        <v>52807444</v>
      </c>
      <c r="I130" s="10"/>
      <c r="J130" s="14">
        <f t="shared" si="13"/>
        <v>5.2796974993422507E-2</v>
      </c>
      <c r="K130" s="7">
        <v>47769594.57</v>
      </c>
      <c r="L130" s="10"/>
      <c r="M130" s="14">
        <f t="shared" si="14"/>
        <v>4.7760124310470727E-2</v>
      </c>
      <c r="N130" s="7">
        <v>67584323</v>
      </c>
      <c r="O130" s="10"/>
      <c r="P130" s="14">
        <f t="shared" si="15"/>
        <v>6.7570924496523438E-2</v>
      </c>
      <c r="Q130" s="111"/>
      <c r="R130" s="10"/>
      <c r="S130" s="14">
        <f t="shared" si="16"/>
        <v>0</v>
      </c>
      <c r="T130" s="9"/>
    </row>
    <row r="131" spans="1:20" x14ac:dyDescent="0.25">
      <c r="A131" s="16" t="s">
        <v>41</v>
      </c>
      <c r="B131" s="111">
        <v>15340261.6</v>
      </c>
      <c r="C131" s="10"/>
      <c r="D131" s="14">
        <f>B131/$A$127</f>
        <v>1.5337220413238699E-2</v>
      </c>
      <c r="E131" s="111">
        <v>31659894</v>
      </c>
      <c r="F131" s="10"/>
      <c r="G131" s="14">
        <f>E131/$A$127</f>
        <v>3.1653617467499603E-2</v>
      </c>
      <c r="H131" s="111">
        <v>12447314</v>
      </c>
      <c r="I131" s="10"/>
      <c r="J131" s="14">
        <f>H131/$A$127</f>
        <v>1.2444846336309667E-2</v>
      </c>
      <c r="K131" s="7">
        <v>60573320</v>
      </c>
      <c r="L131" s="10"/>
      <c r="M131" s="14">
        <f>K131/$A$127</f>
        <v>6.0561311418681416E-2</v>
      </c>
      <c r="N131" s="7">
        <v>54053958</v>
      </c>
      <c r="O131" s="10"/>
      <c r="P131" s="14">
        <f>N131/$A$127</f>
        <v>5.4043241873655355E-2</v>
      </c>
      <c r="Q131" s="111"/>
      <c r="R131" s="10"/>
      <c r="S131" s="14">
        <f>Q131/$A$127</f>
        <v>0</v>
      </c>
      <c r="T131" s="9"/>
    </row>
    <row r="132" spans="1:20" x14ac:dyDescent="0.25">
      <c r="A132" s="16" t="s">
        <v>42</v>
      </c>
      <c r="B132" s="111">
        <v>39796972</v>
      </c>
      <c r="C132" s="10"/>
      <c r="D132" s="14">
        <f>B132/$A$127</f>
        <v>3.978908230244841E-2</v>
      </c>
      <c r="E132" s="111">
        <v>40950249.780000001</v>
      </c>
      <c r="F132" s="10"/>
      <c r="G132" s="14">
        <f>E132/$A$127</f>
        <v>4.0942131446639711E-2</v>
      </c>
      <c r="H132" s="111">
        <v>35578758</v>
      </c>
      <c r="I132" s="10"/>
      <c r="J132" s="14">
        <f>H132/$A$127</f>
        <v>3.5571704557846633E-2</v>
      </c>
      <c r="K132" s="7">
        <v>48173721</v>
      </c>
      <c r="L132" s="10"/>
      <c r="M132" s="14">
        <f>K132/$A$127</f>
        <v>4.8164170622935522E-2</v>
      </c>
      <c r="N132" s="7">
        <v>119593343</v>
      </c>
      <c r="O132" s="10"/>
      <c r="P132" s="14">
        <f>N132/$A$127</f>
        <v>0.11956963377645774</v>
      </c>
      <c r="Q132" s="111"/>
      <c r="R132" s="10"/>
      <c r="S132" s="14">
        <f>Q132/$A$127</f>
        <v>0</v>
      </c>
      <c r="T132" s="9"/>
    </row>
    <row r="133" spans="1:20" x14ac:dyDescent="0.25">
      <c r="A133" s="16" t="s">
        <v>43</v>
      </c>
      <c r="B133" s="111"/>
      <c r="C133" s="111">
        <v>2101606</v>
      </c>
      <c r="D133" s="14">
        <f>C133/$A$127</f>
        <v>2.1011893593643103E-3</v>
      </c>
      <c r="E133" s="7"/>
      <c r="F133" s="7">
        <v>5305883</v>
      </c>
      <c r="G133" s="14">
        <f>F133/$A$127</f>
        <v>5.3048311156477408E-3</v>
      </c>
      <c r="H133" s="111"/>
      <c r="I133" s="111">
        <v>4548285</v>
      </c>
      <c r="J133" s="14">
        <f>I133/$A$127</f>
        <v>4.5473833084585325E-3</v>
      </c>
      <c r="K133" s="7"/>
      <c r="L133" s="7">
        <v>13224506</v>
      </c>
      <c r="M133" s="14">
        <f>L133/$A$127</f>
        <v>1.3221884259014048E-2</v>
      </c>
      <c r="N133" s="7"/>
      <c r="O133" s="7">
        <v>2085748</v>
      </c>
      <c r="P133" s="14">
        <f>O133/$A$127</f>
        <v>2.0853345031920309E-3</v>
      </c>
      <c r="Q133" s="9"/>
      <c r="R133" s="111"/>
      <c r="S133" s="14">
        <f>R133/$A$127</f>
        <v>0</v>
      </c>
      <c r="T133" s="9"/>
    </row>
    <row r="134" spans="1:20" x14ac:dyDescent="0.25">
      <c r="A134" s="16" t="s">
        <v>44</v>
      </c>
      <c r="B134" s="10"/>
      <c r="C134" s="10"/>
      <c r="D134" s="14">
        <f t="shared" si="11"/>
        <v>0</v>
      </c>
      <c r="E134" s="10"/>
      <c r="F134" s="10"/>
      <c r="G134" s="14">
        <f t="shared" si="12"/>
        <v>0</v>
      </c>
      <c r="H134" s="10"/>
      <c r="I134" s="10"/>
      <c r="J134" s="14">
        <f t="shared" si="13"/>
        <v>0</v>
      </c>
      <c r="K134" s="10"/>
      <c r="L134" s="10"/>
      <c r="M134" s="14">
        <f t="shared" si="14"/>
        <v>0</v>
      </c>
      <c r="N134" s="10"/>
      <c r="O134" s="10"/>
      <c r="P134" s="14">
        <f t="shared" si="15"/>
        <v>0</v>
      </c>
      <c r="Q134" s="10"/>
      <c r="R134" s="10"/>
      <c r="S134" s="14">
        <f t="shared" si="16"/>
        <v>0</v>
      </c>
      <c r="T134" s="9"/>
    </row>
    <row r="135" spans="1:20" x14ac:dyDescent="0.25">
      <c r="A135" s="16" t="s">
        <v>45</v>
      </c>
      <c r="B135" s="146">
        <f>SUM(B128:B134)</f>
        <v>55137233.600000001</v>
      </c>
      <c r="C135" s="10">
        <f>SUM(C128:C134)</f>
        <v>2101606</v>
      </c>
      <c r="D135" s="30">
        <f>SUM(B135:C135)</f>
        <v>57238839.600000001</v>
      </c>
      <c r="E135" s="146">
        <f>SUM(E128:E134)</f>
        <v>196996637.78</v>
      </c>
      <c r="F135" s="10">
        <f>SUM(F128:F134)</f>
        <v>5305883</v>
      </c>
      <c r="G135" s="30">
        <f>SUM(E135:F135)</f>
        <v>202302520.78</v>
      </c>
      <c r="H135" s="146">
        <f>SUM(H128:H134)</f>
        <v>199849717</v>
      </c>
      <c r="I135" s="10">
        <f>SUM(I128:I134)</f>
        <v>4548285</v>
      </c>
      <c r="J135" s="30">
        <f>SUM(H135:I135)</f>
        <v>204398002</v>
      </c>
      <c r="K135" s="146">
        <f>SUM(K128:K134)</f>
        <v>237736448.54999998</v>
      </c>
      <c r="L135" s="10">
        <f>SUM(L128:L134)</f>
        <v>13224506</v>
      </c>
      <c r="M135" s="30">
        <f>SUM(K135:L135)</f>
        <v>250960954.54999998</v>
      </c>
      <c r="N135" s="146">
        <f>SUM(N128:N134)</f>
        <v>372263847</v>
      </c>
      <c r="O135" s="10">
        <f>SUM(O128:O134)</f>
        <v>2085748</v>
      </c>
      <c r="P135" s="30">
        <f>SUM(N135:O135)</f>
        <v>374349595</v>
      </c>
      <c r="Q135" s="10">
        <f>SUM(Q129:Q134)</f>
        <v>0</v>
      </c>
      <c r="R135" s="10">
        <f>SUM(R128:R134)</f>
        <v>0</v>
      </c>
      <c r="S135" s="30">
        <f>SUM(Q135:R135)</f>
        <v>0</v>
      </c>
      <c r="T135" s="11">
        <f>C135+B135+E135+F135+H135+I135+K135+L135+N135+O135+Q135+R135</f>
        <v>1089249911.9299998</v>
      </c>
    </row>
    <row r="136" spans="1:20" x14ac:dyDescent="0.25">
      <c r="A136" s="18" t="s">
        <v>48</v>
      </c>
      <c r="B136" s="14">
        <f>B135/$A$127</f>
        <v>5.5126302715687116E-2</v>
      </c>
      <c r="C136" s="14">
        <f>C135/$A$127</f>
        <v>2.1011893593643103E-3</v>
      </c>
      <c r="D136" s="31">
        <f>B136+C136</f>
        <v>5.7227492075051428E-2</v>
      </c>
      <c r="E136" s="14">
        <f>E135/$A$127</f>
        <v>0.19695758345469194</v>
      </c>
      <c r="F136" s="14">
        <f>F135/$A$127</f>
        <v>5.3048311156477408E-3</v>
      </c>
      <c r="G136" s="31">
        <f>E136+F136</f>
        <v>0.20226241457033969</v>
      </c>
      <c r="H136" s="14">
        <f>H135/$A$127</f>
        <v>0.19981009705547506</v>
      </c>
      <c r="I136" s="14">
        <f>I135/$A$127</f>
        <v>4.5473833084585325E-3</v>
      </c>
      <c r="J136" s="31">
        <f>H136+I136</f>
        <v>0.20435748036393359</v>
      </c>
      <c r="K136" s="14">
        <f>K135/$A$127</f>
        <v>0.23768931761058962</v>
      </c>
      <c r="L136" s="14">
        <f>L135/$A$127</f>
        <v>1.3221884259014048E-2</v>
      </c>
      <c r="M136" s="31">
        <f>K136+L136</f>
        <v>0.25091120186960364</v>
      </c>
      <c r="N136" s="14">
        <f>N135/$A$127</f>
        <v>0.37219004618012302</v>
      </c>
      <c r="O136" s="14">
        <f>O135/$A$127</f>
        <v>2.0853345031920309E-3</v>
      </c>
      <c r="P136" s="31">
        <f>N136+O136</f>
        <v>0.37427538068331506</v>
      </c>
      <c r="Q136" s="14">
        <f>Q135/$G$93</f>
        <v>0</v>
      </c>
      <c r="R136" s="14">
        <f>R135/$G$93</f>
        <v>0</v>
      </c>
      <c r="S136" s="31">
        <f>Q136+R136</f>
        <v>0</v>
      </c>
      <c r="T136" s="14">
        <f>SUM(D136+G136+J136+M136+P136+S136)</f>
        <v>1.0890339695622433</v>
      </c>
    </row>
    <row r="137" spans="1:20" x14ac:dyDescent="0.25">
      <c r="A137" s="16" t="s">
        <v>57</v>
      </c>
      <c r="D137" s="22">
        <f>AVERAGE(D131:D132)</f>
        <v>2.7563151357843554E-2</v>
      </c>
      <c r="G137" s="22">
        <f>AVERAGE(G128:G132)</f>
        <v>3.9391516690938391E-2</v>
      </c>
      <c r="J137" s="22">
        <f>AVERAGE(J128:J132)</f>
        <v>3.9962019411095014E-2</v>
      </c>
      <c r="M137" s="22">
        <f>AVERAGE(M128:M132)</f>
        <v>4.7537863522117925E-2</v>
      </c>
      <c r="P137" s="22">
        <f>AVERAGE(P128:P131)</f>
        <v>6.3155103100916321E-2</v>
      </c>
    </row>
    <row r="138" spans="1:20" ht="30.75" thickBot="1" x14ac:dyDescent="0.3">
      <c r="A138" s="37" t="s">
        <v>58</v>
      </c>
      <c r="B138" s="14">
        <f>(D133+G133+J133+M133+P133)/5</f>
        <v>5.452124509135332E-3</v>
      </c>
    </row>
    <row r="139" spans="1:20" ht="15.75" thickBot="1" x14ac:dyDescent="0.3">
      <c r="A139" s="89"/>
      <c r="B139" s="88"/>
      <c r="N139" s="8"/>
    </row>
    <row r="140" spans="1:20" x14ac:dyDescent="0.25">
      <c r="A140" s="37"/>
      <c r="B140" s="14"/>
    </row>
    <row r="144" spans="1:20" x14ac:dyDescent="0.25">
      <c r="A144" s="16" t="s">
        <v>81</v>
      </c>
      <c r="B144" s="208" t="s">
        <v>32</v>
      </c>
      <c r="C144" s="208" t="s">
        <v>33</v>
      </c>
      <c r="D144" s="161" t="s">
        <v>49</v>
      </c>
      <c r="E144" s="208" t="s">
        <v>34</v>
      </c>
      <c r="F144" s="208" t="s">
        <v>35</v>
      </c>
      <c r="G144" s="161" t="s">
        <v>49</v>
      </c>
      <c r="H144" s="208" t="s">
        <v>36</v>
      </c>
      <c r="I144" s="208" t="s">
        <v>33</v>
      </c>
      <c r="J144" s="161" t="s">
        <v>49</v>
      </c>
      <c r="K144" s="208" t="s">
        <v>37</v>
      </c>
      <c r="L144" s="208" t="s">
        <v>33</v>
      </c>
      <c r="M144" s="161" t="s">
        <v>49</v>
      </c>
      <c r="N144" s="208" t="s">
        <v>46</v>
      </c>
      <c r="O144" s="208" t="s">
        <v>33</v>
      </c>
      <c r="P144" s="161" t="s">
        <v>49</v>
      </c>
      <c r="Q144" s="216" t="s">
        <v>54</v>
      </c>
      <c r="R144" s="216" t="s">
        <v>33</v>
      </c>
      <c r="S144" s="161" t="s">
        <v>49</v>
      </c>
      <c r="T144" s="206" t="s">
        <v>47</v>
      </c>
    </row>
    <row r="145" spans="1:20" x14ac:dyDescent="0.25">
      <c r="A145" s="93">
        <v>811075092</v>
      </c>
      <c r="B145" s="208"/>
      <c r="C145" s="208"/>
      <c r="D145" s="161" t="s">
        <v>50</v>
      </c>
      <c r="E145" s="208"/>
      <c r="F145" s="208"/>
      <c r="G145" s="161" t="s">
        <v>50</v>
      </c>
      <c r="H145" s="208"/>
      <c r="I145" s="208"/>
      <c r="J145" s="161" t="s">
        <v>50</v>
      </c>
      <c r="K145" s="208"/>
      <c r="L145" s="208"/>
      <c r="M145" s="161" t="s">
        <v>50</v>
      </c>
      <c r="N145" s="208"/>
      <c r="O145" s="208"/>
      <c r="P145" s="161" t="s">
        <v>50</v>
      </c>
      <c r="Q145" s="217"/>
      <c r="R145" s="217"/>
      <c r="S145" s="161" t="s">
        <v>50</v>
      </c>
      <c r="T145" s="207"/>
    </row>
    <row r="146" spans="1:20" x14ac:dyDescent="0.25">
      <c r="A146" s="16" t="s">
        <v>38</v>
      </c>
      <c r="B146" s="7">
        <v>17910126</v>
      </c>
      <c r="C146" s="10"/>
      <c r="D146" s="14">
        <f>B146/$A$145</f>
        <v>2.208195785649894E-2</v>
      </c>
      <c r="E146" s="7">
        <v>30219166</v>
      </c>
      <c r="F146" s="10"/>
      <c r="G146" s="14">
        <f>E146/$A$145</f>
        <v>3.7258160555126506E-2</v>
      </c>
      <c r="H146" s="111">
        <v>27649026</v>
      </c>
      <c r="I146" s="10"/>
      <c r="J146" s="14">
        <f>H146/$A$145</f>
        <v>3.4089354084122211E-2</v>
      </c>
      <c r="K146" s="7">
        <v>56822600.479999997</v>
      </c>
      <c r="L146" s="10"/>
      <c r="M146" s="14">
        <f>K146/$A$145</f>
        <v>7.0058371956514223E-2</v>
      </c>
      <c r="N146" s="111">
        <v>96175955</v>
      </c>
      <c r="O146" s="10"/>
      <c r="P146" s="14">
        <f>N146/$A$145</f>
        <v>0.11857836092937249</v>
      </c>
      <c r="Q146" s="111"/>
      <c r="R146" s="10"/>
      <c r="S146" s="14">
        <f>Q146/$A$145</f>
        <v>0</v>
      </c>
      <c r="T146" s="9"/>
    </row>
    <row r="147" spans="1:20" x14ac:dyDescent="0.25">
      <c r="A147" s="16" t="s">
        <v>39</v>
      </c>
      <c r="B147" s="7">
        <v>42837453</v>
      </c>
      <c r="C147" s="10"/>
      <c r="D147" s="14">
        <f t="shared" ref="D147:D152" si="17">B147/$A$145</f>
        <v>5.2815643609975385E-2</v>
      </c>
      <c r="E147" s="7">
        <v>68500230</v>
      </c>
      <c r="F147" s="10"/>
      <c r="G147" s="14">
        <f t="shared" ref="G147:G152" si="18">E147/$A$145</f>
        <v>8.4456088808112478E-2</v>
      </c>
      <c r="H147" s="111">
        <v>13065978</v>
      </c>
      <c r="I147" s="10"/>
      <c r="J147" s="14">
        <f t="shared" ref="J147:J152" si="19">H147/$A$145</f>
        <v>1.6109455374570914E-2</v>
      </c>
      <c r="K147" s="7">
        <v>36418222</v>
      </c>
      <c r="L147" s="10"/>
      <c r="M147" s="14">
        <f t="shared" ref="M147:M152" si="20">K147/$A$145</f>
        <v>4.4901171740088404E-2</v>
      </c>
      <c r="N147" s="111"/>
      <c r="O147" s="10"/>
      <c r="P147" s="14">
        <f t="shared" ref="P147:P152" si="21">N147/$A$145</f>
        <v>0</v>
      </c>
      <c r="Q147" s="111"/>
      <c r="R147" s="10"/>
      <c r="S147" s="14">
        <f t="shared" ref="S147:S152" si="22">Q147/$A$145</f>
        <v>0</v>
      </c>
      <c r="T147" s="9"/>
    </row>
    <row r="148" spans="1:20" x14ac:dyDescent="0.25">
      <c r="A148" s="16" t="s">
        <v>40</v>
      </c>
      <c r="B148" s="7">
        <v>55471865</v>
      </c>
      <c r="C148" s="10"/>
      <c r="D148" s="14">
        <f t="shared" si="17"/>
        <v>6.839300768466948E-2</v>
      </c>
      <c r="E148" s="7">
        <v>69644414</v>
      </c>
      <c r="F148" s="10"/>
      <c r="G148" s="14">
        <f t="shared" si="18"/>
        <v>8.5866789261480614E-2</v>
      </c>
      <c r="H148" s="111"/>
      <c r="I148" s="10"/>
      <c r="J148" s="14">
        <f t="shared" si="19"/>
        <v>0</v>
      </c>
      <c r="K148" s="7">
        <v>65025146</v>
      </c>
      <c r="L148" s="10"/>
      <c r="M148" s="14">
        <f t="shared" si="20"/>
        <v>8.017154840701235E-2</v>
      </c>
      <c r="N148" s="111"/>
      <c r="O148" s="10"/>
      <c r="P148" s="14">
        <f t="shared" si="21"/>
        <v>0</v>
      </c>
      <c r="Q148" s="111"/>
      <c r="R148" s="10"/>
      <c r="S148" s="14">
        <f t="shared" si="22"/>
        <v>0</v>
      </c>
      <c r="T148" s="9"/>
    </row>
    <row r="149" spans="1:20" x14ac:dyDescent="0.25">
      <c r="A149" s="16" t="s">
        <v>41</v>
      </c>
      <c r="B149" s="7">
        <v>51574320</v>
      </c>
      <c r="C149" s="10"/>
      <c r="D149" s="14">
        <f t="shared" si="17"/>
        <v>6.3587601824665579E-2</v>
      </c>
      <c r="E149" s="7">
        <v>41541452</v>
      </c>
      <c r="F149" s="10"/>
      <c r="G149" s="14">
        <f t="shared" si="18"/>
        <v>5.1217763200648254E-2</v>
      </c>
      <c r="H149" s="111"/>
      <c r="I149" s="10"/>
      <c r="J149" s="14">
        <f t="shared" si="19"/>
        <v>0</v>
      </c>
      <c r="K149" s="7">
        <v>54112048</v>
      </c>
      <c r="L149" s="10"/>
      <c r="M149" s="14">
        <f t="shared" si="20"/>
        <v>6.6716446521082412E-2</v>
      </c>
      <c r="N149" s="111"/>
      <c r="O149" s="10"/>
      <c r="P149" s="14">
        <f t="shared" si="21"/>
        <v>0</v>
      </c>
      <c r="Q149" s="111"/>
      <c r="R149" s="10"/>
      <c r="S149" s="14">
        <f t="shared" si="22"/>
        <v>0</v>
      </c>
      <c r="T149" s="9"/>
    </row>
    <row r="150" spans="1:20" x14ac:dyDescent="0.25">
      <c r="A150" s="16" t="s">
        <v>42</v>
      </c>
      <c r="B150" s="7">
        <v>39337699</v>
      </c>
      <c r="C150" s="10"/>
      <c r="D150" s="14">
        <f t="shared" si="17"/>
        <v>4.8500686789676437E-2</v>
      </c>
      <c r="E150" s="7">
        <v>53527343</v>
      </c>
      <c r="F150" s="10"/>
      <c r="G150" s="14">
        <f t="shared" si="18"/>
        <v>6.5995545329852148E-2</v>
      </c>
      <c r="H150" s="111"/>
      <c r="I150" s="10"/>
      <c r="J150" s="14">
        <f t="shared" si="19"/>
        <v>0</v>
      </c>
      <c r="K150" s="7">
        <v>56317232</v>
      </c>
      <c r="L150" s="10"/>
      <c r="M150" s="14">
        <f t="shared" si="20"/>
        <v>6.9435287256978173E-2</v>
      </c>
      <c r="N150" s="111"/>
      <c r="O150" s="10"/>
      <c r="P150" s="14">
        <f t="shared" si="21"/>
        <v>0</v>
      </c>
      <c r="Q150" s="111"/>
      <c r="R150" s="10"/>
      <c r="S150" s="14">
        <f t="shared" si="22"/>
        <v>0</v>
      </c>
      <c r="T150" s="9"/>
    </row>
    <row r="151" spans="1:20" x14ac:dyDescent="0.25">
      <c r="A151" s="16" t="s">
        <v>43</v>
      </c>
      <c r="B151" s="7"/>
      <c r="C151" s="7">
        <v>2723067</v>
      </c>
      <c r="D151" s="14">
        <f>C151/$A$145</f>
        <v>3.3573549808875156E-3</v>
      </c>
      <c r="E151" s="7"/>
      <c r="F151" s="7">
        <v>3950719</v>
      </c>
      <c r="G151" s="14">
        <f>F151/$A$145</f>
        <v>4.8709657576317235E-3</v>
      </c>
      <c r="H151" s="111"/>
      <c r="I151" s="111"/>
      <c r="J151" s="14">
        <f t="shared" si="19"/>
        <v>0</v>
      </c>
      <c r="K151" s="7"/>
      <c r="L151" s="7">
        <v>5252953</v>
      </c>
      <c r="M151" s="14">
        <f>L151/$A$145</f>
        <v>6.476531028769405E-3</v>
      </c>
      <c r="N151" s="111"/>
      <c r="O151" s="111"/>
      <c r="P151" s="14">
        <f t="shared" si="21"/>
        <v>0</v>
      </c>
      <c r="Q151" s="111"/>
      <c r="R151" s="111"/>
      <c r="S151" s="14">
        <f t="shared" si="22"/>
        <v>0</v>
      </c>
      <c r="T151" s="9"/>
    </row>
    <row r="152" spans="1:20" x14ac:dyDescent="0.25">
      <c r="A152" s="16" t="s">
        <v>44</v>
      </c>
      <c r="B152" s="10"/>
      <c r="C152" s="10"/>
      <c r="D152" s="14">
        <f t="shared" si="17"/>
        <v>0</v>
      </c>
      <c r="E152" s="10"/>
      <c r="F152" s="10"/>
      <c r="G152" s="14">
        <f t="shared" si="18"/>
        <v>0</v>
      </c>
      <c r="H152" s="10"/>
      <c r="I152" s="10"/>
      <c r="J152" s="14">
        <f t="shared" si="19"/>
        <v>0</v>
      </c>
      <c r="K152" s="10"/>
      <c r="L152" s="10"/>
      <c r="M152" s="14">
        <f t="shared" si="20"/>
        <v>0</v>
      </c>
      <c r="N152" s="10"/>
      <c r="O152" s="10"/>
      <c r="P152" s="14">
        <f t="shared" si="21"/>
        <v>0</v>
      </c>
      <c r="Q152" s="10"/>
      <c r="R152" s="10"/>
      <c r="S152" s="14">
        <f t="shared" si="22"/>
        <v>0</v>
      </c>
      <c r="T152" s="9"/>
    </row>
    <row r="153" spans="1:20" x14ac:dyDescent="0.25">
      <c r="A153" s="16" t="s">
        <v>45</v>
      </c>
      <c r="B153" s="146">
        <f>SUM(B146:B152)</f>
        <v>207131463</v>
      </c>
      <c r="C153" s="10">
        <f>SUM(C146:C152)</f>
        <v>2723067</v>
      </c>
      <c r="D153" s="147">
        <f>SUM(B153:C153)</f>
        <v>209854530</v>
      </c>
      <c r="E153" s="146">
        <f>SUM(E146:E152)</f>
        <v>263432605</v>
      </c>
      <c r="F153" s="10">
        <f>SUM(F146:F152)</f>
        <v>3950719</v>
      </c>
      <c r="G153" s="147">
        <f>SUM(E153:F153)</f>
        <v>267383324</v>
      </c>
      <c r="H153" s="146">
        <f>SUM(H146:H152)</f>
        <v>40715004</v>
      </c>
      <c r="I153" s="10">
        <f>SUM(I146:I152)</f>
        <v>0</v>
      </c>
      <c r="J153" s="147">
        <f>SUM(H153:I153)</f>
        <v>40715004</v>
      </c>
      <c r="K153" s="146">
        <f>SUM(K146:K152)</f>
        <v>268695248.48000002</v>
      </c>
      <c r="L153" s="10">
        <f>SUM(L146:L152)</f>
        <v>5252953</v>
      </c>
      <c r="M153" s="147">
        <f>SUM(K153:L153)</f>
        <v>273948201.48000002</v>
      </c>
      <c r="N153" s="146">
        <f>SUM(N146:N152)</f>
        <v>96175955</v>
      </c>
      <c r="O153" s="10">
        <f>SUM(O146:O152)</f>
        <v>0</v>
      </c>
      <c r="P153" s="147">
        <f>SUM(N153:O153)</f>
        <v>96175955</v>
      </c>
      <c r="Q153" s="146">
        <f>SUM(Q146:Q152)</f>
        <v>0</v>
      </c>
      <c r="R153" s="10">
        <f>SUM(R146:R152)</f>
        <v>0</v>
      </c>
      <c r="S153" s="147">
        <f>SUM(Q153:R153)</f>
        <v>0</v>
      </c>
      <c r="T153" s="11">
        <f>C153+B153+E153+F153+H153+I153+K153+L153+N153+O153+Q153+R153</f>
        <v>888077014.48000002</v>
      </c>
    </row>
    <row r="154" spans="1:20" x14ac:dyDescent="0.25">
      <c r="A154" s="18" t="s">
        <v>48</v>
      </c>
      <c r="B154" s="14">
        <f>B153/$A$145</f>
        <v>0.25537889776548583</v>
      </c>
      <c r="C154" s="14">
        <f>C153/$A$145</f>
        <v>3.3573549808875156E-3</v>
      </c>
      <c r="D154" s="31">
        <f>B154+C154</f>
        <v>0.25873625274637335</v>
      </c>
      <c r="E154" s="14">
        <f>E153/$A$145</f>
        <v>0.32479434715521999</v>
      </c>
      <c r="F154" s="14">
        <f>F153/$A$145</f>
        <v>4.8709657576317235E-3</v>
      </c>
      <c r="G154" s="31">
        <f>E154+F154</f>
        <v>0.32966531291285173</v>
      </c>
      <c r="H154" s="14">
        <f>H153/$A$145</f>
        <v>5.0198809458693129E-2</v>
      </c>
      <c r="I154" s="14">
        <f>I153/$A$145</f>
        <v>0</v>
      </c>
      <c r="J154" s="31">
        <f>H154+I154</f>
        <v>5.0198809458693129E-2</v>
      </c>
      <c r="K154" s="14">
        <f>K153/$A$145</f>
        <v>0.33128282588167562</v>
      </c>
      <c r="L154" s="14">
        <f>L153/$A$145</f>
        <v>6.476531028769405E-3</v>
      </c>
      <c r="M154" s="31">
        <f>K154+L154</f>
        <v>0.33775935691044501</v>
      </c>
      <c r="N154" s="14">
        <f>N153/$A$145</f>
        <v>0.11857836092937249</v>
      </c>
      <c r="O154" s="14">
        <f>O153/$A$145</f>
        <v>0</v>
      </c>
      <c r="P154" s="31">
        <f>N154+O154</f>
        <v>0.11857836092937249</v>
      </c>
      <c r="Q154" s="14">
        <f>Q153/$A$145</f>
        <v>0</v>
      </c>
      <c r="R154" s="14">
        <f>R153/$A$145</f>
        <v>0</v>
      </c>
      <c r="S154" s="31">
        <f>Q154+R154</f>
        <v>0</v>
      </c>
      <c r="T154" s="14">
        <f>SUM(D154+G154+J154+M154+P154+S154)</f>
        <v>1.0949380929577357</v>
      </c>
    </row>
    <row r="155" spans="1:20" x14ac:dyDescent="0.25">
      <c r="A155" s="16" t="s">
        <v>57</v>
      </c>
      <c r="D155" s="22">
        <f>AVERAGE(D146:D150)</f>
        <v>5.1075779553097167E-2</v>
      </c>
      <c r="G155" s="22">
        <f>AVERAGE(G146:G150)</f>
        <v>6.4958869431043995E-2</v>
      </c>
      <c r="J155" s="22">
        <f>AVERAGE(J146:J147)</f>
        <v>2.5099404729346561E-2</v>
      </c>
      <c r="M155" s="22">
        <f>AVERAGE(M146:M150)</f>
        <v>6.6256565176335117E-2</v>
      </c>
      <c r="P155" s="22">
        <f>AVERAGE(P146)</f>
        <v>0.11857836092937249</v>
      </c>
      <c r="S155" s="22">
        <f>AVERAGE(S146:S150)</f>
        <v>0</v>
      </c>
    </row>
    <row r="156" spans="1:20" ht="30.75" thickBot="1" x14ac:dyDescent="0.3">
      <c r="A156" s="37" t="s">
        <v>58</v>
      </c>
      <c r="B156" s="14">
        <f>(D151+G151+J151+M151)/4</f>
        <v>3.6762129418221609E-3</v>
      </c>
    </row>
    <row r="157" spans="1:20" ht="15.75" thickBot="1" x14ac:dyDescent="0.3">
      <c r="A157" s="89"/>
      <c r="B157" s="88"/>
      <c r="N157" s="8"/>
    </row>
    <row r="161" spans="1:21" x14ac:dyDescent="0.25">
      <c r="A161" s="172">
        <v>43739</v>
      </c>
    </row>
    <row r="162" spans="1:21" ht="15" customHeight="1" x14ac:dyDescent="0.25">
      <c r="A162" s="16">
        <v>2019</v>
      </c>
      <c r="B162" s="208" t="s">
        <v>32</v>
      </c>
      <c r="C162" s="208" t="s">
        <v>33</v>
      </c>
      <c r="D162" s="173" t="s">
        <v>49</v>
      </c>
      <c r="E162" s="208" t="s">
        <v>34</v>
      </c>
      <c r="F162" s="208" t="s">
        <v>35</v>
      </c>
      <c r="G162" s="173" t="s">
        <v>49</v>
      </c>
      <c r="H162" s="208" t="s">
        <v>36</v>
      </c>
      <c r="I162" s="208" t="s">
        <v>33</v>
      </c>
      <c r="J162" s="173" t="s">
        <v>49</v>
      </c>
      <c r="K162" s="208" t="s">
        <v>37</v>
      </c>
      <c r="L162" s="208" t="s">
        <v>33</v>
      </c>
      <c r="M162" s="173" t="s">
        <v>49</v>
      </c>
      <c r="N162" s="208" t="s">
        <v>46</v>
      </c>
      <c r="O162" s="208" t="s">
        <v>33</v>
      </c>
      <c r="P162" s="173" t="s">
        <v>49</v>
      </c>
      <c r="Q162" s="216" t="s">
        <v>54</v>
      </c>
      <c r="R162" s="216" t="s">
        <v>33</v>
      </c>
      <c r="S162" s="173" t="s">
        <v>49</v>
      </c>
      <c r="T162" s="206" t="s">
        <v>47</v>
      </c>
      <c r="U162" s="202"/>
    </row>
    <row r="163" spans="1:21" x14ac:dyDescent="0.25">
      <c r="A163" s="93">
        <v>1189280738</v>
      </c>
      <c r="B163" s="208"/>
      <c r="C163" s="208"/>
      <c r="D163" s="173" t="s">
        <v>50</v>
      </c>
      <c r="E163" s="208"/>
      <c r="F163" s="208"/>
      <c r="G163" s="173" t="s">
        <v>50</v>
      </c>
      <c r="H163" s="208"/>
      <c r="I163" s="208"/>
      <c r="J163" s="173" t="s">
        <v>50</v>
      </c>
      <c r="K163" s="208"/>
      <c r="L163" s="208"/>
      <c r="M163" s="173" t="s">
        <v>50</v>
      </c>
      <c r="N163" s="208"/>
      <c r="O163" s="208"/>
      <c r="P163" s="173" t="s">
        <v>50</v>
      </c>
      <c r="Q163" s="217"/>
      <c r="R163" s="217"/>
      <c r="S163" s="173" t="s">
        <v>50</v>
      </c>
      <c r="T163" s="207"/>
      <c r="U163" s="202"/>
    </row>
    <row r="164" spans="1:21" x14ac:dyDescent="0.25">
      <c r="A164" s="16" t="s">
        <v>38</v>
      </c>
      <c r="B164" s="10"/>
      <c r="C164" s="10"/>
      <c r="D164" s="14">
        <f>B164/$A$163</f>
        <v>0</v>
      </c>
      <c r="E164" s="10">
        <v>27393983</v>
      </c>
      <c r="F164" s="10"/>
      <c r="G164" s="14">
        <f>E164/$A$163</f>
        <v>2.3034076080361104E-2</v>
      </c>
      <c r="H164" s="10">
        <v>56539305</v>
      </c>
      <c r="I164" s="10"/>
      <c r="J164" s="14">
        <f>H164/$A$163</f>
        <v>4.7540755679841847E-2</v>
      </c>
      <c r="K164" s="10">
        <v>22479666</v>
      </c>
      <c r="L164" s="10"/>
      <c r="M164" s="14">
        <v>0</v>
      </c>
      <c r="N164" s="3">
        <v>38484405</v>
      </c>
      <c r="O164" s="10"/>
      <c r="P164" s="14">
        <f>N164/$A$163</f>
        <v>3.2359394859718983E-2</v>
      </c>
      <c r="Q164" s="10"/>
      <c r="R164" s="10"/>
      <c r="S164" s="14">
        <f>Q164/$A$163</f>
        <v>0</v>
      </c>
      <c r="T164" s="9"/>
      <c r="U164" s="202"/>
    </row>
    <row r="165" spans="1:21" x14ac:dyDescent="0.25">
      <c r="A165" s="16" t="s">
        <v>39</v>
      </c>
      <c r="B165" s="10">
        <v>17181285</v>
      </c>
      <c r="C165" s="10"/>
      <c r="D165" s="14">
        <f t="shared" ref="D165:D170" si="23">B165/$A$163</f>
        <v>1.4446786575298926E-2</v>
      </c>
      <c r="E165" s="10">
        <v>57584507</v>
      </c>
      <c r="F165" s="10"/>
      <c r="G165" s="14">
        <f t="shared" ref="G165:G170" si="24">E165/$A$163</f>
        <v>4.8419607885720251E-2</v>
      </c>
      <c r="H165" s="10">
        <v>62483572.600000001</v>
      </c>
      <c r="I165" s="10"/>
      <c r="J165" s="14">
        <f t="shared" ref="J165:J170" si="25">H165/$A$163</f>
        <v>5.2538959560614697E-2</v>
      </c>
      <c r="K165" s="10">
        <v>33863850</v>
      </c>
      <c r="L165" s="10"/>
      <c r="M165" s="14">
        <v>1.4446786575298926E-2</v>
      </c>
      <c r="N165" s="10">
        <v>60826587</v>
      </c>
      <c r="O165" s="10"/>
      <c r="P165" s="14">
        <f t="shared" ref="P165:P170" si="26">N165/$A$163</f>
        <v>5.1145692565652233E-2</v>
      </c>
      <c r="Q165" s="10"/>
      <c r="R165" s="10"/>
      <c r="S165" s="14">
        <f t="shared" ref="S165:S170" si="27">Q165/$A$163</f>
        <v>0</v>
      </c>
      <c r="T165" s="9"/>
      <c r="U165" s="202"/>
    </row>
    <row r="166" spans="1:21" x14ac:dyDescent="0.25">
      <c r="A166" s="16" t="s">
        <v>40</v>
      </c>
      <c r="B166" s="10">
        <v>49492470</v>
      </c>
      <c r="C166" s="10"/>
      <c r="D166" s="14">
        <f t="shared" si="23"/>
        <v>4.1615464220189864E-2</v>
      </c>
      <c r="E166" s="10">
        <v>56881270</v>
      </c>
      <c r="F166" s="10"/>
      <c r="G166" s="14">
        <f t="shared" si="24"/>
        <v>4.782829502112057E-2</v>
      </c>
      <c r="H166" s="10">
        <v>55916198</v>
      </c>
      <c r="I166" s="10"/>
      <c r="J166" s="14">
        <f t="shared" si="25"/>
        <v>4.7016819673741321E-2</v>
      </c>
      <c r="K166" s="10">
        <v>45124370.880000003</v>
      </c>
      <c r="L166" s="10"/>
      <c r="M166" s="14">
        <v>4.1615464220189864E-2</v>
      </c>
      <c r="N166" s="10">
        <v>101586568</v>
      </c>
      <c r="O166" s="10"/>
      <c r="P166" s="14">
        <f t="shared" si="26"/>
        <v>8.5418492668801638E-2</v>
      </c>
      <c r="Q166" s="10"/>
      <c r="R166" s="10"/>
      <c r="S166" s="14">
        <f t="shared" si="27"/>
        <v>0</v>
      </c>
      <c r="T166" s="9"/>
      <c r="U166" s="202"/>
    </row>
    <row r="167" spans="1:21" x14ac:dyDescent="0.25">
      <c r="A167" s="16" t="s">
        <v>41</v>
      </c>
      <c r="B167" s="10">
        <v>42588503</v>
      </c>
      <c r="C167" s="10"/>
      <c r="D167" s="14">
        <f t="shared" si="23"/>
        <v>3.5810302512441765E-2</v>
      </c>
      <c r="E167" s="10">
        <v>52265575</v>
      </c>
      <c r="F167" s="10"/>
      <c r="G167" s="14">
        <f t="shared" si="24"/>
        <v>4.3947213916786736E-2</v>
      </c>
      <c r="H167" s="10">
        <v>44772199</v>
      </c>
      <c r="I167" s="10"/>
      <c r="J167" s="14">
        <f t="shared" si="25"/>
        <v>3.7646450976152948E-2</v>
      </c>
      <c r="K167" s="10">
        <v>47009732</v>
      </c>
      <c r="L167" s="10"/>
      <c r="M167" s="14">
        <v>3.5810302512441765E-2</v>
      </c>
      <c r="N167" s="10"/>
      <c r="O167" s="10"/>
      <c r="P167" s="14">
        <f t="shared" si="26"/>
        <v>0</v>
      </c>
      <c r="Q167" s="10"/>
      <c r="R167" s="10"/>
      <c r="S167" s="14">
        <f t="shared" si="27"/>
        <v>0</v>
      </c>
      <c r="T167" s="9"/>
    </row>
    <row r="168" spans="1:21" x14ac:dyDescent="0.25">
      <c r="A168" s="16" t="s">
        <v>42</v>
      </c>
      <c r="B168" s="10">
        <v>52775835</v>
      </c>
      <c r="C168" s="10"/>
      <c r="D168" s="14">
        <f t="shared" si="23"/>
        <v>4.4376263159489594E-2</v>
      </c>
      <c r="E168" s="10">
        <v>40501950</v>
      </c>
      <c r="F168" s="10"/>
      <c r="G168" s="14">
        <f t="shared" si="24"/>
        <v>3.4055836192312061E-2</v>
      </c>
      <c r="H168" s="10">
        <v>44687767</v>
      </c>
      <c r="I168" s="10"/>
      <c r="J168" s="14">
        <f t="shared" si="25"/>
        <v>3.7575456805220703E-2</v>
      </c>
      <c r="K168" s="10">
        <v>47678243</v>
      </c>
      <c r="L168" s="10"/>
      <c r="M168" s="14">
        <v>4.4376263159489594E-2</v>
      </c>
      <c r="N168" s="10"/>
      <c r="O168" s="10"/>
      <c r="P168" s="14">
        <f t="shared" si="26"/>
        <v>0</v>
      </c>
      <c r="Q168" s="10"/>
      <c r="R168" s="10"/>
      <c r="S168" s="14">
        <f t="shared" si="27"/>
        <v>0</v>
      </c>
      <c r="T168" s="9"/>
    </row>
    <row r="169" spans="1:21" x14ac:dyDescent="0.25">
      <c r="A169" s="16" t="s">
        <v>43</v>
      </c>
      <c r="B169" s="10"/>
      <c r="C169" s="10">
        <v>5400472</v>
      </c>
      <c r="D169" s="14">
        <f>C169/$A$163</f>
        <v>4.5409564179790824E-3</v>
      </c>
      <c r="E169" s="10"/>
      <c r="F169" s="10">
        <v>8085332</v>
      </c>
      <c r="G169" s="14">
        <f>F169/$A$163</f>
        <v>6.7985058041022438E-3</v>
      </c>
      <c r="H169" s="10"/>
      <c r="I169" s="10">
        <v>5625065</v>
      </c>
      <c r="J169" s="14">
        <f>I169/$A$163</f>
        <v>4.7298041751349714E-3</v>
      </c>
      <c r="K169" s="10"/>
      <c r="L169" s="10">
        <v>7419905</v>
      </c>
      <c r="M169" s="14">
        <v>4.5409564179790824E-3</v>
      </c>
      <c r="N169" s="10"/>
      <c r="O169" s="10"/>
      <c r="P169" s="14">
        <f>O169/$A$163</f>
        <v>0</v>
      </c>
      <c r="Q169" s="10"/>
      <c r="R169" s="10"/>
      <c r="S169" s="14">
        <f>R169/$A$163</f>
        <v>0</v>
      </c>
      <c r="T169" s="9"/>
    </row>
    <row r="170" spans="1:21" x14ac:dyDescent="0.25">
      <c r="A170" s="16" t="s">
        <v>44</v>
      </c>
      <c r="B170" s="10"/>
      <c r="C170" s="10"/>
      <c r="D170" s="14">
        <f t="shared" si="23"/>
        <v>0</v>
      </c>
      <c r="E170" s="10"/>
      <c r="F170" s="10"/>
      <c r="G170" s="14">
        <f t="shared" si="24"/>
        <v>0</v>
      </c>
      <c r="H170" s="10"/>
      <c r="I170" s="10"/>
      <c r="J170" s="14">
        <f t="shared" si="25"/>
        <v>0</v>
      </c>
      <c r="K170" s="10"/>
      <c r="L170" s="10"/>
      <c r="M170" s="14">
        <v>0</v>
      </c>
      <c r="N170" s="10"/>
      <c r="O170" s="10"/>
      <c r="P170" s="14">
        <f t="shared" si="26"/>
        <v>0</v>
      </c>
      <c r="Q170" s="10"/>
      <c r="R170" s="10"/>
      <c r="S170" s="14">
        <f t="shared" si="27"/>
        <v>0</v>
      </c>
      <c r="T170" s="9"/>
    </row>
    <row r="171" spans="1:21" x14ac:dyDescent="0.25">
      <c r="A171" s="16" t="s">
        <v>45</v>
      </c>
      <c r="B171" s="146">
        <f>SUM(B164:B170)</f>
        <v>162038093</v>
      </c>
      <c r="C171" s="10">
        <f>SUM(C164:C170)</f>
        <v>5400472</v>
      </c>
      <c r="D171" s="147">
        <f>SUM(B171:C171)</f>
        <v>167438565</v>
      </c>
      <c r="E171" s="146">
        <f>SUM(E164:E170)</f>
        <v>234627285</v>
      </c>
      <c r="F171" s="10">
        <f>SUM(F164:F170)</f>
        <v>8085332</v>
      </c>
      <c r="G171" s="147">
        <f>SUM(E171:F171)</f>
        <v>242712617</v>
      </c>
      <c r="H171" s="146">
        <f>SUM(H164:H170)</f>
        <v>264399041.59999999</v>
      </c>
      <c r="I171" s="10">
        <f>SUM(I164:I170)</f>
        <v>5625065</v>
      </c>
      <c r="J171" s="147">
        <f>SUM(H171:I171)</f>
        <v>270024106.60000002</v>
      </c>
      <c r="K171" s="146">
        <f>SUM(K164:K170)</f>
        <v>196155861.88</v>
      </c>
      <c r="L171" s="10">
        <f>SUM(L164:L170)</f>
        <v>7419905</v>
      </c>
      <c r="M171" s="147">
        <f>SUM(K171:L171)</f>
        <v>203575766.88</v>
      </c>
      <c r="N171" s="146">
        <f>SUM(N164:N170)</f>
        <v>200897560</v>
      </c>
      <c r="O171" s="10">
        <f>SUM(O164:O170)</f>
        <v>0</v>
      </c>
      <c r="P171" s="147">
        <f>SUM(N171:O171)</f>
        <v>200897560</v>
      </c>
      <c r="Q171" s="10">
        <f>SUM(Q164:Q170)</f>
        <v>0</v>
      </c>
      <c r="R171" s="10">
        <f>SUM(R164:R170)</f>
        <v>0</v>
      </c>
      <c r="S171" s="147">
        <f>SUM(Q171:R171)</f>
        <v>0</v>
      </c>
      <c r="T171" s="11">
        <f>C171+B171+E171+F171+H171+I171+K171+L171+N171+O171+Q171+R171</f>
        <v>1084648615.48</v>
      </c>
    </row>
    <row r="172" spans="1:21" x14ac:dyDescent="0.25">
      <c r="A172" s="18" t="s">
        <v>48</v>
      </c>
      <c r="B172" s="14">
        <f>B171/$A$163</f>
        <v>0.13624881646742015</v>
      </c>
      <c r="C172" s="14">
        <f>C171/$A$163</f>
        <v>4.5409564179790824E-3</v>
      </c>
      <c r="D172" s="31">
        <f>B172+C172</f>
        <v>0.14078977288539923</v>
      </c>
      <c r="E172" s="14">
        <f>E171/$A$163</f>
        <v>0.19728502909630072</v>
      </c>
      <c r="F172" s="14">
        <f>F171/$A$163</f>
        <v>6.7985058041022438E-3</v>
      </c>
      <c r="G172" s="31">
        <f>E172+F172</f>
        <v>0.20408353490040296</v>
      </c>
      <c r="H172" s="14">
        <f>H171/$A$163</f>
        <v>0.22231844269557152</v>
      </c>
      <c r="I172" s="14">
        <f>I171/$A$163</f>
        <v>4.7298041751349714E-3</v>
      </c>
      <c r="J172" s="31">
        <f>H172+I172</f>
        <v>0.22704824687070649</v>
      </c>
      <c r="K172" s="14">
        <f>K171/$A$163</f>
        <v>0.16493654997715099</v>
      </c>
      <c r="L172" s="14">
        <f>L171/$A$163</f>
        <v>6.2389852647222474E-3</v>
      </c>
      <c r="M172" s="31">
        <f>K172+L172</f>
        <v>0.17117553524187323</v>
      </c>
      <c r="N172" s="14">
        <f>N171/$A$163</f>
        <v>0.16892358009417285</v>
      </c>
      <c r="O172" s="14">
        <f>O171/$A$163</f>
        <v>0</v>
      </c>
      <c r="P172" s="31">
        <f>N172+O172</f>
        <v>0.16892358009417285</v>
      </c>
      <c r="Q172" s="14">
        <f>Q171/$G$79</f>
        <v>0</v>
      </c>
      <c r="R172" s="14">
        <f>R171/$G$79</f>
        <v>0</v>
      </c>
      <c r="S172" s="31">
        <f>Q172+R172</f>
        <v>0</v>
      </c>
      <c r="T172" s="14">
        <f>SUM(D172+G172+J172+M172+P172+S172)</f>
        <v>0.91202066999255471</v>
      </c>
    </row>
    <row r="173" spans="1:21" x14ac:dyDescent="0.25">
      <c r="A173" s="16" t="s">
        <v>57</v>
      </c>
      <c r="D173" s="22">
        <f>AVERAGE(D164:D168)</f>
        <v>2.7249763293484032E-2</v>
      </c>
      <c r="G173" s="22">
        <f>AVERAGE(G164:G168)</f>
        <v>3.9457005819260142E-2</v>
      </c>
      <c r="J173" s="22">
        <f>AVERAGE(J164:J168)</f>
        <v>4.4463688539114303E-2</v>
      </c>
      <c r="M173" s="22">
        <f>AVERAGE(M164:M168)</f>
        <v>2.7249763293484032E-2</v>
      </c>
      <c r="P173" s="22">
        <f>AVERAGE(P164:P165)</f>
        <v>4.1752543712685608E-2</v>
      </c>
      <c r="S173" s="22">
        <f>AVERAGE(S164:S168)</f>
        <v>0</v>
      </c>
    </row>
    <row r="174" spans="1:21" ht="30.75" thickBot="1" x14ac:dyDescent="0.3">
      <c r="A174" s="37" t="s">
        <v>58</v>
      </c>
      <c r="B174" s="14">
        <f>(D169+G169+J169+M169)/4</f>
        <v>5.1525557037988452E-3</v>
      </c>
    </row>
    <row r="175" spans="1:21" ht="30.75" thickBot="1" x14ac:dyDescent="0.3">
      <c r="A175" s="89" t="s">
        <v>59</v>
      </c>
      <c r="B175" s="88"/>
      <c r="N175" s="8"/>
    </row>
  </sheetData>
  <mergeCells count="71">
    <mergeCell ref="A27:B27"/>
    <mergeCell ref="A14:A15"/>
    <mergeCell ref="O91:O92"/>
    <mergeCell ref="Q91:Q92"/>
    <mergeCell ref="R91:R92"/>
    <mergeCell ref="I74:I75"/>
    <mergeCell ref="B74:B75"/>
    <mergeCell ref="C74:C75"/>
    <mergeCell ref="E74:E75"/>
    <mergeCell ref="F74:F75"/>
    <mergeCell ref="H74:H75"/>
    <mergeCell ref="T91:T92"/>
    <mergeCell ref="T111:T112"/>
    <mergeCell ref="O111:O112"/>
    <mergeCell ref="Q111:Q112"/>
    <mergeCell ref="R111:R112"/>
    <mergeCell ref="T74:T75"/>
    <mergeCell ref="B91:B92"/>
    <mergeCell ref="C91:C92"/>
    <mergeCell ref="E91:E92"/>
    <mergeCell ref="F91:F92"/>
    <mergeCell ref="H91:H92"/>
    <mergeCell ref="I91:I92"/>
    <mergeCell ref="K91:K92"/>
    <mergeCell ref="L91:L92"/>
    <mergeCell ref="N91:N92"/>
    <mergeCell ref="K74:K75"/>
    <mergeCell ref="L74:L75"/>
    <mergeCell ref="N74:N75"/>
    <mergeCell ref="O74:O75"/>
    <mergeCell ref="Q74:Q75"/>
    <mergeCell ref="R74:R75"/>
    <mergeCell ref="B126:B127"/>
    <mergeCell ref="C126:C127"/>
    <mergeCell ref="E126:E127"/>
    <mergeCell ref="F126:F127"/>
    <mergeCell ref="H126:H127"/>
    <mergeCell ref="I126:I127"/>
    <mergeCell ref="K126:K127"/>
    <mergeCell ref="L126:L127"/>
    <mergeCell ref="N126:N127"/>
    <mergeCell ref="O126:O127"/>
    <mergeCell ref="Q126:Q127"/>
    <mergeCell ref="R126:R127"/>
    <mergeCell ref="T126:T127"/>
    <mergeCell ref="B144:B145"/>
    <mergeCell ref="C144:C145"/>
    <mergeCell ref="E144:E145"/>
    <mergeCell ref="F144:F145"/>
    <mergeCell ref="H144:H145"/>
    <mergeCell ref="I144:I145"/>
    <mergeCell ref="K144:K145"/>
    <mergeCell ref="L144:L145"/>
    <mergeCell ref="N144:N145"/>
    <mergeCell ref="O144:O145"/>
    <mergeCell ref="Q144:Q145"/>
    <mergeCell ref="R144:R145"/>
    <mergeCell ref="T144:T145"/>
    <mergeCell ref="B162:B163"/>
    <mergeCell ref="C162:C163"/>
    <mergeCell ref="E162:E163"/>
    <mergeCell ref="F162:F163"/>
    <mergeCell ref="H162:H163"/>
    <mergeCell ref="Q162:Q163"/>
    <mergeCell ref="R162:R163"/>
    <mergeCell ref="T162:T163"/>
    <mergeCell ref="I162:I163"/>
    <mergeCell ref="K162:K163"/>
    <mergeCell ref="L162:L163"/>
    <mergeCell ref="N162:N163"/>
    <mergeCell ref="O162:O163"/>
  </mergeCells>
  <conditionalFormatting sqref="I23">
    <cfRule type="cellIs" dxfId="70" priority="9" operator="lessThan">
      <formula>1</formula>
    </cfRule>
    <cfRule type="cellIs" dxfId="69" priority="10" operator="greaterThan">
      <formula>1</formula>
    </cfRule>
    <cfRule type="cellIs" dxfId="68" priority="11" operator="greaterThan">
      <formula>$E$4</formula>
    </cfRule>
    <cfRule type="cellIs" dxfId="67" priority="12" operator="lessThan">
      <formula>$E$4</formula>
    </cfRule>
  </conditionalFormatting>
  <conditionalFormatting sqref="J23">
    <cfRule type="cellIs" dxfId="66" priority="7" operator="lessThan">
      <formula>0</formula>
    </cfRule>
    <cfRule type="cellIs" dxfId="65" priority="8" operator="greaterThan">
      <formula>0</formula>
    </cfRule>
  </conditionalFormatting>
  <conditionalFormatting sqref="H21:H22">
    <cfRule type="cellIs" dxfId="64" priority="13" operator="lessThan">
      <formula>$G$22</formula>
    </cfRule>
    <cfRule type="cellIs" dxfId="63" priority="14" operator="greaterThan">
      <formula>$G$22</formula>
    </cfRule>
  </conditionalFormatting>
  <conditionalFormatting sqref="H23">
    <cfRule type="cellIs" dxfId="62" priority="15" operator="lessThan">
      <formula>$G$23</formula>
    </cfRule>
    <cfRule type="cellIs" dxfId="61" priority="16" operator="greaterThan">
      <formula>$G$23</formula>
    </cfRule>
  </conditionalFormatting>
  <conditionalFormatting sqref="H17:H18">
    <cfRule type="cellIs" dxfId="60" priority="3" operator="lessThan">
      <formula>$G$19</formula>
    </cfRule>
    <cfRule type="cellIs" dxfId="59" priority="4" operator="greaterThan">
      <formula>$G$19</formula>
    </cfRule>
  </conditionalFormatting>
  <conditionalFormatting sqref="H20">
    <cfRule type="cellIs" dxfId="58" priority="5" operator="lessThan">
      <formula>$G$21</formula>
    </cfRule>
    <cfRule type="cellIs" dxfId="57" priority="6" operator="greaterThan">
      <formula>$G$21</formula>
    </cfRule>
  </conditionalFormatting>
  <conditionalFormatting sqref="H19">
    <cfRule type="cellIs" dxfId="56" priority="67" operator="lessThan">
      <formula>#REF!</formula>
    </cfRule>
    <cfRule type="cellIs" dxfId="55" priority="68" operator="greaterThan">
      <formula>#REF!</formula>
    </cfRule>
  </conditionalFormatting>
  <pageMargins left="0.7" right="0.7" top="0.75" bottom="0.75" header="0.3" footer="0.3"/>
  <pageSetup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T168"/>
  <sheetViews>
    <sheetView topLeftCell="A19" workbookViewId="0">
      <selection activeCell="L38" sqref="L38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140625" customWidth="1"/>
    <col min="4" max="4" width="12.5703125" customWidth="1"/>
    <col min="5" max="5" width="12.5703125" bestFit="1" customWidth="1"/>
    <col min="6" max="6" width="15.42578125" bestFit="1" customWidth="1"/>
    <col min="7" max="8" width="12" bestFit="1" customWidth="1"/>
    <col min="9" max="9" width="13.7109375" bestFit="1" customWidth="1"/>
    <col min="10" max="10" width="12" bestFit="1" customWidth="1"/>
    <col min="11" max="11" width="14.5703125" bestFit="1" customWidth="1"/>
    <col min="12" max="12" width="22.140625" bestFit="1" customWidth="1"/>
    <col min="13" max="13" width="14.5703125" bestFit="1" customWidth="1"/>
    <col min="14" max="14" width="12.140625" bestFit="1" customWidth="1"/>
    <col min="15" max="15" width="13.7109375" bestFit="1" customWidth="1"/>
    <col min="16" max="16" width="12" bestFit="1" customWidth="1"/>
    <col min="17" max="17" width="9.42578125" bestFit="1" customWidth="1"/>
    <col min="18" max="18" width="15.42578125" bestFit="1" customWidth="1"/>
    <col min="19" max="19" width="10.5703125" bestFit="1" customWidth="1"/>
    <col min="20" max="20" width="12" bestFit="1" customWidth="1"/>
  </cols>
  <sheetData>
    <row r="12" spans="1:4" x14ac:dyDescent="0.25">
      <c r="A12" s="5" t="s">
        <v>74</v>
      </c>
      <c r="B12" s="5" t="s">
        <v>28</v>
      </c>
    </row>
    <row r="13" spans="1:4" x14ac:dyDescent="0.25">
      <c r="A13" s="5" t="s">
        <v>31</v>
      </c>
      <c r="B13" t="s">
        <v>23</v>
      </c>
      <c r="C13" t="s">
        <v>26</v>
      </c>
      <c r="D13" t="s">
        <v>29</v>
      </c>
    </row>
    <row r="14" spans="1:4" x14ac:dyDescent="0.25">
      <c r="A14" s="6">
        <v>1</v>
      </c>
      <c r="B14" s="7"/>
      <c r="C14" s="7">
        <v>88448.46</v>
      </c>
      <c r="D14" s="7">
        <v>88448.46</v>
      </c>
    </row>
    <row r="15" spans="1:4" x14ac:dyDescent="0.25">
      <c r="A15" s="6">
        <v>2</v>
      </c>
      <c r="B15" s="7">
        <v>7449886.1591999996</v>
      </c>
      <c r="C15" s="7"/>
      <c r="D15" s="7">
        <v>7449886.1591999996</v>
      </c>
    </row>
    <row r="16" spans="1:4" x14ac:dyDescent="0.25">
      <c r="A16" s="6">
        <v>3</v>
      </c>
      <c r="B16" s="7">
        <v>18019505.718199998</v>
      </c>
      <c r="C16" s="7"/>
      <c r="D16" s="7">
        <v>18019505.718199998</v>
      </c>
    </row>
    <row r="17" spans="1:19" x14ac:dyDescent="0.25">
      <c r="A17" s="6">
        <v>4</v>
      </c>
      <c r="B17" s="7">
        <v>3207201.8881999999</v>
      </c>
      <c r="C17" s="7"/>
      <c r="D17" s="7">
        <v>3207201.8881999999</v>
      </c>
    </row>
    <row r="18" spans="1:19" x14ac:dyDescent="0.25">
      <c r="A18" s="6">
        <v>5</v>
      </c>
      <c r="B18" s="7"/>
      <c r="C18" s="7">
        <v>9253451.6076999996</v>
      </c>
      <c r="D18" s="7">
        <v>9253451.6076999996</v>
      </c>
    </row>
    <row r="19" spans="1:19" x14ac:dyDescent="0.25">
      <c r="A19" s="6">
        <v>6</v>
      </c>
      <c r="B19" s="7">
        <v>11169648.837099999</v>
      </c>
      <c r="C19" s="7">
        <v>18547382.547499999</v>
      </c>
      <c r="D19" s="7">
        <v>29717031.384599999</v>
      </c>
    </row>
    <row r="20" spans="1:19" x14ac:dyDescent="0.25">
      <c r="A20" s="6">
        <v>7</v>
      </c>
      <c r="B20" s="7">
        <v>22805585.074700002</v>
      </c>
      <c r="C20" s="7">
        <v>18213752.7579</v>
      </c>
      <c r="D20" s="7">
        <v>41019337.832599998</v>
      </c>
    </row>
    <row r="21" spans="1:19" x14ac:dyDescent="0.25">
      <c r="A21" s="6">
        <v>8</v>
      </c>
      <c r="B21" s="7">
        <v>12522122.968499999</v>
      </c>
      <c r="C21" s="7">
        <v>19480220.478100002</v>
      </c>
      <c r="D21" s="7">
        <v>32002343.446600001</v>
      </c>
    </row>
    <row r="22" spans="1:19" x14ac:dyDescent="0.25">
      <c r="A22" s="6">
        <v>9</v>
      </c>
      <c r="B22" s="7">
        <v>16519679.7576</v>
      </c>
      <c r="C22" s="7">
        <v>23519783.299199998</v>
      </c>
      <c r="D22" s="7">
        <v>40039463.0568</v>
      </c>
    </row>
    <row r="23" spans="1:19" ht="15.75" thickBot="1" x14ac:dyDescent="0.3">
      <c r="A23" s="6">
        <v>10</v>
      </c>
      <c r="B23" s="7">
        <v>17606238.522999998</v>
      </c>
      <c r="C23" s="7">
        <v>1751722.3291</v>
      </c>
      <c r="D23" s="7">
        <v>19357960.8521</v>
      </c>
    </row>
    <row r="24" spans="1:19" ht="15.75" thickBot="1" x14ac:dyDescent="0.3">
      <c r="A24" s="6">
        <v>11</v>
      </c>
      <c r="B24" s="7">
        <v>2276680.2601999999</v>
      </c>
      <c r="C24" s="7"/>
      <c r="D24" s="7">
        <v>2276680.2601999999</v>
      </c>
      <c r="F24" s="218" t="s">
        <v>64</v>
      </c>
      <c r="G24" s="53"/>
      <c r="H24" s="53" t="s">
        <v>60</v>
      </c>
      <c r="I24" s="52"/>
      <c r="J24" s="54"/>
      <c r="K24" s="101"/>
      <c r="L24" s="95"/>
      <c r="M24" s="54"/>
      <c r="N24" s="68" t="s">
        <v>67</v>
      </c>
      <c r="O24" s="55"/>
      <c r="R24" s="214" t="s">
        <v>61</v>
      </c>
      <c r="S24" s="215"/>
    </row>
    <row r="25" spans="1:19" ht="15.75" thickBot="1" x14ac:dyDescent="0.3">
      <c r="A25" s="6">
        <v>12</v>
      </c>
      <c r="B25" s="7"/>
      <c r="C25" s="7">
        <v>15260938.712300001</v>
      </c>
      <c r="D25" s="7">
        <v>15260938.712300001</v>
      </c>
      <c r="F25" s="224"/>
      <c r="G25" s="129" t="s">
        <v>65</v>
      </c>
      <c r="H25" s="35" t="s">
        <v>51</v>
      </c>
      <c r="I25" s="36">
        <v>460075282.54999995</v>
      </c>
      <c r="J25" s="130"/>
      <c r="K25" s="131" t="s">
        <v>66</v>
      </c>
      <c r="L25" s="56"/>
      <c r="M25" s="56"/>
      <c r="N25" s="70">
        <v>0</v>
      </c>
      <c r="O25" s="57"/>
      <c r="R25" s="90" t="s">
        <v>64</v>
      </c>
      <c r="S25" s="91">
        <f>(B97+B114+B150+B167)/4</f>
        <v>5.199893973216815E-3</v>
      </c>
    </row>
    <row r="26" spans="1:19" ht="15.75" thickBot="1" x14ac:dyDescent="0.3">
      <c r="A26" s="6">
        <v>13</v>
      </c>
      <c r="B26" s="7">
        <v>17192987.295400001</v>
      </c>
      <c r="C26" s="7">
        <v>25516902.567200001</v>
      </c>
      <c r="D26" s="7">
        <v>42709889.862599999</v>
      </c>
      <c r="F26" s="136"/>
      <c r="G26" s="137"/>
      <c r="H26" s="138"/>
      <c r="I26" s="138">
        <v>2019</v>
      </c>
      <c r="J26" s="126" t="s">
        <v>69</v>
      </c>
      <c r="K26" s="139">
        <v>2019</v>
      </c>
      <c r="L26" s="138" t="s">
        <v>76</v>
      </c>
      <c r="M26" s="140" t="s">
        <v>52</v>
      </c>
      <c r="N26" s="127" t="s">
        <v>55</v>
      </c>
      <c r="O26" s="128" t="s">
        <v>56</v>
      </c>
      <c r="R26" s="25" t="s">
        <v>32</v>
      </c>
      <c r="S26" s="42">
        <f>(D96+D113+D149+D166)/4</f>
        <v>2.4858219717666462E-2</v>
      </c>
    </row>
    <row r="27" spans="1:19" x14ac:dyDescent="0.25">
      <c r="A27" s="6">
        <v>14</v>
      </c>
      <c r="B27" s="7">
        <v>26115470.889400002</v>
      </c>
      <c r="C27" s="7">
        <v>23055295.3948</v>
      </c>
      <c r="D27" s="7">
        <v>49170766.284199998</v>
      </c>
      <c r="F27" s="63">
        <v>1</v>
      </c>
      <c r="G27" s="25">
        <v>0</v>
      </c>
      <c r="H27" s="90" t="s">
        <v>32</v>
      </c>
      <c r="I27" s="133">
        <f>(S26*G27)+(S25*F27)</f>
        <v>5.199893973216815E-3</v>
      </c>
      <c r="J27" s="71">
        <f>I27</f>
        <v>5.199893973216815E-3</v>
      </c>
      <c r="K27" s="134">
        <f>$L$124</f>
        <v>0</v>
      </c>
      <c r="L27" s="135">
        <f>$I$25*I27</f>
        <v>2392342.688957768</v>
      </c>
      <c r="M27" s="143">
        <f t="shared" ref="M27:M32" si="0">K27*$L$128</f>
        <v>0</v>
      </c>
      <c r="N27" s="77">
        <f>K27</f>
        <v>0</v>
      </c>
      <c r="O27" s="72">
        <f>K27-I27</f>
        <v>-5.199893973216815E-3</v>
      </c>
      <c r="R27" s="25" t="s">
        <v>34</v>
      </c>
      <c r="S27" s="42">
        <f>(G96+G113+G149+G166)/4</f>
        <v>4.7430483344461968E-2</v>
      </c>
    </row>
    <row r="28" spans="1:19" x14ac:dyDescent="0.25">
      <c r="A28" s="6">
        <v>15</v>
      </c>
      <c r="B28" s="7">
        <v>15167963.7502</v>
      </c>
      <c r="C28" s="7">
        <v>15805838.5679</v>
      </c>
      <c r="D28" s="7">
        <v>30973802.318099998</v>
      </c>
      <c r="F28" s="63">
        <v>1</v>
      </c>
      <c r="G28" s="25">
        <v>5</v>
      </c>
      <c r="H28" s="25" t="s">
        <v>34</v>
      </c>
      <c r="I28" s="45">
        <f>(S27*G28)+(S25*F28)</f>
        <v>0.24235231069552668</v>
      </c>
      <c r="J28" s="34">
        <f>I28+J27</f>
        <v>0.2475522046687435</v>
      </c>
      <c r="K28" s="23">
        <f>$O$124</f>
        <v>0</v>
      </c>
      <c r="L28" s="135">
        <f t="shared" ref="L28:L32" si="1">$I$25*I28</f>
        <v>111500307.81988981</v>
      </c>
      <c r="M28" s="144">
        <f t="shared" si="0"/>
        <v>0</v>
      </c>
      <c r="N28" s="77">
        <f>K28+N27</f>
        <v>0</v>
      </c>
      <c r="O28" s="72">
        <f t="shared" ref="O28:O31" si="2">K28-I28</f>
        <v>-0.24235231069552668</v>
      </c>
      <c r="R28" s="25" t="s">
        <v>36</v>
      </c>
      <c r="S28" s="42">
        <f>(J96+J113+J149+J166)/4</f>
        <v>3.5789781919008626E-2</v>
      </c>
    </row>
    <row r="29" spans="1:19" x14ac:dyDescent="0.25">
      <c r="A29" s="6">
        <v>16</v>
      </c>
      <c r="B29" s="7">
        <v>18868043.355099998</v>
      </c>
      <c r="C29" s="7">
        <v>19514879.669399999</v>
      </c>
      <c r="D29" s="7">
        <v>38382923.024499997</v>
      </c>
      <c r="F29" s="63">
        <v>1</v>
      </c>
      <c r="G29" s="25">
        <v>5</v>
      </c>
      <c r="H29" s="25" t="s">
        <v>36</v>
      </c>
      <c r="I29" s="45">
        <f>(S28*G29)+(S25*F29)</f>
        <v>0.18414880356825994</v>
      </c>
      <c r="J29" s="34">
        <f>I29+J28</f>
        <v>0.43170100823700341</v>
      </c>
      <c r="K29" s="23">
        <f>$R$124</f>
        <v>0</v>
      </c>
      <c r="L29" s="135">
        <f t="shared" si="1"/>
        <v>84722312.832911626</v>
      </c>
      <c r="M29" s="144">
        <f t="shared" si="0"/>
        <v>0</v>
      </c>
      <c r="N29" s="77">
        <f t="shared" ref="N29:N32" si="3">K29+N28</f>
        <v>0</v>
      </c>
      <c r="O29" s="72">
        <f t="shared" si="2"/>
        <v>-0.18414880356825994</v>
      </c>
      <c r="R29" s="25" t="s">
        <v>37</v>
      </c>
      <c r="S29" s="42">
        <f>(M96+M113+M149+M166)/4</f>
        <v>5.0186364469780094E-2</v>
      </c>
    </row>
    <row r="30" spans="1:19" x14ac:dyDescent="0.25">
      <c r="A30" s="6">
        <v>17</v>
      </c>
      <c r="B30" s="7">
        <v>19566761.335000001</v>
      </c>
      <c r="C30" s="7">
        <v>2745805.7176000001</v>
      </c>
      <c r="D30" s="7">
        <v>22312567.0526</v>
      </c>
      <c r="F30" s="63">
        <v>1</v>
      </c>
      <c r="G30" s="25">
        <v>5</v>
      </c>
      <c r="H30" s="25" t="s">
        <v>37</v>
      </c>
      <c r="I30" s="45">
        <f>(S29*G30)+(S25*F30)</f>
        <v>0.25613171632211729</v>
      </c>
      <c r="J30" s="34">
        <f>I30+J29</f>
        <v>0.6878327245591207</v>
      </c>
      <c r="K30" s="23">
        <f>$U$124</f>
        <v>0</v>
      </c>
      <c r="L30" s="135">
        <f t="shared" si="1"/>
        <v>117839871.75691454</v>
      </c>
      <c r="M30" s="144">
        <f t="shared" si="0"/>
        <v>0</v>
      </c>
      <c r="N30" s="77">
        <f t="shared" si="3"/>
        <v>0</v>
      </c>
      <c r="O30" s="72">
        <f>K30-I30</f>
        <v>-0.25613171632211729</v>
      </c>
      <c r="R30" s="25" t="s">
        <v>46</v>
      </c>
      <c r="S30" s="42">
        <f>(P113+P96+P166)/3</f>
        <v>4.5531400778837584E-2</v>
      </c>
    </row>
    <row r="31" spans="1:19" x14ac:dyDescent="0.25">
      <c r="A31" s="6">
        <v>18</v>
      </c>
      <c r="B31" s="7">
        <v>2480928.3256999999</v>
      </c>
      <c r="C31" s="7"/>
      <c r="D31" s="7">
        <v>2480928.3256999999</v>
      </c>
      <c r="F31" s="63">
        <v>1</v>
      </c>
      <c r="G31" s="25">
        <v>4</v>
      </c>
      <c r="H31" s="25" t="s">
        <v>46</v>
      </c>
      <c r="I31" s="45">
        <f>(S30*G31)+(S25*F31)</f>
        <v>0.18732549708856716</v>
      </c>
      <c r="J31" s="34">
        <f>I31+J30</f>
        <v>0.87515822164768786</v>
      </c>
      <c r="K31" s="23">
        <f>$X$116+$X$117</f>
        <v>0</v>
      </c>
      <c r="L31" s="135">
        <f t="shared" si="1"/>
        <v>86183831.001841724</v>
      </c>
      <c r="M31" s="144">
        <f t="shared" si="0"/>
        <v>0</v>
      </c>
      <c r="N31" s="77">
        <f t="shared" si="3"/>
        <v>0</v>
      </c>
      <c r="O31" s="72">
        <f t="shared" si="2"/>
        <v>-0.18732549708856716</v>
      </c>
      <c r="R31" s="25" t="s">
        <v>62</v>
      </c>
      <c r="S31" s="43">
        <f>B115</f>
        <v>0.10156382206387189</v>
      </c>
    </row>
    <row r="32" spans="1:19" x14ac:dyDescent="0.25">
      <c r="A32" s="6">
        <v>19</v>
      </c>
      <c r="B32" s="7"/>
      <c r="C32" s="7">
        <v>13093427.305500001</v>
      </c>
      <c r="D32" s="7">
        <v>13093427.305500001</v>
      </c>
      <c r="F32" s="63">
        <v>0</v>
      </c>
      <c r="G32" s="25">
        <v>1</v>
      </c>
      <c r="H32" s="25" t="s">
        <v>63</v>
      </c>
      <c r="I32" s="45">
        <f>S31</f>
        <v>0.10156382206387189</v>
      </c>
      <c r="J32" s="34">
        <f>I32+J31</f>
        <v>0.9767220437115598</v>
      </c>
      <c r="K32" s="23">
        <f>P126</f>
        <v>0</v>
      </c>
      <c r="L32" s="135">
        <f t="shared" si="1"/>
        <v>46727004.132893778</v>
      </c>
      <c r="M32" s="144">
        <f t="shared" si="0"/>
        <v>0</v>
      </c>
      <c r="N32" s="77">
        <f t="shared" si="3"/>
        <v>0</v>
      </c>
      <c r="O32" s="116">
        <f t="shared" ref="O32" si="4">M32-I32</f>
        <v>-0.10156382206387189</v>
      </c>
    </row>
    <row r="33" spans="1:15" ht="19.5" thickBot="1" x14ac:dyDescent="0.35">
      <c r="A33" s="6">
        <v>20</v>
      </c>
      <c r="B33" s="7">
        <v>14043186.734099999</v>
      </c>
      <c r="C33" s="7">
        <v>23106060.925099999</v>
      </c>
      <c r="D33" s="7">
        <v>37149247.659199998</v>
      </c>
      <c r="F33" s="63"/>
      <c r="G33" s="46"/>
      <c r="H33" s="46"/>
      <c r="I33" s="58"/>
      <c r="J33" s="58"/>
      <c r="K33" s="80"/>
      <c r="L33" s="48"/>
      <c r="M33" s="121">
        <f>SUM(M27:M32)</f>
        <v>0</v>
      </c>
      <c r="N33" s="122">
        <f>N32</f>
        <v>0</v>
      </c>
      <c r="O33" s="59">
        <f>N33-N25</f>
        <v>0</v>
      </c>
    </row>
    <row r="34" spans="1:15" ht="15.75" thickBot="1" x14ac:dyDescent="0.3">
      <c r="A34" s="6">
        <v>21</v>
      </c>
      <c r="B34" s="7">
        <v>27000534.603100002</v>
      </c>
      <c r="C34" s="7">
        <v>24459130.485199999</v>
      </c>
      <c r="D34" s="7">
        <v>51459665.088300005</v>
      </c>
      <c r="F34" s="60"/>
      <c r="G34" s="61"/>
      <c r="H34" s="61"/>
      <c r="I34" s="79"/>
      <c r="J34" s="82" t="str">
        <f>H24</f>
        <v>Proyeccion</v>
      </c>
      <c r="K34" s="119">
        <f>SUM(L27:L33)</f>
        <v>449365670.23340929</v>
      </c>
      <c r="L34" s="220" t="s">
        <v>75</v>
      </c>
      <c r="M34" s="123"/>
      <c r="N34" s="97"/>
      <c r="O34" s="57"/>
    </row>
    <row r="35" spans="1:15" ht="15.75" thickBot="1" x14ac:dyDescent="0.3">
      <c r="A35" s="6">
        <v>22</v>
      </c>
      <c r="B35" s="7">
        <v>17347879.491099998</v>
      </c>
      <c r="C35" s="7">
        <v>19886703.545600001</v>
      </c>
      <c r="D35" s="7">
        <v>37234583.036699995</v>
      </c>
      <c r="F35" s="141"/>
      <c r="G35" s="142"/>
      <c r="H35" s="142"/>
      <c r="I35" s="142"/>
      <c r="J35" s="81"/>
      <c r="K35" s="120">
        <f>J32</f>
        <v>0.9767220437115598</v>
      </c>
      <c r="L35" s="221"/>
      <c r="M35" s="124">
        <f>L31+L32+M33</f>
        <v>132910835.13473549</v>
      </c>
      <c r="N35" s="125">
        <f>M35/I25</f>
        <v>0.28888931915243904</v>
      </c>
      <c r="O35" s="62"/>
    </row>
    <row r="36" spans="1:15" x14ac:dyDescent="0.25">
      <c r="A36" s="6">
        <v>23</v>
      </c>
      <c r="B36" s="7">
        <v>19442299.063099999</v>
      </c>
      <c r="C36" s="7">
        <v>35873847.113300003</v>
      </c>
      <c r="D36" s="7">
        <v>55316146.176400006</v>
      </c>
    </row>
    <row r="37" spans="1:15" x14ac:dyDescent="0.25">
      <c r="A37" s="6">
        <v>24</v>
      </c>
      <c r="B37" s="7">
        <v>20699577.570799999</v>
      </c>
      <c r="C37" s="7">
        <v>1170888.0737000001</v>
      </c>
      <c r="D37" s="7">
        <v>21870465.644499999</v>
      </c>
    </row>
    <row r="38" spans="1:15" x14ac:dyDescent="0.25">
      <c r="A38" s="6">
        <v>25</v>
      </c>
      <c r="B38" s="7">
        <v>3017735.8985000001</v>
      </c>
      <c r="C38" s="7"/>
      <c r="D38" s="7">
        <v>3017735.8985000001</v>
      </c>
    </row>
    <row r="39" spans="1:15" x14ac:dyDescent="0.25">
      <c r="A39" s="6">
        <v>26</v>
      </c>
      <c r="B39" s="7"/>
      <c r="C39" s="7">
        <v>22567906.655499998</v>
      </c>
      <c r="D39" s="7">
        <v>22567906.655499998</v>
      </c>
    </row>
    <row r="40" spans="1:15" x14ac:dyDescent="0.25">
      <c r="A40" s="6">
        <v>27</v>
      </c>
      <c r="B40" s="7">
        <v>24529911.351399999</v>
      </c>
      <c r="C40" s="7">
        <v>17084154.353599999</v>
      </c>
      <c r="D40" s="7">
        <v>41614065.704999998</v>
      </c>
    </row>
    <row r="41" spans="1:15" x14ac:dyDescent="0.25">
      <c r="A41" s="6">
        <v>28</v>
      </c>
      <c r="B41" s="7">
        <v>37169922.141199999</v>
      </c>
      <c r="C41" s="7">
        <v>30374203.277600002</v>
      </c>
      <c r="D41" s="7">
        <v>67544125.418799996</v>
      </c>
    </row>
    <row r="42" spans="1:15" x14ac:dyDescent="0.25">
      <c r="A42" s="6">
        <v>29</v>
      </c>
      <c r="B42" s="7">
        <v>15890934.2152</v>
      </c>
      <c r="C42" s="7">
        <v>20064318.8103</v>
      </c>
      <c r="D42" s="7">
        <v>35955253.0255</v>
      </c>
    </row>
    <row r="43" spans="1:15" x14ac:dyDescent="0.25">
      <c r="A43" s="6">
        <v>30</v>
      </c>
      <c r="B43" s="7">
        <v>42592851.4881</v>
      </c>
      <c r="C43" s="7">
        <v>49907924.488600001</v>
      </c>
      <c r="D43" s="7">
        <v>92500775.976700008</v>
      </c>
    </row>
    <row r="44" spans="1:15" x14ac:dyDescent="0.25">
      <c r="A44" s="6" t="s">
        <v>29</v>
      </c>
      <c r="B44" s="7">
        <v>432703536.69410002</v>
      </c>
      <c r="C44" s="7">
        <v>450342987.14270008</v>
      </c>
      <c r="D44" s="7">
        <v>883046523.8368001</v>
      </c>
    </row>
    <row r="45" spans="1:15" x14ac:dyDescent="0.25">
      <c r="A45" s="6"/>
      <c r="B45" s="7"/>
      <c r="C45" s="7"/>
      <c r="D45" s="7"/>
    </row>
    <row r="46" spans="1:15" x14ac:dyDescent="0.25">
      <c r="A46" s="6"/>
      <c r="B46" s="7"/>
      <c r="C46" s="7"/>
      <c r="D46" s="7"/>
    </row>
    <row r="47" spans="1:15" x14ac:dyDescent="0.25">
      <c r="A47" s="5" t="s">
        <v>74</v>
      </c>
      <c r="B47" s="5" t="s">
        <v>28</v>
      </c>
    </row>
    <row r="48" spans="1:15" x14ac:dyDescent="0.25">
      <c r="A48" s="5" t="s">
        <v>31</v>
      </c>
      <c r="B48" t="s">
        <v>79</v>
      </c>
      <c r="C48" t="s">
        <v>24</v>
      </c>
      <c r="D48" t="s">
        <v>29</v>
      </c>
    </row>
    <row r="49" spans="1:4" x14ac:dyDescent="0.25">
      <c r="A49" s="160">
        <v>1</v>
      </c>
      <c r="B49" s="7"/>
      <c r="C49" s="7">
        <v>7765435.2489999998</v>
      </c>
      <c r="D49" s="7">
        <v>7765435.2489999998</v>
      </c>
    </row>
    <row r="50" spans="1:4" x14ac:dyDescent="0.25">
      <c r="A50" s="160">
        <v>2</v>
      </c>
      <c r="B50" s="7">
        <v>8287509.0690000001</v>
      </c>
      <c r="C50" s="7">
        <v>23677951.581799999</v>
      </c>
      <c r="D50" s="7">
        <v>31965460.650799997</v>
      </c>
    </row>
    <row r="51" spans="1:4" x14ac:dyDescent="0.25">
      <c r="A51" s="160">
        <v>3</v>
      </c>
      <c r="B51" s="7">
        <v>18979502.990699999</v>
      </c>
      <c r="C51" s="7">
        <v>18422109.656800002</v>
      </c>
      <c r="D51" s="7">
        <v>37401612.647500001</v>
      </c>
    </row>
    <row r="52" spans="1:4" x14ac:dyDescent="0.25">
      <c r="A52" s="160">
        <v>4</v>
      </c>
      <c r="B52" s="7">
        <v>23470865.778299998</v>
      </c>
      <c r="C52" s="7">
        <v>21288529.496100001</v>
      </c>
      <c r="D52" s="7">
        <v>44759395.274399996</v>
      </c>
    </row>
    <row r="53" spans="1:4" x14ac:dyDescent="0.25">
      <c r="A53" s="160">
        <v>5</v>
      </c>
      <c r="B53" s="7">
        <v>23004120.541200001</v>
      </c>
      <c r="C53" s="7">
        <v>2365282.0910999998</v>
      </c>
      <c r="D53" s="7">
        <v>25369402.632300001</v>
      </c>
    </row>
    <row r="54" spans="1:4" x14ac:dyDescent="0.25">
      <c r="A54" s="160">
        <v>6</v>
      </c>
      <c r="B54" s="7">
        <v>16922199.014899999</v>
      </c>
      <c r="C54" s="7"/>
      <c r="D54" s="7">
        <v>16922199.014899999</v>
      </c>
    </row>
    <row r="55" spans="1:4" x14ac:dyDescent="0.25">
      <c r="A55" s="160">
        <v>7</v>
      </c>
      <c r="B55" s="7">
        <v>1256896.55</v>
      </c>
      <c r="C55" s="7">
        <v>12171865.5911</v>
      </c>
      <c r="D55" s="7">
        <v>13428762.141100001</v>
      </c>
    </row>
    <row r="56" spans="1:4" x14ac:dyDescent="0.25">
      <c r="A56" s="160">
        <v>8</v>
      </c>
      <c r="B56" s="7"/>
      <c r="C56" s="7">
        <v>24472335.067699999</v>
      </c>
      <c r="D56" s="7">
        <v>24472335.067699999</v>
      </c>
    </row>
    <row r="57" spans="1:4" x14ac:dyDescent="0.25">
      <c r="A57" s="160">
        <v>9</v>
      </c>
      <c r="B57" s="7">
        <v>14086808.65</v>
      </c>
      <c r="C57" s="7">
        <v>25713335.597100001</v>
      </c>
      <c r="D57" s="7">
        <v>39800144.247100003</v>
      </c>
    </row>
    <row r="58" spans="1:4" x14ac:dyDescent="0.25">
      <c r="A58" s="160">
        <v>10</v>
      </c>
      <c r="B58" s="7">
        <v>27737928.773400001</v>
      </c>
      <c r="C58" s="7">
        <v>24495806.681499999</v>
      </c>
      <c r="D58" s="7">
        <v>52233735.454899997</v>
      </c>
    </row>
    <row r="59" spans="1:4" x14ac:dyDescent="0.25">
      <c r="A59" s="160">
        <v>11</v>
      </c>
      <c r="B59" s="7">
        <v>29681348.749699999</v>
      </c>
      <c r="C59" s="7">
        <v>19983152.810800001</v>
      </c>
      <c r="D59" s="7">
        <v>49664501.560499996</v>
      </c>
    </row>
    <row r="60" spans="1:4" x14ac:dyDescent="0.25">
      <c r="A60" s="160">
        <v>12</v>
      </c>
      <c r="B60" s="7">
        <v>18491637.784600001</v>
      </c>
      <c r="C60" s="7">
        <v>4820163.9605</v>
      </c>
      <c r="D60" s="7">
        <v>23311801.745099999</v>
      </c>
    </row>
    <row r="61" spans="1:4" x14ac:dyDescent="0.25">
      <c r="A61" s="160">
        <v>13</v>
      </c>
      <c r="B61" s="7">
        <v>23522435.9921</v>
      </c>
      <c r="C61" s="7"/>
      <c r="D61" s="7">
        <v>23522435.9921</v>
      </c>
    </row>
    <row r="62" spans="1:4" x14ac:dyDescent="0.25">
      <c r="A62" s="160">
        <v>14</v>
      </c>
      <c r="B62" s="7">
        <v>2305541.1028999998</v>
      </c>
      <c r="C62" s="7">
        <v>19723117.765000001</v>
      </c>
      <c r="D62" s="7">
        <v>22028658.867899999</v>
      </c>
    </row>
    <row r="63" spans="1:4" x14ac:dyDescent="0.25">
      <c r="A63" s="160">
        <v>15</v>
      </c>
      <c r="B63" s="7"/>
      <c r="C63" s="7">
        <v>27382067.3189</v>
      </c>
      <c r="D63" s="7">
        <v>27382067.3189</v>
      </c>
    </row>
    <row r="64" spans="1:4" x14ac:dyDescent="0.25">
      <c r="A64" s="160">
        <v>16</v>
      </c>
      <c r="B64" s="7">
        <v>12531383.2535</v>
      </c>
      <c r="C64" s="7">
        <v>25605705.429299999</v>
      </c>
      <c r="D64" s="7">
        <v>38137088.682799995</v>
      </c>
    </row>
    <row r="65" spans="1:4" x14ac:dyDescent="0.25">
      <c r="A65" s="160">
        <v>17</v>
      </c>
      <c r="B65" s="7">
        <v>6045133.5570999999</v>
      </c>
      <c r="C65" s="7">
        <v>19766219.1635</v>
      </c>
      <c r="D65" s="7">
        <v>25811352.720600002</v>
      </c>
    </row>
    <row r="66" spans="1:4" x14ac:dyDescent="0.25">
      <c r="A66" s="160">
        <v>18</v>
      </c>
      <c r="B66" s="7"/>
      <c r="C66" s="7">
        <v>20252423.278299998</v>
      </c>
      <c r="D66" s="7">
        <v>20252423.278299998</v>
      </c>
    </row>
    <row r="67" spans="1:4" x14ac:dyDescent="0.25">
      <c r="A67" s="160">
        <v>19</v>
      </c>
      <c r="B67" s="7"/>
      <c r="C67" s="7">
        <v>2760188.8535000002</v>
      </c>
      <c r="D67" s="7">
        <v>2760188.8535000002</v>
      </c>
    </row>
    <row r="68" spans="1:4" x14ac:dyDescent="0.25">
      <c r="A68" s="160">
        <v>21</v>
      </c>
      <c r="B68" s="7"/>
      <c r="C68" s="7">
        <v>8126116.8492000001</v>
      </c>
      <c r="D68" s="7">
        <v>8126116.8492000001</v>
      </c>
    </row>
    <row r="69" spans="1:4" x14ac:dyDescent="0.25">
      <c r="A69" s="160">
        <v>22</v>
      </c>
      <c r="B69" s="7"/>
      <c r="C69" s="7">
        <v>14670331.6602</v>
      </c>
      <c r="D69" s="7">
        <v>14670331.6602</v>
      </c>
    </row>
    <row r="70" spans="1:4" x14ac:dyDescent="0.25">
      <c r="A70" s="160">
        <v>23</v>
      </c>
      <c r="B70" s="7">
        <v>25489417.118299998</v>
      </c>
      <c r="C70" s="7">
        <v>21283013.434999999</v>
      </c>
      <c r="D70" s="7">
        <v>46772430.553299993</v>
      </c>
    </row>
    <row r="71" spans="1:4" x14ac:dyDescent="0.25">
      <c r="A71" s="160">
        <v>24</v>
      </c>
      <c r="B71" s="7">
        <v>16781484.1371</v>
      </c>
      <c r="C71" s="7">
        <v>20086207.592399999</v>
      </c>
      <c r="D71" s="7">
        <v>36867691.729499996</v>
      </c>
    </row>
    <row r="72" spans="1:4" x14ac:dyDescent="0.25">
      <c r="A72" s="160">
        <v>25</v>
      </c>
      <c r="B72" s="7">
        <v>30210995.447799999</v>
      </c>
      <c r="C72" s="7">
        <v>21599322.135200001</v>
      </c>
      <c r="D72" s="7">
        <v>51810317.583000004</v>
      </c>
    </row>
    <row r="73" spans="1:4" x14ac:dyDescent="0.25">
      <c r="A73" s="160">
        <v>26</v>
      </c>
      <c r="B73" s="7">
        <v>21990286.069499999</v>
      </c>
      <c r="C73" s="7">
        <v>3561904.2189000002</v>
      </c>
      <c r="D73" s="7">
        <v>25552190.288399998</v>
      </c>
    </row>
    <row r="74" spans="1:4" x14ac:dyDescent="0.25">
      <c r="A74" s="160">
        <v>27</v>
      </c>
      <c r="B74" s="7">
        <v>20986148.230999999</v>
      </c>
      <c r="C74" s="7"/>
      <c r="D74" s="7">
        <v>20986148.230999999</v>
      </c>
    </row>
    <row r="75" spans="1:4" x14ac:dyDescent="0.25">
      <c r="A75" s="160">
        <v>28</v>
      </c>
      <c r="B75" s="7">
        <v>2243859.1461999998</v>
      </c>
      <c r="C75" s="7">
        <v>15989352.105599999</v>
      </c>
      <c r="D75" s="7">
        <v>18233211.251800001</v>
      </c>
    </row>
    <row r="76" spans="1:4" x14ac:dyDescent="0.25">
      <c r="A76" s="160">
        <v>29</v>
      </c>
      <c r="B76" s="7"/>
      <c r="C76" s="7">
        <v>19802859.724199999</v>
      </c>
      <c r="D76" s="7">
        <v>19802859.724199999</v>
      </c>
    </row>
    <row r="77" spans="1:4" x14ac:dyDescent="0.25">
      <c r="A77" s="160">
        <v>30</v>
      </c>
      <c r="B77" s="7">
        <v>36571375.835299999</v>
      </c>
      <c r="C77" s="7">
        <v>44239273.388400003</v>
      </c>
      <c r="D77" s="7">
        <v>80810649.223700002</v>
      </c>
    </row>
    <row r="78" spans="1:4" x14ac:dyDescent="0.25">
      <c r="A78" s="160" t="s">
        <v>29</v>
      </c>
      <c r="B78" s="7">
        <v>380596877.79259992</v>
      </c>
      <c r="C78" s="7">
        <v>470024070.70110011</v>
      </c>
      <c r="D78" s="7">
        <v>850620948.49370003</v>
      </c>
    </row>
    <row r="84" spans="1:20" x14ac:dyDescent="0.25">
      <c r="A84" s="16">
        <v>2017</v>
      </c>
    </row>
    <row r="85" spans="1:20" x14ac:dyDescent="0.25">
      <c r="A85" s="64" t="s">
        <v>51</v>
      </c>
      <c r="B85" s="208" t="s">
        <v>32</v>
      </c>
      <c r="C85" s="208" t="s">
        <v>33</v>
      </c>
      <c r="D85" s="112" t="s">
        <v>49</v>
      </c>
      <c r="E85" s="208" t="s">
        <v>34</v>
      </c>
      <c r="F85" s="208" t="s">
        <v>35</v>
      </c>
      <c r="G85" s="112" t="s">
        <v>49</v>
      </c>
      <c r="H85" s="208" t="s">
        <v>36</v>
      </c>
      <c r="I85" s="208" t="s">
        <v>33</v>
      </c>
      <c r="J85" s="112" t="s">
        <v>49</v>
      </c>
      <c r="K85" s="208" t="s">
        <v>37</v>
      </c>
      <c r="L85" s="208" t="s">
        <v>33</v>
      </c>
      <c r="M85" s="112" t="s">
        <v>49</v>
      </c>
      <c r="N85" s="208" t="s">
        <v>46</v>
      </c>
      <c r="O85" s="208" t="s">
        <v>33</v>
      </c>
      <c r="P85" s="112" t="s">
        <v>49</v>
      </c>
      <c r="Q85" s="216" t="s">
        <v>54</v>
      </c>
      <c r="R85" s="216" t="s">
        <v>33</v>
      </c>
      <c r="S85" s="112" t="s">
        <v>49</v>
      </c>
      <c r="T85" s="206" t="s">
        <v>47</v>
      </c>
    </row>
    <row r="86" spans="1:20" x14ac:dyDescent="0.25">
      <c r="A86" s="49">
        <v>465871035.90000004</v>
      </c>
      <c r="B86" s="208"/>
      <c r="C86" s="208"/>
      <c r="D86" s="112" t="s">
        <v>50</v>
      </c>
      <c r="E86" s="208"/>
      <c r="F86" s="208"/>
      <c r="G86" s="112" t="s">
        <v>50</v>
      </c>
      <c r="H86" s="208"/>
      <c r="I86" s="208"/>
      <c r="J86" s="112" t="s">
        <v>50</v>
      </c>
      <c r="K86" s="208"/>
      <c r="L86" s="208"/>
      <c r="M86" s="112" t="s">
        <v>50</v>
      </c>
      <c r="N86" s="208"/>
      <c r="O86" s="208"/>
      <c r="P86" s="112" t="s">
        <v>50</v>
      </c>
      <c r="Q86" s="217"/>
      <c r="R86" s="217"/>
      <c r="S86" s="112" t="s">
        <v>50</v>
      </c>
      <c r="T86" s="207"/>
    </row>
    <row r="87" spans="1:20" x14ac:dyDescent="0.25">
      <c r="A87" s="16" t="s">
        <v>38</v>
      </c>
      <c r="B87" s="10"/>
      <c r="C87" s="10"/>
      <c r="D87" s="14">
        <f>B87/$A$86</f>
        <v>0</v>
      </c>
      <c r="E87" s="111">
        <v>11169648.837099999</v>
      </c>
      <c r="F87" s="10"/>
      <c r="G87" s="14">
        <f>E87/$A$86</f>
        <v>2.3975838754435E-2</v>
      </c>
      <c r="H87" s="111">
        <v>17192987.295400001</v>
      </c>
      <c r="I87" s="10"/>
      <c r="J87" s="14">
        <f>H87/$A$86</f>
        <v>3.6905035880123921E-2</v>
      </c>
      <c r="K87" s="111">
        <v>14043186.734099999</v>
      </c>
      <c r="L87" s="10"/>
      <c r="M87" s="14">
        <f>K87/$A$86</f>
        <v>3.0143936093752759E-2</v>
      </c>
      <c r="N87" s="111">
        <v>24529911.351399999</v>
      </c>
      <c r="O87" s="10"/>
      <c r="P87" s="14">
        <f>N87/$A$86</f>
        <v>5.2653866544872266E-2</v>
      </c>
      <c r="Q87" s="10"/>
      <c r="R87" s="10"/>
      <c r="S87" s="14">
        <f>Q87/$A$86</f>
        <v>0</v>
      </c>
      <c r="T87" s="9"/>
    </row>
    <row r="88" spans="1:20" x14ac:dyDescent="0.25">
      <c r="A88" s="16" t="s">
        <v>39</v>
      </c>
      <c r="B88" s="10"/>
      <c r="C88" s="10"/>
      <c r="D88" s="14">
        <f t="shared" ref="D88:D91" si="5">B88/$A$86</f>
        <v>0</v>
      </c>
      <c r="E88" s="111">
        <v>22805585.074700002</v>
      </c>
      <c r="F88" s="10"/>
      <c r="G88" s="14">
        <f t="shared" ref="G88:G91" si="6">E88/$A$86</f>
        <v>4.8952571242474187E-2</v>
      </c>
      <c r="H88" s="111">
        <v>26115470.889400002</v>
      </c>
      <c r="I88" s="10"/>
      <c r="J88" s="14">
        <f t="shared" ref="J88:J91" si="7">H88/$A$86</f>
        <v>5.6057296712916337E-2</v>
      </c>
      <c r="K88" s="111">
        <v>27000534.603100002</v>
      </c>
      <c r="L88" s="10"/>
      <c r="M88" s="14">
        <f t="shared" ref="M88:M91" si="8">K88/$A$86</f>
        <v>5.7957100833578565E-2</v>
      </c>
      <c r="N88" s="111">
        <v>37169922.141199999</v>
      </c>
      <c r="O88" s="10"/>
      <c r="P88" s="14">
        <f t="shared" ref="P88:P91" si="9">N88/$A$86</f>
        <v>7.9785861916469483E-2</v>
      </c>
      <c r="Q88" s="10"/>
      <c r="R88" s="10"/>
      <c r="S88" s="14">
        <f t="shared" ref="S88:S91" si="10">Q88/$A$86</f>
        <v>0</v>
      </c>
      <c r="T88" s="9"/>
    </row>
    <row r="89" spans="1:20" x14ac:dyDescent="0.25">
      <c r="A89" s="16" t="s">
        <v>40</v>
      </c>
      <c r="B89" s="10"/>
      <c r="C89" s="10"/>
      <c r="D89" s="14">
        <f t="shared" si="5"/>
        <v>0</v>
      </c>
      <c r="E89" s="111">
        <v>12522122.968499999</v>
      </c>
      <c r="F89" s="10"/>
      <c r="G89" s="14">
        <f t="shared" si="6"/>
        <v>2.687894718397538E-2</v>
      </c>
      <c r="H89" s="111">
        <v>15167963.7502</v>
      </c>
      <c r="I89" s="10"/>
      <c r="J89" s="14">
        <f t="shared" si="7"/>
        <v>3.2558288842528142E-2</v>
      </c>
      <c r="K89" s="111">
        <v>17347879.491099998</v>
      </c>
      <c r="L89" s="10"/>
      <c r="M89" s="14">
        <f t="shared" si="8"/>
        <v>3.7237514578656372E-2</v>
      </c>
      <c r="N89" s="111">
        <v>15890934.2152</v>
      </c>
      <c r="O89" s="10"/>
      <c r="P89" s="14">
        <f t="shared" si="9"/>
        <v>3.411015708349599E-2</v>
      </c>
      <c r="Q89" s="10"/>
      <c r="R89" s="10"/>
      <c r="S89" s="14">
        <f t="shared" si="10"/>
        <v>0</v>
      </c>
      <c r="T89" s="9"/>
    </row>
    <row r="90" spans="1:20" x14ac:dyDescent="0.25">
      <c r="A90" s="16" t="s">
        <v>41</v>
      </c>
      <c r="B90" s="111">
        <v>7449886.1591999996</v>
      </c>
      <c r="C90" s="10"/>
      <c r="D90" s="14">
        <f t="shared" si="5"/>
        <v>1.599130571577137E-2</v>
      </c>
      <c r="E90" s="111">
        <v>16519679.7576</v>
      </c>
      <c r="F90" s="10"/>
      <c r="G90" s="14">
        <f t="shared" si="6"/>
        <v>3.5459769946174495E-2</v>
      </c>
      <c r="H90" s="111">
        <v>18868043.355099998</v>
      </c>
      <c r="I90" s="10"/>
      <c r="J90" s="14">
        <f t="shared" si="7"/>
        <v>4.050057183454104E-2</v>
      </c>
      <c r="K90" s="111">
        <v>19442299.063099999</v>
      </c>
      <c r="L90" s="10"/>
      <c r="M90" s="14">
        <f t="shared" si="8"/>
        <v>4.1733221352858091E-2</v>
      </c>
      <c r="N90" s="111">
        <v>42592851.4881</v>
      </c>
      <c r="O90" s="10"/>
      <c r="P90" s="14">
        <f t="shared" si="9"/>
        <v>9.1426270804357584E-2</v>
      </c>
      <c r="Q90" s="10"/>
      <c r="R90" s="10"/>
      <c r="S90" s="14">
        <f t="shared" si="10"/>
        <v>0</v>
      </c>
      <c r="T90" s="9"/>
    </row>
    <row r="91" spans="1:20" x14ac:dyDescent="0.25">
      <c r="A91" s="16" t="s">
        <v>42</v>
      </c>
      <c r="B91" s="111">
        <v>18019505.718199998</v>
      </c>
      <c r="C91" s="10"/>
      <c r="D91" s="14">
        <f t="shared" si="5"/>
        <v>3.867917155096097E-2</v>
      </c>
      <c r="E91" s="111">
        <v>17606238.522999998</v>
      </c>
      <c r="F91" s="10"/>
      <c r="G91" s="14">
        <f t="shared" si="6"/>
        <v>3.7792086578181706E-2</v>
      </c>
      <c r="H91" s="111">
        <v>19566761.335000001</v>
      </c>
      <c r="I91" s="10"/>
      <c r="J91" s="14">
        <f t="shared" si="7"/>
        <v>4.2000381709070313E-2</v>
      </c>
      <c r="K91" s="111">
        <v>20699577.570799999</v>
      </c>
      <c r="L91" s="10"/>
      <c r="M91" s="14">
        <f t="shared" si="8"/>
        <v>4.4431990777901026E-2</v>
      </c>
      <c r="N91" s="10"/>
      <c r="O91" s="10"/>
      <c r="P91" s="14">
        <f t="shared" si="9"/>
        <v>0</v>
      </c>
      <c r="Q91" s="10"/>
      <c r="R91" s="10"/>
      <c r="S91" s="14">
        <f t="shared" si="10"/>
        <v>0</v>
      </c>
      <c r="T91" s="9"/>
    </row>
    <row r="92" spans="1:20" x14ac:dyDescent="0.25">
      <c r="A92" s="16" t="s">
        <v>43</v>
      </c>
      <c r="C92" s="111">
        <v>3207201.8881999999</v>
      </c>
      <c r="D92" s="14">
        <f>C92/$A$86</f>
        <v>6.8843126982644845E-3</v>
      </c>
      <c r="F92" s="111">
        <v>2276680.2601999999</v>
      </c>
      <c r="G92" s="14">
        <f>F92/$A$86</f>
        <v>4.8869324013710372E-3</v>
      </c>
      <c r="I92" s="111">
        <v>2480928.3256999999</v>
      </c>
      <c r="J92" s="14">
        <f>I92/$A$86</f>
        <v>5.325354303057671E-3</v>
      </c>
      <c r="L92" s="111">
        <v>3017735.8985000001</v>
      </c>
      <c r="M92" s="14">
        <f>L92/$A$86</f>
        <v>6.4776207704566593E-3</v>
      </c>
      <c r="N92" s="9"/>
      <c r="O92" s="10"/>
      <c r="P92" s="14">
        <f>O92/$A$86</f>
        <v>0</v>
      </c>
      <c r="R92" s="10"/>
      <c r="S92" s="14">
        <f>R92/$A$86</f>
        <v>0</v>
      </c>
      <c r="T92" s="9"/>
    </row>
    <row r="93" spans="1:20" x14ac:dyDescent="0.25">
      <c r="A93" s="16" t="s">
        <v>44</v>
      </c>
      <c r="B93" s="10"/>
      <c r="C93" s="10"/>
      <c r="D93" s="14"/>
      <c r="E93" s="10"/>
      <c r="F93" s="10"/>
      <c r="G93" s="14"/>
      <c r="H93" s="10"/>
      <c r="I93" s="10"/>
      <c r="J93" s="14"/>
      <c r="K93" s="10"/>
      <c r="L93" s="10"/>
      <c r="M93" s="14"/>
      <c r="N93" s="10"/>
      <c r="O93" s="10"/>
      <c r="P93" s="14"/>
      <c r="Q93" s="10"/>
      <c r="R93" s="10"/>
      <c r="S93" s="14"/>
      <c r="T93" s="9"/>
    </row>
    <row r="94" spans="1:20" x14ac:dyDescent="0.25">
      <c r="A94" s="16" t="s">
        <v>45</v>
      </c>
      <c r="B94" s="10">
        <f>SUM(B88:B93)</f>
        <v>25469391.877399996</v>
      </c>
      <c r="C94" s="10">
        <f>SUM(C87:C93)</f>
        <v>3207201.8881999999</v>
      </c>
      <c r="D94" s="30">
        <f>SUM(B94:C94)</f>
        <v>28676593.765599996</v>
      </c>
      <c r="E94" s="146">
        <f>SUM(E87:E93)</f>
        <v>80623275.160899997</v>
      </c>
      <c r="F94" s="10">
        <f>SUM(F87:F93)</f>
        <v>2276680.2601999999</v>
      </c>
      <c r="G94" s="30">
        <f>SUM(E94:F94)</f>
        <v>82899955.421099991</v>
      </c>
      <c r="H94" s="146">
        <f>SUM(H87:H93)</f>
        <v>96911226.625100017</v>
      </c>
      <c r="I94" s="10">
        <f>SUM(I87:I93)</f>
        <v>2480928.3256999999</v>
      </c>
      <c r="J94" s="30">
        <f>SUM(H94:I94)</f>
        <v>99392154.950800017</v>
      </c>
      <c r="K94" s="146">
        <f>SUM(K87:K93)</f>
        <v>98533477.462199986</v>
      </c>
      <c r="L94" s="10">
        <f>SUM(L87:L93)</f>
        <v>3017735.8985000001</v>
      </c>
      <c r="M94" s="30">
        <f>SUM(K94:L94)</f>
        <v>101551213.36069998</v>
      </c>
      <c r="N94" s="146">
        <f>SUM(N87:N93)</f>
        <v>120183619.19589999</v>
      </c>
      <c r="O94" s="10">
        <f>SUM(O87:O93)</f>
        <v>0</v>
      </c>
      <c r="P94" s="30">
        <f>SUM(N94:O94)</f>
        <v>120183619.19589999</v>
      </c>
      <c r="Q94" s="10">
        <f>SUM(Q88:Q93)</f>
        <v>0</v>
      </c>
      <c r="R94" s="10">
        <f>SUM(R87:R93)</f>
        <v>0</v>
      </c>
      <c r="S94" s="30">
        <f>SUM(Q94:R94)</f>
        <v>0</v>
      </c>
      <c r="T94" s="11">
        <f>C94+B94+E94+F94+H94+I94+K94+L94+N94+O94+Q94+R94</f>
        <v>432703536.69410002</v>
      </c>
    </row>
    <row r="95" spans="1:20" ht="30" x14ac:dyDescent="0.25">
      <c r="A95" s="18" t="s">
        <v>48</v>
      </c>
      <c r="B95" s="14">
        <f>B94/$A$86</f>
        <v>5.4670477266732333E-2</v>
      </c>
      <c r="C95" s="14">
        <f>C94/$A$86</f>
        <v>6.8843126982644845E-3</v>
      </c>
      <c r="D95" s="31">
        <f>B95+C95</f>
        <v>6.1554789964996817E-2</v>
      </c>
      <c r="E95" s="14">
        <f>E94/$A$86</f>
        <v>0.17305921370524077</v>
      </c>
      <c r="F95" s="14">
        <f>F94/$A$86</f>
        <v>4.8869324013710372E-3</v>
      </c>
      <c r="G95" s="31">
        <f>E95+F95</f>
        <v>0.1779461461066118</v>
      </c>
      <c r="H95" s="14">
        <f>H94/$A$86</f>
        <v>0.20802157497917978</v>
      </c>
      <c r="I95" s="14">
        <f>I94/$A$86</f>
        <v>5.325354303057671E-3</v>
      </c>
      <c r="J95" s="31">
        <f>H95+I95</f>
        <v>0.21334692928223745</v>
      </c>
      <c r="K95" s="14">
        <f>K94/$A$86</f>
        <v>0.21150376363674678</v>
      </c>
      <c r="L95" s="14">
        <f>L94/$A$86</f>
        <v>6.4776207704566593E-3</v>
      </c>
      <c r="M95" s="31">
        <f>K95+L95</f>
        <v>0.21798138440720344</v>
      </c>
      <c r="N95" s="14">
        <f>N94/$A$86</f>
        <v>0.2579761563491953</v>
      </c>
      <c r="O95" s="14">
        <f>O94/$A$86</f>
        <v>0</v>
      </c>
      <c r="P95" s="31">
        <f>N95+O95</f>
        <v>0.2579761563491953</v>
      </c>
      <c r="Q95" s="14">
        <f>Q94/$A$86</f>
        <v>0</v>
      </c>
      <c r="R95" s="14">
        <f>R94/$A$86</f>
        <v>0</v>
      </c>
      <c r="S95" s="31">
        <f>Q95+R95</f>
        <v>0</v>
      </c>
      <c r="T95" s="12">
        <f>SUM(D95+G95+J95+M95+P95+S95)</f>
        <v>0.92880540611024487</v>
      </c>
    </row>
    <row r="96" spans="1:20" x14ac:dyDescent="0.25">
      <c r="A96" s="16" t="s">
        <v>57</v>
      </c>
      <c r="D96" s="22">
        <f>AVERAGE(D87:D91)</f>
        <v>1.0934095453346468E-2</v>
      </c>
      <c r="G96" s="22">
        <f>AVERAGE(G87:G91)</f>
        <v>3.4611842741048157E-2</v>
      </c>
      <c r="J96" s="22">
        <f>AVERAGE(J87:J91)</f>
        <v>4.1604314995835952E-2</v>
      </c>
      <c r="M96" s="22">
        <f>AVERAGE(M87:M91)</f>
        <v>4.2300752727349358E-2</v>
      </c>
      <c r="P96" s="22">
        <f>AVERAGE(P87:P89)</f>
        <v>5.5516628514945911E-2</v>
      </c>
      <c r="Q96" s="39"/>
      <c r="R96" s="39"/>
      <c r="S96" s="40"/>
      <c r="T96" s="41"/>
    </row>
    <row r="97" spans="1:20" ht="30" x14ac:dyDescent="0.25">
      <c r="A97" s="18" t="s">
        <v>58</v>
      </c>
      <c r="B97" s="14">
        <f>(D92+G92+J92+M92)/4</f>
        <v>5.893555043287463E-3</v>
      </c>
      <c r="Q97" s="39"/>
      <c r="R97" s="39"/>
      <c r="S97" s="40"/>
      <c r="T97" s="41"/>
    </row>
    <row r="98" spans="1:20" x14ac:dyDescent="0.25">
      <c r="A98" s="38"/>
      <c r="B98" s="39"/>
      <c r="C98" s="39"/>
      <c r="D98" s="40"/>
      <c r="E98" s="39"/>
      <c r="F98" s="39"/>
      <c r="G98" s="40"/>
      <c r="H98" s="39"/>
      <c r="I98" s="39"/>
      <c r="J98" s="40"/>
      <c r="K98" s="39"/>
      <c r="L98" s="39"/>
      <c r="M98" s="40"/>
      <c r="N98" s="39"/>
      <c r="O98" s="39"/>
      <c r="P98" s="40"/>
      <c r="Q98" s="39"/>
      <c r="R98" s="39"/>
      <c r="S98" s="40"/>
      <c r="T98" s="41"/>
    </row>
    <row r="99" spans="1:20" x14ac:dyDescent="0.25">
      <c r="A99" s="38"/>
      <c r="B99" s="39"/>
      <c r="C99" s="39"/>
      <c r="D99" s="40"/>
      <c r="E99" s="39"/>
      <c r="F99" s="39"/>
      <c r="G99" s="40"/>
      <c r="H99" s="39"/>
      <c r="I99" s="39"/>
      <c r="J99" s="40"/>
      <c r="K99" s="39"/>
      <c r="L99" s="39"/>
      <c r="M99" s="40"/>
      <c r="N99" s="39"/>
      <c r="O99" s="39"/>
      <c r="P99" s="40"/>
      <c r="Q99" s="39"/>
      <c r="R99" s="39"/>
      <c r="S99" s="40"/>
      <c r="T99" s="41"/>
    </row>
    <row r="100" spans="1:20" x14ac:dyDescent="0.25">
      <c r="A100" s="13"/>
    </row>
    <row r="101" spans="1:20" x14ac:dyDescent="0.25">
      <c r="A101" s="16">
        <v>2018</v>
      </c>
    </row>
    <row r="102" spans="1:20" x14ac:dyDescent="0.25">
      <c r="A102" s="25" t="s">
        <v>51</v>
      </c>
      <c r="B102" s="208" t="s">
        <v>32</v>
      </c>
      <c r="C102" s="208" t="s">
        <v>33</v>
      </c>
      <c r="D102" s="112" t="s">
        <v>49</v>
      </c>
      <c r="E102" s="208" t="s">
        <v>34</v>
      </c>
      <c r="F102" s="208" t="s">
        <v>35</v>
      </c>
      <c r="G102" s="112" t="s">
        <v>49</v>
      </c>
      <c r="H102" s="208" t="s">
        <v>36</v>
      </c>
      <c r="I102" s="208" t="s">
        <v>33</v>
      </c>
      <c r="J102" s="112" t="s">
        <v>49</v>
      </c>
      <c r="K102" s="208" t="s">
        <v>37</v>
      </c>
      <c r="L102" s="208" t="s">
        <v>33</v>
      </c>
      <c r="M102" s="112" t="s">
        <v>49</v>
      </c>
      <c r="N102" s="208" t="s">
        <v>46</v>
      </c>
      <c r="O102" s="208" t="s">
        <v>33</v>
      </c>
      <c r="P102" s="113" t="s">
        <v>49</v>
      </c>
      <c r="Q102" s="216" t="s">
        <v>54</v>
      </c>
      <c r="R102" s="216" t="s">
        <v>33</v>
      </c>
      <c r="S102" s="112" t="s">
        <v>49</v>
      </c>
      <c r="T102" s="206" t="s">
        <v>47</v>
      </c>
    </row>
    <row r="103" spans="1:20" x14ac:dyDescent="0.25">
      <c r="A103" s="145">
        <v>486587174.39999998</v>
      </c>
      <c r="B103" s="208"/>
      <c r="C103" s="208"/>
      <c r="D103" s="112" t="s">
        <v>50</v>
      </c>
      <c r="E103" s="208"/>
      <c r="F103" s="208"/>
      <c r="G103" s="112" t="s">
        <v>50</v>
      </c>
      <c r="H103" s="208"/>
      <c r="I103" s="208"/>
      <c r="J103" s="112" t="s">
        <v>50</v>
      </c>
      <c r="K103" s="208"/>
      <c r="L103" s="208"/>
      <c r="M103" s="112" t="s">
        <v>50</v>
      </c>
      <c r="N103" s="208"/>
      <c r="O103" s="208"/>
      <c r="P103" s="114" t="s">
        <v>50</v>
      </c>
      <c r="Q103" s="217"/>
      <c r="R103" s="217"/>
      <c r="S103" s="112" t="s">
        <v>50</v>
      </c>
      <c r="T103" s="207"/>
    </row>
    <row r="104" spans="1:20" x14ac:dyDescent="0.25">
      <c r="A104" s="16" t="s">
        <v>38</v>
      </c>
      <c r="B104" s="10"/>
      <c r="C104" s="10"/>
      <c r="D104" s="14">
        <f>B104/$A$103</f>
        <v>0</v>
      </c>
      <c r="E104" s="7">
        <v>9253451.6076999996</v>
      </c>
      <c r="F104" s="10"/>
      <c r="G104" s="14">
        <f>E104/$A$103</f>
        <v>1.9017047909473218E-2</v>
      </c>
      <c r="H104" s="7">
        <v>15260938.712300001</v>
      </c>
      <c r="I104" s="10"/>
      <c r="J104" s="14">
        <f>H104/$A$103</f>
        <v>3.1363216120765883E-2</v>
      </c>
      <c r="K104" s="7">
        <v>13093427.305500001</v>
      </c>
      <c r="L104" s="10"/>
      <c r="M104" s="14">
        <f>K104/$A$103</f>
        <v>2.6908697956630732E-2</v>
      </c>
      <c r="N104" s="7">
        <v>22567906.655499998</v>
      </c>
      <c r="O104" s="10"/>
      <c r="P104" s="14">
        <f>N104/$A$103</f>
        <v>4.6379986655686087E-2</v>
      </c>
      <c r="Q104" s="10"/>
      <c r="R104" s="10"/>
      <c r="S104" s="14">
        <f>Q104/$A$103</f>
        <v>0</v>
      </c>
      <c r="T104" s="9"/>
    </row>
    <row r="105" spans="1:20" x14ac:dyDescent="0.25">
      <c r="A105" s="16" t="s">
        <v>39</v>
      </c>
      <c r="B105" s="10"/>
      <c r="C105" s="10"/>
      <c r="D105" s="14">
        <f t="shared" ref="D105:D108" si="11">B105/$A$103</f>
        <v>0</v>
      </c>
      <c r="E105" s="7">
        <v>18547382.547499999</v>
      </c>
      <c r="F105" s="10"/>
      <c r="G105" s="14">
        <f t="shared" ref="G105:G108" si="12">E105/$A$103</f>
        <v>3.8117286117067044E-2</v>
      </c>
      <c r="H105" s="7">
        <v>25516902.567200001</v>
      </c>
      <c r="I105" s="10"/>
      <c r="J105" s="14">
        <f t="shared" ref="J105:J108" si="13">H105/$A$103</f>
        <v>5.2440557231423816E-2</v>
      </c>
      <c r="K105" s="7">
        <v>23106060.925099999</v>
      </c>
      <c r="L105" s="10"/>
      <c r="M105" s="14">
        <f t="shared" ref="M105:M108" si="14">K105/$A$103</f>
        <v>4.7485963750671351E-2</v>
      </c>
      <c r="N105" s="7">
        <v>17084154.353599999</v>
      </c>
      <c r="O105" s="10"/>
      <c r="P105" s="14">
        <f t="shared" ref="P105:P108" si="15">N105/$A$103</f>
        <v>3.5110161657396943E-2</v>
      </c>
      <c r="Q105" s="10"/>
      <c r="R105" s="10"/>
      <c r="S105" s="14">
        <f t="shared" ref="S105:S108" si="16">Q105/$A$103</f>
        <v>0</v>
      </c>
      <c r="T105" s="9"/>
    </row>
    <row r="106" spans="1:20" x14ac:dyDescent="0.25">
      <c r="A106" s="16" t="s">
        <v>40</v>
      </c>
      <c r="B106" s="10"/>
      <c r="C106" s="10"/>
      <c r="D106" s="14">
        <f t="shared" si="11"/>
        <v>0</v>
      </c>
      <c r="E106" s="7">
        <v>18213752.7579</v>
      </c>
      <c r="F106" s="10"/>
      <c r="G106" s="14">
        <f t="shared" si="12"/>
        <v>3.7431633458812348E-2</v>
      </c>
      <c r="H106" s="7">
        <v>23055295.3948</v>
      </c>
      <c r="I106" s="10"/>
      <c r="J106" s="14">
        <f t="shared" si="13"/>
        <v>4.7381633975924216E-2</v>
      </c>
      <c r="K106" s="7">
        <v>24459130.485199999</v>
      </c>
      <c r="L106" s="10"/>
      <c r="M106" s="14">
        <f t="shared" si="14"/>
        <v>5.0266697874558695E-2</v>
      </c>
      <c r="N106" s="7">
        <v>30374203.277600002</v>
      </c>
      <c r="O106" s="10"/>
      <c r="P106" s="14">
        <f t="shared" si="15"/>
        <v>6.2422942641375143E-2</v>
      </c>
      <c r="Q106" s="10"/>
      <c r="R106" s="10"/>
      <c r="S106" s="14">
        <f t="shared" si="16"/>
        <v>0</v>
      </c>
      <c r="T106" s="9"/>
    </row>
    <row r="107" spans="1:20" x14ac:dyDescent="0.25">
      <c r="A107" s="16" t="s">
        <v>41</v>
      </c>
      <c r="B107" s="10"/>
      <c r="C107" s="10"/>
      <c r="D107" s="14">
        <f t="shared" si="11"/>
        <v>0</v>
      </c>
      <c r="E107" s="7">
        <v>19480220.478100002</v>
      </c>
      <c r="F107" s="10"/>
      <c r="G107" s="14">
        <f t="shared" si="12"/>
        <v>4.0034389525619198E-2</v>
      </c>
      <c r="H107" s="7">
        <v>15805838.5679</v>
      </c>
      <c r="I107" s="10"/>
      <c r="J107" s="14">
        <f t="shared" si="13"/>
        <v>3.248305627329745E-2</v>
      </c>
      <c r="K107" s="7">
        <v>19886703.545600001</v>
      </c>
      <c r="L107" s="10"/>
      <c r="M107" s="14">
        <f t="shared" si="14"/>
        <v>4.086976515589804E-2</v>
      </c>
      <c r="N107" s="7">
        <v>20064318.8103</v>
      </c>
      <c r="O107" s="10"/>
      <c r="P107" s="14">
        <f t="shared" si="15"/>
        <v>4.12347876514437E-2</v>
      </c>
      <c r="Q107" s="10"/>
      <c r="R107" s="10"/>
      <c r="S107" s="14">
        <f t="shared" si="16"/>
        <v>0</v>
      </c>
      <c r="T107" s="9"/>
    </row>
    <row r="108" spans="1:20" x14ac:dyDescent="0.25">
      <c r="A108" s="16" t="s">
        <v>42</v>
      </c>
      <c r="B108" s="10"/>
      <c r="C108" s="10"/>
      <c r="D108" s="14">
        <f t="shared" si="11"/>
        <v>0</v>
      </c>
      <c r="E108" s="7">
        <v>23519783.299199998</v>
      </c>
      <c r="F108" s="10"/>
      <c r="G108" s="14">
        <f t="shared" si="12"/>
        <v>4.8336217098614916E-2</v>
      </c>
      <c r="H108" s="7">
        <v>19514879.669399999</v>
      </c>
      <c r="I108" s="10"/>
      <c r="J108" s="14">
        <f t="shared" si="13"/>
        <v>4.0105618676578088E-2</v>
      </c>
      <c r="K108" s="7">
        <v>35873847.113300003</v>
      </c>
      <c r="L108" s="10"/>
      <c r="M108" s="14">
        <f t="shared" si="14"/>
        <v>7.3725426810797592E-2</v>
      </c>
      <c r="N108" s="7">
        <v>49907924.488600001</v>
      </c>
      <c r="O108" s="10"/>
      <c r="P108" s="14">
        <f t="shared" si="15"/>
        <v>0.10256728313922449</v>
      </c>
      <c r="Q108" s="10"/>
      <c r="R108" s="10"/>
      <c r="S108" s="14">
        <f t="shared" si="16"/>
        <v>0</v>
      </c>
      <c r="T108" s="9"/>
    </row>
    <row r="109" spans="1:20" x14ac:dyDescent="0.25">
      <c r="A109" s="16" t="s">
        <v>43</v>
      </c>
      <c r="B109" s="7"/>
      <c r="C109" s="7">
        <v>88448.46</v>
      </c>
      <c r="D109" s="14">
        <f>C109/$A$103</f>
        <v>1.8177310182715742E-4</v>
      </c>
      <c r="E109" s="7"/>
      <c r="F109" s="7">
        <v>1751722.3291</v>
      </c>
      <c r="G109" s="14">
        <f>F109/$A$103</f>
        <v>3.6000174711962158E-3</v>
      </c>
      <c r="H109" s="7"/>
      <c r="I109" s="7">
        <v>2745805.7176000001</v>
      </c>
      <c r="J109" s="14">
        <f>I109/$A$103</f>
        <v>5.6429882702637877E-3</v>
      </c>
      <c r="L109" s="7">
        <v>1170888.0737000001</v>
      </c>
      <c r="M109" s="14">
        <f>L109/$A$103</f>
        <v>2.4063274481983554E-3</v>
      </c>
      <c r="O109" s="10"/>
      <c r="P109" s="14">
        <f>O109/$A$103</f>
        <v>0</v>
      </c>
      <c r="R109" s="10"/>
      <c r="S109" s="14">
        <f>R109/$A$103</f>
        <v>0</v>
      </c>
      <c r="T109" s="9"/>
    </row>
    <row r="110" spans="1:20" x14ac:dyDescent="0.25">
      <c r="A110" s="16" t="s">
        <v>44</v>
      </c>
      <c r="B110" s="10"/>
      <c r="C110" s="10"/>
      <c r="D110" s="14"/>
      <c r="E110" s="10"/>
      <c r="F110" s="10"/>
      <c r="G110" s="14"/>
      <c r="H110" s="10"/>
      <c r="I110" s="10"/>
      <c r="J110" s="14"/>
      <c r="K110" s="10"/>
      <c r="L110" s="10"/>
      <c r="M110" s="14"/>
      <c r="N110" s="10"/>
      <c r="O110" s="10"/>
      <c r="P110" s="14"/>
      <c r="Q110" s="10"/>
      <c r="R110" s="10"/>
      <c r="S110" s="14"/>
      <c r="T110" s="9"/>
    </row>
    <row r="111" spans="1:20" x14ac:dyDescent="0.25">
      <c r="A111" s="16" t="s">
        <v>45</v>
      </c>
      <c r="B111" s="10">
        <f>SUM(B105:B110)</f>
        <v>0</v>
      </c>
      <c r="C111" s="10">
        <f>SUM(C104:C110)</f>
        <v>88448.46</v>
      </c>
      <c r="D111" s="30">
        <f>SUM(B111:C111)</f>
        <v>88448.46</v>
      </c>
      <c r="E111" s="146">
        <f>SUM(E104:E110)</f>
        <v>89014590.690400004</v>
      </c>
      <c r="F111" s="10">
        <f>SUM(F104:F110)</f>
        <v>1751722.3291</v>
      </c>
      <c r="G111" s="30">
        <f>SUM(E111:F111)</f>
        <v>90766313.019500002</v>
      </c>
      <c r="H111" s="146">
        <f>SUM(H104:H110)</f>
        <v>99153854.911599994</v>
      </c>
      <c r="I111" s="10">
        <f>SUM(I104:I110)</f>
        <v>2745805.7176000001</v>
      </c>
      <c r="J111" s="30">
        <f>SUM(H111:I111)</f>
        <v>101899660.6292</v>
      </c>
      <c r="K111" s="146">
        <f>SUM(K104:K110)</f>
        <v>116419169.37470001</v>
      </c>
      <c r="L111" s="10">
        <f>SUM(L104:L110)</f>
        <v>1170888.0737000001</v>
      </c>
      <c r="M111" s="30">
        <f>SUM(K111:L111)</f>
        <v>117590057.44840001</v>
      </c>
      <c r="N111" s="146">
        <f>SUM(N104:N110)</f>
        <v>139998507.58560002</v>
      </c>
      <c r="O111" s="10">
        <f>SUM(O104:O110)</f>
        <v>0</v>
      </c>
      <c r="P111" s="30">
        <f>SUM(N111:O111)</f>
        <v>139998507.58560002</v>
      </c>
      <c r="Q111" s="10">
        <f>SUM(Q105:Q110)</f>
        <v>0</v>
      </c>
      <c r="R111" s="10">
        <f>SUM(R104:R110)</f>
        <v>0</v>
      </c>
      <c r="S111" s="30">
        <f>SUM(Q111:R111)</f>
        <v>0</v>
      </c>
      <c r="T111" s="11">
        <f>C111+B111+E111+F111+H111+I111+K111+L111+N111+O111+Q111+R111</f>
        <v>450342987.14270002</v>
      </c>
    </row>
    <row r="112" spans="1:20" ht="30" x14ac:dyDescent="0.25">
      <c r="A112" s="18" t="s">
        <v>48</v>
      </c>
      <c r="B112" s="14">
        <f>B111/$A$103</f>
        <v>0</v>
      </c>
      <c r="C112" s="14">
        <f>C111/$A$103</f>
        <v>1.8177310182715742E-4</v>
      </c>
      <c r="D112" s="31">
        <f>B112+C112</f>
        <v>1.8177310182715742E-4</v>
      </c>
      <c r="E112" s="14">
        <f>E111/$A$103</f>
        <v>0.18293657410958675</v>
      </c>
      <c r="F112" s="14">
        <f>F111/$A$103</f>
        <v>3.6000174711962158E-3</v>
      </c>
      <c r="G112" s="31">
        <f>E112+F112</f>
        <v>0.18653659158078295</v>
      </c>
      <c r="H112" s="14">
        <f>H111/$A$103</f>
        <v>0.20377408227798943</v>
      </c>
      <c r="I112" s="14">
        <f>I111/$A$103</f>
        <v>5.6429882702637877E-3</v>
      </c>
      <c r="J112" s="31">
        <f>H112+I112</f>
        <v>0.20941707054825323</v>
      </c>
      <c r="K112" s="14">
        <f>K111/$A$103</f>
        <v>0.23925655154855643</v>
      </c>
      <c r="L112" s="14">
        <f>L111/$A$103</f>
        <v>2.4063274481983554E-3</v>
      </c>
      <c r="M112" s="31">
        <f>K112+L112</f>
        <v>0.24166287899675479</v>
      </c>
      <c r="N112" s="14">
        <f>N111/$A$103</f>
        <v>0.2877151617451264</v>
      </c>
      <c r="O112" s="14">
        <f>O111/$A$103</f>
        <v>0</v>
      </c>
      <c r="P112" s="31">
        <f>N112+O112</f>
        <v>0.2877151617451264</v>
      </c>
      <c r="Q112" s="14">
        <f>Q111/$A$103</f>
        <v>0</v>
      </c>
      <c r="R112" s="14">
        <f>R111/$A$103</f>
        <v>0</v>
      </c>
      <c r="S112" s="31">
        <f>Q112+R112</f>
        <v>0</v>
      </c>
      <c r="T112" s="12">
        <f>SUM(D112+G112+J112+M112+P112+S112)</f>
        <v>0.92551347597274458</v>
      </c>
    </row>
    <row r="113" spans="1:20" x14ac:dyDescent="0.25">
      <c r="A113" s="16" t="s">
        <v>57</v>
      </c>
      <c r="D113" s="22">
        <f>AVERAGE(D104:D108)</f>
        <v>0</v>
      </c>
      <c r="G113" s="22">
        <f>AVERAGE(G104:G108)</f>
        <v>3.6587314821917342E-2</v>
      </c>
      <c r="J113" s="22">
        <f>AVERAGE(J104:J108)</f>
        <v>4.0754816455597885E-2</v>
      </c>
      <c r="M113" s="22">
        <f>AVERAGE(M104:M108)</f>
        <v>4.7851310309711279E-2</v>
      </c>
      <c r="P113" s="22">
        <f>AVERAGE(P104:P107)</f>
        <v>4.6286969651475468E-2</v>
      </c>
    </row>
    <row r="114" spans="1:20" ht="30.75" thickBot="1" x14ac:dyDescent="0.3">
      <c r="A114" s="37" t="s">
        <v>58</v>
      </c>
      <c r="B114" s="14">
        <f>(D109+G109+J109+M109)/4</f>
        <v>2.9577765728713789E-3</v>
      </c>
    </row>
    <row r="115" spans="1:20" ht="30.75" thickBot="1" x14ac:dyDescent="0.3">
      <c r="A115" s="89" t="s">
        <v>59</v>
      </c>
      <c r="B115" s="88">
        <f>(P108+P90+P140+P159)/4</f>
        <v>0.10156382206387189</v>
      </c>
      <c r="N115" s="8"/>
    </row>
    <row r="121" spans="1:20" x14ac:dyDescent="0.25">
      <c r="A121">
        <v>13677</v>
      </c>
    </row>
    <row r="122" spans="1:20" x14ac:dyDescent="0.25">
      <c r="A122" s="16">
        <v>2019</v>
      </c>
      <c r="B122" s="208" t="s">
        <v>32</v>
      </c>
      <c r="C122" s="208" t="s">
        <v>33</v>
      </c>
      <c r="D122" s="112" t="s">
        <v>49</v>
      </c>
      <c r="E122" s="208" t="s">
        <v>34</v>
      </c>
      <c r="F122" s="208" t="s">
        <v>35</v>
      </c>
      <c r="G122" s="112" t="s">
        <v>49</v>
      </c>
      <c r="H122" s="208" t="s">
        <v>36</v>
      </c>
      <c r="I122" s="208" t="s">
        <v>33</v>
      </c>
      <c r="J122" s="112" t="s">
        <v>49</v>
      </c>
      <c r="K122" s="208" t="s">
        <v>37</v>
      </c>
      <c r="L122" s="208" t="s">
        <v>33</v>
      </c>
      <c r="M122" s="112" t="s">
        <v>49</v>
      </c>
      <c r="N122" s="208" t="s">
        <v>46</v>
      </c>
      <c r="O122" s="208" t="s">
        <v>33</v>
      </c>
      <c r="P122" s="112" t="s">
        <v>49</v>
      </c>
      <c r="Q122" s="216" t="s">
        <v>54</v>
      </c>
      <c r="R122" s="216" t="s">
        <v>33</v>
      </c>
      <c r="S122" s="112" t="s">
        <v>49</v>
      </c>
      <c r="T122" s="206" t="s">
        <v>47</v>
      </c>
    </row>
    <row r="123" spans="1:20" x14ac:dyDescent="0.25">
      <c r="A123" s="93">
        <v>460075282.54999995</v>
      </c>
      <c r="B123" s="208"/>
      <c r="C123" s="208"/>
      <c r="D123" s="112" t="s">
        <v>50</v>
      </c>
      <c r="E123" s="208"/>
      <c r="F123" s="208"/>
      <c r="G123" s="112" t="s">
        <v>50</v>
      </c>
      <c r="H123" s="208"/>
      <c r="I123" s="208"/>
      <c r="J123" s="112" t="s">
        <v>50</v>
      </c>
      <c r="K123" s="208"/>
      <c r="L123" s="208"/>
      <c r="M123" s="112" t="s">
        <v>50</v>
      </c>
      <c r="N123" s="208"/>
      <c r="O123" s="208"/>
      <c r="P123" s="112" t="s">
        <v>50</v>
      </c>
      <c r="Q123" s="217"/>
      <c r="R123" s="217"/>
      <c r="S123" s="112" t="s">
        <v>50</v>
      </c>
      <c r="T123" s="207"/>
    </row>
    <row r="124" spans="1:20" x14ac:dyDescent="0.25">
      <c r="A124" s="16" t="s">
        <v>38</v>
      </c>
      <c r="B124" s="9"/>
      <c r="C124" s="10"/>
      <c r="D124" s="14">
        <f>B124/$A$123</f>
        <v>0</v>
      </c>
      <c r="E124" s="9"/>
      <c r="F124" s="10"/>
      <c r="G124" s="14">
        <f>E124/$A$123</f>
        <v>0</v>
      </c>
      <c r="H124" s="9"/>
      <c r="I124" s="10"/>
      <c r="J124" s="14">
        <f>H124/$A$123</f>
        <v>0</v>
      </c>
      <c r="K124" s="9"/>
      <c r="L124" s="10"/>
      <c r="M124" s="14">
        <f>K124/$A$123</f>
        <v>0</v>
      </c>
      <c r="N124" s="9"/>
      <c r="O124" s="10"/>
      <c r="P124" s="14">
        <f>N124/$A$123</f>
        <v>0</v>
      </c>
      <c r="Q124" s="9"/>
      <c r="R124" s="10"/>
      <c r="S124" s="14">
        <f>Q124/$A$123</f>
        <v>0</v>
      </c>
      <c r="T124" s="9"/>
    </row>
    <row r="125" spans="1:20" x14ac:dyDescent="0.25">
      <c r="A125" s="16" t="s">
        <v>39</v>
      </c>
      <c r="B125" s="111"/>
      <c r="C125" s="10"/>
      <c r="D125" s="14">
        <f t="shared" ref="D125:D128" si="17">B125/$A$123</f>
        <v>0</v>
      </c>
      <c r="E125" s="111"/>
      <c r="F125" s="10"/>
      <c r="G125" s="14">
        <f t="shared" ref="G125:G128" si="18">E125/$A$123</f>
        <v>0</v>
      </c>
      <c r="H125" s="111"/>
      <c r="I125" s="10"/>
      <c r="J125" s="14">
        <f t="shared" ref="J125:J128" si="19">H125/$A$123</f>
        <v>0</v>
      </c>
      <c r="K125" s="111"/>
      <c r="L125" s="10"/>
      <c r="M125" s="14">
        <f t="shared" ref="M125:M128" si="20">K125/$A$123</f>
        <v>0</v>
      </c>
      <c r="N125" s="111"/>
      <c r="O125" s="10"/>
      <c r="P125" s="14">
        <f t="shared" ref="P125:P128" si="21">N125/$A$123</f>
        <v>0</v>
      </c>
      <c r="Q125" s="111"/>
      <c r="R125" s="10"/>
      <c r="S125" s="14">
        <f t="shared" ref="S125:S128" si="22">Q125/$A$123</f>
        <v>0</v>
      </c>
      <c r="T125" s="9"/>
    </row>
    <row r="126" spans="1:20" x14ac:dyDescent="0.25">
      <c r="A126" s="16" t="s">
        <v>40</v>
      </c>
      <c r="B126" s="111"/>
      <c r="C126" s="10"/>
      <c r="D126" s="14">
        <f t="shared" si="17"/>
        <v>0</v>
      </c>
      <c r="E126" s="111"/>
      <c r="F126" s="10"/>
      <c r="G126" s="14">
        <f t="shared" si="18"/>
        <v>0</v>
      </c>
      <c r="H126" s="111"/>
      <c r="I126" s="10"/>
      <c r="J126" s="14">
        <f t="shared" si="19"/>
        <v>0</v>
      </c>
      <c r="K126" s="111"/>
      <c r="L126" s="10"/>
      <c r="M126" s="14">
        <f t="shared" si="20"/>
        <v>0</v>
      </c>
      <c r="N126" s="111"/>
      <c r="O126" s="10"/>
      <c r="P126" s="14">
        <f t="shared" si="21"/>
        <v>0</v>
      </c>
      <c r="Q126" s="111"/>
      <c r="R126" s="10"/>
      <c r="S126" s="14">
        <f t="shared" si="22"/>
        <v>0</v>
      </c>
      <c r="T126" s="9"/>
    </row>
    <row r="127" spans="1:20" x14ac:dyDescent="0.25">
      <c r="A127" s="16" t="s">
        <v>41</v>
      </c>
      <c r="B127" s="111"/>
      <c r="C127" s="10"/>
      <c r="D127" s="14">
        <f t="shared" si="17"/>
        <v>0</v>
      </c>
      <c r="E127" s="111"/>
      <c r="F127" s="10"/>
      <c r="G127" s="14">
        <f t="shared" si="18"/>
        <v>0</v>
      </c>
      <c r="H127" s="111"/>
      <c r="I127" s="10"/>
      <c r="J127" s="14">
        <f t="shared" si="19"/>
        <v>0</v>
      </c>
      <c r="K127" s="111"/>
      <c r="L127" s="10"/>
      <c r="M127" s="14">
        <f t="shared" si="20"/>
        <v>0</v>
      </c>
      <c r="N127" s="111"/>
      <c r="O127" s="10"/>
      <c r="P127" s="14">
        <f t="shared" si="21"/>
        <v>0</v>
      </c>
      <c r="Q127" s="111"/>
      <c r="R127" s="10"/>
      <c r="S127" s="14">
        <f t="shared" si="22"/>
        <v>0</v>
      </c>
      <c r="T127" s="9"/>
    </row>
    <row r="128" spans="1:20" x14ac:dyDescent="0.25">
      <c r="A128" s="16" t="s">
        <v>42</v>
      </c>
      <c r="B128" s="111"/>
      <c r="C128" s="10"/>
      <c r="D128" s="14">
        <f t="shared" si="17"/>
        <v>0</v>
      </c>
      <c r="E128" s="111"/>
      <c r="F128" s="10"/>
      <c r="G128" s="14">
        <f t="shared" si="18"/>
        <v>0</v>
      </c>
      <c r="H128" s="111"/>
      <c r="I128" s="10"/>
      <c r="J128" s="14">
        <f t="shared" si="19"/>
        <v>0</v>
      </c>
      <c r="K128" s="111"/>
      <c r="L128" s="10"/>
      <c r="M128" s="14">
        <f t="shared" si="20"/>
        <v>0</v>
      </c>
      <c r="N128" s="111"/>
      <c r="O128" s="10"/>
      <c r="P128" s="14">
        <f t="shared" si="21"/>
        <v>0</v>
      </c>
      <c r="Q128" s="111"/>
      <c r="R128" s="10"/>
      <c r="S128" s="14">
        <f t="shared" si="22"/>
        <v>0</v>
      </c>
      <c r="T128" s="9"/>
    </row>
    <row r="129" spans="1:20" x14ac:dyDescent="0.25">
      <c r="A129" s="16" t="s">
        <v>43</v>
      </c>
      <c r="B129" s="9"/>
      <c r="C129" s="111"/>
      <c r="D129" s="14">
        <f>C129/$A$123</f>
        <v>0</v>
      </c>
      <c r="E129" s="9"/>
      <c r="F129" s="111"/>
      <c r="G129" s="14">
        <f>F129/$A$123</f>
        <v>0</v>
      </c>
      <c r="H129" s="9"/>
      <c r="I129" s="111"/>
      <c r="J129" s="14">
        <f>I129/$A$123</f>
        <v>0</v>
      </c>
      <c r="K129" s="9"/>
      <c r="L129" s="111"/>
      <c r="M129" s="14">
        <f>L129/$A$123</f>
        <v>0</v>
      </c>
      <c r="N129" s="9"/>
      <c r="O129" s="111"/>
      <c r="P129" s="14">
        <f>O129/$A$123</f>
        <v>0</v>
      </c>
      <c r="Q129" s="9"/>
      <c r="R129" s="111"/>
      <c r="S129" s="14">
        <f>R129/$A$123</f>
        <v>0</v>
      </c>
      <c r="T129" s="9"/>
    </row>
    <row r="130" spans="1:20" x14ac:dyDescent="0.25">
      <c r="A130" s="16" t="s">
        <v>44</v>
      </c>
      <c r="B130" s="10"/>
      <c r="C130" s="10"/>
      <c r="D130" s="14"/>
      <c r="E130" s="10"/>
      <c r="F130" s="10"/>
      <c r="G130" s="14"/>
      <c r="H130" s="10"/>
      <c r="I130" s="10"/>
      <c r="J130" s="14"/>
      <c r="K130" s="10"/>
      <c r="L130" s="10"/>
      <c r="M130" s="14"/>
      <c r="N130" s="10"/>
      <c r="O130" s="10"/>
      <c r="P130" s="14"/>
      <c r="Q130" s="10"/>
      <c r="R130" s="10"/>
      <c r="S130" s="14"/>
      <c r="T130" s="9"/>
    </row>
    <row r="131" spans="1:20" x14ac:dyDescent="0.25">
      <c r="A131" s="16" t="s">
        <v>45</v>
      </c>
      <c r="B131" s="10">
        <f>SUM(B125:B130)</f>
        <v>0</v>
      </c>
      <c r="C131" s="10">
        <f>SUM(C124:C130)</f>
        <v>0</v>
      </c>
      <c r="D131" s="30">
        <f>SUM(B131:C131)</f>
        <v>0</v>
      </c>
      <c r="E131" s="10">
        <f>SUM(E124:E130)</f>
        <v>0</v>
      </c>
      <c r="F131" s="10">
        <f>SUM(F124:F130)</f>
        <v>0</v>
      </c>
      <c r="G131" s="30">
        <f>SUM(E131:F131)</f>
        <v>0</v>
      </c>
      <c r="H131" s="10">
        <f>SUM(H124:H130)</f>
        <v>0</v>
      </c>
      <c r="I131" s="10">
        <f>SUM(I124:I130)</f>
        <v>0</v>
      </c>
      <c r="J131" s="30">
        <f>SUM(H131:I131)</f>
        <v>0</v>
      </c>
      <c r="K131" s="10">
        <f>SUM(K124:K130)</f>
        <v>0</v>
      </c>
      <c r="L131" s="10">
        <f>SUM(L124:L130)</f>
        <v>0</v>
      </c>
      <c r="M131" s="30">
        <f>SUM(K131:L131)</f>
        <v>0</v>
      </c>
      <c r="N131" s="10">
        <f>SUM(N124:N130)</f>
        <v>0</v>
      </c>
      <c r="O131" s="10">
        <f>SUM(O124:O130)</f>
        <v>0</v>
      </c>
      <c r="P131" s="30">
        <f>SUM(N131:O131)</f>
        <v>0</v>
      </c>
      <c r="Q131" s="10">
        <f>SUM(Q124:Q130)</f>
        <v>0</v>
      </c>
      <c r="R131" s="10">
        <f>SUM(R124:R130)</f>
        <v>0</v>
      </c>
      <c r="S131" s="30">
        <f>SUM(Q131:R131)</f>
        <v>0</v>
      </c>
      <c r="T131" s="11">
        <f>C131+B131+E131+F131+H131+I131+K131+L131+N131+O131+Q131+R131</f>
        <v>0</v>
      </c>
    </row>
    <row r="132" spans="1:20" ht="30" x14ac:dyDescent="0.25">
      <c r="A132" s="18" t="s">
        <v>48</v>
      </c>
      <c r="B132" s="14">
        <f>B131/$A$123</f>
        <v>0</v>
      </c>
      <c r="C132" s="14">
        <f>C131/$A$123</f>
        <v>0</v>
      </c>
      <c r="D132" s="31">
        <f>B132+C132</f>
        <v>0</v>
      </c>
      <c r="E132" s="14" t="e">
        <f>E131/$I$115</f>
        <v>#DIV/0!</v>
      </c>
      <c r="F132" s="14" t="e">
        <f>F131/$I$115</f>
        <v>#DIV/0!</v>
      </c>
      <c r="G132" s="31" t="e">
        <f>E132+F132</f>
        <v>#DIV/0!</v>
      </c>
      <c r="H132" s="14" t="e">
        <f>H131/$I$115</f>
        <v>#DIV/0!</v>
      </c>
      <c r="I132" s="14" t="e">
        <f>I131/$I$115</f>
        <v>#DIV/0!</v>
      </c>
      <c r="J132" s="31" t="e">
        <f>H132+I132</f>
        <v>#DIV/0!</v>
      </c>
      <c r="K132" s="14" t="e">
        <f>K131/$I$115</f>
        <v>#DIV/0!</v>
      </c>
      <c r="L132" s="14" t="e">
        <f>L131/$I$115</f>
        <v>#DIV/0!</v>
      </c>
      <c r="M132" s="31" t="e">
        <f>K132+L132</f>
        <v>#DIV/0!</v>
      </c>
      <c r="N132" s="14" t="e">
        <f>N131/$I$115</f>
        <v>#DIV/0!</v>
      </c>
      <c r="O132" s="14" t="e">
        <f>O131/$I$115</f>
        <v>#DIV/0!</v>
      </c>
      <c r="P132" s="31" t="e">
        <f>N132+O132</f>
        <v>#DIV/0!</v>
      </c>
      <c r="Q132" s="14" t="e">
        <f>Q131/$I$115</f>
        <v>#DIV/0!</v>
      </c>
      <c r="R132" s="14" t="e">
        <f>R131/$I$115</f>
        <v>#DIV/0!</v>
      </c>
      <c r="S132" s="31" t="e">
        <f>Q132+R132</f>
        <v>#DIV/0!</v>
      </c>
      <c r="T132" s="12" t="e">
        <f>SUM(D132+G132+J132+M132+P132+S132)</f>
        <v>#DIV/0!</v>
      </c>
    </row>
    <row r="135" spans="1:20" x14ac:dyDescent="0.25">
      <c r="A135">
        <v>11230</v>
      </c>
    </row>
    <row r="136" spans="1:20" x14ac:dyDescent="0.25">
      <c r="A136" s="163">
        <v>28048.53</v>
      </c>
    </row>
    <row r="137" spans="1:20" x14ac:dyDescent="0.25">
      <c r="A137" s="172">
        <v>43709</v>
      </c>
    </row>
    <row r="138" spans="1:20" x14ac:dyDescent="0.25">
      <c r="A138" s="25" t="s">
        <v>51</v>
      </c>
      <c r="B138" s="208" t="s">
        <v>32</v>
      </c>
      <c r="C138" s="208" t="s">
        <v>33</v>
      </c>
      <c r="D138" s="173" t="s">
        <v>49</v>
      </c>
      <c r="E138" s="208" t="s">
        <v>34</v>
      </c>
      <c r="F138" s="208" t="s">
        <v>35</v>
      </c>
      <c r="G138" s="173" t="s">
        <v>49</v>
      </c>
      <c r="H138" s="208" t="s">
        <v>36</v>
      </c>
      <c r="I138" s="208" t="s">
        <v>33</v>
      </c>
      <c r="J138" s="173" t="s">
        <v>49</v>
      </c>
      <c r="K138" s="208" t="s">
        <v>37</v>
      </c>
      <c r="L138" s="208" t="s">
        <v>33</v>
      </c>
      <c r="M138" s="173" t="s">
        <v>49</v>
      </c>
      <c r="N138" s="208" t="s">
        <v>46</v>
      </c>
      <c r="O138" s="208" t="s">
        <v>33</v>
      </c>
      <c r="P138" s="175" t="s">
        <v>49</v>
      </c>
      <c r="Q138" s="216" t="s">
        <v>54</v>
      </c>
      <c r="R138" s="216" t="s">
        <v>33</v>
      </c>
      <c r="S138" s="173" t="s">
        <v>49</v>
      </c>
      <c r="T138" s="206" t="s">
        <v>47</v>
      </c>
    </row>
    <row r="139" spans="1:20" x14ac:dyDescent="0.25">
      <c r="A139" s="145">
        <f>A136*A135</f>
        <v>314984991.89999998</v>
      </c>
      <c r="B139" s="208"/>
      <c r="C139" s="208"/>
      <c r="D139" s="173" t="s">
        <v>50</v>
      </c>
      <c r="E139" s="208"/>
      <c r="F139" s="208"/>
      <c r="G139" s="173" t="s">
        <v>50</v>
      </c>
      <c r="H139" s="208"/>
      <c r="I139" s="208"/>
      <c r="J139" s="173" t="s">
        <v>50</v>
      </c>
      <c r="K139" s="208"/>
      <c r="L139" s="208"/>
      <c r="M139" s="173" t="s">
        <v>50</v>
      </c>
      <c r="N139" s="208"/>
      <c r="O139" s="208"/>
      <c r="P139" s="176" t="s">
        <v>50</v>
      </c>
      <c r="Q139" s="217"/>
      <c r="R139" s="217"/>
      <c r="S139" s="173" t="s">
        <v>50</v>
      </c>
      <c r="T139" s="207"/>
    </row>
    <row r="140" spans="1:20" x14ac:dyDescent="0.25">
      <c r="A140" s="16" t="s">
        <v>38</v>
      </c>
      <c r="B140" s="7">
        <v>8287509.0690000001</v>
      </c>
      <c r="C140" s="10"/>
      <c r="D140" s="14">
        <f>B140/$A$139</f>
        <v>2.6310806172095594E-2</v>
      </c>
      <c r="E140" s="10">
        <v>14086808.65</v>
      </c>
      <c r="F140" s="10"/>
      <c r="G140" s="14">
        <f>E140/$A$139</f>
        <v>4.4722158236898527E-2</v>
      </c>
      <c r="H140" s="10">
        <v>12531383.2535</v>
      </c>
      <c r="I140" s="10"/>
      <c r="J140" s="14">
        <f>H140/$A$139</f>
        <v>3.9784064561013771E-2</v>
      </c>
      <c r="K140" s="10">
        <v>25489417.118299998</v>
      </c>
      <c r="L140" s="10"/>
      <c r="M140" s="14">
        <f>K140/$A$139</f>
        <v>8.0922640042457208E-2</v>
      </c>
      <c r="N140" s="10">
        <v>36571375.835299999</v>
      </c>
      <c r="O140" s="10"/>
      <c r="P140" s="14">
        <f>N140/$A$139</f>
        <v>0.11610513762798741</v>
      </c>
      <c r="Q140" s="10"/>
      <c r="R140" s="10"/>
      <c r="S140" s="14">
        <f>Q140/$A$139</f>
        <v>0</v>
      </c>
      <c r="T140" s="9"/>
    </row>
    <row r="141" spans="1:20" x14ac:dyDescent="0.25">
      <c r="A141" s="16" t="s">
        <v>39</v>
      </c>
      <c r="B141" s="7">
        <v>18979502.990699999</v>
      </c>
      <c r="C141" s="10"/>
      <c r="D141" s="14">
        <f t="shared" ref="D141:D144" si="23">B141/$A$139</f>
        <v>6.0255261294244543E-2</v>
      </c>
      <c r="E141" s="10">
        <v>27737928.773400001</v>
      </c>
      <c r="F141" s="10"/>
      <c r="G141" s="14">
        <f t="shared" ref="G141:G144" si="24">E141/$A$139</f>
        <v>8.8061112391685362E-2</v>
      </c>
      <c r="H141" s="10">
        <v>6045133.5570999999</v>
      </c>
      <c r="I141" s="10"/>
      <c r="J141" s="14">
        <f t="shared" ref="J141:J144" si="25">H141/$A$139</f>
        <v>1.9191814570705585E-2</v>
      </c>
      <c r="K141" s="10">
        <v>16781484.1371</v>
      </c>
      <c r="L141" s="10"/>
      <c r="M141" s="14">
        <f t="shared" ref="M141:M144" si="26">K141/$A$139</f>
        <v>5.3277091190515227E-2</v>
      </c>
      <c r="N141" s="10"/>
      <c r="O141" s="10"/>
      <c r="P141" s="14">
        <f t="shared" ref="P141:P144" si="27">N141/$A$139</f>
        <v>0</v>
      </c>
      <c r="Q141" s="10"/>
      <c r="R141" s="10"/>
      <c r="S141" s="14">
        <f t="shared" ref="S141:S144" si="28">Q141/$A$139</f>
        <v>0</v>
      </c>
      <c r="T141" s="9"/>
    </row>
    <row r="142" spans="1:20" x14ac:dyDescent="0.25">
      <c r="A142" s="16" t="s">
        <v>40</v>
      </c>
      <c r="B142" s="7">
        <v>23470865.778299998</v>
      </c>
      <c r="C142" s="10"/>
      <c r="D142" s="14">
        <f t="shared" si="23"/>
        <v>7.4514235223471934E-2</v>
      </c>
      <c r="E142" s="10">
        <v>29681348.749699999</v>
      </c>
      <c r="F142" s="10"/>
      <c r="G142" s="14">
        <f t="shared" si="24"/>
        <v>9.4230993580554784E-2</v>
      </c>
      <c r="H142" s="10"/>
      <c r="I142" s="10"/>
      <c r="J142" s="14">
        <f t="shared" si="25"/>
        <v>0</v>
      </c>
      <c r="K142" s="10">
        <v>30210995.447799999</v>
      </c>
      <c r="L142" s="10"/>
      <c r="M142" s="14">
        <f t="shared" si="26"/>
        <v>9.5912491784342704E-2</v>
      </c>
      <c r="N142" s="10"/>
      <c r="O142" s="10"/>
      <c r="P142" s="14">
        <f t="shared" si="27"/>
        <v>0</v>
      </c>
      <c r="Q142" s="10"/>
      <c r="R142" s="10"/>
      <c r="S142" s="14">
        <f t="shared" si="28"/>
        <v>0</v>
      </c>
      <c r="T142" s="9"/>
    </row>
    <row r="143" spans="1:20" x14ac:dyDescent="0.25">
      <c r="A143" s="16" t="s">
        <v>41</v>
      </c>
      <c r="B143" s="7">
        <v>23004120.541200001</v>
      </c>
      <c r="C143" s="10"/>
      <c r="D143" s="14">
        <f t="shared" si="23"/>
        <v>7.3032433711963163E-2</v>
      </c>
      <c r="E143" s="10">
        <v>18491637.784600001</v>
      </c>
      <c r="F143" s="10"/>
      <c r="G143" s="14">
        <f t="shared" si="24"/>
        <v>5.8706409067485484E-2</v>
      </c>
      <c r="H143" s="10"/>
      <c r="I143" s="10"/>
      <c r="J143" s="14">
        <f t="shared" si="25"/>
        <v>0</v>
      </c>
      <c r="K143" s="10">
        <v>21990286.069499999</v>
      </c>
      <c r="L143" s="10"/>
      <c r="M143" s="14">
        <f t="shared" si="26"/>
        <v>6.9813758226555056E-2</v>
      </c>
      <c r="N143" s="10"/>
      <c r="O143" s="10"/>
      <c r="P143" s="14">
        <f t="shared" si="27"/>
        <v>0</v>
      </c>
      <c r="Q143" s="10"/>
      <c r="R143" s="10"/>
      <c r="S143" s="14">
        <f t="shared" si="28"/>
        <v>0</v>
      </c>
      <c r="T143" s="9"/>
    </row>
    <row r="144" spans="1:20" x14ac:dyDescent="0.25">
      <c r="A144" s="16" t="s">
        <v>42</v>
      </c>
      <c r="B144" s="7">
        <v>16922199.014899999</v>
      </c>
      <c r="C144" s="10"/>
      <c r="D144" s="14">
        <f t="shared" si="23"/>
        <v>5.3723826372884406E-2</v>
      </c>
      <c r="E144" s="10">
        <v>23522435.9921</v>
      </c>
      <c r="F144" s="10"/>
      <c r="G144" s="14">
        <f t="shared" si="24"/>
        <v>7.4677957988448534E-2</v>
      </c>
      <c r="H144" s="10"/>
      <c r="I144" s="10"/>
      <c r="J144" s="14">
        <f t="shared" si="25"/>
        <v>0</v>
      </c>
      <c r="K144" s="10">
        <v>20986148.230999999</v>
      </c>
      <c r="L144" s="10"/>
      <c r="M144" s="14">
        <f t="shared" si="26"/>
        <v>6.6625867170403433E-2</v>
      </c>
      <c r="N144" s="10"/>
      <c r="O144" s="10"/>
      <c r="P144" s="14">
        <f t="shared" si="27"/>
        <v>0</v>
      </c>
      <c r="Q144" s="10"/>
      <c r="R144" s="10"/>
      <c r="S144" s="14">
        <f t="shared" si="28"/>
        <v>0</v>
      </c>
      <c r="T144" s="9"/>
    </row>
    <row r="145" spans="1:20" x14ac:dyDescent="0.25">
      <c r="A145" s="16" t="s">
        <v>43</v>
      </c>
      <c r="B145" s="7"/>
      <c r="C145" s="111">
        <v>1256896.55</v>
      </c>
      <c r="D145" s="14">
        <f>C145/$A$139</f>
        <v>3.9903378964767757E-3</v>
      </c>
      <c r="E145" s="111"/>
      <c r="F145" s="111">
        <v>2305541.1028999998</v>
      </c>
      <c r="G145" s="14">
        <f>F145/$A$139</f>
        <v>7.3195268415580661E-3</v>
      </c>
      <c r="H145" s="111"/>
      <c r="I145" s="111"/>
      <c r="J145" s="14">
        <f>I145/$A$139</f>
        <v>0</v>
      </c>
      <c r="K145" s="111"/>
      <c r="L145" s="111">
        <v>2243859.1461999998</v>
      </c>
      <c r="M145" s="14">
        <f>L145/$A$139</f>
        <v>7.1237017759638857E-3</v>
      </c>
      <c r="N145" s="111"/>
      <c r="O145" s="111"/>
      <c r="P145" s="14">
        <f>O145/$A$139</f>
        <v>0</v>
      </c>
      <c r="Q145" s="111"/>
      <c r="R145" s="111"/>
      <c r="S145" s="14">
        <f>R145/$A$139</f>
        <v>0</v>
      </c>
      <c r="T145" s="9"/>
    </row>
    <row r="146" spans="1:20" x14ac:dyDescent="0.25">
      <c r="A146" s="16" t="s">
        <v>44</v>
      </c>
      <c r="B146" s="10"/>
      <c r="C146" s="10"/>
      <c r="D146" s="14"/>
      <c r="E146" s="10"/>
      <c r="F146" s="10"/>
      <c r="G146" s="14"/>
      <c r="H146" s="10"/>
      <c r="I146" s="10"/>
      <c r="J146" s="14"/>
      <c r="K146" s="10"/>
      <c r="L146" s="10"/>
      <c r="M146" s="14"/>
      <c r="N146" s="10"/>
      <c r="O146" s="10"/>
      <c r="P146" s="14"/>
      <c r="Q146" s="10"/>
      <c r="R146" s="10"/>
      <c r="S146" s="14"/>
      <c r="T146" s="9"/>
    </row>
    <row r="147" spans="1:20" x14ac:dyDescent="0.25">
      <c r="A147" s="16" t="s">
        <v>45</v>
      </c>
      <c r="B147" s="146">
        <f>SUM(B140:B146)</f>
        <v>90664197.394099995</v>
      </c>
      <c r="C147" s="10">
        <f>SUM(C140:C146)</f>
        <v>1256896.55</v>
      </c>
      <c r="D147" s="30">
        <f>SUM(B147:C147)</f>
        <v>91921093.944099993</v>
      </c>
      <c r="E147" s="10">
        <f>SUM(E140:E146)</f>
        <v>113520159.9498</v>
      </c>
      <c r="F147" s="10">
        <f>SUM(F140:F146)</f>
        <v>2305541.1028999998</v>
      </c>
      <c r="G147" s="30">
        <f>SUM(E147:F147)</f>
        <v>115825701.0527</v>
      </c>
      <c r="H147" s="10">
        <f>SUM(H140:H146)</f>
        <v>18576516.810599998</v>
      </c>
      <c r="I147" s="10">
        <f>SUM(I140:I146)</f>
        <v>0</v>
      </c>
      <c r="J147" s="30">
        <f>SUM(H147:I147)</f>
        <v>18576516.810599998</v>
      </c>
      <c r="K147" s="10">
        <f>SUM(K140:K146)</f>
        <v>115458331.00369999</v>
      </c>
      <c r="L147" s="10">
        <f>SUM(L140:L146)</f>
        <v>2243859.1461999998</v>
      </c>
      <c r="M147" s="30">
        <f>SUM(K147:L147)</f>
        <v>117702190.14989999</v>
      </c>
      <c r="N147" s="10">
        <f>SUM(N140:N146)</f>
        <v>36571375.835299999</v>
      </c>
      <c r="O147" s="10">
        <f>SUM(O140:O146)</f>
        <v>0</v>
      </c>
      <c r="P147" s="30">
        <f>SUM(N147:O147)</f>
        <v>36571375.835299999</v>
      </c>
      <c r="Q147" s="10">
        <f>SUM(Q141:Q146)</f>
        <v>0</v>
      </c>
      <c r="R147" s="10">
        <f>SUM(R140:R146)</f>
        <v>0</v>
      </c>
      <c r="S147" s="30">
        <f>SUM(Q147:R147)</f>
        <v>0</v>
      </c>
      <c r="T147" s="11">
        <f>C147+B147+E147+F147+H147+I147+K147+L147+N147+O147+Q147+R147</f>
        <v>380596877.79260004</v>
      </c>
    </row>
    <row r="148" spans="1:20" ht="30" x14ac:dyDescent="0.25">
      <c r="A148" s="18" t="s">
        <v>48</v>
      </c>
      <c r="B148" s="14">
        <f>B147/$A$139</f>
        <v>0.28783656277465963</v>
      </c>
      <c r="C148" s="14">
        <f>C147/$A$139</f>
        <v>3.9903378964767757E-3</v>
      </c>
      <c r="D148" s="31">
        <f>B148+C148</f>
        <v>0.29182690067113642</v>
      </c>
      <c r="E148" s="14">
        <f>E147/$A$139</f>
        <v>0.36039863126507271</v>
      </c>
      <c r="F148" s="14">
        <f>F147/$A$139</f>
        <v>7.3195268415580661E-3</v>
      </c>
      <c r="G148" s="31">
        <f>E148+F148</f>
        <v>0.36771815810663078</v>
      </c>
      <c r="H148" s="14">
        <f>H147/$A$139</f>
        <v>5.8975879131719353E-2</v>
      </c>
      <c r="I148" s="14">
        <f>I147/$A$139</f>
        <v>0</v>
      </c>
      <c r="J148" s="31">
        <f>H148+I148</f>
        <v>5.8975879131719353E-2</v>
      </c>
      <c r="K148" s="14">
        <f>K147/$A$139</f>
        <v>0.36655184841427357</v>
      </c>
      <c r="L148" s="14">
        <f>L147/$A$139</f>
        <v>7.1237017759638857E-3</v>
      </c>
      <c r="M148" s="31">
        <f>K148+L148</f>
        <v>0.37367555019023746</v>
      </c>
      <c r="N148" s="14">
        <f>N147/$A$139</f>
        <v>0.11610513762798741</v>
      </c>
      <c r="O148" s="14">
        <f>O147/$A$139</f>
        <v>0</v>
      </c>
      <c r="P148" s="31">
        <f>N148+O148</f>
        <v>0.11610513762798741</v>
      </c>
      <c r="Q148" s="14">
        <f>Q147/$A$139</f>
        <v>0</v>
      </c>
      <c r="R148" s="14">
        <f>R147/$A$139</f>
        <v>0</v>
      </c>
      <c r="S148" s="31">
        <f>Q148+R148</f>
        <v>0</v>
      </c>
      <c r="T148" s="12">
        <f>SUM(D148+G148+J148+M148+P148+S148)</f>
        <v>1.2083016257277113</v>
      </c>
    </row>
    <row r="149" spans="1:20" x14ac:dyDescent="0.25">
      <c r="A149" s="16" t="s">
        <v>57</v>
      </c>
      <c r="D149" s="22">
        <f>AVERAGE(D140:D144)</f>
        <v>5.7567312554931929E-2</v>
      </c>
      <c r="G149" s="22">
        <f>AVERAGE(G140:G144)</f>
        <v>7.2079726253014537E-2</v>
      </c>
      <c r="J149" s="22">
        <f>AVERAGE(J140:J144)</f>
        <v>1.179517582634387E-2</v>
      </c>
      <c r="M149" s="22">
        <f>AVERAGE(M140:M144)</f>
        <v>7.3310369682854731E-2</v>
      </c>
      <c r="P149" s="22">
        <f>AVERAGE(P140:P144)</f>
        <v>2.322102752559748E-2</v>
      </c>
      <c r="S149" s="22">
        <f>AVERAGE(S140:S144)</f>
        <v>0</v>
      </c>
    </row>
    <row r="150" spans="1:20" ht="30.75" thickBot="1" x14ac:dyDescent="0.3">
      <c r="A150" s="37" t="s">
        <v>58</v>
      </c>
      <c r="B150" s="14">
        <f>(D145+G145+J145+M145)/4</f>
        <v>4.6083916284996819E-3</v>
      </c>
    </row>
    <row r="151" spans="1:20" ht="30.75" thickBot="1" x14ac:dyDescent="0.3">
      <c r="A151" s="89" t="s">
        <v>59</v>
      </c>
      <c r="B151" s="88">
        <f>(P144+P126)/2</f>
        <v>0</v>
      </c>
      <c r="N151" s="8"/>
    </row>
    <row r="154" spans="1:20" ht="15" customHeight="1" x14ac:dyDescent="0.25">
      <c r="A154" s="172">
        <v>43739</v>
      </c>
    </row>
    <row r="155" spans="1:20" ht="15" customHeight="1" x14ac:dyDescent="0.25">
      <c r="A155" s="16">
        <v>2019</v>
      </c>
      <c r="B155" s="216" t="s">
        <v>32</v>
      </c>
      <c r="C155" s="216" t="s">
        <v>33</v>
      </c>
      <c r="D155" s="173" t="s">
        <v>49</v>
      </c>
      <c r="E155" s="216" t="s">
        <v>34</v>
      </c>
      <c r="F155" s="216" t="s">
        <v>35</v>
      </c>
      <c r="G155" s="173" t="s">
        <v>49</v>
      </c>
      <c r="H155" s="216" t="s">
        <v>36</v>
      </c>
      <c r="I155" s="216" t="s">
        <v>33</v>
      </c>
      <c r="J155" s="173" t="s">
        <v>49</v>
      </c>
      <c r="K155" s="216" t="s">
        <v>37</v>
      </c>
      <c r="L155" s="216" t="s">
        <v>33</v>
      </c>
      <c r="M155" s="173" t="s">
        <v>49</v>
      </c>
      <c r="N155" s="216" t="s">
        <v>46</v>
      </c>
      <c r="O155" s="216" t="s">
        <v>33</v>
      </c>
      <c r="P155" s="173" t="s">
        <v>49</v>
      </c>
      <c r="Q155" s="216" t="s">
        <v>54</v>
      </c>
      <c r="R155" s="216" t="s">
        <v>33</v>
      </c>
      <c r="S155" s="173" t="s">
        <v>49</v>
      </c>
      <c r="T155" s="206" t="s">
        <v>47</v>
      </c>
    </row>
    <row r="156" spans="1:20" x14ac:dyDescent="0.25">
      <c r="A156" s="93">
        <v>460075282.54999995</v>
      </c>
      <c r="B156" s="217"/>
      <c r="C156" s="217"/>
      <c r="D156" s="173" t="s">
        <v>50</v>
      </c>
      <c r="E156" s="217"/>
      <c r="F156" s="217"/>
      <c r="G156" s="173" t="s">
        <v>50</v>
      </c>
      <c r="H156" s="217"/>
      <c r="I156" s="217"/>
      <c r="J156" s="173" t="s">
        <v>50</v>
      </c>
      <c r="K156" s="217"/>
      <c r="L156" s="217"/>
      <c r="M156" s="173" t="s">
        <v>50</v>
      </c>
      <c r="N156" s="217"/>
      <c r="O156" s="217"/>
      <c r="P156" s="173" t="s">
        <v>50</v>
      </c>
      <c r="Q156" s="217"/>
      <c r="R156" s="217"/>
      <c r="S156" s="173" t="s">
        <v>50</v>
      </c>
      <c r="T156" s="207"/>
    </row>
    <row r="157" spans="1:20" x14ac:dyDescent="0.25">
      <c r="A157" s="16" t="s">
        <v>38</v>
      </c>
      <c r="B157" s="9"/>
      <c r="C157" s="10"/>
      <c r="D157" s="14">
        <f>B157/$A$156</f>
        <v>0</v>
      </c>
      <c r="E157" s="111">
        <v>12171865.591</v>
      </c>
      <c r="F157" s="10"/>
      <c r="G157" s="14">
        <f>E157/$A$156</f>
        <v>2.6456247602645745E-2</v>
      </c>
      <c r="H157" s="111">
        <v>19723117.765099999</v>
      </c>
      <c r="I157" s="10"/>
      <c r="J157" s="14">
        <f>H157/$A$156</f>
        <v>4.2869327071394091E-2</v>
      </c>
      <c r="K157" s="111">
        <v>8126116.8492000001</v>
      </c>
      <c r="L157" s="10"/>
      <c r="M157" s="14">
        <f>K157/$A$156</f>
        <v>1.7662580793648422E-2</v>
      </c>
      <c r="N157" s="7">
        <v>15989352.105599999</v>
      </c>
      <c r="O157" s="10"/>
      <c r="P157" s="14">
        <f>N157/$A$156</f>
        <v>3.4753773375909E-2</v>
      </c>
      <c r="Q157" s="10"/>
      <c r="R157" s="10"/>
      <c r="S157" s="14">
        <f>Q157/$A$156</f>
        <v>0</v>
      </c>
      <c r="T157" s="9"/>
    </row>
    <row r="158" spans="1:20" x14ac:dyDescent="0.25">
      <c r="A158" s="16" t="s">
        <v>39</v>
      </c>
      <c r="B158" s="111">
        <v>7765435.2489999998</v>
      </c>
      <c r="C158" s="10"/>
      <c r="D158" s="14">
        <f t="shared" ref="D158:D163" si="29">B158/$A$156</f>
        <v>1.6878618659884364E-2</v>
      </c>
      <c r="E158" s="111">
        <v>24472335.067699999</v>
      </c>
      <c r="F158" s="10"/>
      <c r="G158" s="14">
        <f t="shared" ref="G158:G163" si="30">E158/$A$156</f>
        <v>5.3192023122955755E-2</v>
      </c>
      <c r="H158" s="111">
        <v>27382067.318999998</v>
      </c>
      <c r="I158" s="10"/>
      <c r="J158" s="14">
        <f t="shared" ref="J158:J163" si="31">H158/$A$156</f>
        <v>5.9516492968787506E-2</v>
      </c>
      <c r="K158" s="111">
        <v>14670331.6603</v>
      </c>
      <c r="L158" s="10"/>
      <c r="M158" s="14">
        <f t="shared" ref="M158:M163" si="32">K158/$A$156</f>
        <v>3.1886806826458149E-2</v>
      </c>
      <c r="N158" s="10">
        <v>19802859.724199999</v>
      </c>
      <c r="O158" s="10"/>
      <c r="P158" s="14">
        <f t="shared" ref="P158:P163" si="33">N158/$A$156</f>
        <v>4.3042650790629834E-2</v>
      </c>
      <c r="Q158" s="10"/>
      <c r="R158" s="10"/>
      <c r="S158" s="14">
        <f t="shared" ref="S158:S163" si="34">Q158/$A$156</f>
        <v>0</v>
      </c>
      <c r="T158" s="9"/>
    </row>
    <row r="159" spans="1:20" x14ac:dyDescent="0.25">
      <c r="A159" s="16" t="s">
        <v>40</v>
      </c>
      <c r="B159" s="111">
        <v>23677951.581700001</v>
      </c>
      <c r="C159" s="10"/>
      <c r="D159" s="14">
        <f t="shared" si="29"/>
        <v>5.1465385078857687E-2</v>
      </c>
      <c r="E159" s="111">
        <v>25713335.597199999</v>
      </c>
      <c r="F159" s="10"/>
      <c r="G159" s="14">
        <f t="shared" si="30"/>
        <v>5.5889408912997908E-2</v>
      </c>
      <c r="H159" s="111">
        <v>25605705.429299999</v>
      </c>
      <c r="I159" s="10"/>
      <c r="J159" s="14">
        <f t="shared" si="31"/>
        <v>5.5655468573270347E-2</v>
      </c>
      <c r="K159" s="111">
        <v>21283013.4351</v>
      </c>
      <c r="L159" s="10"/>
      <c r="M159" s="14">
        <f t="shared" si="32"/>
        <v>4.6259849729673341E-2</v>
      </c>
      <c r="N159" s="10">
        <v>44239273.388400003</v>
      </c>
      <c r="O159" s="10"/>
      <c r="P159" s="14">
        <f t="shared" si="33"/>
        <v>9.6156596683918086E-2</v>
      </c>
      <c r="Q159" s="10"/>
      <c r="R159" s="10"/>
      <c r="S159" s="14">
        <f t="shared" si="34"/>
        <v>0</v>
      </c>
      <c r="T159" s="9"/>
    </row>
    <row r="160" spans="1:20" x14ac:dyDescent="0.25">
      <c r="A160" s="16" t="s">
        <v>41</v>
      </c>
      <c r="B160" s="111">
        <v>18422109.656800002</v>
      </c>
      <c r="C160" s="10"/>
      <c r="D160" s="14">
        <f t="shared" si="29"/>
        <v>4.0041511368952815E-2</v>
      </c>
      <c r="E160" s="111">
        <v>24495806.681600001</v>
      </c>
      <c r="F160" s="10"/>
      <c r="G160" s="14">
        <f t="shared" si="30"/>
        <v>5.3243040021255329E-2</v>
      </c>
      <c r="H160" s="111">
        <v>19766219.163600001</v>
      </c>
      <c r="I160" s="10"/>
      <c r="J160" s="14">
        <f t="shared" si="31"/>
        <v>4.2963010431780482E-2</v>
      </c>
      <c r="K160" s="111">
        <v>20086207.592300002</v>
      </c>
      <c r="L160" s="10"/>
      <c r="M160" s="14">
        <f t="shared" si="32"/>
        <v>4.3658523624591973E-2</v>
      </c>
      <c r="N160" s="10"/>
      <c r="O160" s="10"/>
      <c r="P160" s="14">
        <f t="shared" si="33"/>
        <v>0</v>
      </c>
      <c r="Q160" s="10"/>
      <c r="R160" s="10"/>
      <c r="S160" s="14">
        <f t="shared" si="34"/>
        <v>0</v>
      </c>
      <c r="T160" s="9"/>
    </row>
    <row r="161" spans="1:20" x14ac:dyDescent="0.25">
      <c r="A161" s="16" t="s">
        <v>42</v>
      </c>
      <c r="B161" s="111">
        <v>21288529.495999999</v>
      </c>
      <c r="C161" s="10"/>
      <c r="D161" s="14">
        <f t="shared" si="29"/>
        <v>4.6271839204242424E-2</v>
      </c>
      <c r="E161" s="111">
        <v>19983152.810800001</v>
      </c>
      <c r="F161" s="10"/>
      <c r="G161" s="14">
        <f t="shared" si="30"/>
        <v>4.3434528149484487E-2</v>
      </c>
      <c r="H161" s="111">
        <v>20252423.278200001</v>
      </c>
      <c r="I161" s="10"/>
      <c r="J161" s="14">
        <f t="shared" si="31"/>
        <v>4.4019802946051581E-2</v>
      </c>
      <c r="K161" s="111">
        <v>21599322.135299999</v>
      </c>
      <c r="L161" s="10"/>
      <c r="M161" s="14">
        <f t="shared" si="32"/>
        <v>4.6947364821653147E-2</v>
      </c>
      <c r="N161" s="10"/>
      <c r="O161" s="10"/>
      <c r="P161" s="14">
        <f t="shared" si="33"/>
        <v>0</v>
      </c>
      <c r="Q161" s="10"/>
      <c r="R161" s="10"/>
      <c r="S161" s="14">
        <f t="shared" si="34"/>
        <v>0</v>
      </c>
      <c r="T161" s="9"/>
    </row>
    <row r="162" spans="1:20" x14ac:dyDescent="0.25">
      <c r="A162" s="16" t="s">
        <v>43</v>
      </c>
      <c r="B162" s="9"/>
      <c r="C162" s="111">
        <v>2365282.0912000001</v>
      </c>
      <c r="D162" s="14">
        <f>C162/$A$156</f>
        <v>5.1410762127673017E-3</v>
      </c>
      <c r="E162" s="9"/>
      <c r="F162" s="111">
        <v>4820163.9604000002</v>
      </c>
      <c r="G162" s="14">
        <f>F162/$A$156</f>
        <v>1.0476902679239578E-2</v>
      </c>
      <c r="H162" s="9"/>
      <c r="I162" s="111">
        <v>2760188.8535000002</v>
      </c>
      <c r="J162" s="14">
        <f>I162/$A$156</f>
        <v>5.9994286982805447E-3</v>
      </c>
      <c r="K162" s="9"/>
      <c r="L162" s="111">
        <v>3561904.2189000002</v>
      </c>
      <c r="M162" s="14">
        <f>L162/$A$156</f>
        <v>7.7420030025475246E-3</v>
      </c>
      <c r="N162" s="10"/>
      <c r="O162" s="10"/>
      <c r="P162" s="14">
        <f>O162/$A$156</f>
        <v>0</v>
      </c>
      <c r="Q162" s="10"/>
      <c r="R162" s="10"/>
      <c r="S162" s="14">
        <f>R162/$A$156</f>
        <v>0</v>
      </c>
      <c r="T162" s="9"/>
    </row>
    <row r="163" spans="1:20" x14ac:dyDescent="0.25">
      <c r="A163" s="16" t="s">
        <v>44</v>
      </c>
      <c r="B163" s="10"/>
      <c r="C163" s="10"/>
      <c r="D163" s="14">
        <f t="shared" si="29"/>
        <v>0</v>
      </c>
      <c r="E163" s="10"/>
      <c r="F163" s="10"/>
      <c r="G163" s="14">
        <f t="shared" si="30"/>
        <v>0</v>
      </c>
      <c r="H163" s="10"/>
      <c r="I163" s="10"/>
      <c r="J163" s="14">
        <f t="shared" si="31"/>
        <v>0</v>
      </c>
      <c r="K163" s="10"/>
      <c r="L163" s="10"/>
      <c r="M163" s="14">
        <f t="shared" si="32"/>
        <v>0</v>
      </c>
      <c r="N163" s="10"/>
      <c r="O163" s="10"/>
      <c r="P163" s="14">
        <f t="shared" si="33"/>
        <v>0</v>
      </c>
      <c r="Q163" s="10"/>
      <c r="R163" s="10"/>
      <c r="S163" s="14">
        <f t="shared" si="34"/>
        <v>0</v>
      </c>
      <c r="T163" s="9"/>
    </row>
    <row r="164" spans="1:20" x14ac:dyDescent="0.25">
      <c r="A164" s="16" t="s">
        <v>45</v>
      </c>
      <c r="B164" s="146">
        <f>SUM(B157:B163)</f>
        <v>71154025.983500004</v>
      </c>
      <c r="C164" s="10">
        <f>SUM(C157:C163)</f>
        <v>2365282.0912000001</v>
      </c>
      <c r="D164" s="198">
        <f>SUM(B164:C164)</f>
        <v>73519308.074699998</v>
      </c>
      <c r="E164" s="146">
        <f>SUM(E157:E163)</f>
        <v>106836495.7483</v>
      </c>
      <c r="F164" s="10">
        <f>SUM(F157:F163)</f>
        <v>4820163.9604000002</v>
      </c>
      <c r="G164" s="198">
        <f>SUM(E164:F164)</f>
        <v>111656659.7087</v>
      </c>
      <c r="H164" s="146">
        <f>SUM(H157:H163)</f>
        <v>112729532.95519999</v>
      </c>
      <c r="I164" s="10">
        <f>SUM(I157:I163)</f>
        <v>2760188.8535000002</v>
      </c>
      <c r="J164" s="198">
        <f>SUM(H164:I164)</f>
        <v>115489721.80869998</v>
      </c>
      <c r="K164" s="10">
        <f>SUM(K157:K163)</f>
        <v>85764991.672199994</v>
      </c>
      <c r="L164" s="10">
        <f>SUM(L157:L163)</f>
        <v>3561904.2189000002</v>
      </c>
      <c r="M164" s="198">
        <f>SUM(K164:L164)</f>
        <v>89326895.891099989</v>
      </c>
      <c r="N164" s="10">
        <f>SUM(N157:N163)</f>
        <v>80031485.218199998</v>
      </c>
      <c r="O164" s="10">
        <f>SUM(O157:O163)</f>
        <v>0</v>
      </c>
      <c r="P164" s="198">
        <f>SUM(N164:O164)</f>
        <v>80031485.218199998</v>
      </c>
      <c r="Q164" s="10">
        <f>SUM(Q157:Q163)</f>
        <v>0</v>
      </c>
      <c r="R164" s="10">
        <f>SUM(R157:R163)</f>
        <v>0</v>
      </c>
      <c r="S164" s="198">
        <f>SUM(Q164:R164)</f>
        <v>0</v>
      </c>
      <c r="T164" s="11">
        <f>C164+B164+E164+F164+H164+I164+K164+L164+N164+O164+Q164+R164</f>
        <v>470024070.70140004</v>
      </c>
    </row>
    <row r="165" spans="1:20" ht="30" x14ac:dyDescent="0.25">
      <c r="A165" s="18" t="s">
        <v>48</v>
      </c>
      <c r="B165" s="14">
        <f>B164/$A$156</f>
        <v>0.15465735431193731</v>
      </c>
      <c r="C165" s="14">
        <f>C164/$A$156</f>
        <v>5.1410762127673017E-3</v>
      </c>
      <c r="D165" s="199">
        <f>B165+C165</f>
        <v>0.1597984305247046</v>
      </c>
      <c r="E165" s="14">
        <f>E164/$A$156</f>
        <v>0.23221524780933922</v>
      </c>
      <c r="F165" s="14">
        <f>F164/$A$156</f>
        <v>1.0476902679239578E-2</v>
      </c>
      <c r="G165" s="199">
        <f>E165+F165</f>
        <v>0.24269215048857878</v>
      </c>
      <c r="H165" s="14">
        <f>H164/$A$156</f>
        <v>0.24502410199128399</v>
      </c>
      <c r="I165" s="14">
        <f>I164/$A$156</f>
        <v>5.9994286982805447E-3</v>
      </c>
      <c r="J165" s="199">
        <f>H165+I165</f>
        <v>0.25102353068956451</v>
      </c>
      <c r="K165" s="14">
        <f>K164/$A$156</f>
        <v>0.18641512579602501</v>
      </c>
      <c r="L165" s="14">
        <f>L164/$A$156</f>
        <v>7.7420030025475246E-3</v>
      </c>
      <c r="M165" s="199">
        <f>K165+L165</f>
        <v>0.19415712879857253</v>
      </c>
      <c r="N165" s="14">
        <f>N164/$A$156</f>
        <v>0.17395302085045691</v>
      </c>
      <c r="O165" s="14">
        <f>O164/$A$156</f>
        <v>0</v>
      </c>
      <c r="P165" s="199">
        <f>N165+O165</f>
        <v>0.17395302085045691</v>
      </c>
      <c r="Q165" s="14">
        <f>Q164/$A$156</f>
        <v>0</v>
      </c>
      <c r="R165" s="14">
        <f>R164/$A$156</f>
        <v>0</v>
      </c>
      <c r="S165" s="199">
        <f>Q165+R165</f>
        <v>0</v>
      </c>
      <c r="T165" s="12">
        <f>SUM(D165+G165+J165+M165+P165+S165)</f>
        <v>1.0216242613518773</v>
      </c>
    </row>
    <row r="166" spans="1:20" x14ac:dyDescent="0.25">
      <c r="A166" s="16" t="s">
        <v>57</v>
      </c>
      <c r="D166" s="22">
        <f>AVERAGE(D157:D161)</f>
        <v>3.0931470862387456E-2</v>
      </c>
      <c r="G166" s="22">
        <f>AVERAGE(G157:G161)</f>
        <v>4.6443049561867844E-2</v>
      </c>
      <c r="J166" s="22">
        <f>AVERAGE(J157:J161)</f>
        <v>4.90048203982568E-2</v>
      </c>
      <c r="M166" s="22">
        <f>AVERAGE(M157:M161)</f>
        <v>3.7283025159205008E-2</v>
      </c>
      <c r="P166" s="22">
        <f>AVERAGE(P157:P161)</f>
        <v>3.4790604170091388E-2</v>
      </c>
      <c r="S166" s="22">
        <f>AVERAGE(S157:S161)</f>
        <v>0</v>
      </c>
    </row>
    <row r="167" spans="1:20" ht="30.75" thickBot="1" x14ac:dyDescent="0.3">
      <c r="A167" s="37" t="s">
        <v>58</v>
      </c>
      <c r="B167" s="14">
        <f>(D162+G162+J162+M162)/4</f>
        <v>7.3398526482087376E-3</v>
      </c>
    </row>
    <row r="168" spans="1:20" ht="30.75" thickBot="1" x14ac:dyDescent="0.3">
      <c r="A168" s="89" t="s">
        <v>59</v>
      </c>
      <c r="B168" s="88">
        <f>(P161+P143)/2</f>
        <v>0</v>
      </c>
      <c r="N168" s="8"/>
    </row>
  </sheetData>
  <mergeCells count="68">
    <mergeCell ref="O85:O86"/>
    <mergeCell ref="Q85:Q86"/>
    <mergeCell ref="R85:R86"/>
    <mergeCell ref="B85:B86"/>
    <mergeCell ref="C85:C86"/>
    <mergeCell ref="E85:E86"/>
    <mergeCell ref="F85:F86"/>
    <mergeCell ref="H85:H86"/>
    <mergeCell ref="I85:I86"/>
    <mergeCell ref="I102:I103"/>
    <mergeCell ref="K102:K103"/>
    <mergeCell ref="L102:L103"/>
    <mergeCell ref="N102:N103"/>
    <mergeCell ref="K85:K86"/>
    <mergeCell ref="L85:L86"/>
    <mergeCell ref="N85:N86"/>
    <mergeCell ref="B102:B103"/>
    <mergeCell ref="C102:C103"/>
    <mergeCell ref="E102:E103"/>
    <mergeCell ref="F102:F103"/>
    <mergeCell ref="H102:H103"/>
    <mergeCell ref="B122:B123"/>
    <mergeCell ref="C122:C123"/>
    <mergeCell ref="E122:E123"/>
    <mergeCell ref="F122:F123"/>
    <mergeCell ref="H122:H123"/>
    <mergeCell ref="T122:T123"/>
    <mergeCell ref="F24:F25"/>
    <mergeCell ref="R24:S24"/>
    <mergeCell ref="L34:L35"/>
    <mergeCell ref="K122:K123"/>
    <mergeCell ref="L122:L123"/>
    <mergeCell ref="N122:N123"/>
    <mergeCell ref="O122:O123"/>
    <mergeCell ref="Q122:Q123"/>
    <mergeCell ref="R122:R123"/>
    <mergeCell ref="O102:O103"/>
    <mergeCell ref="Q102:Q103"/>
    <mergeCell ref="R102:R103"/>
    <mergeCell ref="T102:T103"/>
    <mergeCell ref="I122:I123"/>
    <mergeCell ref="T85:T86"/>
    <mergeCell ref="B138:B139"/>
    <mergeCell ref="C138:C139"/>
    <mergeCell ref="E138:E139"/>
    <mergeCell ref="F138:F139"/>
    <mergeCell ref="H138:H139"/>
    <mergeCell ref="I138:I139"/>
    <mergeCell ref="K138:K139"/>
    <mergeCell ref="L138:L139"/>
    <mergeCell ref="N138:N139"/>
    <mergeCell ref="O138:O139"/>
    <mergeCell ref="Q138:Q139"/>
    <mergeCell ref="R138:R139"/>
    <mergeCell ref="T138:T139"/>
    <mergeCell ref="B155:B156"/>
    <mergeCell ref="C155:C156"/>
    <mergeCell ref="E155:E156"/>
    <mergeCell ref="F155:F156"/>
    <mergeCell ref="H155:H156"/>
    <mergeCell ref="I155:I156"/>
    <mergeCell ref="K155:K156"/>
    <mergeCell ref="L155:L156"/>
    <mergeCell ref="N155:N156"/>
    <mergeCell ref="O155:O156"/>
    <mergeCell ref="Q155:Q156"/>
    <mergeCell ref="R155:R156"/>
    <mergeCell ref="T155:T156"/>
  </mergeCells>
  <conditionalFormatting sqref="N33">
    <cfRule type="cellIs" dxfId="54" priority="3" operator="lessThan">
      <formula>1</formula>
    </cfRule>
    <cfRule type="cellIs" dxfId="53" priority="4" operator="greaterThan">
      <formula>1</formula>
    </cfRule>
    <cfRule type="cellIs" dxfId="52" priority="5" operator="greaterThan">
      <formula>$E$4</formula>
    </cfRule>
    <cfRule type="cellIs" dxfId="51" priority="6" operator="lessThan">
      <formula>$E$4</formula>
    </cfRule>
  </conditionalFormatting>
  <conditionalFormatting sqref="O33">
    <cfRule type="cellIs" dxfId="50" priority="1" operator="lessThan">
      <formula>0</formula>
    </cfRule>
    <cfRule type="cellIs" dxfId="49" priority="2" operator="greaterThan">
      <formula>0</formula>
    </cfRule>
  </conditionalFormatting>
  <conditionalFormatting sqref="M33">
    <cfRule type="cellIs" dxfId="48" priority="7" operator="lessThan">
      <formula>$Q$32</formula>
    </cfRule>
    <cfRule type="cellIs" dxfId="47" priority="8" operator="greaterThan">
      <formula>$Q$32</formula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U175"/>
  <sheetViews>
    <sheetView topLeftCell="A4" workbookViewId="0">
      <selection activeCell="D15" sqref="D15"/>
    </sheetView>
  </sheetViews>
  <sheetFormatPr baseColWidth="10" defaultRowHeight="15" x14ac:dyDescent="0.25"/>
  <cols>
    <col min="1" max="1" width="18.7109375" customWidth="1"/>
    <col min="2" max="2" width="20.140625" bestFit="1" customWidth="1"/>
    <col min="3" max="3" width="16.28515625" bestFit="1" customWidth="1"/>
    <col min="4" max="4" width="17.28515625" bestFit="1" customWidth="1"/>
    <col min="5" max="5" width="18.28515625" bestFit="1" customWidth="1"/>
    <col min="6" max="6" width="18.7109375" bestFit="1" customWidth="1"/>
    <col min="7" max="7" width="22.42578125" bestFit="1" customWidth="1"/>
    <col min="8" max="8" width="18.28515625" bestFit="1" customWidth="1"/>
    <col min="9" max="9" width="16.28515625" bestFit="1" customWidth="1"/>
    <col min="10" max="11" width="18.28515625" bestFit="1" customWidth="1"/>
    <col min="12" max="12" width="16.28515625" bestFit="1" customWidth="1"/>
    <col min="13" max="14" width="18.28515625" bestFit="1" customWidth="1"/>
    <col min="15" max="15" width="16.28515625" bestFit="1" customWidth="1"/>
    <col min="16" max="16" width="18.28515625" bestFit="1" customWidth="1"/>
    <col min="17" max="17" width="9.42578125" bestFit="1" customWidth="1"/>
    <col min="18" max="18" width="13.7109375" bestFit="1" customWidth="1"/>
    <col min="19" max="19" width="10.5703125" bestFit="1" customWidth="1"/>
    <col min="20" max="20" width="18.28515625" bestFit="1" customWidth="1"/>
    <col min="21" max="21" width="6.5703125" bestFit="1" customWidth="1"/>
    <col min="22" max="22" width="13.7109375" bestFit="1" customWidth="1"/>
    <col min="23" max="23" width="12" bestFit="1" customWidth="1"/>
    <col min="24" max="24" width="9.42578125" bestFit="1" customWidth="1"/>
    <col min="25" max="25" width="13.7109375" bestFit="1" customWidth="1"/>
    <col min="26" max="26" width="10.5703125" bestFit="1" customWidth="1"/>
    <col min="27" max="27" width="13.5703125" bestFit="1" customWidth="1"/>
  </cols>
  <sheetData>
    <row r="13" spans="1:10" ht="15.75" thickBot="1" x14ac:dyDescent="0.3">
      <c r="A13" s="204" t="s">
        <v>84</v>
      </c>
    </row>
    <row r="14" spans="1:10" ht="15.75" thickBot="1" x14ac:dyDescent="0.3">
      <c r="A14" s="218" t="s">
        <v>64</v>
      </c>
      <c r="B14" s="53"/>
      <c r="C14" s="53" t="s">
        <v>60</v>
      </c>
      <c r="D14" s="52"/>
      <c r="E14" s="21"/>
      <c r="F14" s="9"/>
      <c r="G14" s="95"/>
      <c r="H14" s="54"/>
      <c r="I14" s="68" t="s">
        <v>67</v>
      </c>
      <c r="J14" s="55"/>
    </row>
    <row r="15" spans="1:10" ht="15.75" thickBot="1" x14ac:dyDescent="0.3">
      <c r="A15" s="219"/>
      <c r="B15" s="25" t="s">
        <v>65</v>
      </c>
      <c r="C15" s="44" t="s">
        <v>51</v>
      </c>
      <c r="D15" s="65">
        <f>A112</f>
        <v>1585874206.9688885</v>
      </c>
      <c r="E15" s="74"/>
      <c r="F15" s="96" t="s">
        <v>66</v>
      </c>
      <c r="H15" s="56"/>
      <c r="I15" s="70">
        <v>0</v>
      </c>
      <c r="J15" s="57"/>
    </row>
    <row r="16" spans="1:10" ht="15.75" thickBot="1" x14ac:dyDescent="0.3">
      <c r="A16" s="63"/>
      <c r="B16" s="25"/>
      <c r="C16" s="24"/>
      <c r="D16" s="24">
        <v>2019</v>
      </c>
      <c r="E16" s="73" t="s">
        <v>69</v>
      </c>
      <c r="F16" s="66">
        <v>2019</v>
      </c>
      <c r="G16" s="24" t="s">
        <v>83</v>
      </c>
      <c r="H16" s="69" t="s">
        <v>52</v>
      </c>
      <c r="I16" s="78" t="s">
        <v>55</v>
      </c>
      <c r="J16" s="76" t="s">
        <v>56</v>
      </c>
    </row>
    <row r="17" spans="1:10" x14ac:dyDescent="0.25">
      <c r="A17" s="63">
        <v>1</v>
      </c>
      <c r="B17" s="25">
        <v>5</v>
      </c>
      <c r="C17" s="25" t="s">
        <v>32</v>
      </c>
      <c r="D17" s="45">
        <f>($B$29*$B$17)+($B$28*$A$17)</f>
        <v>0.14890067631897011</v>
      </c>
      <c r="E17" s="71">
        <f>D17</f>
        <v>0.14890067631897011</v>
      </c>
      <c r="F17" s="23">
        <f t="shared" ref="F17:F20" si="0">$V$88</f>
        <v>0</v>
      </c>
      <c r="G17" s="50">
        <f>$D$15*D17</f>
        <v>236137741.97447789</v>
      </c>
      <c r="H17" s="201" t="e">
        <f>G119</f>
        <v>#DIV/0!</v>
      </c>
      <c r="I17" s="77">
        <f>F17</f>
        <v>0</v>
      </c>
      <c r="J17" s="72">
        <f t="shared" ref="J17:J22" si="1">F17-D17</f>
        <v>-0.14890067631897011</v>
      </c>
    </row>
    <row r="18" spans="1:10" x14ac:dyDescent="0.25">
      <c r="A18" s="63">
        <v>1</v>
      </c>
      <c r="B18" s="25">
        <v>5</v>
      </c>
      <c r="C18" s="25" t="s">
        <v>34</v>
      </c>
      <c r="D18" s="45">
        <f>($B$30*$B$18)+($B$28*$A$18)</f>
        <v>0.20846029950869596</v>
      </c>
      <c r="E18" s="34">
        <f>D18+E17</f>
        <v>0.35736097582766607</v>
      </c>
      <c r="F18" s="23">
        <f t="shared" si="0"/>
        <v>0</v>
      </c>
      <c r="G18" s="50">
        <f t="shared" ref="G18:G22" si="2">$D$15*D18</f>
        <v>330591812.1678502</v>
      </c>
      <c r="H18" s="28">
        <f>G120</f>
        <v>0</v>
      </c>
      <c r="I18" s="75">
        <f>F18+I17</f>
        <v>0</v>
      </c>
      <c r="J18" s="72">
        <f t="shared" si="1"/>
        <v>-0.20846029950869596</v>
      </c>
    </row>
    <row r="19" spans="1:10" x14ac:dyDescent="0.25">
      <c r="A19" s="63">
        <v>1</v>
      </c>
      <c r="B19" s="25">
        <v>5</v>
      </c>
      <c r="C19" s="25" t="s">
        <v>36</v>
      </c>
      <c r="D19" s="45">
        <f>(B31*B19)+(B28*A19)</f>
        <v>0.18442266921400521</v>
      </c>
      <c r="E19" s="34">
        <f>D19+E18</f>
        <v>0.54178364504167131</v>
      </c>
      <c r="F19" s="23">
        <f t="shared" si="0"/>
        <v>0</v>
      </c>
      <c r="G19" s="50">
        <f t="shared" si="2"/>
        <v>292471154.28684616</v>
      </c>
      <c r="H19" s="28">
        <f>J120</f>
        <v>0</v>
      </c>
      <c r="I19" s="75">
        <f t="shared" ref="I19:I22" si="3">F19+I18</f>
        <v>0</v>
      </c>
      <c r="J19" s="72">
        <f t="shared" si="1"/>
        <v>-0.18442266921400521</v>
      </c>
    </row>
    <row r="20" spans="1:10" x14ac:dyDescent="0.25">
      <c r="A20" s="63">
        <v>1</v>
      </c>
      <c r="B20" s="25">
        <v>4</v>
      </c>
      <c r="C20" s="25" t="s">
        <v>37</v>
      </c>
      <c r="D20" s="45">
        <f>($B$32*$B$20)+($B$28*$A$20)</f>
        <v>0.17184065595066217</v>
      </c>
      <c r="E20" s="34">
        <f>D20+E19</f>
        <v>0.71362430099233354</v>
      </c>
      <c r="F20" s="23">
        <f t="shared" si="0"/>
        <v>0</v>
      </c>
      <c r="G20" s="50">
        <f t="shared" si="2"/>
        <v>272517663.98076999</v>
      </c>
      <c r="H20" s="28">
        <f>M120</f>
        <v>0</v>
      </c>
      <c r="I20" s="75">
        <f t="shared" si="3"/>
        <v>0</v>
      </c>
      <c r="J20" s="72">
        <f t="shared" si="1"/>
        <v>-0.17184065595066217</v>
      </c>
    </row>
    <row r="21" spans="1:10" x14ac:dyDescent="0.25">
      <c r="A21" s="63">
        <v>0</v>
      </c>
      <c r="B21" s="25">
        <v>1</v>
      </c>
      <c r="C21" s="25" t="s">
        <v>46</v>
      </c>
      <c r="D21" s="45">
        <f>($B$33*$B$21)+($B$28*$A$21)</f>
        <v>3.8617414657172021E-2</v>
      </c>
      <c r="E21" s="34">
        <f>D21+E20</f>
        <v>0.75224171564950559</v>
      </c>
      <c r="F21" s="23">
        <f>$V$88</f>
        <v>0</v>
      </c>
      <c r="G21" s="50">
        <f t="shared" si="2"/>
        <v>61242361.844631411</v>
      </c>
      <c r="H21" s="28">
        <f>P120</f>
        <v>0</v>
      </c>
      <c r="I21" s="75">
        <f t="shared" si="3"/>
        <v>0</v>
      </c>
      <c r="J21" s="72">
        <f t="shared" si="1"/>
        <v>-3.8617414657172021E-2</v>
      </c>
    </row>
    <row r="22" spans="1:10" x14ac:dyDescent="0.25">
      <c r="A22" s="63"/>
      <c r="B22" s="25">
        <v>1</v>
      </c>
      <c r="C22" s="25" t="s">
        <v>63</v>
      </c>
      <c r="D22" s="45">
        <f>B34</f>
        <v>9.5167909361393854E-2</v>
      </c>
      <c r="E22" s="34">
        <f>D22+E21</f>
        <v>0.84740962501089945</v>
      </c>
      <c r="F22" s="23">
        <f>$V$88</f>
        <v>0</v>
      </c>
      <c r="G22" s="50">
        <f t="shared" si="2"/>
        <v>150924332.78738755</v>
      </c>
      <c r="H22" s="28">
        <f>N116</f>
        <v>0</v>
      </c>
      <c r="I22" s="75">
        <f t="shared" si="3"/>
        <v>0</v>
      </c>
      <c r="J22" s="72">
        <f t="shared" si="1"/>
        <v>-9.5167909361393854E-2</v>
      </c>
    </row>
    <row r="23" spans="1:10" ht="19.5" thickBot="1" x14ac:dyDescent="0.35">
      <c r="A23" s="63"/>
      <c r="B23" s="46"/>
      <c r="C23" s="46"/>
      <c r="D23" s="58"/>
      <c r="E23" s="58"/>
      <c r="F23" s="80"/>
      <c r="G23" s="48"/>
      <c r="H23" s="26" t="e">
        <f>SUM(H17:H22)</f>
        <v>#DIV/0!</v>
      </c>
      <c r="I23" s="27">
        <f>I22</f>
        <v>0</v>
      </c>
      <c r="J23" s="59">
        <f>I23-I15</f>
        <v>0</v>
      </c>
    </row>
    <row r="24" spans="1:10" ht="15.75" thickBot="1" x14ac:dyDescent="0.3">
      <c r="A24" s="60"/>
      <c r="B24" s="61"/>
      <c r="C24" s="61"/>
      <c r="D24" s="79"/>
      <c r="E24" s="82" t="str">
        <f>C14</f>
        <v>Proyeccion</v>
      </c>
      <c r="F24" s="83">
        <f>SUM(G17:G23)</f>
        <v>1343885067.0419631</v>
      </c>
      <c r="H24" s="51"/>
      <c r="I24" s="62"/>
    </row>
    <row r="25" spans="1:10" ht="15.75" thickBot="1" x14ac:dyDescent="0.3">
      <c r="E25" s="81"/>
      <c r="F25" s="94">
        <f>E22</f>
        <v>0.84740962501089945</v>
      </c>
      <c r="G25" s="85" t="s">
        <v>68</v>
      </c>
      <c r="H25" s="86"/>
      <c r="I25" s="87">
        <f>H25/D15</f>
        <v>0</v>
      </c>
    </row>
    <row r="26" spans="1:10" ht="15.75" thickBot="1" x14ac:dyDescent="0.3"/>
    <row r="27" spans="1:10" ht="15.75" thickBot="1" x14ac:dyDescent="0.3">
      <c r="A27" s="214" t="s">
        <v>61</v>
      </c>
      <c r="B27" s="215"/>
    </row>
    <row r="28" spans="1:10" x14ac:dyDescent="0.25">
      <c r="A28" s="90" t="s">
        <v>64</v>
      </c>
      <c r="B28" s="91">
        <f>(B103+B86+B174+B156+B138)/5</f>
        <v>3.9431512461390013E-3</v>
      </c>
    </row>
    <row r="29" spans="1:10" x14ac:dyDescent="0.25">
      <c r="A29" s="25" t="s">
        <v>32</v>
      </c>
      <c r="B29" s="42">
        <f>(D85+D102+D137+D155+D173)/5</f>
        <v>2.8991505014566221E-2</v>
      </c>
    </row>
    <row r="30" spans="1:10" x14ac:dyDescent="0.25">
      <c r="A30" s="25" t="s">
        <v>34</v>
      </c>
      <c r="B30" s="42">
        <f>(G85+G102+G137+G155+G173)/5</f>
        <v>4.090342965251139E-2</v>
      </c>
    </row>
    <row r="31" spans="1:10" x14ac:dyDescent="0.25">
      <c r="A31" s="25" t="s">
        <v>36</v>
      </c>
      <c r="B31" s="42">
        <f>(J85+J102+J137+J155+J173)/5</f>
        <v>3.6095903593573245E-2</v>
      </c>
    </row>
    <row r="32" spans="1:10" x14ac:dyDescent="0.25">
      <c r="A32" s="25" t="s">
        <v>37</v>
      </c>
      <c r="B32" s="42">
        <f>(M102+M85+M137+M155+M173)/5</f>
        <v>4.1974376176130791E-2</v>
      </c>
    </row>
    <row r="33" spans="1:9" x14ac:dyDescent="0.25">
      <c r="A33" s="25" t="s">
        <v>46</v>
      </c>
      <c r="B33" s="42">
        <f>(P85+P137+P173)/4</f>
        <v>3.8617414657172021E-2</v>
      </c>
    </row>
    <row r="34" spans="1:9" x14ac:dyDescent="0.25">
      <c r="A34" s="25" t="s">
        <v>62</v>
      </c>
      <c r="B34" s="43">
        <f>(B104)</f>
        <v>9.5167909361393854E-2</v>
      </c>
    </row>
    <row r="39" spans="1:9" x14ac:dyDescent="0.25">
      <c r="A39" s="5" t="s">
        <v>30</v>
      </c>
      <c r="B39" s="5" t="s">
        <v>28</v>
      </c>
      <c r="F39" s="5" t="s">
        <v>30</v>
      </c>
      <c r="G39" s="5" t="s">
        <v>28</v>
      </c>
    </row>
    <row r="40" spans="1:9" x14ac:dyDescent="0.25">
      <c r="A40" s="5" t="s">
        <v>31</v>
      </c>
      <c r="B40" t="s">
        <v>23</v>
      </c>
      <c r="C40" t="s">
        <v>26</v>
      </c>
      <c r="D40" t="s">
        <v>29</v>
      </c>
      <c r="F40" s="5" t="s">
        <v>31</v>
      </c>
      <c r="G40" t="s">
        <v>79</v>
      </c>
      <c r="H40" t="s">
        <v>29</v>
      </c>
    </row>
    <row r="41" spans="1:9" x14ac:dyDescent="0.25">
      <c r="A41" s="6">
        <v>1</v>
      </c>
      <c r="B41" s="7">
        <v>21946956</v>
      </c>
      <c r="C41" s="7">
        <v>27588</v>
      </c>
      <c r="D41" s="7">
        <v>21974544</v>
      </c>
      <c r="F41" s="160">
        <v>2</v>
      </c>
      <c r="G41" s="7">
        <v>17910126</v>
      </c>
      <c r="H41" s="7">
        <v>17910126</v>
      </c>
      <c r="I41" s="7"/>
    </row>
    <row r="42" spans="1:9" x14ac:dyDescent="0.25">
      <c r="A42" s="6">
        <v>2</v>
      </c>
      <c r="B42" s="7">
        <v>5317516</v>
      </c>
      <c r="C42" s="7"/>
      <c r="D42" s="7">
        <v>5317516</v>
      </c>
      <c r="F42" s="160">
        <v>3</v>
      </c>
      <c r="G42" s="7">
        <v>42837453</v>
      </c>
      <c r="H42" s="7">
        <v>42837453</v>
      </c>
      <c r="I42" s="7"/>
    </row>
    <row r="43" spans="1:9" x14ac:dyDescent="0.25">
      <c r="A43" s="6">
        <v>3</v>
      </c>
      <c r="B43" s="7"/>
      <c r="C43" s="7">
        <v>25106935</v>
      </c>
      <c r="D43" s="7">
        <v>25106935</v>
      </c>
      <c r="F43" s="160">
        <v>4</v>
      </c>
      <c r="G43" s="7">
        <v>55471865</v>
      </c>
      <c r="H43" s="7">
        <v>55471865</v>
      </c>
      <c r="I43" s="7"/>
    </row>
    <row r="44" spans="1:9" x14ac:dyDescent="0.25">
      <c r="A44" s="6">
        <v>4</v>
      </c>
      <c r="B44" s="7">
        <v>34415142</v>
      </c>
      <c r="C44" s="7">
        <v>36927744</v>
      </c>
      <c r="D44" s="7">
        <v>71342886</v>
      </c>
      <c r="F44" s="160">
        <v>5</v>
      </c>
      <c r="G44" s="7">
        <v>51574320</v>
      </c>
      <c r="H44" s="7">
        <v>51574320</v>
      </c>
      <c r="I44" s="7"/>
    </row>
    <row r="45" spans="1:9" x14ac:dyDescent="0.25">
      <c r="A45" s="6">
        <v>5</v>
      </c>
      <c r="B45" s="7">
        <v>37828514</v>
      </c>
      <c r="C45" s="7">
        <v>50503600</v>
      </c>
      <c r="D45" s="7">
        <v>88332114</v>
      </c>
      <c r="F45" s="160">
        <v>6</v>
      </c>
      <c r="G45" s="7">
        <v>39337699</v>
      </c>
      <c r="H45" s="7">
        <v>39337699</v>
      </c>
      <c r="I45" s="7"/>
    </row>
    <row r="46" spans="1:9" x14ac:dyDescent="0.25">
      <c r="A46" s="6">
        <v>6</v>
      </c>
      <c r="B46" s="7">
        <v>55846502</v>
      </c>
      <c r="C46" s="7">
        <v>46399663</v>
      </c>
      <c r="D46" s="7">
        <v>102246165</v>
      </c>
      <c r="F46" s="160">
        <v>7</v>
      </c>
      <c r="G46" s="7">
        <v>2723067</v>
      </c>
      <c r="H46" s="7">
        <v>2723067</v>
      </c>
      <c r="I46" s="7"/>
    </row>
    <row r="47" spans="1:9" x14ac:dyDescent="0.25">
      <c r="A47" s="6">
        <v>7</v>
      </c>
      <c r="B47" s="7">
        <v>42221333.600000001</v>
      </c>
      <c r="C47" s="7">
        <v>40796864</v>
      </c>
      <c r="D47" s="7">
        <v>83018197.599999994</v>
      </c>
      <c r="F47" s="160">
        <v>9</v>
      </c>
      <c r="G47" s="7">
        <v>30219166</v>
      </c>
      <c r="H47" s="7">
        <v>30219166</v>
      </c>
      <c r="I47" s="7"/>
    </row>
    <row r="48" spans="1:9" x14ac:dyDescent="0.25">
      <c r="A48" s="6">
        <v>8</v>
      </c>
      <c r="B48" s="7">
        <v>6450673</v>
      </c>
      <c r="C48" s="7">
        <v>3866441</v>
      </c>
      <c r="D48" s="7">
        <v>10317114</v>
      </c>
      <c r="F48" s="160">
        <v>10</v>
      </c>
      <c r="G48" s="7">
        <v>68500230</v>
      </c>
      <c r="H48" s="7">
        <v>68500230</v>
      </c>
      <c r="I48" s="7"/>
    </row>
    <row r="49" spans="1:9" x14ac:dyDescent="0.25">
      <c r="A49" s="6">
        <v>10</v>
      </c>
      <c r="B49" s="7"/>
      <c r="C49" s="7">
        <v>31843012.039999999</v>
      </c>
      <c r="D49" s="7">
        <v>31843012.039999999</v>
      </c>
      <c r="F49" s="160">
        <v>11</v>
      </c>
      <c r="G49" s="7">
        <v>69644414</v>
      </c>
      <c r="H49" s="7">
        <v>69644414</v>
      </c>
      <c r="I49" s="7"/>
    </row>
    <row r="50" spans="1:9" x14ac:dyDescent="0.25">
      <c r="A50" s="6">
        <v>11</v>
      </c>
      <c r="B50" s="7">
        <v>33599291</v>
      </c>
      <c r="C50" s="7">
        <v>58929179</v>
      </c>
      <c r="D50" s="7">
        <v>92528470</v>
      </c>
      <c r="F50" s="160">
        <v>12</v>
      </c>
      <c r="G50" s="7">
        <v>41541452</v>
      </c>
      <c r="H50" s="7">
        <v>41541452</v>
      </c>
      <c r="I50" s="7"/>
    </row>
    <row r="51" spans="1:9" x14ac:dyDescent="0.25">
      <c r="A51" s="6">
        <v>12</v>
      </c>
      <c r="B51" s="7">
        <v>50994792</v>
      </c>
      <c r="C51" s="7">
        <v>49558528</v>
      </c>
      <c r="D51" s="7">
        <v>100553320</v>
      </c>
      <c r="F51" s="160">
        <v>13</v>
      </c>
      <c r="G51" s="7">
        <v>53527343</v>
      </c>
      <c r="H51" s="7">
        <v>53527343</v>
      </c>
      <c r="I51" s="7"/>
    </row>
    <row r="52" spans="1:9" x14ac:dyDescent="0.25">
      <c r="A52" s="6">
        <v>13</v>
      </c>
      <c r="B52" s="7">
        <v>52494646.68</v>
      </c>
      <c r="C52" s="7">
        <v>57105781</v>
      </c>
      <c r="D52" s="7">
        <v>109600427.68000001</v>
      </c>
      <c r="F52" s="160">
        <v>14</v>
      </c>
      <c r="G52" s="7">
        <v>3950719</v>
      </c>
      <c r="H52" s="7">
        <v>3950719</v>
      </c>
      <c r="I52" s="7"/>
    </row>
    <row r="53" spans="1:9" x14ac:dyDescent="0.25">
      <c r="A53" s="6">
        <v>14</v>
      </c>
      <c r="B53" s="7">
        <v>55943278</v>
      </c>
      <c r="C53" s="7">
        <v>38378568</v>
      </c>
      <c r="D53" s="7">
        <v>94321846</v>
      </c>
      <c r="F53" s="160">
        <v>16</v>
      </c>
      <c r="G53" s="7">
        <v>27649026</v>
      </c>
      <c r="H53" s="7">
        <v>27649026</v>
      </c>
      <c r="I53" s="7"/>
    </row>
    <row r="54" spans="1:9" x14ac:dyDescent="0.25">
      <c r="A54" s="6">
        <v>15</v>
      </c>
      <c r="B54" s="7">
        <v>48235540</v>
      </c>
      <c r="C54" s="7">
        <v>7809616</v>
      </c>
      <c r="D54" s="7">
        <v>56045156</v>
      </c>
      <c r="F54" s="160">
        <v>17</v>
      </c>
      <c r="G54" s="7">
        <v>13065978</v>
      </c>
      <c r="H54" s="7">
        <v>13065978</v>
      </c>
      <c r="I54" s="7"/>
    </row>
    <row r="55" spans="1:9" x14ac:dyDescent="0.25">
      <c r="A55" s="6">
        <v>16</v>
      </c>
      <c r="B55" s="7">
        <v>1652354</v>
      </c>
      <c r="C55" s="7"/>
      <c r="D55" s="7">
        <v>1652354</v>
      </c>
      <c r="F55" s="160">
        <v>23</v>
      </c>
      <c r="G55" s="7">
        <v>56822600.479999997</v>
      </c>
      <c r="H55" s="7">
        <v>56822600.479999997</v>
      </c>
      <c r="I55" s="7"/>
    </row>
    <row r="56" spans="1:9" x14ac:dyDescent="0.25">
      <c r="A56" s="6">
        <v>17</v>
      </c>
      <c r="B56" s="7"/>
      <c r="C56" s="7">
        <v>41464035.450000003</v>
      </c>
      <c r="D56" s="7">
        <v>41464035.450000003</v>
      </c>
      <c r="F56" s="160">
        <v>24</v>
      </c>
      <c r="G56" s="7">
        <v>36418222</v>
      </c>
      <c r="H56" s="7">
        <v>36418222</v>
      </c>
      <c r="I56" s="7"/>
    </row>
    <row r="57" spans="1:9" x14ac:dyDescent="0.25">
      <c r="A57" s="6">
        <v>18</v>
      </c>
      <c r="B57" s="7">
        <v>42853445</v>
      </c>
      <c r="C57" s="7">
        <v>43330487</v>
      </c>
      <c r="D57" s="7">
        <v>86183932</v>
      </c>
      <c r="F57" s="160">
        <v>25</v>
      </c>
      <c r="G57" s="7">
        <v>65025146</v>
      </c>
      <c r="H57" s="7">
        <v>65025146</v>
      </c>
      <c r="I57" s="7"/>
    </row>
    <row r="58" spans="1:9" x14ac:dyDescent="0.25">
      <c r="A58" s="6">
        <v>19</v>
      </c>
      <c r="B58" s="7">
        <v>43271942.68</v>
      </c>
      <c r="C58" s="7">
        <v>65831152</v>
      </c>
      <c r="D58" s="7">
        <v>109103094.68000001</v>
      </c>
      <c r="F58" s="160">
        <v>26</v>
      </c>
      <c r="G58" s="7">
        <v>54112048</v>
      </c>
      <c r="H58" s="7">
        <v>54112048</v>
      </c>
      <c r="I58" s="7"/>
    </row>
    <row r="59" spans="1:9" x14ac:dyDescent="0.25">
      <c r="A59" s="6">
        <v>20</v>
      </c>
      <c r="B59" s="7">
        <v>43708061</v>
      </c>
      <c r="C59" s="7">
        <v>41603696.579999998</v>
      </c>
      <c r="D59" s="7">
        <v>85311757.579999998</v>
      </c>
      <c r="F59" s="160">
        <v>27</v>
      </c>
      <c r="G59" s="7">
        <v>56317232</v>
      </c>
      <c r="H59" s="7">
        <v>56317232</v>
      </c>
      <c r="I59" s="7"/>
    </row>
    <row r="60" spans="1:9" x14ac:dyDescent="0.25">
      <c r="A60" s="6">
        <v>21</v>
      </c>
      <c r="B60" s="7">
        <v>45138795</v>
      </c>
      <c r="C60" s="7">
        <v>37530020.409999996</v>
      </c>
      <c r="D60" s="7">
        <v>82668815.409999996</v>
      </c>
      <c r="F60" s="160">
        <v>28</v>
      </c>
      <c r="G60" s="7">
        <v>5252953</v>
      </c>
      <c r="H60" s="7">
        <v>5252953</v>
      </c>
      <c r="I60" s="7"/>
    </row>
    <row r="61" spans="1:9" x14ac:dyDescent="0.25">
      <c r="A61" s="6">
        <v>22</v>
      </c>
      <c r="B61" s="7">
        <v>39394022</v>
      </c>
      <c r="C61" s="7">
        <v>3506383</v>
      </c>
      <c r="D61" s="7">
        <v>42900405</v>
      </c>
      <c r="F61" s="160">
        <v>30</v>
      </c>
      <c r="G61" s="7">
        <v>96175955</v>
      </c>
      <c r="H61" s="7">
        <v>96175955</v>
      </c>
      <c r="I61" s="7"/>
    </row>
    <row r="62" spans="1:9" x14ac:dyDescent="0.25">
      <c r="A62" s="6">
        <v>23</v>
      </c>
      <c r="B62" s="7">
        <v>1629907</v>
      </c>
      <c r="C62" s="7"/>
      <c r="D62" s="7">
        <v>1629907</v>
      </c>
      <c r="F62" s="160" t="s">
        <v>29</v>
      </c>
      <c r="G62" s="7">
        <v>888077014.48000002</v>
      </c>
      <c r="H62" s="7">
        <v>888077014.48000002</v>
      </c>
      <c r="I62" s="7"/>
    </row>
    <row r="63" spans="1:9" x14ac:dyDescent="0.25">
      <c r="A63" s="6">
        <v>24</v>
      </c>
      <c r="B63" s="7"/>
      <c r="C63" s="7">
        <v>19548765.960000001</v>
      </c>
      <c r="D63" s="7">
        <v>19548765.960000001</v>
      </c>
      <c r="F63" s="160"/>
      <c r="G63" s="7"/>
      <c r="H63" s="7"/>
      <c r="I63" s="7"/>
    </row>
    <row r="64" spans="1:9" x14ac:dyDescent="0.25">
      <c r="A64" s="6">
        <v>26</v>
      </c>
      <c r="B64" s="7">
        <v>34928377.5</v>
      </c>
      <c r="C64" s="7">
        <v>27078433</v>
      </c>
      <c r="D64" s="7">
        <v>62006810.5</v>
      </c>
      <c r="F64" s="160"/>
      <c r="G64" s="7"/>
      <c r="H64" s="7"/>
      <c r="I64" s="7"/>
    </row>
    <row r="65" spans="1:20" x14ac:dyDescent="0.25">
      <c r="A65" s="6">
        <v>27</v>
      </c>
      <c r="B65" s="7">
        <v>109852887.12</v>
      </c>
      <c r="C65" s="7">
        <v>57761668</v>
      </c>
      <c r="D65" s="7">
        <v>167614555.12</v>
      </c>
      <c r="F65" s="160"/>
      <c r="G65" s="7"/>
      <c r="H65" s="7"/>
      <c r="I65" s="7"/>
    </row>
    <row r="66" spans="1:20" x14ac:dyDescent="0.25">
      <c r="A66" s="6">
        <v>28</v>
      </c>
      <c r="B66" s="7">
        <v>44998185.219999999</v>
      </c>
      <c r="C66" s="7">
        <v>59185521.289999999</v>
      </c>
      <c r="D66" s="7">
        <v>104183706.50999999</v>
      </c>
      <c r="F66" s="160"/>
      <c r="G66" s="7"/>
      <c r="H66" s="7"/>
      <c r="I66" s="7"/>
    </row>
    <row r="67" spans="1:20" x14ac:dyDescent="0.25">
      <c r="A67" s="6">
        <v>29</v>
      </c>
      <c r="B67" s="7">
        <v>147587690.63999999</v>
      </c>
      <c r="C67" s="7">
        <v>2506310</v>
      </c>
      <c r="D67" s="7">
        <v>150094000.63999999</v>
      </c>
      <c r="F67" s="160"/>
      <c r="G67" s="7"/>
      <c r="H67" s="7"/>
      <c r="I67" s="7"/>
    </row>
    <row r="68" spans="1:20" x14ac:dyDescent="0.25">
      <c r="A68" s="6">
        <v>31</v>
      </c>
      <c r="B68" s="7"/>
      <c r="C68" s="7">
        <v>50794663</v>
      </c>
      <c r="D68" s="7">
        <v>50794663</v>
      </c>
      <c r="F68" s="160"/>
      <c r="G68" s="7"/>
      <c r="H68" s="7"/>
      <c r="I68" s="7"/>
    </row>
    <row r="69" spans="1:20" x14ac:dyDescent="0.25">
      <c r="A69" s="6" t="s">
        <v>29</v>
      </c>
      <c r="B69" s="7">
        <v>1000309851.4400001</v>
      </c>
      <c r="C69" s="7">
        <v>897394654.73000002</v>
      </c>
      <c r="D69" s="7">
        <v>1897704506.1700006</v>
      </c>
      <c r="F69" s="160"/>
      <c r="G69" s="7"/>
      <c r="H69" s="7"/>
      <c r="I69" s="7"/>
    </row>
    <row r="70" spans="1:20" x14ac:dyDescent="0.25">
      <c r="A70" s="6"/>
      <c r="B70" s="7"/>
      <c r="C70" s="7"/>
      <c r="D70" s="7"/>
      <c r="F70" s="160"/>
      <c r="G70" s="7"/>
      <c r="H70" s="7"/>
      <c r="I70" s="7"/>
    </row>
    <row r="71" spans="1:20" x14ac:dyDescent="0.25">
      <c r="A71" s="6"/>
      <c r="B71" s="7"/>
      <c r="C71" s="7"/>
      <c r="D71" s="7"/>
      <c r="F71" s="160"/>
      <c r="G71" s="7"/>
      <c r="H71" s="7"/>
      <c r="I71" s="7"/>
    </row>
    <row r="74" spans="1:20" x14ac:dyDescent="0.25">
      <c r="A74" s="16" t="s">
        <v>70</v>
      </c>
      <c r="B74" s="208" t="s">
        <v>32</v>
      </c>
      <c r="C74" s="208" t="s">
        <v>33</v>
      </c>
      <c r="D74" s="173" t="s">
        <v>49</v>
      </c>
      <c r="E74" s="208" t="s">
        <v>34</v>
      </c>
      <c r="F74" s="208" t="s">
        <v>35</v>
      </c>
      <c r="G74" s="173" t="s">
        <v>49</v>
      </c>
      <c r="H74" s="208" t="s">
        <v>36</v>
      </c>
      <c r="I74" s="208" t="s">
        <v>33</v>
      </c>
      <c r="J74" s="173" t="s">
        <v>49</v>
      </c>
      <c r="K74" s="208" t="s">
        <v>37</v>
      </c>
      <c r="L74" s="208" t="s">
        <v>33</v>
      </c>
      <c r="M74" s="173" t="s">
        <v>49</v>
      </c>
      <c r="N74" s="208" t="s">
        <v>46</v>
      </c>
      <c r="O74" s="208" t="s">
        <v>33</v>
      </c>
      <c r="P74" s="173" t="s">
        <v>49</v>
      </c>
      <c r="Q74" s="216" t="s">
        <v>54</v>
      </c>
      <c r="R74" s="216" t="s">
        <v>33</v>
      </c>
      <c r="S74" s="173" t="s">
        <v>49</v>
      </c>
      <c r="T74" s="206" t="s">
        <v>47</v>
      </c>
    </row>
    <row r="75" spans="1:20" x14ac:dyDescent="0.25">
      <c r="A75" s="49">
        <v>1276377094</v>
      </c>
      <c r="B75" s="208"/>
      <c r="C75" s="208"/>
      <c r="D75" s="173" t="s">
        <v>50</v>
      </c>
      <c r="E75" s="208"/>
      <c r="F75" s="208"/>
      <c r="G75" s="173" t="s">
        <v>50</v>
      </c>
      <c r="H75" s="208"/>
      <c r="I75" s="208"/>
      <c r="J75" s="173" t="s">
        <v>50</v>
      </c>
      <c r="K75" s="208"/>
      <c r="L75" s="208"/>
      <c r="M75" s="173" t="s">
        <v>50</v>
      </c>
      <c r="N75" s="208"/>
      <c r="O75" s="208"/>
      <c r="P75" s="173" t="s">
        <v>50</v>
      </c>
      <c r="Q75" s="217"/>
      <c r="R75" s="217"/>
      <c r="S75" s="173" t="s">
        <v>50</v>
      </c>
      <c r="T75" s="207"/>
    </row>
    <row r="76" spans="1:20" x14ac:dyDescent="0.25">
      <c r="A76" s="16" t="s">
        <v>38</v>
      </c>
      <c r="B76" s="10"/>
      <c r="C76" s="10"/>
      <c r="D76" s="14">
        <f>B76/$A$75</f>
        <v>0</v>
      </c>
      <c r="E76" s="111">
        <v>34415142</v>
      </c>
      <c r="F76" s="10"/>
      <c r="G76" s="14">
        <f>E76/$A$75</f>
        <v>2.6963146049689295E-2</v>
      </c>
      <c r="H76" s="111">
        <v>33599291</v>
      </c>
      <c r="I76" s="10"/>
      <c r="J76" s="14">
        <f>H76/$A$75</f>
        <v>2.6323953287742095E-2</v>
      </c>
      <c r="K76" s="7">
        <v>42853445</v>
      </c>
      <c r="L76" s="10"/>
      <c r="M76" s="14">
        <f>K76/$A$75</f>
        <v>3.3574282397769196E-2</v>
      </c>
      <c r="N76" s="7">
        <v>34928377.5</v>
      </c>
      <c r="O76" s="10"/>
      <c r="P76" s="14">
        <f>N76/$A$75</f>
        <v>2.7365249395489386E-2</v>
      </c>
      <c r="Q76" s="10"/>
      <c r="R76" s="10"/>
      <c r="S76" s="14">
        <f>Q76/$A$75</f>
        <v>0</v>
      </c>
      <c r="T76" s="9"/>
    </row>
    <row r="77" spans="1:20" x14ac:dyDescent="0.25">
      <c r="A77" s="16" t="s">
        <v>39</v>
      </c>
      <c r="B77" s="10"/>
      <c r="C77" s="10"/>
      <c r="D77" s="14">
        <f>B77/$A$75</f>
        <v>0</v>
      </c>
      <c r="E77" s="111">
        <v>37828514</v>
      </c>
      <c r="F77" s="10"/>
      <c r="G77" s="14">
        <f>E77/$A$75</f>
        <v>2.9637412154937967E-2</v>
      </c>
      <c r="H77" s="111">
        <v>50994792</v>
      </c>
      <c r="I77" s="10"/>
      <c r="J77" s="14">
        <f>H77/$A$75</f>
        <v>3.9952763364147305E-2</v>
      </c>
      <c r="K77" s="7">
        <v>43271942.68</v>
      </c>
      <c r="L77" s="10"/>
      <c r="M77" s="14">
        <f>K77/$A$75</f>
        <v>3.3902161738418035E-2</v>
      </c>
      <c r="N77" s="7">
        <v>109852887.12</v>
      </c>
      <c r="O77" s="10"/>
      <c r="P77" s="14">
        <f>N77/$A$75</f>
        <v>8.6066169344778301E-2</v>
      </c>
      <c r="Q77" s="10"/>
      <c r="R77" s="10"/>
      <c r="S77" s="14">
        <f>Q77/$A$75</f>
        <v>0</v>
      </c>
      <c r="T77" s="9"/>
    </row>
    <row r="78" spans="1:20" x14ac:dyDescent="0.25">
      <c r="A78" s="16" t="s">
        <v>40</v>
      </c>
      <c r="B78" s="10"/>
      <c r="C78" s="10"/>
      <c r="D78" s="14">
        <f>B78/$A$75</f>
        <v>0</v>
      </c>
      <c r="E78" s="111">
        <v>55846502</v>
      </c>
      <c r="F78" s="10"/>
      <c r="G78" s="14">
        <f>E78/$A$75</f>
        <v>4.3753920579210896E-2</v>
      </c>
      <c r="H78" s="111">
        <v>52494646.68</v>
      </c>
      <c r="I78" s="10"/>
      <c r="J78" s="14">
        <f>H78/$A$75</f>
        <v>4.1127850794852948E-2</v>
      </c>
      <c r="K78" s="7">
        <v>43708061</v>
      </c>
      <c r="L78" s="10"/>
      <c r="M78" s="14">
        <f>K78/$A$75</f>
        <v>3.4243846278237892E-2</v>
      </c>
      <c r="N78" s="7">
        <v>44998185.219999999</v>
      </c>
      <c r="O78" s="10"/>
      <c r="P78" s="14">
        <f>N78/$A$75</f>
        <v>3.525461670499079E-2</v>
      </c>
      <c r="Q78" s="10"/>
      <c r="R78" s="10"/>
      <c r="S78" s="14">
        <f>Q78/$A$75</f>
        <v>0</v>
      </c>
      <c r="T78" s="9"/>
    </row>
    <row r="79" spans="1:20" x14ac:dyDescent="0.25">
      <c r="A79" s="16" t="s">
        <v>41</v>
      </c>
      <c r="B79" s="10"/>
      <c r="C79" s="10"/>
      <c r="D79" s="14">
        <f>B79/$A$75</f>
        <v>0</v>
      </c>
      <c r="E79" s="111">
        <v>42221333.600000001</v>
      </c>
      <c r="F79" s="10"/>
      <c r="G79" s="14">
        <f>E79/$A$75</f>
        <v>3.3079043645075003E-2</v>
      </c>
      <c r="H79" s="111">
        <v>55943278</v>
      </c>
      <c r="I79" s="10"/>
      <c r="J79" s="14">
        <f>H79/$A$75</f>
        <v>4.3829741432197783E-2</v>
      </c>
      <c r="K79" s="7">
        <v>45138795</v>
      </c>
      <c r="L79" s="10"/>
      <c r="M79" s="14">
        <f>K79/$A$75</f>
        <v>3.5364779901009412E-2</v>
      </c>
      <c r="N79" s="7">
        <v>147587690.63999999</v>
      </c>
      <c r="O79" s="10"/>
      <c r="P79" s="14">
        <f>N79/$A$75</f>
        <v>0.11563016238208987</v>
      </c>
      <c r="Q79" s="10"/>
      <c r="R79" s="10"/>
      <c r="S79" s="14">
        <f>Q79/$A$75</f>
        <v>0</v>
      </c>
      <c r="T79" s="9"/>
    </row>
    <row r="80" spans="1:20" x14ac:dyDescent="0.25">
      <c r="A80" s="16" t="s">
        <v>42</v>
      </c>
      <c r="B80" s="7">
        <v>21946956</v>
      </c>
      <c r="C80" s="10"/>
      <c r="D80" s="14">
        <f>B80/$A$75</f>
        <v>1.7194727250409273E-2</v>
      </c>
      <c r="E80" s="111"/>
      <c r="F80" s="111">
        <v>6450673</v>
      </c>
      <c r="G80" s="14">
        <f>E80/$A$75</f>
        <v>0</v>
      </c>
      <c r="H80" s="111">
        <v>48235540</v>
      </c>
      <c r="I80" s="10"/>
      <c r="J80" s="14">
        <f>H80/$A$75</f>
        <v>3.7790979034915212E-2</v>
      </c>
      <c r="K80" s="7">
        <v>39394022</v>
      </c>
      <c r="L80" s="10"/>
      <c r="M80" s="14">
        <f>K80/$A$75</f>
        <v>3.0863936829627875E-2</v>
      </c>
      <c r="N80" s="10"/>
      <c r="O80" s="10"/>
      <c r="P80" s="14">
        <f>N80/$A$75</f>
        <v>0</v>
      </c>
      <c r="Q80" s="10"/>
      <c r="R80" s="10"/>
      <c r="S80" s="14">
        <f>Q80/$A$75</f>
        <v>0</v>
      </c>
      <c r="T80" s="9"/>
    </row>
    <row r="81" spans="1:20" x14ac:dyDescent="0.25">
      <c r="A81" s="16" t="s">
        <v>43</v>
      </c>
      <c r="B81" s="7"/>
      <c r="C81" s="7">
        <v>5317516</v>
      </c>
      <c r="D81" s="14">
        <f>C81/$A$75</f>
        <v>4.16610108799085E-3</v>
      </c>
      <c r="E81" s="9"/>
      <c r="F81" s="10"/>
      <c r="G81" s="14">
        <f>F81/$A$75</f>
        <v>0</v>
      </c>
      <c r="H81" s="111"/>
      <c r="I81" s="111">
        <v>1652354</v>
      </c>
      <c r="J81" s="14">
        <f>I81/$A$75</f>
        <v>1.2945656951753475E-3</v>
      </c>
      <c r="K81" s="7"/>
      <c r="L81" s="10">
        <v>1629907</v>
      </c>
      <c r="M81" s="14">
        <f>L81/$A$75</f>
        <v>1.2769791996909653E-3</v>
      </c>
      <c r="O81" s="10"/>
      <c r="P81" s="14">
        <f>O81/$A$75</f>
        <v>0</v>
      </c>
      <c r="R81" s="10"/>
      <c r="S81" s="14">
        <f>R81/$A$75</f>
        <v>0</v>
      </c>
      <c r="T81" s="9"/>
    </row>
    <row r="82" spans="1:20" x14ac:dyDescent="0.25">
      <c r="A82" s="16" t="s">
        <v>44</v>
      </c>
      <c r="B82" s="10"/>
      <c r="C82" s="10"/>
      <c r="D82" s="14"/>
      <c r="E82" s="10"/>
      <c r="F82" s="10"/>
      <c r="G82" s="14"/>
      <c r="H82" s="10"/>
      <c r="I82" s="10"/>
      <c r="J82" s="14"/>
      <c r="K82" s="10"/>
      <c r="L82" s="10"/>
      <c r="M82" s="14"/>
      <c r="N82" s="10"/>
      <c r="O82" s="10"/>
      <c r="P82" s="14"/>
      <c r="Q82" s="10"/>
      <c r="R82" s="10"/>
      <c r="S82" s="14"/>
      <c r="T82" s="9"/>
    </row>
    <row r="83" spans="1:20" x14ac:dyDescent="0.25">
      <c r="A83" s="16" t="s">
        <v>45</v>
      </c>
      <c r="B83" s="10">
        <f>SUM(B76:B82)</f>
        <v>21946956</v>
      </c>
      <c r="C83" s="10">
        <f>SUM(C76:C82)</f>
        <v>5317516</v>
      </c>
      <c r="D83" s="30">
        <f>SUM(B83:C83)</f>
        <v>27264472</v>
      </c>
      <c r="E83" s="10">
        <f>SUM(E76:E82)</f>
        <v>170311491.59999999</v>
      </c>
      <c r="F83" s="10">
        <f>SUM(F76:F82)</f>
        <v>6450673</v>
      </c>
      <c r="G83" s="30">
        <f>SUM(E83:F83)</f>
        <v>176762164.59999999</v>
      </c>
      <c r="H83" s="10">
        <f>SUM(H76:H82)</f>
        <v>241267547.68000001</v>
      </c>
      <c r="I83" s="10">
        <f>SUM(I76:I82)</f>
        <v>1652354</v>
      </c>
      <c r="J83" s="30">
        <f>SUM(H83:I83)</f>
        <v>242919901.68000001</v>
      </c>
      <c r="K83" s="10">
        <f>SUM(K76:K82)</f>
        <v>214366265.68000001</v>
      </c>
      <c r="L83" s="10">
        <f>SUM(L76:L82)</f>
        <v>1629907</v>
      </c>
      <c r="M83" s="30">
        <f>SUM(K83:L83)</f>
        <v>215996172.68000001</v>
      </c>
      <c r="N83" s="10">
        <f>SUM(N76:N82)</f>
        <v>337367140.48000002</v>
      </c>
      <c r="O83" s="10">
        <f>SUM(O76:O82)</f>
        <v>0</v>
      </c>
      <c r="P83" s="30">
        <f>SUM(N83:O83)</f>
        <v>337367140.48000002</v>
      </c>
      <c r="Q83" s="10">
        <f>SUM(Q76:Q82)</f>
        <v>0</v>
      </c>
      <c r="R83" s="10">
        <f>SUM(R76:R82)</f>
        <v>0</v>
      </c>
      <c r="S83" s="30">
        <f>SUM(Q83:R83)</f>
        <v>0</v>
      </c>
      <c r="T83" s="11">
        <f>C83+B83+E83+F83+H83+I83+K83+L83+N83+O83+Q83+R83</f>
        <v>1000309851.4400001</v>
      </c>
    </row>
    <row r="84" spans="1:20" x14ac:dyDescent="0.25">
      <c r="A84" s="18" t="s">
        <v>48</v>
      </c>
      <c r="B84" s="14">
        <f>B83/$A$75</f>
        <v>1.7194727250409273E-2</v>
      </c>
      <c r="C84" s="14">
        <f>C83/$A$75</f>
        <v>4.16610108799085E-3</v>
      </c>
      <c r="D84" s="31">
        <f>B84+C84</f>
        <v>2.1360828338400122E-2</v>
      </c>
      <c r="E84" s="14">
        <f>E83/$A$75</f>
        <v>0.13343352242891315</v>
      </c>
      <c r="F84" s="14">
        <f>F83/$A$75</f>
        <v>5.0538927957289089E-3</v>
      </c>
      <c r="G84" s="31">
        <f>E84+F84</f>
        <v>0.13848741522464206</v>
      </c>
      <c r="H84" s="14">
        <f>H83/$A$75</f>
        <v>0.18902528791385534</v>
      </c>
      <c r="I84" s="14">
        <f>I83/$A$75</f>
        <v>1.2945656951753475E-3</v>
      </c>
      <c r="J84" s="31">
        <f>H84+I84</f>
        <v>0.1903198536090307</v>
      </c>
      <c r="K84" s="14">
        <f>K83/$A$75</f>
        <v>0.16794900714506242</v>
      </c>
      <c r="L84" s="14">
        <f>L83/$A$75</f>
        <v>1.2769791996909653E-3</v>
      </c>
      <c r="M84" s="31">
        <f>K84+L84</f>
        <v>0.16922598634475339</v>
      </c>
      <c r="N84" s="14">
        <f>N83/$A$75</f>
        <v>0.26431619782734839</v>
      </c>
      <c r="O84" s="14">
        <f>O83/$A$75</f>
        <v>0</v>
      </c>
      <c r="P84" s="31">
        <f>N84+O84</f>
        <v>0.26431619782734839</v>
      </c>
      <c r="Q84" s="14">
        <f>Q83/$A$75</f>
        <v>0</v>
      </c>
      <c r="R84" s="14">
        <f>R83/$A$75</f>
        <v>0</v>
      </c>
      <c r="S84" s="31">
        <f>Q84+R84</f>
        <v>0</v>
      </c>
      <c r="T84" s="12">
        <f>SUM(D84+G84+J84+M84+P84+S84)</f>
        <v>0.78371028134417464</v>
      </c>
    </row>
    <row r="85" spans="1:20" ht="15.75" thickBot="1" x14ac:dyDescent="0.3">
      <c r="A85" s="92" t="s">
        <v>57</v>
      </c>
      <c r="D85" s="22">
        <f>AVERAGE(D76:D80)</f>
        <v>3.4389454500818547E-3</v>
      </c>
      <c r="G85" s="22">
        <f>AVERAGE(G76:G80)</f>
        <v>2.6686704485782631E-2</v>
      </c>
      <c r="J85" s="22">
        <f>AVERAGE(J76:J80)</f>
        <v>3.7805057582771071E-2</v>
      </c>
      <c r="M85" s="22">
        <f>AVERAGE(M76:M80)</f>
        <v>3.3589801429012481E-2</v>
      </c>
      <c r="P85" s="22">
        <f>AVERAGE(P76:P78)</f>
        <v>4.9562011815086161E-2</v>
      </c>
      <c r="S85" s="22">
        <f>AVERAGE(S76:S80)</f>
        <v>0</v>
      </c>
      <c r="T85" s="41"/>
    </row>
    <row r="86" spans="1:20" ht="30.75" thickBot="1" x14ac:dyDescent="0.3">
      <c r="A86" s="89" t="s">
        <v>58</v>
      </c>
      <c r="B86" s="88">
        <f>(D81+G81+J81)/3</f>
        <v>1.8202222610553993E-3</v>
      </c>
      <c r="Q86" s="39"/>
      <c r="R86" s="39"/>
      <c r="S86" s="40"/>
      <c r="T86" s="41"/>
    </row>
    <row r="87" spans="1:20" x14ac:dyDescent="0.25">
      <c r="A87" s="38"/>
      <c r="B87" s="39"/>
      <c r="C87" s="39"/>
      <c r="D87" s="40"/>
      <c r="E87" s="39"/>
      <c r="F87" s="39"/>
      <c r="G87" s="40"/>
      <c r="H87" s="39"/>
      <c r="I87" s="39"/>
      <c r="J87" s="40"/>
      <c r="K87" s="39"/>
      <c r="L87" s="39"/>
      <c r="M87" s="40"/>
      <c r="N87" s="39"/>
      <c r="O87" s="39"/>
      <c r="P87" s="40"/>
      <c r="Q87" s="39"/>
      <c r="R87" s="39"/>
      <c r="S87" s="40"/>
      <c r="T87" s="41"/>
    </row>
    <row r="88" spans="1:20" x14ac:dyDescent="0.25">
      <c r="A88" s="38"/>
      <c r="B88" s="39"/>
      <c r="C88" s="39"/>
      <c r="D88" s="40"/>
      <c r="E88" s="39"/>
      <c r="F88" s="39"/>
      <c r="G88" s="40"/>
      <c r="H88" s="39"/>
      <c r="I88" s="39"/>
      <c r="J88" s="40"/>
      <c r="K88" s="39"/>
      <c r="L88" s="39"/>
      <c r="M88" s="40"/>
      <c r="N88" s="39"/>
      <c r="O88" s="39"/>
      <c r="P88" s="40"/>
      <c r="Q88" s="39"/>
      <c r="R88" s="39"/>
      <c r="S88" s="40"/>
      <c r="T88" s="41"/>
    </row>
    <row r="89" spans="1:20" x14ac:dyDescent="0.25">
      <c r="A89" s="13"/>
    </row>
    <row r="90" spans="1:20" x14ac:dyDescent="0.25">
      <c r="A90" s="16">
        <v>2018</v>
      </c>
    </row>
    <row r="91" spans="1:20" x14ac:dyDescent="0.25">
      <c r="A91" s="25" t="s">
        <v>51</v>
      </c>
      <c r="B91" s="208" t="s">
        <v>32</v>
      </c>
      <c r="C91" s="208" t="s">
        <v>33</v>
      </c>
      <c r="D91" s="173" t="s">
        <v>49</v>
      </c>
      <c r="E91" s="208" t="s">
        <v>34</v>
      </c>
      <c r="F91" s="208" t="s">
        <v>35</v>
      </c>
      <c r="G91" s="173" t="s">
        <v>49</v>
      </c>
      <c r="H91" s="208" t="s">
        <v>36</v>
      </c>
      <c r="I91" s="208" t="s">
        <v>33</v>
      </c>
      <c r="J91" s="173" t="s">
        <v>49</v>
      </c>
      <c r="K91" s="208" t="s">
        <v>37</v>
      </c>
      <c r="L91" s="208" t="s">
        <v>33</v>
      </c>
      <c r="M91" s="173" t="s">
        <v>49</v>
      </c>
      <c r="N91" s="208" t="s">
        <v>46</v>
      </c>
      <c r="O91" s="208" t="s">
        <v>33</v>
      </c>
      <c r="P91" s="175" t="s">
        <v>49</v>
      </c>
      <c r="Q91" s="216" t="s">
        <v>54</v>
      </c>
      <c r="R91" s="216" t="s">
        <v>33</v>
      </c>
      <c r="S91" s="173" t="s">
        <v>49</v>
      </c>
      <c r="T91" s="206" t="s">
        <v>47</v>
      </c>
    </row>
    <row r="92" spans="1:20" x14ac:dyDescent="0.25">
      <c r="A92" s="93">
        <v>1386207617</v>
      </c>
      <c r="B92" s="208"/>
      <c r="C92" s="208"/>
      <c r="D92" s="173" t="s">
        <v>50</v>
      </c>
      <c r="E92" s="208"/>
      <c r="F92" s="208"/>
      <c r="G92" s="173" t="s">
        <v>50</v>
      </c>
      <c r="H92" s="208"/>
      <c r="I92" s="208"/>
      <c r="J92" s="173" t="s">
        <v>50</v>
      </c>
      <c r="K92" s="208"/>
      <c r="L92" s="208"/>
      <c r="M92" s="173" t="s">
        <v>50</v>
      </c>
      <c r="N92" s="208"/>
      <c r="O92" s="208"/>
      <c r="P92" s="176" t="s">
        <v>50</v>
      </c>
      <c r="Q92" s="217"/>
      <c r="R92" s="217"/>
      <c r="S92" s="173" t="s">
        <v>50</v>
      </c>
      <c r="T92" s="207"/>
    </row>
    <row r="93" spans="1:20" x14ac:dyDescent="0.25">
      <c r="A93" s="16" t="s">
        <v>38</v>
      </c>
      <c r="B93" s="10">
        <v>25106935</v>
      </c>
      <c r="C93" s="10"/>
      <c r="D93" s="14">
        <f>B93/$A$92</f>
        <v>1.8111958621563395E-2</v>
      </c>
      <c r="E93" s="7">
        <v>31843012.039999999</v>
      </c>
      <c r="F93" s="10"/>
      <c r="G93" s="14">
        <f>E93/$A$92</f>
        <v>2.2971315154734141E-2</v>
      </c>
      <c r="H93" s="7">
        <v>41464035.450000003</v>
      </c>
      <c r="I93" s="10"/>
      <c r="J93" s="14">
        <f>H93/$A$92</f>
        <v>2.9911850823425394E-2</v>
      </c>
      <c r="N93" s="7">
        <v>50794663</v>
      </c>
      <c r="O93" s="10"/>
      <c r="P93" s="14">
        <f>N93/$A$92</f>
        <v>3.6642897050247564E-2</v>
      </c>
      <c r="Q93" s="10"/>
      <c r="R93" s="10"/>
      <c r="S93" s="14">
        <f>Q93/$A$92</f>
        <v>0</v>
      </c>
      <c r="T93" s="9"/>
    </row>
    <row r="94" spans="1:20" x14ac:dyDescent="0.25">
      <c r="A94" s="16" t="s">
        <v>39</v>
      </c>
      <c r="B94" s="10">
        <v>36927744</v>
      </c>
      <c r="C94" s="10"/>
      <c r="D94" s="14">
        <f>B94/$A$92</f>
        <v>2.6639403468232421E-2</v>
      </c>
      <c r="E94" s="7">
        <v>58929179</v>
      </c>
      <c r="F94" s="10"/>
      <c r="G94" s="14">
        <f>E94/$A$92</f>
        <v>4.2511077184479211E-2</v>
      </c>
      <c r="H94" s="7">
        <v>43330487</v>
      </c>
      <c r="I94" s="10"/>
      <c r="J94" s="14">
        <f>H94/$A$92</f>
        <v>3.1258295271652657E-2</v>
      </c>
      <c r="K94" s="7">
        <v>19548765.960000001</v>
      </c>
      <c r="L94" s="10"/>
      <c r="M94" s="14">
        <f>K94/$A$92</f>
        <v>1.410233627362906E-2</v>
      </c>
      <c r="N94" s="10"/>
      <c r="O94" s="10"/>
      <c r="P94" s="14">
        <f>N94/$A$92</f>
        <v>0</v>
      </c>
      <c r="Q94" s="10"/>
      <c r="R94" s="10"/>
      <c r="S94" s="14">
        <f>Q94/$A$92</f>
        <v>0</v>
      </c>
      <c r="T94" s="9"/>
    </row>
    <row r="95" spans="1:20" x14ac:dyDescent="0.25">
      <c r="A95" s="16" t="s">
        <v>40</v>
      </c>
      <c r="B95" s="10">
        <v>50503600</v>
      </c>
      <c r="C95" s="10"/>
      <c r="D95" s="14">
        <f>B95/$A$92</f>
        <v>3.6432926338479353E-2</v>
      </c>
      <c r="E95" s="7">
        <v>49558528</v>
      </c>
      <c r="F95" s="10"/>
      <c r="G95" s="14">
        <f>E95/$A$92</f>
        <v>3.5751158334603204E-2</v>
      </c>
      <c r="H95" s="7">
        <v>65831152</v>
      </c>
      <c r="I95" s="10"/>
      <c r="J95" s="14">
        <f>H95/$A$92</f>
        <v>4.7490109845500873E-2</v>
      </c>
      <c r="K95" s="7">
        <v>27078433</v>
      </c>
      <c r="L95" s="10"/>
      <c r="M95" s="14">
        <f>K95/$A$92</f>
        <v>1.953418280776912E-2</v>
      </c>
      <c r="N95" s="10"/>
      <c r="O95" s="10"/>
      <c r="P95" s="14">
        <f>N95/$A$92</f>
        <v>0</v>
      </c>
      <c r="Q95" s="10"/>
      <c r="R95" s="10"/>
      <c r="S95" s="14">
        <f>Q95/$A$92</f>
        <v>0</v>
      </c>
      <c r="T95" s="9"/>
    </row>
    <row r="96" spans="1:20" x14ac:dyDescent="0.25">
      <c r="A96" s="16" t="s">
        <v>41</v>
      </c>
      <c r="B96" s="10">
        <v>46399663</v>
      </c>
      <c r="C96" s="10"/>
      <c r="D96" s="14">
        <f>B96/$A$92</f>
        <v>3.3472376309991086E-2</v>
      </c>
      <c r="E96" s="7">
        <v>57105781</v>
      </c>
      <c r="F96" s="10"/>
      <c r="G96" s="14">
        <f>E96/$A$92</f>
        <v>4.1195691251204543E-2</v>
      </c>
      <c r="H96" s="7">
        <v>41603696.579999998</v>
      </c>
      <c r="I96" s="10"/>
      <c r="J96" s="14">
        <f>H96/$A$92</f>
        <v>3.0012601337480602E-2</v>
      </c>
      <c r="K96" s="7">
        <v>57761668</v>
      </c>
      <c r="L96" s="10"/>
      <c r="M96" s="14">
        <f>K96/$A$92</f>
        <v>4.1668843318727777E-2</v>
      </c>
      <c r="N96" s="10"/>
      <c r="O96" s="10"/>
      <c r="P96" s="14">
        <f>N96/$A$92</f>
        <v>0</v>
      </c>
      <c r="Q96" s="10"/>
      <c r="R96" s="10"/>
      <c r="S96" s="14">
        <f>Q96/$A$92</f>
        <v>0</v>
      </c>
      <c r="T96" s="9"/>
    </row>
    <row r="97" spans="1:20" x14ac:dyDescent="0.25">
      <c r="A97" s="16" t="s">
        <v>42</v>
      </c>
      <c r="B97" s="10">
        <v>40796864</v>
      </c>
      <c r="C97" s="10"/>
      <c r="D97" s="14">
        <f>B97/$A$92</f>
        <v>2.9430558236501165E-2</v>
      </c>
      <c r="E97" s="7">
        <v>38378568</v>
      </c>
      <c r="F97" s="10"/>
      <c r="G97" s="14">
        <f>E97/$A$92</f>
        <v>2.7686017252637848E-2</v>
      </c>
      <c r="H97" s="7">
        <v>37530020.409999996</v>
      </c>
      <c r="I97" s="10"/>
      <c r="J97" s="14">
        <f>H97/$A$92</f>
        <v>2.7073881249636791E-2</v>
      </c>
      <c r="K97" s="7">
        <v>59185521.289999999</v>
      </c>
      <c r="L97" s="10"/>
      <c r="M97" s="14">
        <f>K97/$A$92</f>
        <v>4.2696000630906936E-2</v>
      </c>
      <c r="N97" s="10"/>
      <c r="O97" s="10"/>
      <c r="P97" s="14">
        <f>N97/$A$92</f>
        <v>0</v>
      </c>
      <c r="Q97" s="10"/>
      <c r="R97" s="10"/>
      <c r="S97" s="14">
        <f>Q97/$A$92</f>
        <v>0</v>
      </c>
      <c r="T97" s="9"/>
    </row>
    <row r="98" spans="1:20" x14ac:dyDescent="0.25">
      <c r="A98" s="16" t="s">
        <v>43</v>
      </c>
      <c r="C98" s="7">
        <v>3866441</v>
      </c>
      <c r="D98" s="14">
        <f>C98/$A$92</f>
        <v>2.7892221573328725E-3</v>
      </c>
      <c r="E98" s="7"/>
      <c r="F98" s="7">
        <v>7809616</v>
      </c>
      <c r="G98" s="14">
        <f>F98/$A$92</f>
        <v>5.6337996590304406E-3</v>
      </c>
      <c r="H98" s="7"/>
      <c r="I98" s="7">
        <v>3506383</v>
      </c>
      <c r="J98" s="14">
        <f>I98/$A$92</f>
        <v>2.5294789589949281E-3</v>
      </c>
      <c r="K98" s="7"/>
      <c r="L98" s="7">
        <v>2506310</v>
      </c>
      <c r="M98" s="14">
        <f>L98/$A$92</f>
        <v>1.808033637431672E-3</v>
      </c>
      <c r="O98" s="10"/>
      <c r="P98" s="14">
        <f>O98/$A$92</f>
        <v>0</v>
      </c>
      <c r="R98" s="10"/>
      <c r="S98" s="14">
        <f>R98/$A$92</f>
        <v>0</v>
      </c>
      <c r="T98" s="9"/>
    </row>
    <row r="99" spans="1:20" x14ac:dyDescent="0.25">
      <c r="A99" s="16" t="s">
        <v>44</v>
      </c>
      <c r="B99" s="10"/>
      <c r="C99" s="10"/>
      <c r="D99" s="14"/>
      <c r="E99" s="10"/>
      <c r="F99" s="10"/>
      <c r="G99" s="14"/>
      <c r="H99" s="10"/>
      <c r="I99" s="10"/>
      <c r="J99" s="14"/>
      <c r="K99" s="10"/>
      <c r="L99" s="10"/>
      <c r="M99" s="14"/>
      <c r="N99" s="10"/>
      <c r="O99" s="10"/>
      <c r="P99" s="14"/>
      <c r="Q99" s="10"/>
      <c r="R99" s="10"/>
      <c r="S99" s="14"/>
      <c r="T99" s="9"/>
    </row>
    <row r="100" spans="1:20" x14ac:dyDescent="0.25">
      <c r="A100" s="16" t="s">
        <v>45</v>
      </c>
      <c r="B100" s="10">
        <f>SUM(B93:B99)</f>
        <v>199734806</v>
      </c>
      <c r="C100" s="10">
        <f>SUM(C93:C99)</f>
        <v>3866441</v>
      </c>
      <c r="D100" s="30">
        <f>SUM(B100:C100)</f>
        <v>203601247</v>
      </c>
      <c r="E100" s="146">
        <f>SUM(E93:E99)</f>
        <v>235815068.03999999</v>
      </c>
      <c r="F100" s="10">
        <f>SUM(F93:F99)</f>
        <v>7809616</v>
      </c>
      <c r="G100" s="147">
        <f>SUM(E100:F100)</f>
        <v>243624684.03999999</v>
      </c>
      <c r="H100" s="146">
        <f>SUM(H93:H99)</f>
        <v>229759391.43999997</v>
      </c>
      <c r="I100" s="10">
        <f>SUM(I93:I99)</f>
        <v>3506383</v>
      </c>
      <c r="J100" s="30">
        <f>SUM(H100:I100)</f>
        <v>233265774.43999997</v>
      </c>
      <c r="K100" s="146">
        <f>SUM(K94:K99)</f>
        <v>163574388.25</v>
      </c>
      <c r="L100" s="10">
        <f>SUM(L94:L99)</f>
        <v>2506310</v>
      </c>
      <c r="M100" s="30">
        <f>SUM(K100:L100)</f>
        <v>166080698.25</v>
      </c>
      <c r="N100" s="10">
        <f>SUM(N93:N99)</f>
        <v>50794663</v>
      </c>
      <c r="O100" s="10">
        <f>SUM(O93:O99)</f>
        <v>0</v>
      </c>
      <c r="P100" s="30">
        <f>SUM(N100:O100)</f>
        <v>50794663</v>
      </c>
      <c r="Q100" s="10">
        <f>SUM(Q93:Q99)</f>
        <v>0</v>
      </c>
      <c r="R100" s="10">
        <f>SUM(R93:R99)</f>
        <v>0</v>
      </c>
      <c r="S100" s="30">
        <f>SUM(Q100:R100)</f>
        <v>0</v>
      </c>
      <c r="T100" s="11">
        <f>C100+B100+E100+F100+H100+I100+K100+L100+N100+O100+Q100+R100</f>
        <v>897367066.7299999</v>
      </c>
    </row>
    <row r="101" spans="1:20" x14ac:dyDescent="0.25">
      <c r="A101" s="18" t="s">
        <v>48</v>
      </c>
      <c r="B101" s="14">
        <f>B100/$A$92</f>
        <v>0.14408722297476742</v>
      </c>
      <c r="C101" s="14">
        <f>C100/$A$92</f>
        <v>2.7892221573328725E-3</v>
      </c>
      <c r="D101" s="31">
        <f>B101+C101</f>
        <v>0.1468764451321003</v>
      </c>
      <c r="E101" s="14">
        <f>E100/$A$92</f>
        <v>0.17011525917765896</v>
      </c>
      <c r="F101" s="14">
        <f>F100/$A$92</f>
        <v>5.6337996590304406E-3</v>
      </c>
      <c r="G101" s="31">
        <f>E101+F101</f>
        <v>0.1757490588366894</v>
      </c>
      <c r="H101" s="14">
        <f>H100/$A$92</f>
        <v>0.16574673852769628</v>
      </c>
      <c r="I101" s="14">
        <f>I100/$A$92</f>
        <v>2.5294789589949281E-3</v>
      </c>
      <c r="J101" s="31">
        <f>H101+I101</f>
        <v>0.16827621748669122</v>
      </c>
      <c r="K101" s="14">
        <f>K100/$A$92</f>
        <v>0.1180013630310329</v>
      </c>
      <c r="L101" s="14">
        <f>L100/$A$92</f>
        <v>1.808033637431672E-3</v>
      </c>
      <c r="M101" s="31">
        <f>K101+L101</f>
        <v>0.11980939666846457</v>
      </c>
      <c r="N101" s="14">
        <f>N100/$A$92</f>
        <v>3.6642897050247564E-2</v>
      </c>
      <c r="O101" s="14">
        <f>O100/$A$92</f>
        <v>0</v>
      </c>
      <c r="P101" s="31">
        <f>N101+O101</f>
        <v>3.6642897050247564E-2</v>
      </c>
      <c r="Q101" s="14">
        <f>Q100/$A$92</f>
        <v>0</v>
      </c>
      <c r="R101" s="14">
        <f>R100/$A$92</f>
        <v>0</v>
      </c>
      <c r="S101" s="31">
        <f>Q101+R101</f>
        <v>0</v>
      </c>
      <c r="T101" s="12">
        <f>SUM(D101+G101+J101+M101+P101+S101)</f>
        <v>0.64735401517419311</v>
      </c>
    </row>
    <row r="102" spans="1:20" x14ac:dyDescent="0.25">
      <c r="A102" s="16" t="s">
        <v>57</v>
      </c>
      <c r="D102" s="22">
        <f>AVERAGE(D93:D97)</f>
        <v>2.8817444594953483E-2</v>
      </c>
      <c r="G102" s="22">
        <f>AVERAGE(G93:G97)</f>
        <v>3.4023051835531795E-2</v>
      </c>
      <c r="J102" s="22">
        <f>AVERAGE(J93:J97)</f>
        <v>3.3149347705539269E-2</v>
      </c>
      <c r="M102" s="22">
        <f>AVERAGE(M94:M97)</f>
        <v>2.9500340757758224E-2</v>
      </c>
      <c r="P102" s="22">
        <f>AVERAGE(P93)</f>
        <v>3.6642897050247564E-2</v>
      </c>
      <c r="S102" s="22">
        <f>AVERAGE(S93:S97)</f>
        <v>0</v>
      </c>
    </row>
    <row r="103" spans="1:20" ht="30.75" thickBot="1" x14ac:dyDescent="0.3">
      <c r="A103" s="37" t="s">
        <v>58</v>
      </c>
      <c r="B103" s="14">
        <f>(D98+G98+J98+M98)/4</f>
        <v>3.1901336031974785E-3</v>
      </c>
    </row>
    <row r="104" spans="1:20" ht="30.75" thickBot="1" x14ac:dyDescent="0.3">
      <c r="A104" s="89" t="s">
        <v>59</v>
      </c>
      <c r="B104" s="88">
        <f>(P93+P79+P132+P146+P166)/5</f>
        <v>9.5167909361393854E-2</v>
      </c>
      <c r="N104" s="8"/>
    </row>
    <row r="111" spans="1:20" x14ac:dyDescent="0.25">
      <c r="A111" s="172">
        <v>43800</v>
      </c>
      <c r="B111" s="173" t="s">
        <v>32</v>
      </c>
      <c r="C111" s="173" t="s">
        <v>33</v>
      </c>
      <c r="D111" s="173" t="s">
        <v>49</v>
      </c>
      <c r="E111" s="173" t="s">
        <v>34</v>
      </c>
      <c r="F111" s="173" t="s">
        <v>35</v>
      </c>
      <c r="G111" s="173" t="s">
        <v>49</v>
      </c>
      <c r="H111" s="173" t="s">
        <v>36</v>
      </c>
      <c r="I111" s="173" t="s">
        <v>33</v>
      </c>
      <c r="J111" s="173" t="s">
        <v>49</v>
      </c>
      <c r="K111" s="173" t="s">
        <v>37</v>
      </c>
      <c r="L111" s="173" t="s">
        <v>33</v>
      </c>
      <c r="M111" s="173" t="s">
        <v>49</v>
      </c>
      <c r="N111" s="173" t="s">
        <v>46</v>
      </c>
      <c r="O111" s="208" t="s">
        <v>33</v>
      </c>
      <c r="P111" s="173" t="s">
        <v>49</v>
      </c>
      <c r="Q111" s="216" t="s">
        <v>54</v>
      </c>
      <c r="R111" s="216" t="s">
        <v>33</v>
      </c>
      <c r="S111" s="173" t="s">
        <v>49</v>
      </c>
      <c r="T111" s="206" t="s">
        <v>47</v>
      </c>
    </row>
    <row r="112" spans="1:20" x14ac:dyDescent="0.25">
      <c r="A112" s="93">
        <v>1585874206.9688885</v>
      </c>
      <c r="B112" s="173"/>
      <c r="C112" s="173"/>
      <c r="D112" s="173" t="s">
        <v>50</v>
      </c>
      <c r="E112" s="173"/>
      <c r="F112" s="173"/>
      <c r="G112" s="173" t="s">
        <v>50</v>
      </c>
      <c r="H112" s="173"/>
      <c r="I112" s="173"/>
      <c r="J112" s="173" t="s">
        <v>50</v>
      </c>
      <c r="K112" s="173"/>
      <c r="L112" s="173"/>
      <c r="M112" s="173" t="s">
        <v>50</v>
      </c>
      <c r="N112" s="173"/>
      <c r="O112" s="208"/>
      <c r="P112" s="173" t="s">
        <v>50</v>
      </c>
      <c r="Q112" s="217"/>
      <c r="R112" s="217"/>
      <c r="S112" s="173" t="s">
        <v>50</v>
      </c>
      <c r="T112" s="207"/>
    </row>
    <row r="113" spans="1:21" x14ac:dyDescent="0.25">
      <c r="A113" s="16" t="s">
        <v>38</v>
      </c>
      <c r="B113" s="10"/>
      <c r="C113" s="10"/>
      <c r="D113" s="15">
        <f t="shared" ref="D113:D119" si="4">B113/$A$112</f>
        <v>0</v>
      </c>
      <c r="E113" s="10"/>
      <c r="F113" s="10"/>
      <c r="G113" s="15">
        <f>E113/$A$112</f>
        <v>0</v>
      </c>
      <c r="H113" s="10"/>
      <c r="I113" s="10"/>
      <c r="J113" s="14" t="e">
        <f>H113/$AA$87</f>
        <v>#DIV/0!</v>
      </c>
      <c r="K113" s="10"/>
      <c r="L113" s="10"/>
      <c r="M113" s="14" t="e">
        <f>K113/$AA$87</f>
        <v>#DIV/0!</v>
      </c>
      <c r="N113" s="10"/>
      <c r="O113" s="9"/>
      <c r="P113" s="14" t="e">
        <f>N113/$AA$87</f>
        <v>#DIV/0!</v>
      </c>
      <c r="Q113" s="10"/>
      <c r="R113" s="9"/>
      <c r="S113" s="14" t="e">
        <f>Q113/$AA$87</f>
        <v>#DIV/0!</v>
      </c>
      <c r="T113" s="9"/>
    </row>
    <row r="114" spans="1:21" x14ac:dyDescent="0.25">
      <c r="A114" s="16" t="s">
        <v>39</v>
      </c>
      <c r="B114" s="10"/>
      <c r="C114" s="10"/>
      <c r="D114" s="15">
        <f t="shared" si="4"/>
        <v>0</v>
      </c>
      <c r="E114" s="10"/>
      <c r="F114" s="10"/>
      <c r="G114" s="14" t="e">
        <f t="shared" ref="G114:G119" si="5">E114/$AA$87</f>
        <v>#DIV/0!</v>
      </c>
      <c r="H114" s="10"/>
      <c r="I114" s="10"/>
      <c r="J114" s="14" t="e">
        <f t="shared" ref="J114:J119" si="6">H114/$AA$87</f>
        <v>#DIV/0!</v>
      </c>
      <c r="K114" s="10"/>
      <c r="L114" s="10"/>
      <c r="M114" s="14" t="e">
        <f t="shared" ref="M114:M119" si="7">K114/$AA$87</f>
        <v>#DIV/0!</v>
      </c>
      <c r="N114" s="10"/>
      <c r="O114" s="9"/>
      <c r="P114" s="14" t="e">
        <f t="shared" ref="P114:P119" si="8">N114/$AA$87</f>
        <v>#DIV/0!</v>
      </c>
      <c r="Q114" s="10"/>
      <c r="R114" s="9"/>
      <c r="S114" s="14" t="e">
        <f t="shared" ref="S114:S119" si="9">Q114/$AA$87</f>
        <v>#DIV/0!</v>
      </c>
      <c r="T114" s="9"/>
    </row>
    <row r="115" spans="1:21" x14ac:dyDescent="0.25">
      <c r="A115" s="16" t="s">
        <v>40</v>
      </c>
      <c r="B115" s="10"/>
      <c r="C115" s="10"/>
      <c r="D115" s="15">
        <f t="shared" si="4"/>
        <v>0</v>
      </c>
      <c r="E115" s="10"/>
      <c r="F115" s="10"/>
      <c r="G115" s="14" t="e">
        <f t="shared" si="5"/>
        <v>#DIV/0!</v>
      </c>
      <c r="H115" s="10"/>
      <c r="I115" s="10"/>
      <c r="J115" s="14" t="e">
        <f t="shared" si="6"/>
        <v>#DIV/0!</v>
      </c>
      <c r="K115" s="10"/>
      <c r="L115" s="10"/>
      <c r="M115" s="14" t="e">
        <f t="shared" si="7"/>
        <v>#DIV/0!</v>
      </c>
      <c r="N115" s="10"/>
      <c r="O115" s="9"/>
      <c r="P115" s="14" t="e">
        <f t="shared" si="8"/>
        <v>#DIV/0!</v>
      </c>
      <c r="Q115" s="10"/>
      <c r="R115" s="9"/>
      <c r="S115" s="14" t="e">
        <f t="shared" si="9"/>
        <v>#DIV/0!</v>
      </c>
      <c r="T115" s="9"/>
    </row>
    <row r="116" spans="1:21" x14ac:dyDescent="0.25">
      <c r="A116" s="16" t="s">
        <v>41</v>
      </c>
      <c r="B116" s="10"/>
      <c r="C116" s="10"/>
      <c r="D116" s="15">
        <f t="shared" si="4"/>
        <v>0</v>
      </c>
      <c r="E116" s="10"/>
      <c r="F116" s="10"/>
      <c r="G116" s="14" t="e">
        <f t="shared" si="5"/>
        <v>#DIV/0!</v>
      </c>
      <c r="H116" s="10"/>
      <c r="I116" s="10"/>
      <c r="J116" s="14" t="e">
        <f t="shared" si="6"/>
        <v>#DIV/0!</v>
      </c>
      <c r="K116" s="10"/>
      <c r="L116" s="10"/>
      <c r="M116" s="14" t="e">
        <f t="shared" si="7"/>
        <v>#DIV/0!</v>
      </c>
      <c r="N116" s="10"/>
      <c r="O116" s="9"/>
      <c r="P116" s="14" t="e">
        <f t="shared" si="8"/>
        <v>#DIV/0!</v>
      </c>
      <c r="Q116" s="10"/>
      <c r="R116" s="9"/>
      <c r="S116" s="14" t="e">
        <f t="shared" si="9"/>
        <v>#DIV/0!</v>
      </c>
      <c r="T116" s="9"/>
    </row>
    <row r="117" spans="1:21" x14ac:dyDescent="0.25">
      <c r="A117" s="16" t="s">
        <v>42</v>
      </c>
      <c r="B117" s="10"/>
      <c r="C117" s="10"/>
      <c r="D117" s="15">
        <f t="shared" si="4"/>
        <v>0</v>
      </c>
      <c r="E117" s="10"/>
      <c r="F117" s="10"/>
      <c r="G117" s="14" t="e">
        <f t="shared" si="5"/>
        <v>#DIV/0!</v>
      </c>
      <c r="H117" s="10"/>
      <c r="I117" s="10"/>
      <c r="J117" s="14" t="e">
        <f t="shared" si="6"/>
        <v>#DIV/0!</v>
      </c>
      <c r="K117" s="10"/>
      <c r="L117" s="10"/>
      <c r="M117" s="14" t="e">
        <f t="shared" si="7"/>
        <v>#DIV/0!</v>
      </c>
      <c r="N117" s="10"/>
      <c r="O117" s="9"/>
      <c r="P117" s="14" t="e">
        <f t="shared" si="8"/>
        <v>#DIV/0!</v>
      </c>
      <c r="Q117" s="10"/>
      <c r="R117" s="9"/>
      <c r="S117" s="14" t="e">
        <f t="shared" si="9"/>
        <v>#DIV/0!</v>
      </c>
      <c r="T117" s="9"/>
    </row>
    <row r="118" spans="1:21" x14ac:dyDescent="0.25">
      <c r="A118" s="16" t="s">
        <v>43</v>
      </c>
      <c r="B118" s="10"/>
      <c r="C118" s="10"/>
      <c r="D118" s="15">
        <f t="shared" si="4"/>
        <v>0</v>
      </c>
      <c r="E118" s="10"/>
      <c r="F118" s="10"/>
      <c r="G118" s="14" t="e">
        <f>F118/$AA$87</f>
        <v>#DIV/0!</v>
      </c>
      <c r="H118" s="10"/>
      <c r="I118" s="10"/>
      <c r="J118" s="14" t="e">
        <f>I118/$AA$87</f>
        <v>#DIV/0!</v>
      </c>
      <c r="K118" s="10"/>
      <c r="L118" s="10"/>
      <c r="M118" s="14" t="e">
        <f>L118/$AA$87</f>
        <v>#DIV/0!</v>
      </c>
      <c r="N118" s="10"/>
      <c r="O118" s="10"/>
      <c r="P118" s="14" t="e">
        <f>O118/$AA$87</f>
        <v>#DIV/0!</v>
      </c>
      <c r="Q118" s="10"/>
      <c r="R118" s="9"/>
      <c r="S118" s="14" t="e">
        <f>R118/$AA$87</f>
        <v>#DIV/0!</v>
      </c>
      <c r="T118" s="9"/>
    </row>
    <row r="119" spans="1:21" x14ac:dyDescent="0.25">
      <c r="A119" s="16" t="s">
        <v>44</v>
      </c>
      <c r="B119" s="10"/>
      <c r="C119" s="10"/>
      <c r="D119" s="15">
        <f t="shared" si="4"/>
        <v>0</v>
      </c>
      <c r="E119" s="10"/>
      <c r="F119" s="10"/>
      <c r="G119" s="14" t="e">
        <f t="shared" si="5"/>
        <v>#DIV/0!</v>
      </c>
      <c r="H119" s="10"/>
      <c r="I119" s="10"/>
      <c r="J119" s="14" t="e">
        <f t="shared" si="6"/>
        <v>#DIV/0!</v>
      </c>
      <c r="K119" s="10"/>
      <c r="L119" s="10"/>
      <c r="M119" s="14" t="e">
        <f t="shared" si="7"/>
        <v>#DIV/0!</v>
      </c>
      <c r="N119" s="10"/>
      <c r="O119" s="9"/>
      <c r="P119" s="14" t="e">
        <f t="shared" si="8"/>
        <v>#DIV/0!</v>
      </c>
      <c r="Q119" s="10"/>
      <c r="R119" s="9"/>
      <c r="S119" s="14" t="e">
        <f t="shared" si="9"/>
        <v>#DIV/0!</v>
      </c>
      <c r="T119" s="9"/>
    </row>
    <row r="120" spans="1:21" x14ac:dyDescent="0.25">
      <c r="A120" s="16" t="s">
        <v>45</v>
      </c>
      <c r="B120" s="10">
        <f>SUM(B113:B119)</f>
        <v>0</v>
      </c>
      <c r="C120" s="10">
        <f>SUM(C113:C119)</f>
        <v>0</v>
      </c>
      <c r="D120" s="30">
        <f>SUM(B120:C120)</f>
        <v>0</v>
      </c>
      <c r="E120" s="10">
        <f>SUM(E113:E119)</f>
        <v>0</v>
      </c>
      <c r="F120" s="10">
        <f>SUM(F113:F119)</f>
        <v>0</v>
      </c>
      <c r="G120" s="30">
        <f>SUM(E120:F120)</f>
        <v>0</v>
      </c>
      <c r="H120" s="10">
        <f>SUM(H113:H119)</f>
        <v>0</v>
      </c>
      <c r="I120" s="10">
        <f>SUM(I113:I119)</f>
        <v>0</v>
      </c>
      <c r="J120" s="30">
        <f>SUM(H120:I120)</f>
        <v>0</v>
      </c>
      <c r="K120" s="10">
        <f>SUM(K113:K119)</f>
        <v>0</v>
      </c>
      <c r="L120" s="10">
        <f>SUM(L113:L119)</f>
        <v>0</v>
      </c>
      <c r="M120" s="30">
        <f>SUM(K120:L120)</f>
        <v>0</v>
      </c>
      <c r="N120" s="10">
        <f>SUM(N113:N119)</f>
        <v>0</v>
      </c>
      <c r="O120" s="10">
        <f>SUM(O113:O119)</f>
        <v>0</v>
      </c>
      <c r="P120" s="30">
        <f>SUM(N120:O120)</f>
        <v>0</v>
      </c>
      <c r="Q120" s="10">
        <f>SUM(Q113:Q119)</f>
        <v>0</v>
      </c>
      <c r="R120" s="10">
        <f>SUM(R113:R119)</f>
        <v>0</v>
      </c>
      <c r="S120" s="30">
        <f>SUM(Q120:R120)</f>
        <v>0</v>
      </c>
      <c r="T120" s="11">
        <f>C120+B120+E120+F120+H120+I120+K120+L120+N120+O120+Q120+R120</f>
        <v>0</v>
      </c>
      <c r="U120" s="11" t="e">
        <f>#REF!</f>
        <v>#REF!</v>
      </c>
    </row>
    <row r="121" spans="1:21" x14ac:dyDescent="0.25">
      <c r="A121" s="18" t="s">
        <v>48</v>
      </c>
      <c r="B121" s="15">
        <f>B120/$A$112</f>
        <v>0</v>
      </c>
      <c r="C121" s="15">
        <f>C120/$A$112</f>
        <v>0</v>
      </c>
      <c r="D121" s="31">
        <f>B121+C121</f>
        <v>0</v>
      </c>
      <c r="E121" s="14" t="e">
        <f>E120/$AA$87</f>
        <v>#DIV/0!</v>
      </c>
      <c r="F121" s="14" t="e">
        <f>F120/$AA$87</f>
        <v>#DIV/0!</v>
      </c>
      <c r="G121" s="31" t="e">
        <f>E121+F121</f>
        <v>#DIV/0!</v>
      </c>
      <c r="H121" s="14" t="e">
        <f>H120/$AA$87</f>
        <v>#DIV/0!</v>
      </c>
      <c r="I121" s="14" t="e">
        <f>I120/$AA$87</f>
        <v>#DIV/0!</v>
      </c>
      <c r="J121" s="31" t="e">
        <f>H121+I121</f>
        <v>#DIV/0!</v>
      </c>
      <c r="K121" s="14" t="e">
        <f>K120/$AA$87</f>
        <v>#DIV/0!</v>
      </c>
      <c r="L121" s="14" t="e">
        <f>L120/$AA$87</f>
        <v>#DIV/0!</v>
      </c>
      <c r="M121" s="31" t="e">
        <f>K121+L121</f>
        <v>#DIV/0!</v>
      </c>
      <c r="N121" s="14" t="e">
        <f>N120/$AA$87</f>
        <v>#DIV/0!</v>
      </c>
      <c r="O121" s="14" t="e">
        <f>O120/$AA$87</f>
        <v>#DIV/0!</v>
      </c>
      <c r="P121" s="31" t="e">
        <f>N121+O121</f>
        <v>#DIV/0!</v>
      </c>
      <c r="Q121" s="14" t="e">
        <f>Q120/$AA$87</f>
        <v>#DIV/0!</v>
      </c>
      <c r="R121" s="14" t="e">
        <f>R120/$AA$87</f>
        <v>#DIV/0!</v>
      </c>
      <c r="S121" s="31" t="e">
        <f>Q121+R121</f>
        <v>#DIV/0!</v>
      </c>
      <c r="T121" s="12" t="e">
        <f>SUM(D121+G121+J121+M121+P121+S121)</f>
        <v>#DIV/0!</v>
      </c>
      <c r="U121" s="12"/>
    </row>
    <row r="125" spans="1:21" x14ac:dyDescent="0.25">
      <c r="A125" s="172"/>
    </row>
    <row r="126" spans="1:21" x14ac:dyDescent="0.25">
      <c r="A126" s="16" t="s">
        <v>80</v>
      </c>
      <c r="B126" s="216" t="s">
        <v>32</v>
      </c>
      <c r="C126" s="216" t="s">
        <v>33</v>
      </c>
      <c r="D126" s="173" t="s">
        <v>49</v>
      </c>
      <c r="E126" s="216" t="s">
        <v>34</v>
      </c>
      <c r="F126" s="216" t="s">
        <v>35</v>
      </c>
      <c r="G126" s="173" t="s">
        <v>49</v>
      </c>
      <c r="H126" s="216" t="s">
        <v>36</v>
      </c>
      <c r="I126" s="216" t="s">
        <v>33</v>
      </c>
      <c r="J126" s="173" t="s">
        <v>49</v>
      </c>
      <c r="K126" s="216" t="s">
        <v>37</v>
      </c>
      <c r="L126" s="216" t="s">
        <v>33</v>
      </c>
      <c r="M126" s="173" t="s">
        <v>49</v>
      </c>
      <c r="N126" s="216" t="s">
        <v>46</v>
      </c>
      <c r="O126" s="216" t="s">
        <v>33</v>
      </c>
      <c r="P126" s="173" t="s">
        <v>49</v>
      </c>
      <c r="Q126" s="216" t="s">
        <v>54</v>
      </c>
      <c r="R126" s="216" t="s">
        <v>33</v>
      </c>
      <c r="S126" s="173" t="s">
        <v>49</v>
      </c>
      <c r="T126" s="206" t="s">
        <v>47</v>
      </c>
    </row>
    <row r="127" spans="1:21" x14ac:dyDescent="0.25">
      <c r="A127" s="93">
        <v>1000198288</v>
      </c>
      <c r="B127" s="217"/>
      <c r="C127" s="217"/>
      <c r="D127" s="173" t="s">
        <v>50</v>
      </c>
      <c r="E127" s="217"/>
      <c r="F127" s="217"/>
      <c r="G127" s="173" t="s">
        <v>50</v>
      </c>
      <c r="H127" s="217"/>
      <c r="I127" s="217"/>
      <c r="J127" s="173" t="s">
        <v>50</v>
      </c>
      <c r="K127" s="217"/>
      <c r="L127" s="217"/>
      <c r="M127" s="173" t="s">
        <v>50</v>
      </c>
      <c r="N127" s="217"/>
      <c r="O127" s="217"/>
      <c r="P127" s="173" t="s">
        <v>50</v>
      </c>
      <c r="Q127" s="217"/>
      <c r="R127" s="217"/>
      <c r="S127" s="173" t="s">
        <v>50</v>
      </c>
      <c r="T127" s="207"/>
    </row>
    <row r="128" spans="1:21" x14ac:dyDescent="0.25">
      <c r="A128" s="16" t="s">
        <v>38</v>
      </c>
      <c r="B128" s="111"/>
      <c r="C128" s="10"/>
      <c r="D128" s="14">
        <f>B128/$A$127</f>
        <v>0</v>
      </c>
      <c r="E128" s="111">
        <v>32497245</v>
      </c>
      <c r="F128" s="10"/>
      <c r="G128" s="14">
        <f>E128/$A$127</f>
        <v>3.2490802463761063E-2</v>
      </c>
      <c r="H128" s="111">
        <v>59121740</v>
      </c>
      <c r="I128" s="10"/>
      <c r="J128" s="14">
        <f>H128/$A$127</f>
        <v>5.9110019192514351E-2</v>
      </c>
      <c r="K128" s="7">
        <v>38971189</v>
      </c>
      <c r="L128" s="10"/>
      <c r="M128" s="14">
        <f>K128/$A$127</f>
        <v>3.896346301284611E-2</v>
      </c>
      <c r="N128" s="7">
        <v>65651976</v>
      </c>
      <c r="O128" s="10"/>
      <c r="P128" s="14">
        <f>N128/$A$127</f>
        <v>6.5638960581784159E-2</v>
      </c>
      <c r="Q128" s="111"/>
      <c r="R128" s="10"/>
      <c r="S128" s="14">
        <f>Q128/$A$127</f>
        <v>0</v>
      </c>
      <c r="T128" s="9"/>
    </row>
    <row r="129" spans="1:20" x14ac:dyDescent="0.25">
      <c r="A129" s="16" t="s">
        <v>39</v>
      </c>
      <c r="B129" s="111"/>
      <c r="C129" s="10"/>
      <c r="D129" s="14">
        <f t="shared" ref="D129:D134" si="10">B129/$A$127</f>
        <v>0</v>
      </c>
      <c r="E129" s="111">
        <v>31950209</v>
      </c>
      <c r="F129" s="10"/>
      <c r="G129" s="14">
        <f t="shared" ref="G129:G134" si="11">E129/$A$127</f>
        <v>3.1943874912931262E-2</v>
      </c>
      <c r="H129" s="111">
        <v>39894461</v>
      </c>
      <c r="I129" s="10"/>
      <c r="J129" s="14">
        <f t="shared" ref="J129:J134" si="12">H129/$A$127</f>
        <v>3.9886551975381906E-2</v>
      </c>
      <c r="K129" s="7">
        <v>42248623.979999997</v>
      </c>
      <c r="L129" s="10"/>
      <c r="M129" s="14">
        <f t="shared" ref="M129:M134" si="13">K129/$A$127</f>
        <v>4.2240248245655865E-2</v>
      </c>
      <c r="N129" s="7">
        <v>65380247</v>
      </c>
      <c r="O129" s="10"/>
      <c r="P129" s="14">
        <f t="shared" ref="P129:P134" si="14">N129/$A$127</f>
        <v>6.5367285451702353E-2</v>
      </c>
      <c r="Q129" s="111"/>
      <c r="R129" s="10"/>
      <c r="S129" s="14">
        <f t="shared" ref="S129:S134" si="15">Q129/$A$127</f>
        <v>0</v>
      </c>
      <c r="T129" s="9"/>
    </row>
    <row r="130" spans="1:20" x14ac:dyDescent="0.25">
      <c r="A130" s="16" t="s">
        <v>40</v>
      </c>
      <c r="B130" s="111"/>
      <c r="C130" s="10"/>
      <c r="D130" s="14">
        <f t="shared" si="10"/>
        <v>0</v>
      </c>
      <c r="E130" s="111">
        <v>59939040</v>
      </c>
      <c r="F130" s="10"/>
      <c r="G130" s="14">
        <f t="shared" si="11"/>
        <v>5.9927157163860295E-2</v>
      </c>
      <c r="H130" s="111">
        <v>52807444</v>
      </c>
      <c r="I130" s="10"/>
      <c r="J130" s="14">
        <f t="shared" si="12"/>
        <v>5.2796974993422507E-2</v>
      </c>
      <c r="K130" s="7">
        <v>47769594.57</v>
      </c>
      <c r="L130" s="10"/>
      <c r="M130" s="14">
        <f t="shared" si="13"/>
        <v>4.7760124310470727E-2</v>
      </c>
      <c r="N130" s="7">
        <v>67584323</v>
      </c>
      <c r="O130" s="10"/>
      <c r="P130" s="14">
        <f t="shared" si="14"/>
        <v>6.7570924496523438E-2</v>
      </c>
      <c r="Q130" s="111"/>
      <c r="R130" s="10"/>
      <c r="S130" s="14">
        <f t="shared" si="15"/>
        <v>0</v>
      </c>
      <c r="T130" s="9"/>
    </row>
    <row r="131" spans="1:20" x14ac:dyDescent="0.25">
      <c r="A131" s="16" t="s">
        <v>41</v>
      </c>
      <c r="B131" s="111">
        <v>15340261.6</v>
      </c>
      <c r="C131" s="10"/>
      <c r="D131" s="14">
        <f>B131/$A$127</f>
        <v>1.5337220413238699E-2</v>
      </c>
      <c r="E131" s="111">
        <v>31659894</v>
      </c>
      <c r="F131" s="10"/>
      <c r="G131" s="14">
        <f>E131/$A$127</f>
        <v>3.1653617467499603E-2</v>
      </c>
      <c r="H131" s="111">
        <v>12447314</v>
      </c>
      <c r="I131" s="10"/>
      <c r="J131" s="14">
        <f>H131/$A$127</f>
        <v>1.2444846336309667E-2</v>
      </c>
      <c r="K131" s="7">
        <v>60573320</v>
      </c>
      <c r="L131" s="10"/>
      <c r="M131" s="14">
        <f>K131/$A$127</f>
        <v>6.0561311418681416E-2</v>
      </c>
      <c r="N131" s="7">
        <v>54053958</v>
      </c>
      <c r="O131" s="10"/>
      <c r="P131" s="14">
        <f>N131/$A$127</f>
        <v>5.4043241873655355E-2</v>
      </c>
      <c r="Q131" s="111"/>
      <c r="R131" s="10"/>
      <c r="S131" s="14">
        <f>Q131/$A$127</f>
        <v>0</v>
      </c>
      <c r="T131" s="9"/>
    </row>
    <row r="132" spans="1:20" x14ac:dyDescent="0.25">
      <c r="A132" s="16" t="s">
        <v>42</v>
      </c>
      <c r="B132" s="111">
        <v>39796972</v>
      </c>
      <c r="C132" s="10"/>
      <c r="D132" s="14">
        <f>B132/$A$127</f>
        <v>3.978908230244841E-2</v>
      </c>
      <c r="E132" s="111">
        <v>40950249.780000001</v>
      </c>
      <c r="F132" s="10"/>
      <c r="G132" s="14">
        <f>E132/$A$127</f>
        <v>4.0942131446639711E-2</v>
      </c>
      <c r="H132" s="111">
        <v>35578758</v>
      </c>
      <c r="I132" s="10"/>
      <c r="J132" s="14">
        <f>H132/$A$127</f>
        <v>3.5571704557846633E-2</v>
      </c>
      <c r="K132" s="7">
        <v>48173721</v>
      </c>
      <c r="L132" s="10"/>
      <c r="M132" s="14">
        <f>K132/$A$127</f>
        <v>4.8164170622935522E-2</v>
      </c>
      <c r="N132" s="7">
        <v>119593343</v>
      </c>
      <c r="O132" s="10"/>
      <c r="P132" s="14">
        <f>N132/$A$127</f>
        <v>0.11956963377645774</v>
      </c>
      <c r="Q132" s="111"/>
      <c r="R132" s="10"/>
      <c r="S132" s="14">
        <f>Q132/$A$127</f>
        <v>0</v>
      </c>
      <c r="T132" s="9"/>
    </row>
    <row r="133" spans="1:20" x14ac:dyDescent="0.25">
      <c r="A133" s="16" t="s">
        <v>43</v>
      </c>
      <c r="B133" s="111"/>
      <c r="C133" s="111">
        <v>2101606</v>
      </c>
      <c r="D133" s="14">
        <f>C133/$A$127</f>
        <v>2.1011893593643103E-3</v>
      </c>
      <c r="E133" s="7"/>
      <c r="F133" s="7">
        <v>5305883</v>
      </c>
      <c r="G133" s="14">
        <f>F133/$A$127</f>
        <v>5.3048311156477408E-3</v>
      </c>
      <c r="H133" s="111"/>
      <c r="I133" s="111">
        <v>4548285</v>
      </c>
      <c r="J133" s="14">
        <f>I133/$A$127</f>
        <v>4.5473833084585325E-3</v>
      </c>
      <c r="K133" s="7"/>
      <c r="L133" s="7">
        <v>13224506</v>
      </c>
      <c r="M133" s="14">
        <f>L133/$A$127</f>
        <v>1.3221884259014048E-2</v>
      </c>
      <c r="N133" s="7"/>
      <c r="O133" s="7">
        <v>2085748</v>
      </c>
      <c r="P133" s="14">
        <f>O133/$A$127</f>
        <v>2.0853345031920309E-3</v>
      </c>
      <c r="Q133" s="9"/>
      <c r="R133" s="111"/>
      <c r="S133" s="14">
        <f>R133/$A$127</f>
        <v>0</v>
      </c>
      <c r="T133" s="9"/>
    </row>
    <row r="134" spans="1:20" x14ac:dyDescent="0.25">
      <c r="A134" s="16" t="s">
        <v>44</v>
      </c>
      <c r="B134" s="10"/>
      <c r="C134" s="10"/>
      <c r="D134" s="14">
        <f t="shared" si="10"/>
        <v>0</v>
      </c>
      <c r="E134" s="10"/>
      <c r="F134" s="10"/>
      <c r="G134" s="14">
        <f t="shared" si="11"/>
        <v>0</v>
      </c>
      <c r="H134" s="10"/>
      <c r="I134" s="10"/>
      <c r="J134" s="14">
        <f t="shared" si="12"/>
        <v>0</v>
      </c>
      <c r="K134" s="10"/>
      <c r="L134" s="10"/>
      <c r="M134" s="14">
        <f t="shared" si="13"/>
        <v>0</v>
      </c>
      <c r="N134" s="10"/>
      <c r="O134" s="10"/>
      <c r="P134" s="14">
        <f t="shared" si="14"/>
        <v>0</v>
      </c>
      <c r="Q134" s="10"/>
      <c r="R134" s="10"/>
      <c r="S134" s="14">
        <f t="shared" si="15"/>
        <v>0</v>
      </c>
      <c r="T134" s="9"/>
    </row>
    <row r="135" spans="1:20" x14ac:dyDescent="0.25">
      <c r="A135" s="16" t="s">
        <v>45</v>
      </c>
      <c r="B135" s="146">
        <f>SUM(B128:B134)</f>
        <v>55137233.600000001</v>
      </c>
      <c r="C135" s="10">
        <f>SUM(C128:C134)</f>
        <v>2101606</v>
      </c>
      <c r="D135" s="30">
        <f>SUM(B135:C135)</f>
        <v>57238839.600000001</v>
      </c>
      <c r="E135" s="146">
        <f>SUM(E128:E134)</f>
        <v>196996637.78</v>
      </c>
      <c r="F135" s="10">
        <f>SUM(F128:F134)</f>
        <v>5305883</v>
      </c>
      <c r="G135" s="30">
        <f>SUM(E135:F135)</f>
        <v>202302520.78</v>
      </c>
      <c r="H135" s="146">
        <f>SUM(H128:H134)</f>
        <v>199849717</v>
      </c>
      <c r="I135" s="10">
        <f>SUM(I128:I134)</f>
        <v>4548285</v>
      </c>
      <c r="J135" s="30">
        <f>SUM(H135:I135)</f>
        <v>204398002</v>
      </c>
      <c r="K135" s="146">
        <f>SUM(K128:K134)</f>
        <v>237736448.54999998</v>
      </c>
      <c r="L135" s="10">
        <f>SUM(L128:L134)</f>
        <v>13224506</v>
      </c>
      <c r="M135" s="30">
        <f>SUM(K135:L135)</f>
        <v>250960954.54999998</v>
      </c>
      <c r="N135" s="146">
        <f>SUM(N128:N134)</f>
        <v>372263847</v>
      </c>
      <c r="O135" s="10">
        <f>SUM(O128:O134)</f>
        <v>2085748</v>
      </c>
      <c r="P135" s="30">
        <f>SUM(N135:O135)</f>
        <v>374349595</v>
      </c>
      <c r="Q135" s="146">
        <f>SUM(Q128:Q134)</f>
        <v>0</v>
      </c>
      <c r="R135" s="10">
        <f>SUM(R128:R134)</f>
        <v>0</v>
      </c>
      <c r="S135" s="30">
        <f>SUM(Q135:R135)</f>
        <v>0</v>
      </c>
      <c r="T135" s="11">
        <f>C135+B135+E135+F135+H135+I135+K135+L135+N135+O135+Q135+R135</f>
        <v>1089249911.9299998</v>
      </c>
    </row>
    <row r="136" spans="1:20" x14ac:dyDescent="0.25">
      <c r="A136" s="18" t="s">
        <v>48</v>
      </c>
      <c r="B136" s="14">
        <f>B135/$A$127</f>
        <v>5.5126302715687116E-2</v>
      </c>
      <c r="C136" s="14">
        <f>C135/$A$127</f>
        <v>2.1011893593643103E-3</v>
      </c>
      <c r="D136" s="31">
        <f>B136+C136</f>
        <v>5.7227492075051428E-2</v>
      </c>
      <c r="E136" s="14">
        <f>E135/$A$127</f>
        <v>0.19695758345469194</v>
      </c>
      <c r="F136" s="14">
        <f>F135/$A$127</f>
        <v>5.3048311156477408E-3</v>
      </c>
      <c r="G136" s="31">
        <f>E136+F136</f>
        <v>0.20226241457033969</v>
      </c>
      <c r="H136" s="14">
        <f>H135/$A$127</f>
        <v>0.19981009705547506</v>
      </c>
      <c r="I136" s="14">
        <f>I135/$A$127</f>
        <v>4.5473833084585325E-3</v>
      </c>
      <c r="J136" s="31">
        <f>H136+I136</f>
        <v>0.20435748036393359</v>
      </c>
      <c r="K136" s="14">
        <f>K135/$A$127</f>
        <v>0.23768931761058962</v>
      </c>
      <c r="L136" s="14">
        <f>L135/$A$127</f>
        <v>1.3221884259014048E-2</v>
      </c>
      <c r="M136" s="31">
        <f>K136+L136</f>
        <v>0.25091120186960364</v>
      </c>
      <c r="N136" s="14">
        <f>N135/$A$127</f>
        <v>0.37219004618012302</v>
      </c>
      <c r="O136" s="14">
        <f>O135/$A$127</f>
        <v>2.0853345031920309E-3</v>
      </c>
      <c r="P136" s="31">
        <f>N136+O136</f>
        <v>0.37427538068331506</v>
      </c>
      <c r="Q136" s="14">
        <f>Q135/$A$127</f>
        <v>0</v>
      </c>
      <c r="R136" s="14">
        <f>R135/$A$127</f>
        <v>0</v>
      </c>
      <c r="S136" s="31">
        <f>Q136+R136</f>
        <v>0</v>
      </c>
      <c r="T136" s="14">
        <f>SUM(D136+G136+J136+M136+P136+S136)</f>
        <v>1.0890339695622433</v>
      </c>
    </row>
    <row r="137" spans="1:20" x14ac:dyDescent="0.25">
      <c r="A137" s="16" t="s">
        <v>57</v>
      </c>
      <c r="D137" s="22">
        <f>AVERAGE(D131:D132)</f>
        <v>2.7563151357843554E-2</v>
      </c>
      <c r="G137" s="22">
        <f>AVERAGE(G128:G132)</f>
        <v>3.9391516690938391E-2</v>
      </c>
      <c r="J137" s="22">
        <f>AVERAGE(J128:J132)</f>
        <v>3.9962019411095014E-2</v>
      </c>
      <c r="M137" s="22">
        <f>AVERAGE(M128:M132)</f>
        <v>4.7537863522117925E-2</v>
      </c>
      <c r="P137" s="22">
        <f>AVERAGE(P128:P131)</f>
        <v>6.3155103100916321E-2</v>
      </c>
    </row>
    <row r="138" spans="1:20" ht="30.75" thickBot="1" x14ac:dyDescent="0.3">
      <c r="A138" s="37" t="s">
        <v>58</v>
      </c>
      <c r="B138" s="14">
        <f>(D133+G133+J133+M133+P133)/5</f>
        <v>5.452124509135332E-3</v>
      </c>
    </row>
    <row r="139" spans="1:20" ht="15.75" thickBot="1" x14ac:dyDescent="0.3">
      <c r="A139" s="89"/>
      <c r="B139" s="88"/>
      <c r="N139" s="8"/>
    </row>
    <row r="140" spans="1:20" x14ac:dyDescent="0.25">
      <c r="A140" s="37"/>
      <c r="B140" s="14"/>
    </row>
    <row r="144" spans="1:20" x14ac:dyDescent="0.25">
      <c r="A144" s="172">
        <v>43709</v>
      </c>
      <c r="B144" s="216" t="s">
        <v>32</v>
      </c>
      <c r="C144" s="216" t="s">
        <v>33</v>
      </c>
      <c r="D144" s="173" t="s">
        <v>49</v>
      </c>
      <c r="E144" s="216" t="s">
        <v>34</v>
      </c>
      <c r="F144" s="216" t="s">
        <v>35</v>
      </c>
      <c r="G144" s="173" t="s">
        <v>49</v>
      </c>
      <c r="H144" s="216" t="s">
        <v>36</v>
      </c>
      <c r="I144" s="216" t="s">
        <v>33</v>
      </c>
      <c r="J144" s="173" t="s">
        <v>49</v>
      </c>
      <c r="K144" s="216" t="s">
        <v>37</v>
      </c>
      <c r="L144" s="216" t="s">
        <v>33</v>
      </c>
      <c r="M144" s="173" t="s">
        <v>49</v>
      </c>
      <c r="N144" s="216" t="s">
        <v>46</v>
      </c>
      <c r="O144" s="216" t="s">
        <v>33</v>
      </c>
      <c r="P144" s="173" t="s">
        <v>49</v>
      </c>
      <c r="Q144" s="216" t="s">
        <v>54</v>
      </c>
      <c r="R144" s="216" t="s">
        <v>33</v>
      </c>
      <c r="S144" s="173" t="s">
        <v>49</v>
      </c>
      <c r="T144" s="206" t="s">
        <v>47</v>
      </c>
    </row>
    <row r="145" spans="1:20" x14ac:dyDescent="0.25">
      <c r="A145" s="93">
        <v>811075092</v>
      </c>
      <c r="B145" s="217"/>
      <c r="C145" s="217"/>
      <c r="D145" s="173" t="s">
        <v>50</v>
      </c>
      <c r="E145" s="217"/>
      <c r="F145" s="217"/>
      <c r="G145" s="173" t="s">
        <v>50</v>
      </c>
      <c r="H145" s="217"/>
      <c r="I145" s="217"/>
      <c r="J145" s="173" t="s">
        <v>50</v>
      </c>
      <c r="K145" s="217"/>
      <c r="L145" s="217"/>
      <c r="M145" s="173" t="s">
        <v>50</v>
      </c>
      <c r="N145" s="217"/>
      <c r="O145" s="217"/>
      <c r="P145" s="173" t="s">
        <v>50</v>
      </c>
      <c r="Q145" s="217"/>
      <c r="R145" s="217"/>
      <c r="S145" s="173" t="s">
        <v>50</v>
      </c>
      <c r="T145" s="207"/>
    </row>
    <row r="146" spans="1:20" x14ac:dyDescent="0.25">
      <c r="A146" s="16" t="s">
        <v>38</v>
      </c>
      <c r="B146" s="7">
        <v>17910126</v>
      </c>
      <c r="C146" s="10"/>
      <c r="D146" s="14">
        <f>B146/$A$145</f>
        <v>2.208195785649894E-2</v>
      </c>
      <c r="E146" s="7">
        <v>30219166</v>
      </c>
      <c r="F146" s="10"/>
      <c r="G146" s="14">
        <f>E146/$A$145</f>
        <v>3.7258160555126506E-2</v>
      </c>
      <c r="H146" s="111">
        <v>27649026</v>
      </c>
      <c r="I146" s="10"/>
      <c r="J146" s="14">
        <f>H146/$A$145</f>
        <v>3.4089354084122211E-2</v>
      </c>
      <c r="K146" s="7">
        <v>56822600.479999997</v>
      </c>
      <c r="L146" s="10"/>
      <c r="M146" s="14">
        <f>K146/$A$145</f>
        <v>7.0058371956514223E-2</v>
      </c>
      <c r="N146" s="111">
        <v>96175955</v>
      </c>
      <c r="O146" s="10"/>
      <c r="P146" s="14">
        <f>N146/$A$145</f>
        <v>0.11857836092937249</v>
      </c>
      <c r="Q146" s="111"/>
      <c r="R146" s="10"/>
      <c r="S146" s="14">
        <f>Q146/$A$145</f>
        <v>0</v>
      </c>
      <c r="T146" s="9"/>
    </row>
    <row r="147" spans="1:20" x14ac:dyDescent="0.25">
      <c r="A147" s="16" t="s">
        <v>39</v>
      </c>
      <c r="B147" s="7">
        <v>42837453</v>
      </c>
      <c r="C147" s="10"/>
      <c r="D147" s="14">
        <f t="shared" ref="D147:D152" si="16">B147/$A$145</f>
        <v>5.2815643609975385E-2</v>
      </c>
      <c r="E147" s="7">
        <v>68500230</v>
      </c>
      <c r="F147" s="10"/>
      <c r="G147" s="14">
        <f t="shared" ref="G147:G152" si="17">E147/$A$145</f>
        <v>8.4456088808112478E-2</v>
      </c>
      <c r="H147" s="111">
        <v>13065978</v>
      </c>
      <c r="I147" s="10"/>
      <c r="J147" s="14">
        <f t="shared" ref="J147:J152" si="18">H147/$A$145</f>
        <v>1.6109455374570914E-2</v>
      </c>
      <c r="K147" s="7">
        <v>36418222</v>
      </c>
      <c r="L147" s="10"/>
      <c r="M147" s="14">
        <f t="shared" ref="M147:M152" si="19">K147/$A$145</f>
        <v>4.4901171740088404E-2</v>
      </c>
      <c r="N147" s="111"/>
      <c r="O147" s="10"/>
      <c r="P147" s="14">
        <f t="shared" ref="P147:P152" si="20">N147/$A$145</f>
        <v>0</v>
      </c>
      <c r="Q147" s="111"/>
      <c r="R147" s="10"/>
      <c r="S147" s="14">
        <f t="shared" ref="S147:S152" si="21">Q147/$A$145</f>
        <v>0</v>
      </c>
      <c r="T147" s="9"/>
    </row>
    <row r="148" spans="1:20" x14ac:dyDescent="0.25">
      <c r="A148" s="16" t="s">
        <v>40</v>
      </c>
      <c r="B148" s="7">
        <v>55471865</v>
      </c>
      <c r="C148" s="10"/>
      <c r="D148" s="14">
        <f t="shared" si="16"/>
        <v>6.839300768466948E-2</v>
      </c>
      <c r="E148" s="7">
        <v>69644414</v>
      </c>
      <c r="F148" s="10"/>
      <c r="G148" s="14">
        <f t="shared" si="17"/>
        <v>8.5866789261480614E-2</v>
      </c>
      <c r="H148" s="111"/>
      <c r="I148" s="10"/>
      <c r="J148" s="14">
        <f t="shared" si="18"/>
        <v>0</v>
      </c>
      <c r="K148" s="7">
        <v>65025146</v>
      </c>
      <c r="L148" s="10"/>
      <c r="M148" s="14">
        <f t="shared" si="19"/>
        <v>8.017154840701235E-2</v>
      </c>
      <c r="N148" s="111"/>
      <c r="O148" s="10"/>
      <c r="P148" s="14">
        <f t="shared" si="20"/>
        <v>0</v>
      </c>
      <c r="Q148" s="111"/>
      <c r="R148" s="10"/>
      <c r="S148" s="14">
        <f t="shared" si="21"/>
        <v>0</v>
      </c>
      <c r="T148" s="9"/>
    </row>
    <row r="149" spans="1:20" x14ac:dyDescent="0.25">
      <c r="A149" s="16" t="s">
        <v>41</v>
      </c>
      <c r="B149" s="7">
        <v>51574320</v>
      </c>
      <c r="C149" s="10"/>
      <c r="D149" s="14">
        <f t="shared" si="16"/>
        <v>6.3587601824665579E-2</v>
      </c>
      <c r="E149" s="7">
        <v>41541452</v>
      </c>
      <c r="F149" s="10"/>
      <c r="G149" s="14">
        <f t="shared" si="17"/>
        <v>5.1217763200648254E-2</v>
      </c>
      <c r="H149" s="111"/>
      <c r="I149" s="10"/>
      <c r="J149" s="14">
        <f t="shared" si="18"/>
        <v>0</v>
      </c>
      <c r="K149" s="7">
        <v>54112048</v>
      </c>
      <c r="L149" s="10"/>
      <c r="M149" s="14">
        <f t="shared" si="19"/>
        <v>6.6716446521082412E-2</v>
      </c>
      <c r="N149" s="111"/>
      <c r="O149" s="10"/>
      <c r="P149" s="14">
        <f t="shared" si="20"/>
        <v>0</v>
      </c>
      <c r="Q149" s="111"/>
      <c r="R149" s="10"/>
      <c r="S149" s="14">
        <f t="shared" si="21"/>
        <v>0</v>
      </c>
      <c r="T149" s="9"/>
    </row>
    <row r="150" spans="1:20" x14ac:dyDescent="0.25">
      <c r="A150" s="16" t="s">
        <v>42</v>
      </c>
      <c r="B150" s="7">
        <v>39337699</v>
      </c>
      <c r="C150" s="10"/>
      <c r="D150" s="14">
        <f t="shared" si="16"/>
        <v>4.8500686789676437E-2</v>
      </c>
      <c r="E150" s="7">
        <v>53527343</v>
      </c>
      <c r="F150" s="10"/>
      <c r="G150" s="14">
        <f t="shared" si="17"/>
        <v>6.5995545329852148E-2</v>
      </c>
      <c r="H150" s="111"/>
      <c r="I150" s="10"/>
      <c r="J150" s="14">
        <f t="shared" si="18"/>
        <v>0</v>
      </c>
      <c r="K150" s="7">
        <v>56317232</v>
      </c>
      <c r="L150" s="10"/>
      <c r="M150" s="14">
        <f t="shared" si="19"/>
        <v>6.9435287256978173E-2</v>
      </c>
      <c r="N150" s="111"/>
      <c r="O150" s="10"/>
      <c r="P150" s="14">
        <f t="shared" si="20"/>
        <v>0</v>
      </c>
      <c r="Q150" s="111"/>
      <c r="R150" s="10"/>
      <c r="S150" s="14">
        <f t="shared" si="21"/>
        <v>0</v>
      </c>
      <c r="T150" s="9"/>
    </row>
    <row r="151" spans="1:20" x14ac:dyDescent="0.25">
      <c r="A151" s="16" t="s">
        <v>43</v>
      </c>
      <c r="B151" s="7"/>
      <c r="C151" s="7">
        <v>2723067</v>
      </c>
      <c r="D151" s="14">
        <f>C151/$A$145</f>
        <v>3.3573549808875156E-3</v>
      </c>
      <c r="E151" s="7"/>
      <c r="F151" s="7">
        <v>3950719</v>
      </c>
      <c r="G151" s="14">
        <f>F151/$A$145</f>
        <v>4.8709657576317235E-3</v>
      </c>
      <c r="H151" s="111"/>
      <c r="I151" s="111"/>
      <c r="J151" s="14">
        <f t="shared" si="18"/>
        <v>0</v>
      </c>
      <c r="K151" s="7"/>
      <c r="L151" s="7">
        <v>5252953</v>
      </c>
      <c r="M151" s="14">
        <f>L151/$A$145</f>
        <v>6.476531028769405E-3</v>
      </c>
      <c r="N151" s="111"/>
      <c r="O151" s="111"/>
      <c r="P151" s="14">
        <f t="shared" si="20"/>
        <v>0</v>
      </c>
      <c r="Q151" s="111"/>
      <c r="R151" s="111"/>
      <c r="S151" s="14">
        <f t="shared" si="21"/>
        <v>0</v>
      </c>
      <c r="T151" s="9"/>
    </row>
    <row r="152" spans="1:20" x14ac:dyDescent="0.25">
      <c r="A152" s="16" t="s">
        <v>44</v>
      </c>
      <c r="B152" s="10"/>
      <c r="C152" s="10"/>
      <c r="D152" s="14">
        <f t="shared" si="16"/>
        <v>0</v>
      </c>
      <c r="E152" s="10"/>
      <c r="F152" s="10"/>
      <c r="G152" s="14">
        <f t="shared" si="17"/>
        <v>0</v>
      </c>
      <c r="H152" s="10"/>
      <c r="I152" s="10"/>
      <c r="J152" s="14">
        <f t="shared" si="18"/>
        <v>0</v>
      </c>
      <c r="K152" s="10"/>
      <c r="L152" s="10"/>
      <c r="M152" s="14">
        <f t="shared" si="19"/>
        <v>0</v>
      </c>
      <c r="N152" s="10"/>
      <c r="O152" s="10"/>
      <c r="P152" s="14">
        <f t="shared" si="20"/>
        <v>0</v>
      </c>
      <c r="Q152" s="10"/>
      <c r="R152" s="10"/>
      <c r="S152" s="14">
        <f t="shared" si="21"/>
        <v>0</v>
      </c>
      <c r="T152" s="9"/>
    </row>
    <row r="153" spans="1:20" x14ac:dyDescent="0.25">
      <c r="A153" s="16" t="s">
        <v>45</v>
      </c>
      <c r="B153" s="146">
        <f>SUM(B146:B152)</f>
        <v>207131463</v>
      </c>
      <c r="C153" s="10">
        <f>SUM(C146:C152)</f>
        <v>2723067</v>
      </c>
      <c r="D153" s="147">
        <f>SUM(B153:C153)</f>
        <v>209854530</v>
      </c>
      <c r="E153" s="146">
        <f>SUM(E146:E152)</f>
        <v>263432605</v>
      </c>
      <c r="F153" s="10">
        <f>SUM(F146:F152)</f>
        <v>3950719</v>
      </c>
      <c r="G153" s="147">
        <f>SUM(E153:F153)</f>
        <v>267383324</v>
      </c>
      <c r="H153" s="146">
        <f>SUM(H146:H152)</f>
        <v>40715004</v>
      </c>
      <c r="I153" s="10">
        <f>SUM(I146:I152)</f>
        <v>0</v>
      </c>
      <c r="J153" s="147">
        <f>SUM(H153:I153)</f>
        <v>40715004</v>
      </c>
      <c r="K153" s="146">
        <f>SUM(K146:K152)</f>
        <v>268695248.48000002</v>
      </c>
      <c r="L153" s="10">
        <f>SUM(L146:L152)</f>
        <v>5252953</v>
      </c>
      <c r="M153" s="147">
        <f>SUM(K153:L153)</f>
        <v>273948201.48000002</v>
      </c>
      <c r="N153" s="146">
        <f>SUM(N146:N152)</f>
        <v>96175955</v>
      </c>
      <c r="O153" s="10">
        <f>SUM(O146:O152)</f>
        <v>0</v>
      </c>
      <c r="P153" s="147">
        <f>SUM(N153:O153)</f>
        <v>96175955</v>
      </c>
      <c r="Q153" s="146">
        <f>SUM(Q146:Q152)</f>
        <v>0</v>
      </c>
      <c r="R153" s="10">
        <f>SUM(R146:R152)</f>
        <v>0</v>
      </c>
      <c r="S153" s="147">
        <f>SUM(Q153:R153)</f>
        <v>0</v>
      </c>
      <c r="T153" s="11">
        <f>C153+B153+E153+F153+H153+I153+K153+L153+N153+O153+Q153+R153</f>
        <v>888077014.48000002</v>
      </c>
    </row>
    <row r="154" spans="1:20" x14ac:dyDescent="0.25">
      <c r="A154" s="18" t="s">
        <v>48</v>
      </c>
      <c r="B154" s="14">
        <f>B153/$A$145</f>
        <v>0.25537889776548583</v>
      </c>
      <c r="C154" s="14">
        <f>C153/$A$145</f>
        <v>3.3573549808875156E-3</v>
      </c>
      <c r="D154" s="31">
        <f>B154+C154</f>
        <v>0.25873625274637335</v>
      </c>
      <c r="E154" s="14">
        <f>E153/$A$145</f>
        <v>0.32479434715521999</v>
      </c>
      <c r="F154" s="14">
        <f>F153/$A$145</f>
        <v>4.8709657576317235E-3</v>
      </c>
      <c r="G154" s="31">
        <f>E154+F154</f>
        <v>0.32966531291285173</v>
      </c>
      <c r="H154" s="14">
        <f>H153/$A$145</f>
        <v>5.0198809458693129E-2</v>
      </c>
      <c r="I154" s="14">
        <f>I153/$A$145</f>
        <v>0</v>
      </c>
      <c r="J154" s="31">
        <f>H154+I154</f>
        <v>5.0198809458693129E-2</v>
      </c>
      <c r="K154" s="14">
        <f>K153/$A$145</f>
        <v>0.33128282588167562</v>
      </c>
      <c r="L154" s="14">
        <f>L153/$A$145</f>
        <v>6.476531028769405E-3</v>
      </c>
      <c r="M154" s="31">
        <f>K154+L154</f>
        <v>0.33775935691044501</v>
      </c>
      <c r="N154" s="14">
        <f>N153/$A$145</f>
        <v>0.11857836092937249</v>
      </c>
      <c r="O154" s="14">
        <f>O153/$A$145</f>
        <v>0</v>
      </c>
      <c r="P154" s="31">
        <f>N154+O154</f>
        <v>0.11857836092937249</v>
      </c>
      <c r="Q154" s="14">
        <f>Q153/$A$145</f>
        <v>0</v>
      </c>
      <c r="R154" s="14">
        <f>R153/$A$145</f>
        <v>0</v>
      </c>
      <c r="S154" s="31">
        <f>Q154+R154</f>
        <v>0</v>
      </c>
      <c r="T154" s="14">
        <f>SUM(D154+G154+J154+M154+P154+S154)</f>
        <v>1.0949380929577357</v>
      </c>
    </row>
    <row r="155" spans="1:20" x14ac:dyDescent="0.25">
      <c r="A155" s="16" t="s">
        <v>57</v>
      </c>
      <c r="D155" s="22">
        <f>AVERAGE(D146:D150)</f>
        <v>5.1075779553097167E-2</v>
      </c>
      <c r="G155" s="22">
        <f>AVERAGE(G146:G150)</f>
        <v>6.4958869431043995E-2</v>
      </c>
      <c r="J155" s="22">
        <f>AVERAGE(J146:J147)</f>
        <v>2.5099404729346561E-2</v>
      </c>
      <c r="M155" s="22">
        <f>AVERAGE(M146:M150)</f>
        <v>6.6256565176335117E-2</v>
      </c>
      <c r="P155" s="22">
        <f>AVERAGE(P146)</f>
        <v>0.11857836092937249</v>
      </c>
      <c r="S155" s="22">
        <f>AVERAGE(S146:S150)</f>
        <v>0</v>
      </c>
    </row>
    <row r="156" spans="1:20" ht="30.75" thickBot="1" x14ac:dyDescent="0.3">
      <c r="A156" s="37" t="s">
        <v>58</v>
      </c>
      <c r="B156" s="14">
        <f>(D151+G151+J151+M151)/4</f>
        <v>3.6762129418221609E-3</v>
      </c>
    </row>
    <row r="157" spans="1:20" ht="15.75" thickBot="1" x14ac:dyDescent="0.3">
      <c r="A157" s="89"/>
      <c r="B157" s="88"/>
      <c r="N157" s="8"/>
    </row>
    <row r="161" spans="1:20" x14ac:dyDescent="0.25">
      <c r="A161" s="172">
        <v>43739</v>
      </c>
    </row>
    <row r="162" spans="1:20" x14ac:dyDescent="0.25">
      <c r="A162" s="16">
        <v>2019</v>
      </c>
      <c r="B162" s="208" t="s">
        <v>32</v>
      </c>
      <c r="C162" s="208" t="s">
        <v>33</v>
      </c>
      <c r="D162" s="173" t="s">
        <v>49</v>
      </c>
      <c r="E162" s="208" t="s">
        <v>34</v>
      </c>
      <c r="F162" s="208" t="s">
        <v>35</v>
      </c>
      <c r="G162" s="173" t="s">
        <v>49</v>
      </c>
      <c r="H162" s="208" t="s">
        <v>36</v>
      </c>
      <c r="I162" s="208" t="s">
        <v>33</v>
      </c>
      <c r="J162" s="173" t="s">
        <v>49</v>
      </c>
      <c r="K162" s="208" t="s">
        <v>37</v>
      </c>
      <c r="L162" s="208" t="s">
        <v>33</v>
      </c>
      <c r="M162" s="173" t="s">
        <v>49</v>
      </c>
      <c r="N162" s="208" t="s">
        <v>46</v>
      </c>
      <c r="O162" s="208" t="s">
        <v>33</v>
      </c>
      <c r="P162" s="173" t="s">
        <v>49</v>
      </c>
      <c r="Q162" s="216" t="s">
        <v>54</v>
      </c>
      <c r="R162" s="216" t="s">
        <v>33</v>
      </c>
      <c r="S162" s="173" t="s">
        <v>49</v>
      </c>
      <c r="T162" s="206" t="s">
        <v>47</v>
      </c>
    </row>
    <row r="163" spans="1:20" x14ac:dyDescent="0.25">
      <c r="A163" s="93">
        <v>1189280738</v>
      </c>
      <c r="B163" s="208"/>
      <c r="C163" s="208"/>
      <c r="D163" s="173" t="s">
        <v>50</v>
      </c>
      <c r="E163" s="208"/>
      <c r="F163" s="208"/>
      <c r="G163" s="173" t="s">
        <v>50</v>
      </c>
      <c r="H163" s="208"/>
      <c r="I163" s="208"/>
      <c r="J163" s="173" t="s">
        <v>50</v>
      </c>
      <c r="K163" s="208"/>
      <c r="L163" s="208"/>
      <c r="M163" s="173" t="s">
        <v>50</v>
      </c>
      <c r="N163" s="208"/>
      <c r="O163" s="208"/>
      <c r="P163" s="173" t="s">
        <v>50</v>
      </c>
      <c r="Q163" s="217"/>
      <c r="R163" s="217"/>
      <c r="S163" s="173" t="s">
        <v>50</v>
      </c>
      <c r="T163" s="207"/>
    </row>
    <row r="164" spans="1:20" x14ac:dyDescent="0.25">
      <c r="A164" s="16" t="s">
        <v>38</v>
      </c>
      <c r="B164" s="10"/>
      <c r="C164" s="10"/>
      <c r="D164" s="14">
        <f>B164/$A$163</f>
        <v>0</v>
      </c>
      <c r="E164" s="10">
        <v>27393983</v>
      </c>
      <c r="F164" s="10"/>
      <c r="G164" s="14">
        <f>E164/$A$163</f>
        <v>2.3034076080361104E-2</v>
      </c>
      <c r="H164" s="10">
        <v>56539305</v>
      </c>
      <c r="I164" s="10"/>
      <c r="J164" s="14">
        <f>H164/$A$163</f>
        <v>4.7540755679841847E-2</v>
      </c>
      <c r="K164" s="10">
        <v>22479666</v>
      </c>
      <c r="L164" s="10"/>
      <c r="M164" s="14">
        <f>K164/$A$163</f>
        <v>1.890190035180743E-2</v>
      </c>
      <c r="N164" s="3">
        <v>38484405</v>
      </c>
      <c r="O164" s="10"/>
      <c r="P164" s="14">
        <f>N164/$A$163</f>
        <v>3.2359394859718983E-2</v>
      </c>
      <c r="Q164" s="10"/>
      <c r="R164" s="10"/>
      <c r="S164" s="14">
        <f>Q164/$A$163</f>
        <v>0</v>
      </c>
      <c r="T164" s="9"/>
    </row>
    <row r="165" spans="1:20" x14ac:dyDescent="0.25">
      <c r="A165" s="16" t="s">
        <v>39</v>
      </c>
      <c r="B165" s="10">
        <v>17181285</v>
      </c>
      <c r="C165" s="10"/>
      <c r="D165" s="14">
        <f t="shared" ref="D165:D170" si="22">B165/$A$163</f>
        <v>1.4446786575298926E-2</v>
      </c>
      <c r="E165" s="10">
        <v>57584507</v>
      </c>
      <c r="F165" s="10"/>
      <c r="G165" s="14">
        <f t="shared" ref="G165:G170" si="23">E165/$A$163</f>
        <v>4.8419607885720251E-2</v>
      </c>
      <c r="H165" s="10">
        <v>62483572.600000001</v>
      </c>
      <c r="I165" s="10"/>
      <c r="J165" s="14">
        <f t="shared" ref="J165:J170" si="24">H165/$A$163</f>
        <v>5.2538959560614697E-2</v>
      </c>
      <c r="K165" s="10">
        <v>33863850</v>
      </c>
      <c r="L165" s="10"/>
      <c r="M165" s="14">
        <f t="shared" ref="M165:M170" si="25">K165/$A$163</f>
        <v>2.8474227251799652E-2</v>
      </c>
      <c r="N165" s="10">
        <v>60826587</v>
      </c>
      <c r="O165" s="10"/>
      <c r="P165" s="14">
        <f t="shared" ref="P165:P170" si="26">N165/$A$163</f>
        <v>5.1145692565652233E-2</v>
      </c>
      <c r="Q165" s="10"/>
      <c r="R165" s="10"/>
      <c r="S165" s="14">
        <f t="shared" ref="S165:S170" si="27">Q165/$A$163</f>
        <v>0</v>
      </c>
      <c r="T165" s="9"/>
    </row>
    <row r="166" spans="1:20" x14ac:dyDescent="0.25">
      <c r="A166" s="16" t="s">
        <v>40</v>
      </c>
      <c r="B166" s="10">
        <v>49492470</v>
      </c>
      <c r="C166" s="10"/>
      <c r="D166" s="14">
        <f t="shared" si="22"/>
        <v>4.1615464220189864E-2</v>
      </c>
      <c r="E166" s="10">
        <v>56881270</v>
      </c>
      <c r="F166" s="10"/>
      <c r="G166" s="14">
        <f t="shared" si="23"/>
        <v>4.782829502112057E-2</v>
      </c>
      <c r="H166" s="10">
        <v>55916198</v>
      </c>
      <c r="I166" s="10"/>
      <c r="J166" s="14">
        <f t="shared" si="24"/>
        <v>4.7016819673741321E-2</v>
      </c>
      <c r="K166" s="10">
        <v>45124370.880000003</v>
      </c>
      <c r="L166" s="10"/>
      <c r="M166" s="14">
        <f t="shared" si="25"/>
        <v>3.7942572714904262E-2</v>
      </c>
      <c r="N166" s="10">
        <v>101586568</v>
      </c>
      <c r="O166" s="10"/>
      <c r="P166" s="14">
        <f t="shared" si="26"/>
        <v>8.5418492668801638E-2</v>
      </c>
      <c r="Q166" s="10"/>
      <c r="R166" s="10"/>
      <c r="S166" s="14">
        <f t="shared" si="27"/>
        <v>0</v>
      </c>
      <c r="T166" s="9"/>
    </row>
    <row r="167" spans="1:20" x14ac:dyDescent="0.25">
      <c r="A167" s="16" t="s">
        <v>41</v>
      </c>
      <c r="B167" s="10">
        <v>42588503</v>
      </c>
      <c r="C167" s="10"/>
      <c r="D167" s="14">
        <f t="shared" si="22"/>
        <v>3.5810302512441765E-2</v>
      </c>
      <c r="E167" s="10">
        <v>52265575</v>
      </c>
      <c r="F167" s="10"/>
      <c r="G167" s="14">
        <f t="shared" si="23"/>
        <v>4.3947213916786736E-2</v>
      </c>
      <c r="H167" s="10">
        <v>44772199</v>
      </c>
      <c r="I167" s="10"/>
      <c r="J167" s="14">
        <f t="shared" si="24"/>
        <v>3.7646450976152948E-2</v>
      </c>
      <c r="K167" s="10">
        <v>47009732</v>
      </c>
      <c r="L167" s="10"/>
      <c r="M167" s="14">
        <f t="shared" si="25"/>
        <v>3.9527867977628001E-2</v>
      </c>
      <c r="N167" s="10"/>
      <c r="O167" s="10"/>
      <c r="P167" s="14">
        <f t="shared" si="26"/>
        <v>0</v>
      </c>
      <c r="Q167" s="10"/>
      <c r="R167" s="10"/>
      <c r="S167" s="14">
        <f t="shared" si="27"/>
        <v>0</v>
      </c>
      <c r="T167" s="9"/>
    </row>
    <row r="168" spans="1:20" x14ac:dyDescent="0.25">
      <c r="A168" s="16" t="s">
        <v>42</v>
      </c>
      <c r="B168" s="10">
        <v>52775835</v>
      </c>
      <c r="C168" s="10"/>
      <c r="D168" s="14">
        <f t="shared" si="22"/>
        <v>4.4376263159489594E-2</v>
      </c>
      <c r="E168" s="10">
        <v>40501950</v>
      </c>
      <c r="F168" s="10"/>
      <c r="G168" s="14">
        <f t="shared" si="23"/>
        <v>3.4055836192312061E-2</v>
      </c>
      <c r="H168" s="10">
        <v>44687767</v>
      </c>
      <c r="I168" s="10"/>
      <c r="J168" s="14">
        <f t="shared" si="24"/>
        <v>3.7575456805220703E-2</v>
      </c>
      <c r="K168" s="10">
        <v>47678243</v>
      </c>
      <c r="L168" s="10"/>
      <c r="M168" s="14">
        <f t="shared" si="25"/>
        <v>4.008998168101164E-2</v>
      </c>
      <c r="N168" s="10"/>
      <c r="O168" s="10"/>
      <c r="P168" s="14">
        <f t="shared" si="26"/>
        <v>0</v>
      </c>
      <c r="Q168" s="10"/>
      <c r="R168" s="10"/>
      <c r="S168" s="14">
        <f t="shared" si="27"/>
        <v>0</v>
      </c>
      <c r="T168" s="9"/>
    </row>
    <row r="169" spans="1:20" x14ac:dyDescent="0.25">
      <c r="A169" s="16" t="s">
        <v>43</v>
      </c>
      <c r="B169" s="10"/>
      <c r="C169" s="10">
        <v>5400472</v>
      </c>
      <c r="D169" s="14">
        <f>C169/$A$163</f>
        <v>4.5409564179790824E-3</v>
      </c>
      <c r="E169" s="10"/>
      <c r="F169" s="10">
        <v>8085332</v>
      </c>
      <c r="G169" s="14">
        <f>F169/$A$163</f>
        <v>6.7985058041022438E-3</v>
      </c>
      <c r="H169" s="10"/>
      <c r="I169" s="10">
        <v>5625065</v>
      </c>
      <c r="J169" s="14">
        <f>I169/$A$163</f>
        <v>4.7298041751349714E-3</v>
      </c>
      <c r="K169" s="10"/>
      <c r="L169" s="10">
        <v>7419905</v>
      </c>
      <c r="M169" s="14">
        <f>L169/$A$163</f>
        <v>6.2389852647222474E-3</v>
      </c>
      <c r="N169" s="10"/>
      <c r="O169" s="10"/>
      <c r="P169" s="14">
        <f t="shared" si="26"/>
        <v>0</v>
      </c>
      <c r="Q169" s="10"/>
      <c r="R169" s="10"/>
      <c r="S169" s="14">
        <f t="shared" si="27"/>
        <v>0</v>
      </c>
      <c r="T169" s="9"/>
    </row>
    <row r="170" spans="1:20" x14ac:dyDescent="0.25">
      <c r="A170" s="16" t="s">
        <v>44</v>
      </c>
      <c r="B170" s="10"/>
      <c r="C170" s="10"/>
      <c r="D170" s="14">
        <f t="shared" si="22"/>
        <v>0</v>
      </c>
      <c r="E170" s="10"/>
      <c r="F170" s="10"/>
      <c r="G170" s="14">
        <f t="shared" si="23"/>
        <v>0</v>
      </c>
      <c r="H170" s="10"/>
      <c r="I170" s="10"/>
      <c r="J170" s="14">
        <f t="shared" si="24"/>
        <v>0</v>
      </c>
      <c r="K170" s="10"/>
      <c r="L170" s="10"/>
      <c r="M170" s="14">
        <f t="shared" si="25"/>
        <v>0</v>
      </c>
      <c r="N170" s="10"/>
      <c r="O170" s="10"/>
      <c r="P170" s="14">
        <f t="shared" si="26"/>
        <v>0</v>
      </c>
      <c r="Q170" s="10"/>
      <c r="R170" s="10"/>
      <c r="S170" s="14">
        <f t="shared" si="27"/>
        <v>0</v>
      </c>
      <c r="T170" s="9"/>
    </row>
    <row r="171" spans="1:20" x14ac:dyDescent="0.25">
      <c r="A171" s="16" t="s">
        <v>45</v>
      </c>
      <c r="B171" s="10">
        <f>SUM(B164:B170)</f>
        <v>162038093</v>
      </c>
      <c r="C171" s="10">
        <f>SUM(C164:C170)</f>
        <v>5400472</v>
      </c>
      <c r="D171" s="198">
        <f>SUM(B171:C171)</f>
        <v>167438565</v>
      </c>
      <c r="E171" s="10">
        <f>SUM(E164:E170)</f>
        <v>234627285</v>
      </c>
      <c r="F171" s="10">
        <f>SUM(F164:F170)</f>
        <v>8085332</v>
      </c>
      <c r="G171" s="198">
        <f>SUM(E171:F171)</f>
        <v>242712617</v>
      </c>
      <c r="H171" s="10">
        <f>SUM(H164:H170)</f>
        <v>264399041.59999999</v>
      </c>
      <c r="I171" s="10">
        <f>SUM(I164:I170)</f>
        <v>5625065</v>
      </c>
      <c r="J171" s="198">
        <f>SUM(H171:I171)</f>
        <v>270024106.60000002</v>
      </c>
      <c r="K171" s="10">
        <f>SUM(K164:K170)</f>
        <v>196155861.88</v>
      </c>
      <c r="L171" s="10">
        <f>SUM(L164:L170)</f>
        <v>7419905</v>
      </c>
      <c r="M171" s="198">
        <f>SUM(K171:L171)</f>
        <v>203575766.88</v>
      </c>
      <c r="N171" s="10">
        <f>SUM(N164:N170)</f>
        <v>200897560</v>
      </c>
      <c r="O171" s="10">
        <f>SUM(O164:O170)</f>
        <v>0</v>
      </c>
      <c r="P171" s="198">
        <f>SUM(N171:O171)</f>
        <v>200897560</v>
      </c>
      <c r="Q171" s="10">
        <f>SUM(Q164:Q170)</f>
        <v>0</v>
      </c>
      <c r="R171" s="10">
        <f>SUM(R164:R170)</f>
        <v>0</v>
      </c>
      <c r="S171" s="198">
        <f>SUM(Q171:R171)</f>
        <v>0</v>
      </c>
      <c r="T171" s="11">
        <f>C171+B171+E171+F171+H171+I171+K171+L171+N171+O171+Q171+R171</f>
        <v>1084648615.48</v>
      </c>
    </row>
    <row r="172" spans="1:20" x14ac:dyDescent="0.25">
      <c r="A172" s="18" t="s">
        <v>48</v>
      </c>
      <c r="B172" s="14">
        <f>B171/$A$163</f>
        <v>0.13624881646742015</v>
      </c>
      <c r="C172" s="14">
        <f>C171/$A$163</f>
        <v>4.5409564179790824E-3</v>
      </c>
      <c r="D172" s="199">
        <f>B172+C172</f>
        <v>0.14078977288539923</v>
      </c>
      <c r="E172" s="14">
        <f>E171/$A$163</f>
        <v>0.19728502909630072</v>
      </c>
      <c r="F172" s="14">
        <f>F171/$A$163</f>
        <v>6.7985058041022438E-3</v>
      </c>
      <c r="G172" s="199">
        <f>E172+F172</f>
        <v>0.20408353490040296</v>
      </c>
      <c r="H172" s="14">
        <f>H171/$A$163</f>
        <v>0.22231844269557152</v>
      </c>
      <c r="I172" s="14">
        <f>I171/$A$163</f>
        <v>4.7298041751349714E-3</v>
      </c>
      <c r="J172" s="199">
        <f>H172+I172</f>
        <v>0.22704824687070649</v>
      </c>
      <c r="K172" s="14">
        <f>K171/$A$163</f>
        <v>0.16493654997715099</v>
      </c>
      <c r="L172" s="14">
        <f>L171/$A$163</f>
        <v>6.2389852647222474E-3</v>
      </c>
      <c r="M172" s="199">
        <f>K172+L172</f>
        <v>0.17117553524187323</v>
      </c>
      <c r="N172" s="14">
        <f>N171/$A$163</f>
        <v>0.16892358009417285</v>
      </c>
      <c r="O172" s="14">
        <f>O171/$A$163</f>
        <v>0</v>
      </c>
      <c r="P172" s="199">
        <f>N172+O172</f>
        <v>0.16892358009417285</v>
      </c>
      <c r="Q172" s="14">
        <f>Q171/$A$163</f>
        <v>0</v>
      </c>
      <c r="R172" s="14">
        <f>R171/$A$163</f>
        <v>0</v>
      </c>
      <c r="S172" s="199">
        <f>Q172+R172</f>
        <v>0</v>
      </c>
      <c r="T172" s="14">
        <f>SUM(D172+G172+J172+M172+P172+S172)</f>
        <v>0.91202066999255471</v>
      </c>
    </row>
    <row r="173" spans="1:20" x14ac:dyDescent="0.25">
      <c r="A173" s="16" t="s">
        <v>57</v>
      </c>
      <c r="D173" s="22">
        <f>AVERAGE(D165:D168)</f>
        <v>3.4062204116855038E-2</v>
      </c>
      <c r="G173" s="22">
        <f>AVERAGE(G164:G168)</f>
        <v>3.9457005819260142E-2</v>
      </c>
      <c r="J173" s="22">
        <f>AVERAGE(J164:J168)</f>
        <v>4.4463688539114303E-2</v>
      </c>
      <c r="M173" s="22">
        <f>AVERAGE(M164:M168)</f>
        <v>3.2987309995430196E-2</v>
      </c>
      <c r="P173" s="22">
        <f>AVERAGE(P164:P165)</f>
        <v>4.1752543712685608E-2</v>
      </c>
      <c r="S173" s="22">
        <f>AVERAGE(S164:S168)</f>
        <v>0</v>
      </c>
    </row>
    <row r="174" spans="1:20" ht="30.75" thickBot="1" x14ac:dyDescent="0.3">
      <c r="A174" s="37" t="s">
        <v>58</v>
      </c>
      <c r="B174" s="14">
        <f>(D169+G169+J169+M169)/4</f>
        <v>5.5770629154846367E-3</v>
      </c>
    </row>
    <row r="175" spans="1:20" ht="30.75" thickBot="1" x14ac:dyDescent="0.3">
      <c r="A175" s="89" t="s">
        <v>59</v>
      </c>
      <c r="B175" s="88">
        <f>(P168+P150)/2</f>
        <v>0</v>
      </c>
      <c r="N175" s="8"/>
    </row>
  </sheetData>
  <mergeCells count="71">
    <mergeCell ref="O74:O75"/>
    <mergeCell ref="A14:A15"/>
    <mergeCell ref="A27:B27"/>
    <mergeCell ref="B74:B75"/>
    <mergeCell ref="C74:C75"/>
    <mergeCell ref="E74:E75"/>
    <mergeCell ref="F74:F75"/>
    <mergeCell ref="T91:T92"/>
    <mergeCell ref="Q74:Q75"/>
    <mergeCell ref="R74:R75"/>
    <mergeCell ref="T74:T75"/>
    <mergeCell ref="B91:B92"/>
    <mergeCell ref="C91:C92"/>
    <mergeCell ref="E91:E92"/>
    <mergeCell ref="F91:F92"/>
    <mergeCell ref="H91:H92"/>
    <mergeCell ref="I91:I92"/>
    <mergeCell ref="K91:K92"/>
    <mergeCell ref="H74:H75"/>
    <mergeCell ref="I74:I75"/>
    <mergeCell ref="K74:K75"/>
    <mergeCell ref="L74:L75"/>
    <mergeCell ref="N74:N75"/>
    <mergeCell ref="L91:L92"/>
    <mergeCell ref="N91:N92"/>
    <mergeCell ref="O91:O92"/>
    <mergeCell ref="Q91:Q92"/>
    <mergeCell ref="R91:R92"/>
    <mergeCell ref="O111:O112"/>
    <mergeCell ref="Q111:Q112"/>
    <mergeCell ref="R111:R112"/>
    <mergeCell ref="T111:T112"/>
    <mergeCell ref="B126:B127"/>
    <mergeCell ref="C126:C127"/>
    <mergeCell ref="E126:E127"/>
    <mergeCell ref="F126:F127"/>
    <mergeCell ref="H126:H127"/>
    <mergeCell ref="I126:I127"/>
    <mergeCell ref="T126:T127"/>
    <mergeCell ref="B144:B145"/>
    <mergeCell ref="C144:C145"/>
    <mergeCell ref="E144:E145"/>
    <mergeCell ref="F144:F145"/>
    <mergeCell ref="H144:H145"/>
    <mergeCell ref="I144:I145"/>
    <mergeCell ref="K144:K145"/>
    <mergeCell ref="L144:L145"/>
    <mergeCell ref="N144:N145"/>
    <mergeCell ref="K126:K127"/>
    <mergeCell ref="L126:L127"/>
    <mergeCell ref="N126:N127"/>
    <mergeCell ref="O126:O127"/>
    <mergeCell ref="Q126:Q127"/>
    <mergeCell ref="R126:R127"/>
    <mergeCell ref="O144:O145"/>
    <mergeCell ref="Q144:Q145"/>
    <mergeCell ref="R144:R145"/>
    <mergeCell ref="T144:T145"/>
    <mergeCell ref="B162:B163"/>
    <mergeCell ref="C162:C163"/>
    <mergeCell ref="E162:E163"/>
    <mergeCell ref="F162:F163"/>
    <mergeCell ref="H162:H163"/>
    <mergeCell ref="I162:I163"/>
    <mergeCell ref="T162:T163"/>
    <mergeCell ref="K162:K163"/>
    <mergeCell ref="L162:L163"/>
    <mergeCell ref="N162:N163"/>
    <mergeCell ref="O162:O163"/>
    <mergeCell ref="Q162:Q163"/>
    <mergeCell ref="R162:R163"/>
  </mergeCells>
  <conditionalFormatting sqref="I23">
    <cfRule type="cellIs" dxfId="46" priority="7" operator="lessThan">
      <formula>1</formula>
    </cfRule>
    <cfRule type="cellIs" dxfId="45" priority="8" operator="greaterThan">
      <formula>1</formula>
    </cfRule>
    <cfRule type="cellIs" dxfId="44" priority="9" operator="greaterThan">
      <formula>$E$4</formula>
    </cfRule>
    <cfRule type="cellIs" dxfId="43" priority="10" operator="lessThan">
      <formula>$E$4</formula>
    </cfRule>
  </conditionalFormatting>
  <conditionalFormatting sqref="J23">
    <cfRule type="cellIs" dxfId="42" priority="5" operator="lessThan">
      <formula>0</formula>
    </cfRule>
    <cfRule type="cellIs" dxfId="41" priority="6" operator="greaterThan">
      <formula>0</formula>
    </cfRule>
  </conditionalFormatting>
  <conditionalFormatting sqref="H21:H22">
    <cfRule type="cellIs" dxfId="40" priority="11" operator="lessThan">
      <formula>$G$22</formula>
    </cfRule>
    <cfRule type="cellIs" dxfId="39" priority="12" operator="greaterThan">
      <formula>$G$22</formula>
    </cfRule>
  </conditionalFormatting>
  <conditionalFormatting sqref="H23">
    <cfRule type="cellIs" dxfId="38" priority="13" operator="lessThan">
      <formula>$G$23</formula>
    </cfRule>
    <cfRule type="cellIs" dxfId="37" priority="14" operator="greaterThan">
      <formula>$G$23</formula>
    </cfRule>
  </conditionalFormatting>
  <conditionalFormatting sqref="H17:H18">
    <cfRule type="cellIs" dxfId="36" priority="1" operator="lessThan">
      <formula>$G$19</formula>
    </cfRule>
    <cfRule type="cellIs" dxfId="35" priority="2" operator="greaterThan">
      <formula>$G$19</formula>
    </cfRule>
  </conditionalFormatting>
  <conditionalFormatting sqref="H20">
    <cfRule type="cellIs" dxfId="34" priority="3" operator="lessThan">
      <formula>$G$21</formula>
    </cfRule>
    <cfRule type="cellIs" dxfId="33" priority="4" operator="greaterThan">
      <formula>$G$21</formula>
    </cfRule>
  </conditionalFormatting>
  <conditionalFormatting sqref="H19">
    <cfRule type="cellIs" dxfId="32" priority="15" operator="lessThan">
      <formula>#REF!</formula>
    </cfRule>
    <cfRule type="cellIs" dxfId="31" priority="16" operator="greaterThan">
      <formula>#REF!</formula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Octubre Ventas</vt:lpstr>
      <vt:lpstr>octubre margen</vt:lpstr>
      <vt:lpstr>BD octubre margen</vt:lpstr>
      <vt:lpstr>BD octubre</vt:lpstr>
      <vt:lpstr>Hoja8</vt:lpstr>
      <vt:lpstr>Hoja6</vt:lpstr>
      <vt:lpstr>Noviembre Ventas</vt:lpstr>
      <vt:lpstr>Noviembre margen</vt:lpstr>
      <vt:lpstr>Diciembre ventas</vt:lpstr>
      <vt:lpstr>Diciembre Margen</vt:lpstr>
      <vt:lpstr>BD Diciembre</vt:lpstr>
      <vt:lpstr>Bd Noviembre Margen</vt:lpstr>
      <vt:lpstr>BD 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Sanchez Garcia</dc:creator>
  <cp:lastModifiedBy>Claudia Bobadilla Pesce</cp:lastModifiedBy>
  <dcterms:created xsi:type="dcterms:W3CDTF">2019-10-25T13:18:56Z</dcterms:created>
  <dcterms:modified xsi:type="dcterms:W3CDTF">2019-11-04T20:42:14Z</dcterms:modified>
</cp:coreProperties>
</file>