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eg_eva/benchmark/src/main/resources/benchmark-manual/storage/"/>
    </mc:Choice>
  </mc:AlternateContent>
  <xr:revisionPtr revIDLastSave="0" documentId="13_ncr:1_{A9514217-CA3C-B648-83E9-8E2E7A7A1BE9}" xr6:coauthVersionLast="47" xr6:coauthVersionMax="47" xr10:uidLastSave="{00000000-0000-0000-0000-000000000000}"/>
  <bookViews>
    <workbookView xWindow="400" yWindow="1080" windowWidth="47620" windowHeight="25380" xr2:uid="{2EB44E58-37C8-E54A-83A8-FC55987EA7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5" i="1" s="1"/>
  <c r="K9" i="1"/>
  <c r="J10" i="1"/>
  <c r="I10" i="1"/>
  <c r="I15" i="1" s="1"/>
  <c r="J9" i="1"/>
  <c r="I9" i="1"/>
  <c r="N10" i="1"/>
  <c r="O10" i="1"/>
  <c r="P10" i="1"/>
  <c r="Q10" i="1"/>
  <c r="N9" i="1"/>
  <c r="P9" i="1"/>
  <c r="Q9" i="1"/>
  <c r="O9" i="1"/>
  <c r="C9" i="1"/>
  <c r="B11" i="1"/>
  <c r="B12" i="1"/>
  <c r="B13" i="1"/>
  <c r="B14" i="1"/>
  <c r="C11" i="1"/>
  <c r="C12" i="1"/>
  <c r="C13" i="1"/>
  <c r="C14" i="1"/>
  <c r="D9" i="1"/>
  <c r="E9" i="1"/>
  <c r="G9" i="1"/>
  <c r="H9" i="1"/>
  <c r="L9" i="1"/>
  <c r="M9" i="1"/>
  <c r="F9" i="1"/>
  <c r="F11" i="1"/>
  <c r="F12" i="1"/>
  <c r="F13" i="1"/>
  <c r="F14" i="1"/>
  <c r="E11" i="1"/>
  <c r="E12" i="1"/>
  <c r="E13" i="1"/>
  <c r="E14" i="1"/>
  <c r="D11" i="1"/>
  <c r="D12" i="1"/>
  <c r="D13" i="1"/>
  <c r="D14" i="1"/>
  <c r="M11" i="1"/>
  <c r="M12" i="1"/>
  <c r="M13" i="1"/>
  <c r="M14" i="1"/>
  <c r="H11" i="1"/>
  <c r="H12" i="1"/>
  <c r="H13" i="1"/>
  <c r="H14" i="1"/>
  <c r="L11" i="1"/>
  <c r="L12" i="1"/>
  <c r="L13" i="1"/>
  <c r="L14" i="1"/>
  <c r="G11" i="1"/>
  <c r="G12" i="1"/>
  <c r="G13" i="1"/>
  <c r="G14" i="1"/>
  <c r="J15" i="1" l="1"/>
  <c r="B10" i="1"/>
  <c r="B15" i="1" s="1"/>
  <c r="D10" i="1"/>
  <c r="D15" i="1" s="1"/>
  <c r="H10" i="1"/>
  <c r="H15" i="1" s="1"/>
  <c r="Q15" i="1"/>
  <c r="E10" i="1"/>
  <c r="E15" i="1" s="1"/>
  <c r="P15" i="1"/>
  <c r="C10" i="1"/>
  <c r="C15" i="1" s="1"/>
  <c r="O15" i="1"/>
  <c r="G10" i="1"/>
  <c r="G15" i="1" s="1"/>
  <c r="M10" i="1"/>
  <c r="M15" i="1" s="1"/>
  <c r="F10" i="1"/>
  <c r="F15" i="1" s="1"/>
  <c r="N15" i="1"/>
  <c r="L10" i="1"/>
  <c r="L15" i="1" s="1"/>
</calcChain>
</file>

<file path=xl/sharedStrings.xml><?xml version="1.0" encoding="utf-8"?>
<sst xmlns="http://schemas.openxmlformats.org/spreadsheetml/2006/main" count="134" uniqueCount="53">
  <si>
    <t>Host</t>
  </si>
  <si>
    <t>macmini-eva</t>
  </si>
  <si>
    <t>Write (MB/s)</t>
  </si>
  <si>
    <t>Re-Write (MB/s)</t>
  </si>
  <si>
    <t>Read (MB/s)</t>
  </si>
  <si>
    <t>Re-Read (MB/s)</t>
  </si>
  <si>
    <t>File System</t>
  </si>
  <si>
    <t>Interconnect</t>
  </si>
  <si>
    <t>GbE</t>
  </si>
  <si>
    <t>NVMe</t>
  </si>
  <si>
    <t>SATA</t>
  </si>
  <si>
    <t>EXT4</t>
  </si>
  <si>
    <t>SMB3</t>
  </si>
  <si>
    <t>SSD</t>
  </si>
  <si>
    <t>Drive Type</t>
  </si>
  <si>
    <t>Thunderbolt 2</t>
  </si>
  <si>
    <t>HDD</t>
  </si>
  <si>
    <t>exFAT</t>
  </si>
  <si>
    <t>Protocol</t>
  </si>
  <si>
    <t>USB 3</t>
  </si>
  <si>
    <t>cd /share/2/tmp
iozone -i 0 -i 1 -s 10G -r 10M -e -I -R | grep ^\"10485760 | sed 's/"//g' | sed 's/10485760   /=/g' | sed 's/ /\/1000/g'
cd /tmp</t>
  </si>
  <si>
    <t>cd /share/3/tmp
iozone -i 0 -i 1 -s 10G -r 10M -e -I -R | grep ^\"10485760 | sed 's/"//g' | sed 's/10485760   /=/g' | sed 's/ /\/1000/g'
cd /tmp</t>
  </si>
  <si>
    <t>cd /share/5/tmp
iozone -i 0 -i 1 -s 10G -r 10M -e -I -R | grep ^\"10485760 | sed 's/"//g' | sed 's/10485760   /=/g' | sed 's/ /\/1000/g'
cd /tmp</t>
  </si>
  <si>
    <t>Max (MB/s)</t>
  </si>
  <si>
    <t>SATA III</t>
  </si>
  <si>
    <t>Saturation</t>
  </si>
  <si>
    <t>macmini-zoe</t>
  </si>
  <si>
    <t>macbook-rae</t>
  </si>
  <si>
    <t>PCIe 2x2</t>
  </si>
  <si>
    <t>PCIe 3x4</t>
  </si>
  <si>
    <t>M1</t>
  </si>
  <si>
    <t>APFS</t>
  </si>
  <si>
    <t>cd /tmp
iozone -i 0 -i 1 -s 10G -r 10M -e -I -R | grep ^\"10485760 | sed 's/"//g' | sed 's/10485760   /=/g' | sed 's/ /\/1000/g'
cd /tmp</t>
  </si>
  <si>
    <t>ZFS</t>
  </si>
  <si>
    <t>ZFS Mirrored</t>
  </si>
  <si>
    <t>DEV=/dev/sdb1
lsblk -ro name,label
udevadm info ${DEV} | cat
blkid ${DEV}
cd /tmp
umount -f /media/usbdrive 2&gt;/dev/null
mount -t exfat ${DEV} /media/usbdrive
cd /media/usbdrive
iozone -i 0 -i 1 -s 1G -r 1M -e -I -R | grep ^\"10485760 | sed 's/"//g' | sed 's/10485760   /=/g' | sed 's/ /\/1000/g'
cd /tmp
umount -f /media/usbdrive</t>
  </si>
  <si>
    <t>DEV=/dev/sdb2
lsblk -ro name,label
udevadm info ${DEV} | cat
blkid ${DEV}
cd /tmp
umount -f /media/usbdrive 2&gt;/dev/null
mount -t exfat ${DEV} /media/usbdrive
cd /media/usbdrive
iozone -i 0 -i 1 -s 1G -r 1M -e -I -R | grep ^\"10485760 | sed 's/"//g' | sed 's/10485760   /=/g' | sed 's/ /\/1000/g'
cd /tmp
umount -f /media/usbdrive</t>
  </si>
  <si>
    <t>SSD x 2</t>
  </si>
  <si>
    <t>Mean Read/Write (MB/s)</t>
  </si>
  <si>
    <t>Benchmark Script</t>
  </si>
  <si>
    <t>Drive Model</t>
  </si>
  <si>
    <t>Apple</t>
  </si>
  <si>
    <t>Drive Vendor</t>
  </si>
  <si>
    <t>Crucial</t>
  </si>
  <si>
    <t>CT480BX5</t>
  </si>
  <si>
    <t>1 TB</t>
  </si>
  <si>
    <t>CT4000P3PSSD8</t>
  </si>
  <si>
    <t>CT4000MX500SSD1</t>
  </si>
  <si>
    <t>CT480BX5, X</t>
  </si>
  <si>
    <t>Seagate</t>
  </si>
  <si>
    <t>STBX1000100</t>
  </si>
  <si>
    <t>USB 3.1</t>
  </si>
  <si>
    <t>Use /dev/disk/by-uuid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</si>
</sst>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" fontId="3" fillId="0" borderId="0" xfId="0" applyNumberFormat="1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1" fontId="3" fillId="2" borderId="0" xfId="0" applyNumberFormat="1" applyFont="1" applyFill="1" applyAlignment="1">
      <alignment horizontal="left" vertical="top"/>
    </xf>
    <xf numFmtId="9" fontId="3" fillId="0" borderId="0" xfId="1" applyFont="1" applyAlignment="1">
      <alignment horizontal="left"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CE12-F399-184B-9DA3-DB0D71FC9EDE}">
  <dimension ref="A1:Q15"/>
  <sheetViews>
    <sheetView tabSelected="1" workbookViewId="0">
      <selection activeCell="I9" sqref="I9"/>
    </sheetView>
  </sheetViews>
  <sheetFormatPr baseColWidth="10" defaultColWidth="20.6640625" defaultRowHeight="21" customHeight="1" x14ac:dyDescent="0.2"/>
  <cols>
    <col min="1" max="1" width="28.83203125" style="2" bestFit="1" customWidth="1"/>
    <col min="2" max="17" width="23.5" style="2" customWidth="1"/>
    <col min="18" max="16384" width="20.6640625" style="2"/>
  </cols>
  <sheetData>
    <row r="1" spans="1:17" ht="21" customHeight="1" x14ac:dyDescent="0.2">
      <c r="A1" s="1" t="s">
        <v>0</v>
      </c>
      <c r="B1" s="2" t="s">
        <v>27</v>
      </c>
      <c r="C1" s="2" t="s">
        <v>26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2" t="s">
        <v>27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</row>
    <row r="2" spans="1:17" ht="21" customHeight="1" x14ac:dyDescent="0.2">
      <c r="A2" s="1" t="s">
        <v>7</v>
      </c>
      <c r="B2" s="2" t="s">
        <v>30</v>
      </c>
      <c r="C2" s="2" t="s">
        <v>29</v>
      </c>
      <c r="D2" s="2" t="s">
        <v>28</v>
      </c>
      <c r="E2" s="2" t="s">
        <v>24</v>
      </c>
      <c r="F2" s="2" t="s">
        <v>8</v>
      </c>
      <c r="G2" s="2" t="s">
        <v>15</v>
      </c>
      <c r="H2" s="2" t="s">
        <v>19</v>
      </c>
      <c r="I2" s="2" t="s">
        <v>15</v>
      </c>
      <c r="J2" s="2" t="s">
        <v>51</v>
      </c>
      <c r="K2" s="2" t="s">
        <v>15</v>
      </c>
      <c r="L2" s="2" t="s">
        <v>15</v>
      </c>
      <c r="M2" s="2" t="s">
        <v>19</v>
      </c>
      <c r="N2" s="2" t="s">
        <v>15</v>
      </c>
      <c r="O2" s="2" t="s">
        <v>15</v>
      </c>
      <c r="P2" s="2" t="s">
        <v>19</v>
      </c>
      <c r="Q2" s="2" t="s">
        <v>19</v>
      </c>
    </row>
    <row r="3" spans="1:17" ht="21" customHeight="1" x14ac:dyDescent="0.2">
      <c r="A3" s="1" t="s">
        <v>18</v>
      </c>
      <c r="B3" s="2" t="s">
        <v>9</v>
      </c>
      <c r="C3" s="2" t="s">
        <v>9</v>
      </c>
      <c r="D3" s="2" t="s">
        <v>9</v>
      </c>
      <c r="E3" s="2" t="s">
        <v>10</v>
      </c>
      <c r="F3" s="2" t="s">
        <v>12</v>
      </c>
      <c r="G3" s="2" t="s">
        <v>10</v>
      </c>
      <c r="H3" s="2" t="s">
        <v>10</v>
      </c>
      <c r="I3" s="2" t="s">
        <v>10</v>
      </c>
      <c r="J3" s="2" t="s">
        <v>10</v>
      </c>
      <c r="K3" s="2" t="s">
        <v>10</v>
      </c>
      <c r="L3" s="2" t="s">
        <v>10</v>
      </c>
      <c r="M3" s="2" t="s">
        <v>10</v>
      </c>
      <c r="N3" s="2" t="s">
        <v>10</v>
      </c>
      <c r="O3" s="2" t="s">
        <v>10</v>
      </c>
      <c r="P3" s="2" t="s">
        <v>10</v>
      </c>
      <c r="Q3" s="2" t="s">
        <v>10</v>
      </c>
    </row>
    <row r="4" spans="1:17" ht="21" customHeight="1" x14ac:dyDescent="0.2">
      <c r="A4" s="1" t="s">
        <v>14</v>
      </c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16</v>
      </c>
      <c r="H4" s="2" t="s">
        <v>16</v>
      </c>
      <c r="I4" s="2" t="s">
        <v>16</v>
      </c>
      <c r="J4" s="2" t="s">
        <v>13</v>
      </c>
      <c r="K4" s="2" t="s">
        <v>13</v>
      </c>
      <c r="L4" s="2" t="s">
        <v>13</v>
      </c>
      <c r="M4" s="2" t="s">
        <v>13</v>
      </c>
      <c r="N4" s="2" t="s">
        <v>13</v>
      </c>
      <c r="O4" s="2" t="s">
        <v>37</v>
      </c>
      <c r="P4" s="2" t="s">
        <v>13</v>
      </c>
      <c r="Q4" s="2" t="s">
        <v>37</v>
      </c>
    </row>
    <row r="5" spans="1:17" ht="21" customHeight="1" x14ac:dyDescent="0.2">
      <c r="A5" s="1" t="s">
        <v>42</v>
      </c>
      <c r="B5" s="2" t="s">
        <v>41</v>
      </c>
      <c r="C5" s="2" t="s">
        <v>41</v>
      </c>
      <c r="D5" s="2" t="s">
        <v>43</v>
      </c>
      <c r="E5" s="2" t="s">
        <v>43</v>
      </c>
      <c r="F5" s="2" t="s">
        <v>43</v>
      </c>
      <c r="G5" s="2" t="s">
        <v>49</v>
      </c>
      <c r="H5" s="2" t="s">
        <v>49</v>
      </c>
      <c r="I5" s="4"/>
      <c r="J5" s="4"/>
      <c r="K5" s="2" t="s">
        <v>43</v>
      </c>
      <c r="L5" s="2" t="s">
        <v>43</v>
      </c>
      <c r="M5" s="2" t="s">
        <v>43</v>
      </c>
      <c r="N5" s="2" t="s">
        <v>43</v>
      </c>
      <c r="O5" s="2" t="s">
        <v>43</v>
      </c>
      <c r="P5" s="2" t="s">
        <v>43</v>
      </c>
      <c r="Q5" s="2" t="s">
        <v>43</v>
      </c>
    </row>
    <row r="6" spans="1:17" ht="21" customHeight="1" x14ac:dyDescent="0.2">
      <c r="A6" s="1" t="s">
        <v>40</v>
      </c>
      <c r="B6" s="2" t="s">
        <v>45</v>
      </c>
      <c r="C6" s="2" t="s">
        <v>45</v>
      </c>
      <c r="D6" s="2" t="s">
        <v>46</v>
      </c>
      <c r="E6" s="2" t="s">
        <v>47</v>
      </c>
      <c r="F6" s="2" t="s">
        <v>47</v>
      </c>
      <c r="G6" s="2" t="s">
        <v>50</v>
      </c>
      <c r="H6" s="2" t="s">
        <v>50</v>
      </c>
      <c r="I6" s="4"/>
      <c r="J6" s="4"/>
      <c r="K6" s="2" t="s">
        <v>44</v>
      </c>
      <c r="L6" s="2" t="s">
        <v>44</v>
      </c>
      <c r="M6" s="2" t="s">
        <v>44</v>
      </c>
      <c r="N6" s="2" t="s">
        <v>44</v>
      </c>
      <c r="O6" s="4" t="s">
        <v>48</v>
      </c>
      <c r="P6" s="2" t="s">
        <v>44</v>
      </c>
      <c r="Q6" s="4" t="s">
        <v>48</v>
      </c>
    </row>
    <row r="7" spans="1:17" ht="21" customHeight="1" x14ac:dyDescent="0.2">
      <c r="A7" s="1" t="s">
        <v>6</v>
      </c>
      <c r="B7" s="2" t="s">
        <v>31</v>
      </c>
      <c r="C7" s="2" t="s">
        <v>31</v>
      </c>
      <c r="D7" s="2" t="s">
        <v>11</v>
      </c>
      <c r="E7" s="2" t="s">
        <v>11</v>
      </c>
      <c r="F7" s="2" t="s">
        <v>11</v>
      </c>
      <c r="G7" s="5" t="s">
        <v>17</v>
      </c>
      <c r="H7" s="5" t="s">
        <v>17</v>
      </c>
      <c r="I7" s="5" t="s">
        <v>11</v>
      </c>
      <c r="J7" s="5" t="s">
        <v>11</v>
      </c>
      <c r="K7" s="5" t="s">
        <v>17</v>
      </c>
      <c r="L7" s="5" t="s">
        <v>17</v>
      </c>
      <c r="M7" s="5" t="s">
        <v>17</v>
      </c>
      <c r="N7" s="5" t="s">
        <v>33</v>
      </c>
      <c r="O7" s="5" t="s">
        <v>34</v>
      </c>
      <c r="P7" s="5" t="s">
        <v>33</v>
      </c>
      <c r="Q7" s="5" t="s">
        <v>34</v>
      </c>
    </row>
    <row r="8" spans="1:17" ht="21" customHeight="1" x14ac:dyDescent="0.2">
      <c r="A8" s="1" t="s">
        <v>39</v>
      </c>
      <c r="B8" s="6" t="s">
        <v>32</v>
      </c>
      <c r="C8" s="6" t="s">
        <v>32</v>
      </c>
      <c r="D8" s="7" t="s">
        <v>20</v>
      </c>
      <c r="E8" s="7" t="s">
        <v>21</v>
      </c>
      <c r="F8" s="7" t="s">
        <v>22</v>
      </c>
      <c r="G8" s="8" t="s">
        <v>35</v>
      </c>
      <c r="H8" s="8" t="s">
        <v>35</v>
      </c>
      <c r="I8" s="8" t="s">
        <v>52</v>
      </c>
      <c r="J8" s="8"/>
      <c r="K8" s="8" t="s">
        <v>36</v>
      </c>
      <c r="L8" s="8" t="s">
        <v>36</v>
      </c>
      <c r="M8" s="8" t="s">
        <v>36</v>
      </c>
      <c r="N8" s="8"/>
      <c r="O8" s="8"/>
      <c r="P8" s="8"/>
      <c r="Q8" s="8"/>
    </row>
    <row r="9" spans="1:17" ht="21" customHeight="1" x14ac:dyDescent="0.2">
      <c r="A9" s="1" t="s">
        <v>23</v>
      </c>
      <c r="B9" s="2">
        <v>8000</v>
      </c>
      <c r="C9" s="2">
        <f>4*1000</f>
        <v>4000</v>
      </c>
      <c r="D9" s="7">
        <f>1*1000</f>
        <v>1000</v>
      </c>
      <c r="E9" s="7">
        <f>6*1000/8</f>
        <v>750</v>
      </c>
      <c r="F9" s="7">
        <f>1000/8</f>
        <v>125</v>
      </c>
      <c r="G9" s="6">
        <f>20*1000/8</f>
        <v>2500</v>
      </c>
      <c r="H9" s="6">
        <f>5*1000/8</f>
        <v>625</v>
      </c>
      <c r="I9" s="6">
        <f>20*1000/8</f>
        <v>2500</v>
      </c>
      <c r="J9" s="6">
        <f>5*1000/8</f>
        <v>625</v>
      </c>
      <c r="K9" s="6">
        <f>20*1000/8</f>
        <v>2500</v>
      </c>
      <c r="L9" s="6">
        <f>20*1000/8</f>
        <v>2500</v>
      </c>
      <c r="M9" s="6">
        <f>5*1000/8</f>
        <v>625</v>
      </c>
      <c r="N9" s="8">
        <f>20*1000/8</f>
        <v>2500</v>
      </c>
      <c r="O9" s="8">
        <f>20*1000/8</f>
        <v>2500</v>
      </c>
      <c r="P9" s="8">
        <f>5*1000/8</f>
        <v>625</v>
      </c>
      <c r="Q9" s="8">
        <f>5*1000/8</f>
        <v>625</v>
      </c>
    </row>
    <row r="10" spans="1:17" ht="21" customHeight="1" x14ac:dyDescent="0.2">
      <c r="A10" s="1" t="s">
        <v>38</v>
      </c>
      <c r="B10" s="9">
        <f>AVERAGE(B11,B13)</f>
        <v>3844.9290000000001</v>
      </c>
      <c r="C10" s="9">
        <f t="shared" ref="C10:Q10" si="0">AVERAGE(C11,C13)</f>
        <v>2133.817</v>
      </c>
      <c r="D10" s="9">
        <f t="shared" si="0"/>
        <v>763.97399999999993</v>
      </c>
      <c r="E10" s="9">
        <f t="shared" si="0"/>
        <v>481.20550000000003</v>
      </c>
      <c r="F10" s="9">
        <f t="shared" si="0"/>
        <v>100.333</v>
      </c>
      <c r="G10" s="9">
        <f t="shared" si="0"/>
        <v>133.8065</v>
      </c>
      <c r="H10" s="9">
        <f t="shared" si="0"/>
        <v>133.98250000000002</v>
      </c>
      <c r="I10" s="9" t="e">
        <f t="shared" ref="I10" si="1">AVERAGE(I11,I13)</f>
        <v>#DIV/0!</v>
      </c>
      <c r="J10" s="9" t="e">
        <f t="shared" ref="J10" si="2">AVERAGE(J11,J13)</f>
        <v>#DIV/0!</v>
      </c>
      <c r="K10" s="9" t="e">
        <f t="shared" si="0"/>
        <v>#DIV/0!</v>
      </c>
      <c r="L10" s="9">
        <f t="shared" si="0"/>
        <v>268.35300000000001</v>
      </c>
      <c r="M10" s="9">
        <f t="shared" si="0"/>
        <v>351.62049999999999</v>
      </c>
      <c r="N10" s="9" t="e">
        <f t="shared" si="0"/>
        <v>#DIV/0!</v>
      </c>
      <c r="O10" s="9" t="e">
        <f t="shared" si="0"/>
        <v>#DIV/0!</v>
      </c>
      <c r="P10" s="9" t="e">
        <f t="shared" si="0"/>
        <v>#DIV/0!</v>
      </c>
      <c r="Q10" s="9" t="e">
        <f t="shared" si="0"/>
        <v>#DIV/0!</v>
      </c>
    </row>
    <row r="11" spans="1:17" s="9" customFormat="1" ht="21" customHeight="1" x14ac:dyDescent="0.2">
      <c r="A11" s="1" t="s">
        <v>2</v>
      </c>
      <c r="B11" s="9">
        <f>2430275/1000</f>
        <v>2430.2750000000001</v>
      </c>
      <c r="C11" s="9">
        <f>1397199/1000</f>
        <v>1397.1990000000001</v>
      </c>
      <c r="D11" s="10">
        <f>775983/1000</f>
        <v>775.98299999999995</v>
      </c>
      <c r="E11" s="10">
        <f>492065/1000</f>
        <v>492.065</v>
      </c>
      <c r="F11" s="9">
        <f>100568/1000</f>
        <v>100.568</v>
      </c>
      <c r="G11" s="9">
        <f>131346/1000</f>
        <v>131.346</v>
      </c>
      <c r="H11" s="9">
        <f>131710/1000</f>
        <v>131.71</v>
      </c>
      <c r="I11" s="11"/>
      <c r="J11" s="11"/>
      <c r="L11" s="9">
        <f>193999/1000</f>
        <v>193.999</v>
      </c>
      <c r="M11" s="9">
        <f>272369/1000</f>
        <v>272.36900000000003</v>
      </c>
      <c r="N11" s="11"/>
      <c r="O11" s="11"/>
      <c r="P11" s="11"/>
      <c r="Q11" s="11"/>
    </row>
    <row r="12" spans="1:17" s="9" customFormat="1" ht="21" customHeight="1" x14ac:dyDescent="0.2">
      <c r="A12" s="1" t="s">
        <v>3</v>
      </c>
      <c r="B12" s="9">
        <f>4472569/1000</f>
        <v>4472.5690000000004</v>
      </c>
      <c r="C12" s="9">
        <f>1859645/1000</f>
        <v>1859.645</v>
      </c>
      <c r="D12" s="10">
        <f>776753/1000</f>
        <v>776.75300000000004</v>
      </c>
      <c r="E12" s="10">
        <f>496541/1000</f>
        <v>496.541</v>
      </c>
      <c r="F12" s="9">
        <f>112051/1000</f>
        <v>112.051</v>
      </c>
      <c r="G12" s="9">
        <f>133348/1000</f>
        <v>133.34800000000001</v>
      </c>
      <c r="H12" s="9">
        <f>133155/1000</f>
        <v>133.155</v>
      </c>
      <c r="I12" s="11"/>
      <c r="J12" s="11"/>
      <c r="L12" s="9">
        <f>258714/1000</f>
        <v>258.714</v>
      </c>
      <c r="M12" s="9">
        <f>420224/1000</f>
        <v>420.22399999999999</v>
      </c>
      <c r="N12" s="11"/>
      <c r="O12" s="11"/>
      <c r="P12" s="11"/>
      <c r="Q12" s="11"/>
    </row>
    <row r="13" spans="1:17" s="9" customFormat="1" ht="21" customHeight="1" x14ac:dyDescent="0.2">
      <c r="A13" s="1" t="s">
        <v>4</v>
      </c>
      <c r="B13" s="9">
        <f>5259583/1000</f>
        <v>5259.5829999999996</v>
      </c>
      <c r="C13" s="9">
        <f>2870435/1000</f>
        <v>2870.4349999999999</v>
      </c>
      <c r="D13" s="10">
        <f>751965/1000</f>
        <v>751.96500000000003</v>
      </c>
      <c r="E13" s="10">
        <f>470346/1000</f>
        <v>470.346</v>
      </c>
      <c r="F13" s="9">
        <f>100098/1000</f>
        <v>100.098</v>
      </c>
      <c r="G13" s="9">
        <f>136267/1000</f>
        <v>136.267</v>
      </c>
      <c r="H13" s="9">
        <f>136255/1000</f>
        <v>136.255</v>
      </c>
      <c r="I13" s="11"/>
      <c r="J13" s="11"/>
      <c r="L13" s="9">
        <f>342707/1000</f>
        <v>342.70699999999999</v>
      </c>
      <c r="M13" s="9">
        <f>430872/1000</f>
        <v>430.87200000000001</v>
      </c>
      <c r="N13" s="11"/>
      <c r="O13" s="11"/>
      <c r="P13" s="11"/>
      <c r="Q13" s="11"/>
    </row>
    <row r="14" spans="1:17" s="9" customFormat="1" ht="21" customHeight="1" x14ac:dyDescent="0.2">
      <c r="A14" s="1" t="s">
        <v>5</v>
      </c>
      <c r="B14" s="9">
        <f>14746628/1000</f>
        <v>14746.628000000001</v>
      </c>
      <c r="C14" s="9">
        <f>9829446/1000</f>
        <v>9829.4459999999999</v>
      </c>
      <c r="D14" s="10">
        <f>747420/1000</f>
        <v>747.42</v>
      </c>
      <c r="E14" s="10">
        <f>470308/1000</f>
        <v>470.30799999999999</v>
      </c>
      <c r="F14" s="9">
        <f>100617/1000</f>
        <v>100.617</v>
      </c>
      <c r="G14" s="9">
        <f>136605/1000</f>
        <v>136.60499999999999</v>
      </c>
      <c r="H14" s="9">
        <f>136585/1000</f>
        <v>136.58500000000001</v>
      </c>
      <c r="I14" s="11"/>
      <c r="J14" s="11"/>
      <c r="L14" s="9">
        <f>341046/1000</f>
        <v>341.04599999999999</v>
      </c>
      <c r="M14" s="9">
        <f>429917/1000</f>
        <v>429.91699999999997</v>
      </c>
      <c r="N14" s="11"/>
      <c r="O14" s="11"/>
      <c r="P14" s="11"/>
      <c r="Q14" s="11"/>
    </row>
    <row r="15" spans="1:17" ht="21" customHeight="1" x14ac:dyDescent="0.2">
      <c r="A15" s="1" t="s">
        <v>25</v>
      </c>
      <c r="B15" s="12">
        <f>B10/B9</f>
        <v>0.48061612500000001</v>
      </c>
      <c r="C15" s="12">
        <f t="shared" ref="C15:Q15" si="3">C10/C9</f>
        <v>0.53345425000000002</v>
      </c>
      <c r="D15" s="12">
        <f t="shared" si="3"/>
        <v>0.76397399999999993</v>
      </c>
      <c r="E15" s="12">
        <f t="shared" si="3"/>
        <v>0.64160733333333342</v>
      </c>
      <c r="F15" s="12">
        <f t="shared" si="3"/>
        <v>0.80266399999999993</v>
      </c>
      <c r="G15" s="12">
        <f t="shared" si="3"/>
        <v>5.3522599999999997E-2</v>
      </c>
      <c r="H15" s="12">
        <f t="shared" si="3"/>
        <v>0.21437200000000003</v>
      </c>
      <c r="I15" s="12" t="e">
        <f t="shared" ref="I15:K15" si="4">I10/I9</f>
        <v>#DIV/0!</v>
      </c>
      <c r="J15" s="12" t="e">
        <f t="shared" si="4"/>
        <v>#DIV/0!</v>
      </c>
      <c r="K15" s="12" t="e">
        <f t="shared" si="4"/>
        <v>#DIV/0!</v>
      </c>
      <c r="L15" s="12">
        <f t="shared" si="3"/>
        <v>0.1073412</v>
      </c>
      <c r="M15" s="12">
        <f t="shared" si="3"/>
        <v>0.5625928</v>
      </c>
      <c r="N15" s="12" t="e">
        <f t="shared" si="3"/>
        <v>#DIV/0!</v>
      </c>
      <c r="O15" s="12" t="e">
        <f t="shared" si="3"/>
        <v>#DIV/0!</v>
      </c>
      <c r="P15" s="12" t="e">
        <f t="shared" si="3"/>
        <v>#DIV/0!</v>
      </c>
      <c r="Q15" s="12" t="e">
        <f t="shared" si="3"/>
        <v>#DIV/0!</v>
      </c>
    </row>
  </sheetData>
  <pageMargins left="0.7" right="0.7" top="0.75" bottom="0.75" header="0.3" footer="0.3"/>
  <ignoredErrors>
    <ignoredError sqref="H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2024-03-05T11:10:16Z</dcterms:created>
  <dcterms:modified xsi:type="dcterms:W3CDTF">2024-03-06T12:40:50Z</dcterms:modified>
</cp:coreProperties>
</file>