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aalz\Desktop\PROYECTOS\LOCOMOTION\2023\WILIAM\wiliam_6\model_parameters\energy\"/>
    </mc:Choice>
  </mc:AlternateContent>
  <bookViews>
    <workbookView xWindow="-120" yWindow="-120" windowWidth="38640" windowHeight="21240" tabRatio="500" firstSheet="2" activeTab="4"/>
  </bookViews>
  <sheets>
    <sheet name="Hoja1" sheetId="1" r:id="rId1"/>
    <sheet name="EF_MINING" sheetId="6" r:id="rId2"/>
    <sheet name="EF_FUGITIVES_GAS_OIL_FUEL_TRANS" sheetId="4" r:id="rId3"/>
    <sheet name="EF_STATIONARY_COM" sheetId="2" r:id="rId4"/>
    <sheet name="EF_MOBILE_COM" sheetId="5" r:id="rId5"/>
    <sheet name="Hoja2" sheetId="12" r:id="rId6"/>
    <sheet name="IEA - Oil consumption World" sheetId="7" r:id="rId7"/>
    <sheet name="IEA - Oil consumption Europe" sheetId="8" r:id="rId8"/>
    <sheet name="IEA - Oil consumption European " sheetId="9" r:id="rId9"/>
    <sheet name="historic_GHG_emissions" sheetId="10" r:id="rId10"/>
    <sheet name="GHG_emission_factors" sheetId="11" r:id="rId11"/>
  </sheets>
  <definedNames>
    <definedName name="CH4_EF_STATIONARY_COMB_END_USE">EF_STATIONARY_COM!$AG$5:$AG$11</definedName>
    <definedName name="CH4_EMISSION_FACTORS_PRIVATE_TRANSPORT">EF_MOBILE_COM!$U$30:$W$39</definedName>
    <definedName name="CH4_EMISSION_FACTORS_PUBLIC_TRANSPORT">EF_MOBILE_COM!$X$30:$AC$39</definedName>
    <definedName name="CH4_VOLUME_TO_MASS_CONVERSION_FACTOR">EF_MINING!$F$7</definedName>
    <definedName name="CO2_EF_STATIONARY_COMB_END_USE">EF_STATIONARY_COM!$AF$5:$AF$11</definedName>
    <definedName name="CO2_EMISSION_FACTORS_PE">GHG_emission_factors!$B$49:$B$60</definedName>
    <definedName name="CO2_EMISSION_FACTORS_PRIVATE_TRANSPORT">EF_MOBILE_COM!$U$10:$W$19</definedName>
    <definedName name="CO2_EMISSION_FACTORS_PROTRA_TI_STATIONARY_COMBUSTION">GHG_emission_factors!$B$4:$O$45</definedName>
    <definedName name="CO2_EMISSION_FACTORS_PUBLIC_TRANSPORT">EF_MOBILE_COM!$X$10:$AC$19</definedName>
    <definedName name="CO2_VOLUME_TO_MASS_CONVERSION_FACTOR">EF_MINING!$F$6</definedName>
    <definedName name="EF_CH4_COMMERCIAL_INSTITUTIONAL_BY_NRG_PROTRA_AND_TI_I">EF_STATIONARY_COM!$AJ$54:$AW$95</definedName>
    <definedName name="EF_CH4_ENERGY_INDUSTRIES_BY_NRG_PROTRA_AND_TI_I">EF_STATIONARY_COM!$D$54:$Q$95</definedName>
    <definedName name="EF_CH4_MANUFACT_INDUSTRIES_BY_NRG_PROTRA_AND_TI_I">EF_STATIONARY_COM!$T$54:$AG$95</definedName>
    <definedName name="EF_CH4_RESIDENTIAL_AGRICULTURE_FORESTRY_FISHING_BY_NRG_PROTRA_AND_TI_I">EF_STATIONARY_COM!$AZ$54:$BM$95</definedName>
    <definedName name="EF_CHARCOAL_BIOCHAR_PRODUCTION_CO2">EF_FUGITIVES_GAS_OIL_FUEL_TRANS!$D$44:$D$45</definedName>
    <definedName name="EF_CO2_BY_NRG_PROTRA_AND_TI_I">EF_STATIONARY_COM!$D$5:$Q$46</definedName>
    <definedName name="EF_COKE_PRODUCTION_CO2">EF_FUGITIVES_GAS_OIL_FUEL_TRANS!$L$44</definedName>
    <definedName name="EF_FUGITIVES_EXTRACTION_CH4">EF_FUGITIVES_GAS_OIL_FUEL_TRANS!$AT$9:$AT$20</definedName>
    <definedName name="EF_FUGITIVES_EXTRACTION_CO2">EF_FUGITIVES_GAS_OIL_FUEL_TRANS!$AS$9:$AS$20</definedName>
    <definedName name="EF_FUGITIVES_EXTRACTION_GHG">EF_FUGITIVES_GAS_OIL_FUEL_TRANS!$AS$9:$AU$20</definedName>
    <definedName name="EF_FUGITIVES_EXTRACTION_N2O">EF_FUGITIVES_GAS_OIL_FUEL_TRANS!$AU$9:$AU$20</definedName>
    <definedName name="EF_FUGITIVES_REFINING_CO2">EF_FUGITIVES_GAS_OIL_FUEL_TRANS!$AY$9:$AY$20</definedName>
    <definedName name="EF_FUGITIVES_REFINING_GHG">EF_FUGITIVES_GAS_OIL_FUEL_TRANS!$AY$9:$BA$20</definedName>
    <definedName name="EF_FUGITIVES_SUPPLY_CO2">EF_FUGITIVES_GAS_OIL_FUEL_TRANS!$BK$9:$BK$15</definedName>
    <definedName name="EF_FUGITIVES_SUPPLY_GHG">EF_FUGITIVES_GAS_OIL_FUEL_TRANS!$BK$9:$BM$15</definedName>
    <definedName name="EF_N2O_BY_NRG_PROTRA_AND_TI_I">EF_STATIONARY_COM!$D$101:$Q$142</definedName>
    <definedName name="EF_OFF_ROAD_TRANSPORTATION_CO2">EF_MOBILE_COM!$D$22:$D$33</definedName>
    <definedName name="EF_RAIL_TRANSPORTATION_CO2">EF_MOBILE_COM!$C$40:$C$41</definedName>
    <definedName name="EF_ROAD_TRANSPORTATION_CO2">EF_MOBILE_COM!$F$9:$F$12</definedName>
    <definedName name="EF_TRANSFORMATION_CH4_BY_NRG_PROTRA_I">EF_STATIONARY_COM!$D$54:$Q$95</definedName>
    <definedName name="EF_TRANSFORMATION_CO2_BY_NRG_PROTRA_I">EF_STATIONARY_COM!$D$5:$Q$46</definedName>
    <definedName name="EF_TRANSFORMATION_N2O_BY_NRG_PROTRA_I">EF_STATIONARY_COM!$D$101:$Q$142</definedName>
    <definedName name="EF_WATER_BORNE_NAVIGATION_CO2">EF_MOBILE_COM!$G$48:$G$51</definedName>
    <definedName name="EMISSION_FACTORS_COAL_TO_GAS_PRODUCTION">EF_FUGITIVES_GAS_OIL_FUEL_TRANS!$D$57:$D$59</definedName>
    <definedName name="EMISSION_FACTORS_GAS_TO_LIQUID_PRODUCTION">EF_FUGITIVES_GAS_OIL_FUEL_TRANS!$K$57</definedName>
    <definedName name="EMISSION_FACTORS_GAS_TO_LIQUIDS_PRODUCTION">EF_FUGITIVES_GAS_OIL_FUEL_TRANS!$D$57:$D$59</definedName>
    <definedName name="GHG_EMISSION_FACTORS_RESIDENTIAL_STATIONARY_COMBUSTION">EF_STATIONARY_COM!$AF$17:$AH$23</definedName>
    <definedName name="GHG_EMISSION_FACTORS_STATIONARY_COMBUSTION">EF_STATIONARY_COM!$AF$5:$AH$11</definedName>
    <definedName name="GHG_VOLUME_TO_MASS_CONVERSION_FACTOR">EF_MINING!$F$6:$F$8</definedName>
    <definedName name="HISTORIC_CO2_EMISSIONS_FROM_ENERGY_AND_WASTE">historic_GHG_emissions!$C$4:$M$38</definedName>
    <definedName name="historic_time_index">historic_GHG_emissions!$C$3:$M$3</definedName>
    <definedName name="LHV_NATURAL_GAS">EF_FUGITIVES_GAS_OIL_FUEL_TRANS!$AK$6</definedName>
    <definedName name="N2O_EF_STATIONARY_COMB_END_USE">EF_STATIONARY_COM!$AH$5:$AH$11</definedName>
    <definedName name="N2O_EMISSION_FACTORS_PRIVATE_TRANSPORT">EF_MOBILE_COM!$U$56:$W$65</definedName>
    <definedName name="N2O_EMISSION_FACTORS_PUBLIC_TRANSPORT">EF_MOBILE_COM!$X$56:$AC$65</definedName>
    <definedName name="SURFACE_COAL_MINING_EMISSION_FACTORS">EF_MINING!$M$6:$M$8</definedName>
    <definedName name="UNDERGROUND_COAL_MINING_EMISSION_FACTORS">EF_MINING!$C$6:$C$8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G11" i="2" l="1"/>
  <c r="AF17" i="2" l="1"/>
  <c r="AA18" i="4" l="1"/>
  <c r="AA9" i="4"/>
  <c r="T11" i="4" s="1"/>
  <c r="T12" i="4"/>
  <c r="AI9" i="4"/>
  <c r="AI12" i="4"/>
  <c r="BM9" i="4"/>
  <c r="BL9" i="4"/>
  <c r="AK6" i="4" l="1"/>
  <c r="BF9" i="4"/>
  <c r="BG9" i="4"/>
  <c r="AZ11" i="4"/>
  <c r="BA11" i="4"/>
  <c r="AR10" i="4"/>
  <c r="AR11" i="4"/>
  <c r="AR12" i="4"/>
  <c r="AR13" i="4"/>
  <c r="AR14" i="4"/>
  <c r="AR15" i="4"/>
  <c r="AR16" i="4"/>
  <c r="AR17" i="4"/>
  <c r="AR18" i="4"/>
  <c r="AR19" i="4"/>
  <c r="AR20" i="4"/>
  <c r="AR9" i="4"/>
  <c r="AM9" i="4"/>
  <c r="AT15" i="4" s="1"/>
  <c r="AJ9" i="4"/>
  <c r="AN9" i="4" s="1"/>
  <c r="AU15" i="4" s="1"/>
  <c r="AI13" i="4"/>
  <c r="AM13" i="4" s="1"/>
  <c r="AJ13" i="4"/>
  <c r="AN13" i="4" s="1"/>
  <c r="AA20" i="4"/>
  <c r="AB20" i="4"/>
  <c r="AA22" i="4"/>
  <c r="AB22" i="4"/>
  <c r="AA23" i="4"/>
  <c r="AB23" i="4"/>
  <c r="AA19" i="4"/>
  <c r="AB19" i="4"/>
  <c r="AM12" i="4"/>
  <c r="AT11" i="4" s="1"/>
  <c r="AB18" i="4"/>
  <c r="AA17" i="4"/>
  <c r="AB17" i="4"/>
  <c r="AA16" i="4"/>
  <c r="AB16" i="4"/>
  <c r="AA15" i="4"/>
  <c r="AB15" i="4"/>
  <c r="AA14" i="4"/>
  <c r="AI11" i="4" s="1"/>
  <c r="AM11" i="4" s="1"/>
  <c r="BF15" i="4" s="1"/>
  <c r="BL10" i="4" s="1"/>
  <c r="AB14" i="4"/>
  <c r="AA13" i="4"/>
  <c r="AB13" i="4"/>
  <c r="AA12" i="4"/>
  <c r="AI10" i="4" s="1"/>
  <c r="AM10" i="4" s="1"/>
  <c r="AZ15" i="4" s="1"/>
  <c r="AB12" i="4"/>
  <c r="AA11" i="4"/>
  <c r="AB11" i="4"/>
  <c r="AB9" i="4"/>
  <c r="AA10" i="4"/>
  <c r="AB10" i="4"/>
  <c r="AJ11" i="4" l="1"/>
  <c r="AN11" i="4" s="1"/>
  <c r="BG15" i="4" s="1"/>
  <c r="BM10" i="4" s="1"/>
  <c r="AI14" i="4"/>
  <c r="AM14" i="4" s="1"/>
  <c r="BF11" i="4" s="1"/>
  <c r="BL13" i="4" s="1"/>
  <c r="AJ12" i="4"/>
  <c r="AN12" i="4" s="1"/>
  <c r="AU11" i="4" s="1"/>
  <c r="AJ14" i="4"/>
  <c r="AN14" i="4" s="1"/>
  <c r="BG11" i="4" s="1"/>
  <c r="BM13" i="4" s="1"/>
  <c r="AJ10" i="4"/>
  <c r="AN10" i="4" s="1"/>
  <c r="BA15" i="4" s="1"/>
  <c r="F6" i="6"/>
  <c r="F7" i="6"/>
  <c r="P109" i="2" l="1"/>
  <c r="P62" i="2"/>
  <c r="P119" i="2"/>
  <c r="P71" i="2" l="1"/>
  <c r="P72" i="2"/>
  <c r="O70" i="2"/>
  <c r="J66" i="2"/>
  <c r="J67" i="2"/>
  <c r="E63" i="2"/>
  <c r="BE9" i="4" l="1"/>
  <c r="AC59" i="5" l="1"/>
  <c r="AC58" i="5"/>
  <c r="AC57" i="5"/>
  <c r="AC56" i="5"/>
  <c r="Z56" i="5"/>
  <c r="Y57" i="5"/>
  <c r="Y56" i="5"/>
  <c r="X62" i="5"/>
  <c r="X61" i="5"/>
  <c r="X59" i="5"/>
  <c r="X58" i="5"/>
  <c r="X57" i="5"/>
  <c r="X56" i="5"/>
  <c r="V59" i="5"/>
  <c r="V58" i="5"/>
  <c r="V57" i="5"/>
  <c r="V56" i="5"/>
  <c r="U62" i="5"/>
  <c r="U61" i="5"/>
  <c r="U59" i="5"/>
  <c r="U58" i="5"/>
  <c r="U57" i="5"/>
  <c r="U56" i="5"/>
  <c r="AC33" i="5"/>
  <c r="AC32" i="5"/>
  <c r="AC31" i="5"/>
  <c r="AC30" i="5"/>
  <c r="Y31" i="5"/>
  <c r="Y30" i="5"/>
  <c r="G52" i="5"/>
  <c r="AC10" i="5" l="1"/>
  <c r="Z10" i="5"/>
  <c r="Y11" i="5"/>
  <c r="AH11" i="2" l="1"/>
  <c r="AH9" i="2"/>
  <c r="AH6" i="2"/>
  <c r="AG9" i="2"/>
  <c r="AF11" i="2"/>
  <c r="AF6" i="2"/>
  <c r="AF5" i="2"/>
  <c r="D102" i="2" l="1"/>
  <c r="F102" i="2"/>
  <c r="G102" i="2"/>
  <c r="H102" i="2"/>
  <c r="I102" i="2"/>
  <c r="J102" i="2"/>
  <c r="K102" i="2"/>
  <c r="L102" i="2"/>
  <c r="M102" i="2"/>
  <c r="N102" i="2"/>
  <c r="O102" i="2"/>
  <c r="P102" i="2"/>
  <c r="Q102" i="2"/>
  <c r="D103" i="2"/>
  <c r="E103" i="2"/>
  <c r="F103" i="2"/>
  <c r="G103" i="2"/>
  <c r="H103" i="2"/>
  <c r="I103" i="2"/>
  <c r="J103" i="2"/>
  <c r="K103" i="2"/>
  <c r="L103" i="2"/>
  <c r="M103" i="2"/>
  <c r="N103" i="2"/>
  <c r="O103" i="2"/>
  <c r="P103" i="2"/>
  <c r="Q103" i="2"/>
  <c r="D104" i="2"/>
  <c r="E104" i="2"/>
  <c r="F104" i="2"/>
  <c r="G104" i="2"/>
  <c r="H104" i="2"/>
  <c r="I104" i="2"/>
  <c r="K104" i="2"/>
  <c r="L104" i="2"/>
  <c r="M104" i="2"/>
  <c r="N104" i="2"/>
  <c r="O104" i="2"/>
  <c r="P104" i="2"/>
  <c r="Q104" i="2"/>
  <c r="D105" i="2"/>
  <c r="E105" i="2"/>
  <c r="F105" i="2"/>
  <c r="G105" i="2"/>
  <c r="H105" i="2"/>
  <c r="I105" i="2"/>
  <c r="K105" i="2"/>
  <c r="L105" i="2"/>
  <c r="M105" i="2"/>
  <c r="N105" i="2"/>
  <c r="O105" i="2"/>
  <c r="P105" i="2"/>
  <c r="Q105" i="2"/>
  <c r="D106" i="2"/>
  <c r="E106" i="2"/>
  <c r="F106" i="2"/>
  <c r="G106" i="2"/>
  <c r="H106" i="2"/>
  <c r="I106" i="2"/>
  <c r="J106" i="2"/>
  <c r="K106" i="2"/>
  <c r="L106" i="2"/>
  <c r="M106" i="2"/>
  <c r="N106" i="2"/>
  <c r="P106" i="2"/>
  <c r="Q106" i="2"/>
  <c r="D107" i="2"/>
  <c r="E107" i="2"/>
  <c r="F107" i="2"/>
  <c r="G107" i="2"/>
  <c r="H107" i="2"/>
  <c r="I107" i="2"/>
  <c r="J107" i="2"/>
  <c r="K107" i="2"/>
  <c r="L107" i="2"/>
  <c r="M107" i="2"/>
  <c r="N107" i="2"/>
  <c r="P107" i="2"/>
  <c r="Q107" i="2"/>
  <c r="D108" i="2"/>
  <c r="E108" i="2"/>
  <c r="F108" i="2"/>
  <c r="G108" i="2"/>
  <c r="H108" i="2"/>
  <c r="I108" i="2"/>
  <c r="J108" i="2"/>
  <c r="K108" i="2"/>
  <c r="L108" i="2"/>
  <c r="M108" i="2"/>
  <c r="N108" i="2"/>
  <c r="O108" i="2"/>
  <c r="Q108" i="2"/>
  <c r="D109" i="2"/>
  <c r="E109" i="2"/>
  <c r="F109" i="2"/>
  <c r="G109" i="2"/>
  <c r="H109" i="2"/>
  <c r="I109" i="2"/>
  <c r="J109" i="2"/>
  <c r="K109" i="2"/>
  <c r="L109" i="2"/>
  <c r="M109" i="2"/>
  <c r="N109" i="2"/>
  <c r="O109" i="2"/>
  <c r="Q109" i="2"/>
  <c r="D110" i="2"/>
  <c r="F110" i="2"/>
  <c r="G110" i="2"/>
  <c r="H110" i="2"/>
  <c r="I110" i="2"/>
  <c r="J110" i="2"/>
  <c r="K110" i="2"/>
  <c r="L110" i="2"/>
  <c r="M110" i="2"/>
  <c r="N110" i="2"/>
  <c r="O110" i="2"/>
  <c r="P110" i="2"/>
  <c r="Q110" i="2"/>
  <c r="D111" i="2"/>
  <c r="F111" i="2"/>
  <c r="G111" i="2"/>
  <c r="H111" i="2"/>
  <c r="I111" i="2"/>
  <c r="J111" i="2"/>
  <c r="K111" i="2"/>
  <c r="L111" i="2"/>
  <c r="M111" i="2"/>
  <c r="N111" i="2"/>
  <c r="O111" i="2"/>
  <c r="P111" i="2"/>
  <c r="Q111" i="2"/>
  <c r="D112" i="2"/>
  <c r="E112" i="2"/>
  <c r="F112" i="2"/>
  <c r="G112" i="2"/>
  <c r="H112" i="2"/>
  <c r="I112" i="2"/>
  <c r="J112" i="2"/>
  <c r="K112" i="2"/>
  <c r="L112" i="2"/>
  <c r="M112" i="2"/>
  <c r="N112" i="2"/>
  <c r="O112" i="2"/>
  <c r="P112" i="2"/>
  <c r="Q112" i="2"/>
  <c r="D113" i="2"/>
  <c r="E113" i="2"/>
  <c r="F113" i="2"/>
  <c r="G113" i="2"/>
  <c r="H113" i="2"/>
  <c r="I113" i="2"/>
  <c r="K113" i="2"/>
  <c r="L113" i="2"/>
  <c r="M113" i="2"/>
  <c r="N113" i="2"/>
  <c r="O113" i="2"/>
  <c r="P113" i="2"/>
  <c r="Q113" i="2"/>
  <c r="D114" i="2"/>
  <c r="E114" i="2"/>
  <c r="F114" i="2"/>
  <c r="G114" i="2"/>
  <c r="H114" i="2"/>
  <c r="I114" i="2"/>
  <c r="K114" i="2"/>
  <c r="L114" i="2"/>
  <c r="M114" i="2"/>
  <c r="N114" i="2"/>
  <c r="O114" i="2"/>
  <c r="P114" i="2"/>
  <c r="Q114" i="2"/>
  <c r="D115" i="2"/>
  <c r="E115" i="2"/>
  <c r="F115" i="2"/>
  <c r="G115" i="2"/>
  <c r="H115" i="2"/>
  <c r="I115" i="2"/>
  <c r="J115" i="2"/>
  <c r="K115" i="2"/>
  <c r="L115" i="2"/>
  <c r="M115" i="2"/>
  <c r="N115" i="2"/>
  <c r="O115" i="2"/>
  <c r="O116" i="2" s="1"/>
  <c r="P115" i="2"/>
  <c r="Q115" i="2"/>
  <c r="D116" i="2"/>
  <c r="E116" i="2"/>
  <c r="F116" i="2"/>
  <c r="G116" i="2"/>
  <c r="H116" i="2"/>
  <c r="I116" i="2"/>
  <c r="J116" i="2"/>
  <c r="K116" i="2"/>
  <c r="L116" i="2"/>
  <c r="M116" i="2"/>
  <c r="N116" i="2"/>
  <c r="P116" i="2"/>
  <c r="P117" i="2" s="1"/>
  <c r="Q116" i="2"/>
  <c r="D117" i="2"/>
  <c r="E117" i="2"/>
  <c r="F117" i="2"/>
  <c r="G117" i="2"/>
  <c r="H117" i="2"/>
  <c r="I117" i="2"/>
  <c r="J117" i="2"/>
  <c r="K117" i="2"/>
  <c r="L117" i="2"/>
  <c r="M117" i="2"/>
  <c r="N117" i="2"/>
  <c r="Q117" i="2"/>
  <c r="D118" i="2"/>
  <c r="E118" i="2"/>
  <c r="F118" i="2"/>
  <c r="G118" i="2"/>
  <c r="H118" i="2"/>
  <c r="I118" i="2"/>
  <c r="J118" i="2"/>
  <c r="K118" i="2"/>
  <c r="L118" i="2"/>
  <c r="M118" i="2"/>
  <c r="N118" i="2"/>
  <c r="O118" i="2"/>
  <c r="Q118" i="2"/>
  <c r="D119" i="2"/>
  <c r="E119" i="2"/>
  <c r="F119" i="2"/>
  <c r="G119" i="2"/>
  <c r="H119" i="2"/>
  <c r="I119" i="2"/>
  <c r="J119" i="2"/>
  <c r="K119" i="2"/>
  <c r="L119" i="2"/>
  <c r="M119" i="2"/>
  <c r="N119" i="2"/>
  <c r="O119" i="2"/>
  <c r="Q119" i="2"/>
  <c r="D120" i="2"/>
  <c r="F120" i="2"/>
  <c r="G120" i="2"/>
  <c r="H120" i="2"/>
  <c r="I120" i="2"/>
  <c r="J120" i="2"/>
  <c r="K120" i="2"/>
  <c r="L120" i="2"/>
  <c r="M120" i="2"/>
  <c r="N120" i="2"/>
  <c r="O120" i="2"/>
  <c r="P120" i="2"/>
  <c r="Q120" i="2"/>
  <c r="D121" i="2"/>
  <c r="F121" i="2"/>
  <c r="G121" i="2"/>
  <c r="H121" i="2"/>
  <c r="I121" i="2"/>
  <c r="J121" i="2"/>
  <c r="K121" i="2"/>
  <c r="L121" i="2"/>
  <c r="M121" i="2"/>
  <c r="N121" i="2"/>
  <c r="O121" i="2"/>
  <c r="P121" i="2"/>
  <c r="Q121" i="2"/>
  <c r="D122" i="2"/>
  <c r="E122" i="2"/>
  <c r="F122" i="2"/>
  <c r="G122" i="2"/>
  <c r="H122" i="2"/>
  <c r="I122" i="2"/>
  <c r="J122" i="2"/>
  <c r="K122" i="2"/>
  <c r="L122" i="2"/>
  <c r="M122" i="2"/>
  <c r="N122" i="2"/>
  <c r="O122" i="2"/>
  <c r="P122" i="2"/>
  <c r="Q122" i="2"/>
  <c r="D123" i="2"/>
  <c r="E123" i="2"/>
  <c r="F123" i="2"/>
  <c r="G123" i="2"/>
  <c r="H123" i="2"/>
  <c r="I123" i="2"/>
  <c r="J123" i="2"/>
  <c r="K123" i="2"/>
  <c r="L123" i="2"/>
  <c r="M123" i="2"/>
  <c r="N123" i="2"/>
  <c r="O123" i="2"/>
  <c r="P123" i="2"/>
  <c r="Q123" i="2"/>
  <c r="D124" i="2"/>
  <c r="E124" i="2"/>
  <c r="F124" i="2"/>
  <c r="G124" i="2"/>
  <c r="H124" i="2"/>
  <c r="I124" i="2"/>
  <c r="J124" i="2"/>
  <c r="K124" i="2"/>
  <c r="L124" i="2"/>
  <c r="M124" i="2"/>
  <c r="N124" i="2"/>
  <c r="O124" i="2"/>
  <c r="P124" i="2"/>
  <c r="Q124" i="2"/>
  <c r="D125" i="2"/>
  <c r="E125" i="2"/>
  <c r="F125" i="2"/>
  <c r="G125" i="2"/>
  <c r="H125" i="2"/>
  <c r="I125" i="2"/>
  <c r="K125" i="2"/>
  <c r="L125" i="2"/>
  <c r="M125" i="2"/>
  <c r="N125" i="2"/>
  <c r="O125" i="2"/>
  <c r="P125" i="2"/>
  <c r="Q125" i="2"/>
  <c r="D126" i="2"/>
  <c r="E126" i="2"/>
  <c r="F126" i="2"/>
  <c r="G126" i="2"/>
  <c r="H126" i="2"/>
  <c r="I126" i="2"/>
  <c r="K126" i="2"/>
  <c r="L126" i="2"/>
  <c r="M126" i="2"/>
  <c r="N126" i="2"/>
  <c r="O126" i="2"/>
  <c r="P126" i="2"/>
  <c r="Q126" i="2"/>
  <c r="D127" i="2"/>
  <c r="E127" i="2"/>
  <c r="F127" i="2"/>
  <c r="G127" i="2"/>
  <c r="H127" i="2"/>
  <c r="I127" i="2"/>
  <c r="J127" i="2"/>
  <c r="K127" i="2"/>
  <c r="L127" i="2"/>
  <c r="M127" i="2"/>
  <c r="N127" i="2"/>
  <c r="O127" i="2"/>
  <c r="P127" i="2"/>
  <c r="Q127" i="2"/>
  <c r="D128" i="2"/>
  <c r="E128" i="2"/>
  <c r="F128" i="2"/>
  <c r="G128" i="2"/>
  <c r="H128" i="2"/>
  <c r="I128" i="2"/>
  <c r="J128" i="2"/>
  <c r="K128" i="2"/>
  <c r="L128" i="2"/>
  <c r="M128" i="2"/>
  <c r="N128" i="2"/>
  <c r="O128" i="2"/>
  <c r="P128" i="2"/>
  <c r="Q128" i="2"/>
  <c r="D129" i="2"/>
  <c r="E129" i="2"/>
  <c r="F129" i="2"/>
  <c r="G129" i="2"/>
  <c r="H129" i="2"/>
  <c r="I129" i="2"/>
  <c r="J129" i="2"/>
  <c r="K129" i="2"/>
  <c r="L129" i="2"/>
  <c r="M129" i="2"/>
  <c r="N129" i="2"/>
  <c r="O129" i="2"/>
  <c r="P129" i="2"/>
  <c r="Q129" i="2"/>
  <c r="D130" i="2"/>
  <c r="E130" i="2"/>
  <c r="F130" i="2"/>
  <c r="G130" i="2"/>
  <c r="H130" i="2"/>
  <c r="I130" i="2"/>
  <c r="J130" i="2"/>
  <c r="K130" i="2"/>
  <c r="L130" i="2"/>
  <c r="M130" i="2"/>
  <c r="N130" i="2"/>
  <c r="O130" i="2"/>
  <c r="P130" i="2"/>
  <c r="Q130" i="2"/>
  <c r="D131" i="2"/>
  <c r="E131" i="2"/>
  <c r="F131" i="2"/>
  <c r="G131" i="2"/>
  <c r="H131" i="2"/>
  <c r="I131" i="2"/>
  <c r="J131" i="2"/>
  <c r="K131" i="2"/>
  <c r="L131" i="2"/>
  <c r="M131" i="2"/>
  <c r="N131" i="2"/>
  <c r="O131" i="2"/>
  <c r="P131" i="2"/>
  <c r="Q131" i="2"/>
  <c r="D132" i="2"/>
  <c r="E132" i="2"/>
  <c r="F132" i="2"/>
  <c r="G132" i="2"/>
  <c r="H132" i="2"/>
  <c r="I132" i="2"/>
  <c r="J132" i="2"/>
  <c r="K132" i="2"/>
  <c r="L132" i="2"/>
  <c r="M132" i="2"/>
  <c r="N132" i="2"/>
  <c r="P132" i="2"/>
  <c r="Q132" i="2"/>
  <c r="D133" i="2"/>
  <c r="E133" i="2"/>
  <c r="F133" i="2"/>
  <c r="G133" i="2"/>
  <c r="H133" i="2"/>
  <c r="I133" i="2"/>
  <c r="J133" i="2"/>
  <c r="K133" i="2"/>
  <c r="L133" i="2"/>
  <c r="M133" i="2"/>
  <c r="N133" i="2"/>
  <c r="P133" i="2"/>
  <c r="Q133" i="2"/>
  <c r="D134" i="2"/>
  <c r="E134" i="2"/>
  <c r="F134" i="2"/>
  <c r="G134" i="2"/>
  <c r="H134" i="2"/>
  <c r="I134" i="2"/>
  <c r="J134" i="2"/>
  <c r="K134" i="2"/>
  <c r="L134" i="2"/>
  <c r="M134" i="2"/>
  <c r="N134" i="2"/>
  <c r="O134" i="2"/>
  <c r="Q134" i="2"/>
  <c r="D135" i="2"/>
  <c r="E135" i="2"/>
  <c r="F135" i="2"/>
  <c r="G135" i="2"/>
  <c r="H135" i="2"/>
  <c r="I135" i="2"/>
  <c r="J135" i="2"/>
  <c r="K135" i="2"/>
  <c r="L135" i="2"/>
  <c r="M135" i="2"/>
  <c r="N135" i="2"/>
  <c r="O135" i="2"/>
  <c r="Q135" i="2"/>
  <c r="D136" i="2"/>
  <c r="E136" i="2"/>
  <c r="F136" i="2"/>
  <c r="G136" i="2"/>
  <c r="H136" i="2"/>
  <c r="I136" i="2"/>
  <c r="J136" i="2"/>
  <c r="K136" i="2"/>
  <c r="L136" i="2"/>
  <c r="M136" i="2"/>
  <c r="N136" i="2"/>
  <c r="O136" i="2"/>
  <c r="P136" i="2"/>
  <c r="Q136" i="2"/>
  <c r="D137" i="2"/>
  <c r="E137" i="2"/>
  <c r="F137" i="2"/>
  <c r="G137" i="2"/>
  <c r="H137" i="2"/>
  <c r="I137" i="2"/>
  <c r="J137" i="2"/>
  <c r="K137" i="2"/>
  <c r="L137" i="2"/>
  <c r="M137" i="2"/>
  <c r="N137" i="2"/>
  <c r="O137" i="2"/>
  <c r="P137" i="2"/>
  <c r="Q137" i="2"/>
  <c r="D138" i="2"/>
  <c r="E138" i="2"/>
  <c r="F138" i="2"/>
  <c r="G138" i="2"/>
  <c r="H138" i="2"/>
  <c r="I138" i="2"/>
  <c r="J138" i="2"/>
  <c r="K138" i="2"/>
  <c r="L138" i="2"/>
  <c r="M138" i="2"/>
  <c r="N138" i="2"/>
  <c r="O138" i="2"/>
  <c r="P138" i="2"/>
  <c r="Q138" i="2"/>
  <c r="D139" i="2"/>
  <c r="E139" i="2"/>
  <c r="F139" i="2"/>
  <c r="G139" i="2"/>
  <c r="H139" i="2"/>
  <c r="I139" i="2"/>
  <c r="J139" i="2"/>
  <c r="K139" i="2"/>
  <c r="L139" i="2"/>
  <c r="M139" i="2"/>
  <c r="N139" i="2"/>
  <c r="O139" i="2"/>
  <c r="P139" i="2"/>
  <c r="Q139" i="2"/>
  <c r="D140" i="2"/>
  <c r="E140" i="2"/>
  <c r="F140" i="2"/>
  <c r="G140" i="2"/>
  <c r="H140" i="2"/>
  <c r="I140" i="2"/>
  <c r="J140" i="2"/>
  <c r="K140" i="2"/>
  <c r="L140" i="2"/>
  <c r="M140" i="2"/>
  <c r="N140" i="2"/>
  <c r="O140" i="2"/>
  <c r="P140" i="2"/>
  <c r="Q140" i="2"/>
  <c r="D141" i="2"/>
  <c r="E141" i="2"/>
  <c r="F141" i="2"/>
  <c r="G141" i="2"/>
  <c r="H141" i="2"/>
  <c r="I141" i="2"/>
  <c r="J141" i="2"/>
  <c r="K141" i="2"/>
  <c r="L141" i="2"/>
  <c r="M141" i="2"/>
  <c r="N141" i="2"/>
  <c r="O141" i="2"/>
  <c r="P141" i="2"/>
  <c r="Q141" i="2"/>
  <c r="D142" i="2"/>
  <c r="E142" i="2"/>
  <c r="F142" i="2"/>
  <c r="G142" i="2"/>
  <c r="H142" i="2"/>
  <c r="I142" i="2"/>
  <c r="J142" i="2"/>
  <c r="K142" i="2"/>
  <c r="L142" i="2"/>
  <c r="M142" i="2"/>
  <c r="N142" i="2"/>
  <c r="O142" i="2"/>
  <c r="P142" i="2"/>
  <c r="Q142" i="2"/>
  <c r="F101" i="2"/>
  <c r="G101" i="2"/>
  <c r="H101" i="2"/>
  <c r="I101" i="2"/>
  <c r="J101" i="2"/>
  <c r="K101" i="2"/>
  <c r="L101" i="2"/>
  <c r="M101" i="2"/>
  <c r="N101" i="2"/>
  <c r="O101" i="2"/>
  <c r="P101" i="2"/>
  <c r="Q101" i="2"/>
  <c r="D101" i="2"/>
  <c r="D55" i="2"/>
  <c r="F55" i="2"/>
  <c r="G55" i="2"/>
  <c r="H55" i="2"/>
  <c r="I55" i="2"/>
  <c r="J55" i="2"/>
  <c r="K55" i="2"/>
  <c r="L55" i="2"/>
  <c r="M55" i="2"/>
  <c r="N55" i="2"/>
  <c r="O55" i="2"/>
  <c r="P55" i="2"/>
  <c r="Q55" i="2"/>
  <c r="D56" i="2"/>
  <c r="E56" i="2"/>
  <c r="F56" i="2"/>
  <c r="G56" i="2"/>
  <c r="H56" i="2"/>
  <c r="I56" i="2"/>
  <c r="J56" i="2"/>
  <c r="K56" i="2"/>
  <c r="L56" i="2"/>
  <c r="M56" i="2"/>
  <c r="N56" i="2"/>
  <c r="O56" i="2"/>
  <c r="P56" i="2"/>
  <c r="Q56" i="2"/>
  <c r="D57" i="2"/>
  <c r="E57" i="2"/>
  <c r="F57" i="2"/>
  <c r="G57" i="2"/>
  <c r="H57" i="2"/>
  <c r="K57" i="2"/>
  <c r="L57" i="2"/>
  <c r="M57" i="2"/>
  <c r="N57" i="2"/>
  <c r="O57" i="2"/>
  <c r="P57" i="2"/>
  <c r="Q57" i="2"/>
  <c r="D58" i="2"/>
  <c r="E58" i="2"/>
  <c r="F58" i="2"/>
  <c r="G58" i="2"/>
  <c r="H58" i="2"/>
  <c r="I58" i="2"/>
  <c r="K58" i="2"/>
  <c r="L58" i="2"/>
  <c r="M58" i="2"/>
  <c r="N58" i="2"/>
  <c r="O58" i="2"/>
  <c r="P58" i="2"/>
  <c r="Q58" i="2"/>
  <c r="D59" i="2"/>
  <c r="E59" i="2"/>
  <c r="F59" i="2"/>
  <c r="G59" i="2"/>
  <c r="H59" i="2"/>
  <c r="I59" i="2"/>
  <c r="J59" i="2"/>
  <c r="K59" i="2"/>
  <c r="L59" i="2"/>
  <c r="M59" i="2"/>
  <c r="N59" i="2"/>
  <c r="P59" i="2"/>
  <c r="Q59" i="2"/>
  <c r="D60" i="2"/>
  <c r="E60" i="2"/>
  <c r="F60" i="2"/>
  <c r="G60" i="2"/>
  <c r="H60" i="2"/>
  <c r="I60" i="2"/>
  <c r="J60" i="2"/>
  <c r="K60" i="2"/>
  <c r="L60" i="2"/>
  <c r="M60" i="2"/>
  <c r="N60" i="2"/>
  <c r="P60" i="2"/>
  <c r="Q60" i="2"/>
  <c r="D61" i="2"/>
  <c r="E61" i="2"/>
  <c r="F61" i="2"/>
  <c r="G61" i="2"/>
  <c r="H61" i="2"/>
  <c r="I61" i="2"/>
  <c r="J61" i="2"/>
  <c r="K61" i="2"/>
  <c r="L61" i="2"/>
  <c r="M61" i="2"/>
  <c r="N61" i="2"/>
  <c r="O61" i="2"/>
  <c r="Q61" i="2"/>
  <c r="D62" i="2"/>
  <c r="E62" i="2"/>
  <c r="F62" i="2"/>
  <c r="G62" i="2"/>
  <c r="H62" i="2"/>
  <c r="I62" i="2"/>
  <c r="J62" i="2"/>
  <c r="K62" i="2"/>
  <c r="L62" i="2"/>
  <c r="M62" i="2"/>
  <c r="O62" i="2"/>
  <c r="Q62" i="2"/>
  <c r="D63" i="2"/>
  <c r="F63" i="2"/>
  <c r="G63" i="2"/>
  <c r="H63" i="2"/>
  <c r="I63" i="2"/>
  <c r="J63" i="2"/>
  <c r="K63" i="2"/>
  <c r="L63" i="2"/>
  <c r="M63" i="2"/>
  <c r="O63" i="2"/>
  <c r="P63" i="2"/>
  <c r="Q63" i="2"/>
  <c r="F64" i="2"/>
  <c r="G64" i="2"/>
  <c r="H64" i="2"/>
  <c r="I64" i="2"/>
  <c r="J64" i="2"/>
  <c r="K64" i="2"/>
  <c r="L64" i="2"/>
  <c r="M64" i="2"/>
  <c r="N64" i="2"/>
  <c r="O64" i="2"/>
  <c r="P64" i="2"/>
  <c r="Q64" i="2"/>
  <c r="D65" i="2"/>
  <c r="E65" i="2"/>
  <c r="F65" i="2"/>
  <c r="G65" i="2"/>
  <c r="H65" i="2"/>
  <c r="I65" i="2"/>
  <c r="J65" i="2"/>
  <c r="K65" i="2"/>
  <c r="L65" i="2"/>
  <c r="M65" i="2"/>
  <c r="O65" i="2"/>
  <c r="P65" i="2"/>
  <c r="Q65" i="2"/>
  <c r="D66" i="2"/>
  <c r="E66" i="2"/>
  <c r="F66" i="2"/>
  <c r="G66" i="2"/>
  <c r="H66" i="2"/>
  <c r="I66" i="2"/>
  <c r="K66" i="2"/>
  <c r="L66" i="2"/>
  <c r="M66" i="2"/>
  <c r="N66" i="2"/>
  <c r="O66" i="2"/>
  <c r="P66" i="2"/>
  <c r="Q66" i="2"/>
  <c r="D67" i="2"/>
  <c r="E67" i="2"/>
  <c r="F67" i="2"/>
  <c r="G67" i="2"/>
  <c r="H67" i="2"/>
  <c r="K67" i="2"/>
  <c r="L67" i="2"/>
  <c r="M67" i="2"/>
  <c r="N67" i="2"/>
  <c r="O67" i="2"/>
  <c r="P67" i="2"/>
  <c r="Q67" i="2"/>
  <c r="D68" i="2"/>
  <c r="E68" i="2"/>
  <c r="F68" i="2"/>
  <c r="G68" i="2"/>
  <c r="H68" i="2"/>
  <c r="I68" i="2"/>
  <c r="J68" i="2"/>
  <c r="K68" i="2"/>
  <c r="L68" i="2"/>
  <c r="M68" i="2"/>
  <c r="N68" i="2"/>
  <c r="O68" i="2"/>
  <c r="P68" i="2"/>
  <c r="Q68" i="2"/>
  <c r="D69" i="2"/>
  <c r="E69" i="2"/>
  <c r="F69" i="2"/>
  <c r="G69" i="2"/>
  <c r="H69" i="2"/>
  <c r="I69" i="2"/>
  <c r="J69" i="2"/>
  <c r="K69" i="2"/>
  <c r="L69" i="2"/>
  <c r="M69" i="2"/>
  <c r="N69" i="2"/>
  <c r="P69" i="2"/>
  <c r="Q69" i="2"/>
  <c r="D70" i="2"/>
  <c r="E70" i="2"/>
  <c r="F70" i="2"/>
  <c r="G70" i="2"/>
  <c r="H70" i="2"/>
  <c r="I70" i="2"/>
  <c r="J70" i="2"/>
  <c r="K70" i="2"/>
  <c r="L70" i="2"/>
  <c r="M70" i="2"/>
  <c r="N70" i="2"/>
  <c r="Q70" i="2"/>
  <c r="D71" i="2"/>
  <c r="E71" i="2"/>
  <c r="F71" i="2"/>
  <c r="G71" i="2"/>
  <c r="H71" i="2"/>
  <c r="I71" i="2"/>
  <c r="J71" i="2"/>
  <c r="K71" i="2"/>
  <c r="L71" i="2"/>
  <c r="M71" i="2"/>
  <c r="O71" i="2"/>
  <c r="Q71" i="2"/>
  <c r="D72" i="2"/>
  <c r="E72" i="2"/>
  <c r="F72" i="2"/>
  <c r="G72" i="2"/>
  <c r="H72" i="2"/>
  <c r="I72" i="2"/>
  <c r="J72" i="2"/>
  <c r="K72" i="2"/>
  <c r="L72" i="2"/>
  <c r="M72" i="2"/>
  <c r="O72" i="2"/>
  <c r="Q72" i="2"/>
  <c r="F73" i="2"/>
  <c r="G73" i="2"/>
  <c r="H73" i="2"/>
  <c r="I73" i="2"/>
  <c r="J73" i="2"/>
  <c r="K73" i="2"/>
  <c r="L73" i="2"/>
  <c r="M73" i="2"/>
  <c r="N73" i="2"/>
  <c r="O73" i="2"/>
  <c r="P73" i="2"/>
  <c r="Q73" i="2"/>
  <c r="D74" i="2"/>
  <c r="F74" i="2"/>
  <c r="G74" i="2"/>
  <c r="H74" i="2"/>
  <c r="I74" i="2"/>
  <c r="J74" i="2"/>
  <c r="K74" i="2"/>
  <c r="L74" i="2"/>
  <c r="M74" i="2"/>
  <c r="N74" i="2"/>
  <c r="O74" i="2"/>
  <c r="P74" i="2"/>
  <c r="Q74" i="2"/>
  <c r="D75" i="2"/>
  <c r="E75" i="2"/>
  <c r="F75" i="2"/>
  <c r="G75" i="2"/>
  <c r="H75" i="2"/>
  <c r="I75" i="2"/>
  <c r="J75" i="2"/>
  <c r="K75" i="2"/>
  <c r="L75" i="2"/>
  <c r="M75" i="2"/>
  <c r="N75" i="2"/>
  <c r="O75" i="2"/>
  <c r="P75" i="2"/>
  <c r="Q75" i="2"/>
  <c r="D76" i="2"/>
  <c r="E76" i="2"/>
  <c r="F76" i="2"/>
  <c r="G76" i="2"/>
  <c r="H76" i="2"/>
  <c r="I76" i="2"/>
  <c r="J76" i="2"/>
  <c r="K76" i="2"/>
  <c r="L76" i="2"/>
  <c r="M76" i="2"/>
  <c r="N76" i="2"/>
  <c r="O76" i="2"/>
  <c r="P76" i="2"/>
  <c r="Q76" i="2"/>
  <c r="D77" i="2"/>
  <c r="E77" i="2"/>
  <c r="F77" i="2"/>
  <c r="G77" i="2"/>
  <c r="H77" i="2"/>
  <c r="I77" i="2"/>
  <c r="J77" i="2"/>
  <c r="K77" i="2"/>
  <c r="L77" i="2"/>
  <c r="M77" i="2"/>
  <c r="N77" i="2"/>
  <c r="O77" i="2"/>
  <c r="P77" i="2"/>
  <c r="Q77" i="2"/>
  <c r="D78" i="2"/>
  <c r="E78" i="2"/>
  <c r="F78" i="2"/>
  <c r="G78" i="2"/>
  <c r="H78" i="2"/>
  <c r="K78" i="2"/>
  <c r="L78" i="2"/>
  <c r="M78" i="2"/>
  <c r="N78" i="2"/>
  <c r="O78" i="2"/>
  <c r="P78" i="2"/>
  <c r="Q78" i="2"/>
  <c r="D79" i="2"/>
  <c r="E79" i="2"/>
  <c r="F79" i="2"/>
  <c r="G79" i="2"/>
  <c r="H79" i="2"/>
  <c r="I79" i="2"/>
  <c r="K79" i="2"/>
  <c r="L79" i="2"/>
  <c r="M79" i="2"/>
  <c r="N79" i="2"/>
  <c r="O79" i="2"/>
  <c r="P79" i="2"/>
  <c r="Q79" i="2"/>
  <c r="D80" i="2"/>
  <c r="E80" i="2"/>
  <c r="F80" i="2"/>
  <c r="G80" i="2"/>
  <c r="H80" i="2"/>
  <c r="I80" i="2"/>
  <c r="J80" i="2"/>
  <c r="K80" i="2"/>
  <c r="L80" i="2"/>
  <c r="M80" i="2"/>
  <c r="N80" i="2"/>
  <c r="O80" i="2"/>
  <c r="P80" i="2"/>
  <c r="Q80" i="2"/>
  <c r="D81" i="2"/>
  <c r="E81" i="2"/>
  <c r="F81" i="2"/>
  <c r="G81" i="2"/>
  <c r="H81" i="2"/>
  <c r="I81" i="2"/>
  <c r="J81" i="2"/>
  <c r="K81" i="2"/>
  <c r="L81" i="2"/>
  <c r="M81" i="2"/>
  <c r="N81" i="2"/>
  <c r="O81" i="2"/>
  <c r="P81" i="2"/>
  <c r="Q81" i="2"/>
  <c r="D82" i="2"/>
  <c r="E82" i="2"/>
  <c r="F82" i="2"/>
  <c r="G82" i="2"/>
  <c r="H82" i="2"/>
  <c r="I82" i="2"/>
  <c r="J82" i="2"/>
  <c r="K82" i="2"/>
  <c r="L82" i="2"/>
  <c r="M82" i="2"/>
  <c r="N82" i="2"/>
  <c r="O82" i="2"/>
  <c r="P82" i="2"/>
  <c r="Q82" i="2"/>
  <c r="D83" i="2"/>
  <c r="E83" i="2"/>
  <c r="F83" i="2"/>
  <c r="G83" i="2"/>
  <c r="H83" i="2"/>
  <c r="I83" i="2"/>
  <c r="J83" i="2"/>
  <c r="K83" i="2"/>
  <c r="L83" i="2"/>
  <c r="M83" i="2"/>
  <c r="N83" i="2"/>
  <c r="O83" i="2"/>
  <c r="P83" i="2"/>
  <c r="Q83" i="2"/>
  <c r="D84" i="2"/>
  <c r="E84" i="2"/>
  <c r="F84" i="2"/>
  <c r="G84" i="2"/>
  <c r="H84" i="2"/>
  <c r="I84" i="2"/>
  <c r="J84" i="2"/>
  <c r="K84" i="2"/>
  <c r="L84" i="2"/>
  <c r="M84" i="2"/>
  <c r="N84" i="2"/>
  <c r="O84" i="2"/>
  <c r="P84" i="2"/>
  <c r="Q84" i="2"/>
  <c r="D85" i="2"/>
  <c r="E85" i="2"/>
  <c r="F85" i="2"/>
  <c r="G85" i="2"/>
  <c r="H85" i="2"/>
  <c r="I85" i="2"/>
  <c r="J85" i="2"/>
  <c r="K85" i="2"/>
  <c r="L85" i="2"/>
  <c r="M85" i="2"/>
  <c r="N85" i="2"/>
  <c r="P85" i="2"/>
  <c r="Q85" i="2"/>
  <c r="D86" i="2"/>
  <c r="E86" i="2"/>
  <c r="F86" i="2"/>
  <c r="G86" i="2"/>
  <c r="H86" i="2"/>
  <c r="I86" i="2"/>
  <c r="J86" i="2"/>
  <c r="K86" i="2"/>
  <c r="L86" i="2"/>
  <c r="M86" i="2"/>
  <c r="N86" i="2"/>
  <c r="P86" i="2"/>
  <c r="Q86" i="2"/>
  <c r="D87" i="2"/>
  <c r="E87" i="2"/>
  <c r="F87" i="2"/>
  <c r="G87" i="2"/>
  <c r="H87" i="2"/>
  <c r="I87" i="2"/>
  <c r="J87" i="2"/>
  <c r="K87" i="2"/>
  <c r="L87" i="2"/>
  <c r="M87" i="2"/>
  <c r="N87" i="2"/>
  <c r="O87" i="2"/>
  <c r="Q87" i="2"/>
  <c r="D88" i="2"/>
  <c r="E88" i="2"/>
  <c r="F88" i="2"/>
  <c r="G88" i="2"/>
  <c r="H88" i="2"/>
  <c r="I88" i="2"/>
  <c r="J88" i="2"/>
  <c r="K88" i="2"/>
  <c r="L88" i="2"/>
  <c r="M88" i="2"/>
  <c r="N88" i="2"/>
  <c r="O88" i="2"/>
  <c r="Q88" i="2"/>
  <c r="D89" i="2"/>
  <c r="E89" i="2"/>
  <c r="F89" i="2"/>
  <c r="G89" i="2"/>
  <c r="H89" i="2"/>
  <c r="I89" i="2"/>
  <c r="J89" i="2"/>
  <c r="K89" i="2"/>
  <c r="L89" i="2"/>
  <c r="M89" i="2"/>
  <c r="N89" i="2"/>
  <c r="O89" i="2"/>
  <c r="P89" i="2"/>
  <c r="Q89" i="2"/>
  <c r="D90" i="2"/>
  <c r="E90" i="2"/>
  <c r="F90" i="2"/>
  <c r="G90" i="2"/>
  <c r="H90" i="2"/>
  <c r="I90" i="2"/>
  <c r="J90" i="2"/>
  <c r="K90" i="2"/>
  <c r="L90" i="2"/>
  <c r="M90" i="2"/>
  <c r="N90" i="2"/>
  <c r="O90" i="2"/>
  <c r="P90" i="2"/>
  <c r="Q90" i="2"/>
  <c r="D91" i="2"/>
  <c r="E91" i="2"/>
  <c r="F91" i="2"/>
  <c r="G91" i="2"/>
  <c r="H91" i="2"/>
  <c r="I91" i="2"/>
  <c r="J91" i="2"/>
  <c r="K91" i="2"/>
  <c r="L91" i="2"/>
  <c r="M91" i="2"/>
  <c r="N91" i="2"/>
  <c r="O91" i="2"/>
  <c r="P91" i="2"/>
  <c r="Q91" i="2"/>
  <c r="D92" i="2"/>
  <c r="E92" i="2"/>
  <c r="F92" i="2"/>
  <c r="G92" i="2"/>
  <c r="H92" i="2"/>
  <c r="I92" i="2"/>
  <c r="J92" i="2"/>
  <c r="K92" i="2"/>
  <c r="L92" i="2"/>
  <c r="M92" i="2"/>
  <c r="N92" i="2"/>
  <c r="O92" i="2"/>
  <c r="P92" i="2"/>
  <c r="Q92" i="2"/>
  <c r="D93" i="2"/>
  <c r="E93" i="2"/>
  <c r="F93" i="2"/>
  <c r="G93" i="2"/>
  <c r="H93" i="2"/>
  <c r="I93" i="2"/>
  <c r="J93" i="2"/>
  <c r="K93" i="2"/>
  <c r="L93" i="2"/>
  <c r="M93" i="2"/>
  <c r="N93" i="2"/>
  <c r="O93" i="2"/>
  <c r="P93" i="2"/>
  <c r="Q93" i="2"/>
  <c r="D94" i="2"/>
  <c r="E94" i="2"/>
  <c r="F94" i="2"/>
  <c r="G94" i="2"/>
  <c r="H94" i="2"/>
  <c r="I94" i="2"/>
  <c r="J94" i="2"/>
  <c r="K94" i="2"/>
  <c r="L94" i="2"/>
  <c r="M94" i="2"/>
  <c r="N94" i="2"/>
  <c r="O94" i="2"/>
  <c r="P94" i="2"/>
  <c r="Q94" i="2"/>
  <c r="D95" i="2"/>
  <c r="E95" i="2"/>
  <c r="F95" i="2"/>
  <c r="G95" i="2"/>
  <c r="H95" i="2"/>
  <c r="I95" i="2"/>
  <c r="J95" i="2"/>
  <c r="K95" i="2"/>
  <c r="L95" i="2"/>
  <c r="M95" i="2"/>
  <c r="N95" i="2"/>
  <c r="O95" i="2"/>
  <c r="P95" i="2"/>
  <c r="Q95" i="2"/>
  <c r="F54" i="2"/>
  <c r="G54" i="2"/>
  <c r="H54" i="2"/>
  <c r="I54" i="2"/>
  <c r="J54" i="2"/>
  <c r="K54" i="2"/>
  <c r="L54" i="2"/>
  <c r="M54" i="2"/>
  <c r="N54" i="2"/>
  <c r="O54" i="2"/>
  <c r="P54" i="2"/>
  <c r="Q54" i="2"/>
  <c r="J23" i="9" l="1"/>
  <c r="N16" i="9" s="1" a="1"/>
  <c r="N23" i="9" s="1"/>
  <c r="I23" i="9"/>
  <c r="H23" i="9"/>
  <c r="G23" i="9"/>
  <c r="F23" i="9"/>
  <c r="E23" i="9"/>
  <c r="D23" i="9"/>
  <c r="C23" i="9"/>
  <c r="B23" i="9"/>
  <c r="J22" i="9"/>
  <c r="I22" i="9"/>
  <c r="H22" i="9"/>
  <c r="G22" i="9"/>
  <c r="F22" i="9"/>
  <c r="E22" i="9"/>
  <c r="D22" i="9"/>
  <c r="C22" i="9"/>
  <c r="B22" i="9"/>
  <c r="J21" i="9"/>
  <c r="I21" i="9"/>
  <c r="H21" i="9"/>
  <c r="G21" i="9"/>
  <c r="F21" i="9"/>
  <c r="E21" i="9"/>
  <c r="D21" i="9"/>
  <c r="C21" i="9"/>
  <c r="B21" i="9"/>
  <c r="J20" i="9"/>
  <c r="I20" i="9"/>
  <c r="H20" i="9"/>
  <c r="G20" i="9"/>
  <c r="F20" i="9"/>
  <c r="E20" i="9"/>
  <c r="D20" i="9"/>
  <c r="C20" i="9"/>
  <c r="B20" i="9"/>
  <c r="J19" i="9"/>
  <c r="I19" i="9"/>
  <c r="H19" i="9"/>
  <c r="G19" i="9"/>
  <c r="F19" i="9"/>
  <c r="E19" i="9"/>
  <c r="D19" i="9"/>
  <c r="C19" i="9"/>
  <c r="B19" i="9"/>
  <c r="J18" i="9"/>
  <c r="I18" i="9"/>
  <c r="H18" i="9"/>
  <c r="G18" i="9"/>
  <c r="F18" i="9"/>
  <c r="E18" i="9"/>
  <c r="D18" i="9"/>
  <c r="C18" i="9"/>
  <c r="B18" i="9"/>
  <c r="J17" i="9"/>
  <c r="I17" i="9"/>
  <c r="H17" i="9"/>
  <c r="G17" i="9"/>
  <c r="F17" i="9"/>
  <c r="E17" i="9"/>
  <c r="D17" i="9"/>
  <c r="C17" i="9"/>
  <c r="B17" i="9"/>
  <c r="M16" i="9" a="1"/>
  <c r="M16" i="9" s="1"/>
  <c r="J23" i="8"/>
  <c r="I23" i="8"/>
  <c r="H23" i="8"/>
  <c r="G23" i="8"/>
  <c r="F23" i="8"/>
  <c r="E23" i="8"/>
  <c r="D23" i="8"/>
  <c r="C23" i="8"/>
  <c r="B23" i="8"/>
  <c r="J22" i="8"/>
  <c r="I22" i="8"/>
  <c r="H22" i="8"/>
  <c r="G22" i="8"/>
  <c r="F22" i="8"/>
  <c r="E22" i="8"/>
  <c r="D22" i="8"/>
  <c r="C22" i="8"/>
  <c r="B22" i="8"/>
  <c r="J21" i="8"/>
  <c r="I21" i="8"/>
  <c r="H21" i="8"/>
  <c r="G21" i="8"/>
  <c r="F21" i="8"/>
  <c r="E21" i="8"/>
  <c r="D21" i="8"/>
  <c r="C21" i="8"/>
  <c r="B21" i="8"/>
  <c r="J20" i="8"/>
  <c r="I20" i="8"/>
  <c r="H20" i="8"/>
  <c r="G20" i="8"/>
  <c r="F20" i="8"/>
  <c r="E20" i="8"/>
  <c r="D20" i="8"/>
  <c r="C20" i="8"/>
  <c r="B20" i="8"/>
  <c r="J19" i="8"/>
  <c r="I19" i="8"/>
  <c r="H19" i="8"/>
  <c r="G19" i="8"/>
  <c r="F19" i="8"/>
  <c r="E19" i="8"/>
  <c r="D19" i="8"/>
  <c r="C19" i="8"/>
  <c r="B19" i="8"/>
  <c r="J18" i="8"/>
  <c r="I18" i="8"/>
  <c r="H18" i="8"/>
  <c r="G18" i="8"/>
  <c r="F18" i="8"/>
  <c r="E18" i="8"/>
  <c r="D18" i="8"/>
  <c r="C18" i="8"/>
  <c r="B18" i="8"/>
  <c r="J17" i="8"/>
  <c r="I17" i="8"/>
  <c r="H17" i="8"/>
  <c r="G17" i="8"/>
  <c r="F17" i="8"/>
  <c r="E17" i="8"/>
  <c r="D17" i="8"/>
  <c r="C17" i="8"/>
  <c r="B17" i="8"/>
  <c r="M16" i="8" a="1"/>
  <c r="M18" i="8" s="1"/>
  <c r="J23" i="7"/>
  <c r="I23" i="7"/>
  <c r="H23" i="7"/>
  <c r="G23" i="7"/>
  <c r="F23" i="7"/>
  <c r="E23" i="7"/>
  <c r="D23" i="7"/>
  <c r="C23" i="7"/>
  <c r="B23" i="7"/>
  <c r="J22" i="7"/>
  <c r="I22" i="7"/>
  <c r="H22" i="7"/>
  <c r="G22" i="7"/>
  <c r="F22" i="7"/>
  <c r="E22" i="7"/>
  <c r="D22" i="7"/>
  <c r="C22" i="7"/>
  <c r="B22" i="7"/>
  <c r="J21" i="7"/>
  <c r="I21" i="7"/>
  <c r="H21" i="7"/>
  <c r="G21" i="7"/>
  <c r="F21" i="7"/>
  <c r="E21" i="7"/>
  <c r="D21" i="7"/>
  <c r="C21" i="7"/>
  <c r="B21" i="7"/>
  <c r="J20" i="7"/>
  <c r="I20" i="7"/>
  <c r="H20" i="7"/>
  <c r="G20" i="7"/>
  <c r="F20" i="7"/>
  <c r="E20" i="7"/>
  <c r="D20" i="7"/>
  <c r="C20" i="7"/>
  <c r="B20" i="7"/>
  <c r="J19" i="7"/>
  <c r="I19" i="7"/>
  <c r="H19" i="7"/>
  <c r="G19" i="7"/>
  <c r="F19" i="7"/>
  <c r="E19" i="7"/>
  <c r="D19" i="7"/>
  <c r="C19" i="7"/>
  <c r="B19" i="7"/>
  <c r="J18" i="7"/>
  <c r="I18" i="7"/>
  <c r="H18" i="7"/>
  <c r="G18" i="7"/>
  <c r="F18" i="7"/>
  <c r="E18" i="7"/>
  <c r="D18" i="7"/>
  <c r="C18" i="7"/>
  <c r="B18" i="7"/>
  <c r="J17" i="7"/>
  <c r="I17" i="7"/>
  <c r="H17" i="7"/>
  <c r="G17" i="7"/>
  <c r="F17" i="7"/>
  <c r="E17" i="7"/>
  <c r="D17" i="7"/>
  <c r="C17" i="7"/>
  <c r="B17" i="7"/>
  <c r="M16" i="7" a="1"/>
  <c r="M22" i="7" s="1"/>
  <c r="B93" i="6" a="1"/>
  <c r="E93" i="6" s="1"/>
  <c r="E94" i="6" s="1"/>
  <c r="E13" i="6"/>
  <c r="P12" i="6"/>
  <c r="R7" i="6"/>
  <c r="P6" i="6"/>
  <c r="H7" i="6"/>
  <c r="R6" i="6"/>
  <c r="P7" i="6"/>
  <c r="H6" i="6"/>
  <c r="W5" i="6"/>
  <c r="R5" i="6"/>
  <c r="H5" i="6"/>
  <c r="F72" i="5"/>
  <c r="B54" i="5"/>
  <c r="B55" i="5" s="1"/>
  <c r="B56" i="5" s="1"/>
  <c r="G50" i="5"/>
  <c r="AC13" i="5" s="1"/>
  <c r="G49" i="5"/>
  <c r="AC11" i="5" s="1"/>
  <c r="C47" i="4"/>
  <c r="B47" i="4"/>
  <c r="C46" i="4"/>
  <c r="B45" i="4"/>
  <c r="S34" i="4"/>
  <c r="R34" i="4"/>
  <c r="S33" i="4"/>
  <c r="R33" i="4"/>
  <c r="S32" i="4"/>
  <c r="R32" i="4"/>
  <c r="M31" i="4"/>
  <c r="E31" i="4"/>
  <c r="M30" i="4"/>
  <c r="E30" i="4"/>
  <c r="S29" i="4"/>
  <c r="R29" i="4"/>
  <c r="M28" i="4"/>
  <c r="E28" i="4"/>
  <c r="S28" i="4" s="1"/>
  <c r="M27" i="4"/>
  <c r="E27" i="4"/>
  <c r="Z19" i="4" s="1"/>
  <c r="Y26" i="4"/>
  <c r="X26" i="4"/>
  <c r="W26" i="4"/>
  <c r="M26" i="4"/>
  <c r="E26" i="4"/>
  <c r="AH13" i="4"/>
  <c r="AL13" i="4" s="1"/>
  <c r="AY11" i="4" s="1"/>
  <c r="Y25" i="4"/>
  <c r="X25" i="4"/>
  <c r="W25" i="4"/>
  <c r="Y24" i="4"/>
  <c r="X24" i="4"/>
  <c r="S24" i="4"/>
  <c r="R24" i="4"/>
  <c r="Z23" i="4"/>
  <c r="Y23" i="4"/>
  <c r="X23" i="4"/>
  <c r="M23" i="4"/>
  <c r="S23" i="4" s="1"/>
  <c r="E23" i="4"/>
  <c r="Z22" i="4"/>
  <c r="AH14" i="4" s="1"/>
  <c r="AL14" i="4" s="1"/>
  <c r="BE11" i="4" s="1"/>
  <c r="BK13" i="4" s="1"/>
  <c r="Y22" i="4"/>
  <c r="X22" i="4"/>
  <c r="W22" i="4"/>
  <c r="W23" i="4" s="1"/>
  <c r="W24" i="4" s="1"/>
  <c r="M22" i="4"/>
  <c r="E22" i="4"/>
  <c r="Y21" i="4"/>
  <c r="X21" i="4"/>
  <c r="W21" i="4"/>
  <c r="Y20" i="4"/>
  <c r="M20" i="4"/>
  <c r="R20" i="4" s="1"/>
  <c r="E20" i="4"/>
  <c r="Z17" i="4" s="1"/>
  <c r="Y19" i="4"/>
  <c r="M19" i="4"/>
  <c r="E19" i="4"/>
  <c r="Z16" i="4" s="1"/>
  <c r="Y18" i="4"/>
  <c r="X18" i="4"/>
  <c r="W18" i="4"/>
  <c r="W19" i="4" s="1"/>
  <c r="W20" i="4" s="1"/>
  <c r="M18" i="4"/>
  <c r="E18" i="4"/>
  <c r="Z15" i="4" s="1"/>
  <c r="Y17" i="4"/>
  <c r="X17" i="4"/>
  <c r="W17" i="4"/>
  <c r="M17" i="4"/>
  <c r="E17" i="4"/>
  <c r="S17" i="4" s="1"/>
  <c r="Y16" i="4"/>
  <c r="X16" i="4"/>
  <c r="E16" i="4"/>
  <c r="Z13" i="4" s="1"/>
  <c r="Y15" i="4"/>
  <c r="E15" i="4"/>
  <c r="Z12" i="4" s="1"/>
  <c r="Y14" i="4"/>
  <c r="X14" i="4"/>
  <c r="X15" i="4" s="1"/>
  <c r="W14" i="4"/>
  <c r="W15" i="4" s="1"/>
  <c r="W16" i="4" s="1"/>
  <c r="E14" i="4"/>
  <c r="Y13" i="4"/>
  <c r="M13" i="4"/>
  <c r="E13" i="4"/>
  <c r="Y12" i="4"/>
  <c r="M12" i="4"/>
  <c r="E12" i="4"/>
  <c r="AF11" i="4"/>
  <c r="Y11" i="4"/>
  <c r="X11" i="4"/>
  <c r="W11" i="4"/>
  <c r="W12" i="4" s="1"/>
  <c r="W13" i="4" s="1"/>
  <c r="M11" i="4"/>
  <c r="E11" i="4"/>
  <c r="AF10" i="4"/>
  <c r="AG10" i="4" s="1"/>
  <c r="Y10" i="4"/>
  <c r="M10" i="4"/>
  <c r="E10" i="4"/>
  <c r="AF9" i="4"/>
  <c r="AG9" i="4" s="1"/>
  <c r="Y9" i="4"/>
  <c r="X9" i="4"/>
  <c r="W9" i="4"/>
  <c r="W10" i="4" s="1"/>
  <c r="M9" i="4"/>
  <c r="E9" i="4"/>
  <c r="Y8" i="4"/>
  <c r="X8" i="4"/>
  <c r="W8" i="4"/>
  <c r="AK3" i="4"/>
  <c r="Y39" i="2"/>
  <c r="AB42" i="2" s="1"/>
  <c r="AB38" i="2"/>
  <c r="Y38" i="2"/>
  <c r="AB36" i="2" s="1"/>
  <c r="AB37" i="2"/>
  <c r="Y37" i="2"/>
  <c r="AB41" i="2" s="1"/>
  <c r="Y36" i="2"/>
  <c r="AB35" i="2" s="1"/>
  <c r="AB34" i="2"/>
  <c r="AB33" i="2"/>
  <c r="AB32" i="2"/>
  <c r="AB31" i="2"/>
  <c r="AB30" i="2"/>
  <c r="Y30" i="2"/>
  <c r="AB40" i="2" s="1"/>
  <c r="AB28" i="2"/>
  <c r="AB27" i="2"/>
  <c r="AB26" i="2"/>
  <c r="AB25" i="2"/>
  <c r="Y25" i="2"/>
  <c r="AB39" i="2" s="1"/>
  <c r="AB24" i="2"/>
  <c r="Y24" i="2"/>
  <c r="AB23" i="2"/>
  <c r="Y23" i="2"/>
  <c r="Y22" i="2"/>
  <c r="AB20" i="2" s="1"/>
  <c r="Y21" i="2"/>
  <c r="T21" i="2"/>
  <c r="Y20" i="2"/>
  <c r="AB19" i="2" s="1"/>
  <c r="AB18" i="2"/>
  <c r="AB16" i="2"/>
  <c r="AB15" i="2"/>
  <c r="Y15" i="2"/>
  <c r="AB21" i="2" s="1"/>
  <c r="Y14" i="2"/>
  <c r="AB14" i="2" s="1"/>
  <c r="Y13" i="2"/>
  <c r="AB11" i="2" s="1"/>
  <c r="Y12" i="2"/>
  <c r="T12" i="2"/>
  <c r="Y11" i="2"/>
  <c r="Y10" i="2"/>
  <c r="AB7" i="2" s="1"/>
  <c r="Y9" i="2"/>
  <c r="AB10" i="2" s="1"/>
  <c r="AB8" i="2"/>
  <c r="AB6" i="2"/>
  <c r="Y6" i="2"/>
  <c r="AB9" i="2" s="1"/>
  <c r="Y5" i="2"/>
  <c r="AB5" i="2" s="1"/>
  <c r="T5" i="2"/>
  <c r="U4" i="2"/>
  <c r="E72" i="5"/>
  <c r="F50" i="5"/>
  <c r="Z10" i="4" l="1"/>
  <c r="S30" i="4"/>
  <c r="AF14" i="4"/>
  <c r="AG14" i="4" s="1"/>
  <c r="AG11" i="4"/>
  <c r="R27" i="4"/>
  <c r="S19" i="4"/>
  <c r="Z9" i="4"/>
  <c r="AH9" i="4" s="1"/>
  <c r="AL9" i="4" s="1"/>
  <c r="AS15" i="4" s="1"/>
  <c r="S11" i="4"/>
  <c r="Z14" i="4"/>
  <c r="AH11" i="4" s="1"/>
  <c r="S22" i="4"/>
  <c r="N16" i="8" a="1"/>
  <c r="N19" i="8" s="1"/>
  <c r="S12" i="4"/>
  <c r="S18" i="4"/>
  <c r="R31" i="4"/>
  <c r="M20" i="8"/>
  <c r="M23" i="7"/>
  <c r="E9" i="5"/>
  <c r="F9" i="5" s="1"/>
  <c r="U16" i="5" s="1"/>
  <c r="E10" i="5"/>
  <c r="F10" i="5" s="1"/>
  <c r="U11" i="5" s="1"/>
  <c r="E12" i="5"/>
  <c r="F12" i="5" s="1"/>
  <c r="U12" i="5" s="1"/>
  <c r="F49" i="5"/>
  <c r="F52" i="5"/>
  <c r="E11" i="5"/>
  <c r="F11" i="5" s="1"/>
  <c r="X13" i="5" s="1"/>
  <c r="F51" i="5"/>
  <c r="G51" i="5" s="1"/>
  <c r="AC12" i="5" s="1"/>
  <c r="E40" i="5"/>
  <c r="E41" i="5"/>
  <c r="F48" i="5"/>
  <c r="G48" i="5" s="1"/>
  <c r="AB13" i="2"/>
  <c r="S20" i="4"/>
  <c r="S31" i="4"/>
  <c r="AF12" i="4"/>
  <c r="AG12" i="4" s="1"/>
  <c r="Z20" i="4"/>
  <c r="S9" i="4"/>
  <c r="R17" i="4"/>
  <c r="R23" i="4"/>
  <c r="N16" i="7" a="1"/>
  <c r="N16" i="7" s="1"/>
  <c r="U5" i="2" s="1"/>
  <c r="R19" i="4"/>
  <c r="S27" i="4"/>
  <c r="F93" i="6"/>
  <c r="F94" i="6" s="1"/>
  <c r="R16" i="4"/>
  <c r="M19" i="8"/>
  <c r="R22" i="4"/>
  <c r="R28" i="4"/>
  <c r="S10" i="4"/>
  <c r="R18" i="4"/>
  <c r="M17" i="9"/>
  <c r="S15" i="4"/>
  <c r="R15" i="4"/>
  <c r="Z11" i="4"/>
  <c r="AH10" i="4" s="1"/>
  <c r="AL10" i="4" s="1"/>
  <c r="AY15" i="4" s="1"/>
  <c r="R14" i="4"/>
  <c r="S14" i="4"/>
  <c r="AF13" i="4"/>
  <c r="AG13" i="4" s="1"/>
  <c r="S16" i="4"/>
  <c r="Z18" i="4"/>
  <c r="AH12" i="4" s="1"/>
  <c r="AL12" i="4" s="1"/>
  <c r="AS11" i="4" s="1"/>
  <c r="S26" i="4"/>
  <c r="R26" i="4"/>
  <c r="N22" i="9"/>
  <c r="N21" i="9"/>
  <c r="N20" i="9"/>
  <c r="N19" i="9"/>
  <c r="N18" i="9"/>
  <c r="N17" i="9"/>
  <c r="N16" i="9"/>
  <c r="N24" i="9"/>
  <c r="M24" i="7"/>
  <c r="M21" i="8"/>
  <c r="M18" i="9"/>
  <c r="M22" i="8"/>
  <c r="M19" i="9"/>
  <c r="M23" i="8"/>
  <c r="M20" i="9"/>
  <c r="M24" i="8"/>
  <c r="M21" i="9"/>
  <c r="M22" i="9"/>
  <c r="M23" i="9"/>
  <c r="M24" i="9"/>
  <c r="R9" i="4"/>
  <c r="R30" i="4"/>
  <c r="M16" i="7"/>
  <c r="R11" i="4"/>
  <c r="R13" i="4"/>
  <c r="M17" i="7"/>
  <c r="S13" i="4"/>
  <c r="R10" i="4"/>
  <c r="R12" i="4"/>
  <c r="B93" i="6"/>
  <c r="B94" i="6" s="1"/>
  <c r="M18" i="7"/>
  <c r="M16" i="8"/>
  <c r="M19" i="7"/>
  <c r="C93" i="6"/>
  <c r="C94" i="6" s="1"/>
  <c r="M20" i="7"/>
  <c r="M17" i="8"/>
  <c r="D93" i="6"/>
  <c r="D94" i="6" s="1"/>
  <c r="M21" i="7"/>
  <c r="N18" i="8" l="1"/>
  <c r="N20" i="8"/>
  <c r="N21" i="8"/>
  <c r="N22" i="8"/>
  <c r="N16" i="8"/>
  <c r="N17" i="8"/>
  <c r="N23" i="8"/>
  <c r="N24" i="8"/>
  <c r="N17" i="7"/>
  <c r="U6" i="2" s="1"/>
  <c r="V11" i="5"/>
  <c r="X11" i="5"/>
  <c r="U10" i="5"/>
  <c r="Y10" i="5"/>
  <c r="X10" i="5"/>
  <c r="X16" i="5"/>
  <c r="V10" i="5"/>
  <c r="X15" i="5"/>
  <c r="U15" i="5"/>
  <c r="V13" i="5"/>
  <c r="V12" i="5"/>
  <c r="U13" i="5"/>
  <c r="X12" i="5"/>
  <c r="N23" i="7"/>
  <c r="U12" i="2" s="1"/>
  <c r="AL11" i="4"/>
  <c r="BE15" i="4" s="1"/>
  <c r="BK10" i="4" s="1"/>
  <c r="N24" i="7"/>
  <c r="U13" i="2" s="1"/>
  <c r="N22" i="7"/>
  <c r="U11" i="2" s="1"/>
  <c r="N18" i="7"/>
  <c r="U7" i="2" s="1"/>
  <c r="N19" i="7"/>
  <c r="U8" i="2" s="1"/>
  <c r="N20" i="7"/>
  <c r="U9" i="2" s="1"/>
  <c r="G94" i="6"/>
  <c r="G95" i="6" s="1"/>
  <c r="N21" i="7"/>
  <c r="U10" i="2" s="1"/>
  <c r="V5" i="2" l="1"/>
  <c r="J8" i="2" s="1"/>
  <c r="J18" i="2" s="1"/>
  <c r="U14" i="2"/>
  <c r="J29" i="2" l="1"/>
  <c r="Y18" i="2"/>
  <c r="AB22" i="2" s="1"/>
  <c r="AF9" i="2"/>
  <c r="Y8" i="2"/>
  <c r="AB12" i="2" s="1"/>
  <c r="Y29" i="2" l="1"/>
  <c r="AB29" i="2" s="1"/>
  <c r="Y17" i="2"/>
  <c r="AB17" i="2" s="1"/>
</calcChain>
</file>

<file path=xl/comments1.xml><?xml version="1.0" encoding="utf-8"?>
<comments xmlns="http://schemas.openxmlformats.org/spreadsheetml/2006/main">
  <authors>
    <author/>
  </authors>
  <commentList>
    <comment ref="B5"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Energy_Primary_Index</t>
        </r>
      </text>
    </comment>
  </commentList>
</comments>
</file>

<file path=xl/comments2.xml><?xml version="1.0" encoding="utf-8"?>
<comments xmlns="http://schemas.openxmlformats.org/spreadsheetml/2006/main">
  <authors>
    <author/>
  </authors>
  <commentList>
    <comment ref="B91"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Falta, ¿de donde puedo sacar el dato?</t>
        </r>
      </text>
    </comment>
  </commentList>
</comments>
</file>

<file path=xl/comments3.xml><?xml version="1.0" encoding="utf-8"?>
<comments xmlns="http://schemas.openxmlformats.org/spreadsheetml/2006/main">
  <authors>
    <author/>
    <author>tc={DAF059FC-D17D-4A60-B2EA-6420137FFCB3}</author>
    <author>tc={94C589D5-720D-446F-8EE4-C9D2EF7280EF}</author>
  </authors>
  <commentList>
    <comment ref="AA2" authorId="0" shapeId="0">
      <text>
        <r>
          <rPr>
            <sz val="11"/>
            <color rgb="FF000000"/>
            <rFont val="Calibri"/>
            <family val="2"/>
            <charset val="1"/>
          </rPr>
          <t xml:space="preserve">Paula:
</t>
        </r>
        <r>
          <rPr>
            <sz val="9"/>
            <color rgb="FF000000"/>
            <rFont val="Tahoma"/>
            <family val="2"/>
            <charset val="1"/>
          </rPr>
          <t>No coincide con excel iñigo, uso el vector que hay en vensim</t>
        </r>
      </text>
    </comment>
    <comment ref="B4" authorId="0" shapeId="0">
      <text>
        <r>
          <rPr>
            <sz val="11"/>
            <color rgb="FF000000"/>
            <rFont val="Calibri"/>
            <family val="2"/>
            <charset val="1"/>
          </rPr>
          <t xml:space="preserve">Paula:
</t>
        </r>
        <r>
          <rPr>
            <sz val="9"/>
            <color rgb="FF000000"/>
            <rFont val="Tahoma"/>
            <family val="2"/>
            <charset val="1"/>
          </rPr>
          <t xml:space="preserve">¿De donde han salido estas divisiones? No son las indicadas en las IPCC Guidelines.
</t>
        </r>
      </text>
    </comment>
    <comment ref="E4"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¿Por qué se pone el mismo valor en las ditintas filas? No estoy segura de cómo se buscan algunas</t>
        </r>
      </text>
    </comment>
    <comment ref="X4" authorId="0" shapeId="0">
      <text>
        <r>
          <rPr>
            <sz val="11"/>
            <color rgb="FF000000"/>
            <rFont val="Calibri"/>
            <family val="2"/>
            <charset val="1"/>
          </rPr>
          <t xml:space="preserve">Paula:
</t>
        </r>
        <r>
          <rPr>
            <sz val="9"/>
            <color rgb="FF000000"/>
            <rFont val="Tahoma"/>
            <family val="2"/>
            <charset val="1"/>
          </rPr>
          <t xml:space="preserve">¿De donde han salido estas divisiones? No son las indicadas en las IPCC Guidelines.
</t>
        </r>
      </text>
    </comment>
    <comment ref="AA4" authorId="0" shapeId="0">
      <text>
        <r>
          <rPr>
            <sz val="11"/>
            <color rgb="FF000000"/>
            <rFont val="Calibri"/>
            <family val="2"/>
            <charset val="1"/>
          </rPr>
          <t xml:space="preserve">Paula:
</t>
        </r>
        <r>
          <rPr>
            <sz val="9"/>
            <color rgb="FF000000"/>
            <rFont val="Tahoma"/>
            <family val="2"/>
            <charset val="1"/>
          </rPr>
          <t xml:space="preserve">¿De donde han salido estas divisiones? No son las indicadas en las IPCC Guidelines.
</t>
        </r>
      </text>
    </comment>
    <comment ref="V5"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¿Correcto?</t>
        </r>
      </text>
    </comment>
    <comment ref="X5"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PRCTRA 
CHP Combined Heat and Power</t>
        </r>
      </text>
    </comment>
    <comment ref="S11"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Es residual Fuel oil?
Respuesta:
    He tomado el valor de esto.</t>
        </r>
      </text>
    </comment>
    <comment ref="T12" authorId="0" shapeId="0">
      <text>
        <r>
          <rPr>
            <sz val="11"/>
            <color rgb="FF000000"/>
            <rFont val="Calibri"/>
            <family val="2"/>
            <charset val="1"/>
          </rPr>
          <t xml:space="preserve">Paula:
</t>
        </r>
        <r>
          <rPr>
            <sz val="9"/>
            <color rgb="FF000000"/>
            <rFont val="Tahoma"/>
            <family val="2"/>
            <charset val="1"/>
          </rPr>
          <t>Incluimos white spirit, lubricants, bitumen and paraffin waxes basándonos en le IEA.</t>
        </r>
      </text>
    </comment>
    <comment ref="X14"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Heat plant</t>
        </r>
      </text>
    </comment>
    <comment ref="X24"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Power Plant</t>
        </r>
      </text>
    </comment>
    <comment ref="I57" authorId="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Waste Oils tiene FE de 30 ¿Pondero? O no. En CO2 no se ha ponderado
Reply:
    Según los datos de IEA no.</t>
        </r>
      </text>
    </comment>
    <comment ref="J57" authorId="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Waste Oils tiene FE de 30 ¿Pondero? O no. En CO2 no se ha ponderado
Reply:
    Según los datos de IEA no.</t>
        </r>
      </text>
    </comment>
    <comment ref="Z57" authorId="0" shapeId="0">
      <text>
        <r>
          <rPr>
            <sz val="11"/>
            <color rgb="FF000000"/>
            <rFont val="Calibri"/>
            <family val="2"/>
            <charset val="1"/>
          </rPr>
          <t xml:space="preserve">Paula:
</t>
        </r>
        <r>
          <rPr>
            <sz val="9"/>
            <color rgb="FF000000"/>
            <rFont val="Tahoma"/>
            <family val="2"/>
            <charset val="1"/>
          </rPr>
          <t xml:space="preserve">Misma duda que en Energy industries
</t>
        </r>
      </text>
    </comment>
    <comment ref="AP57" authorId="0" shapeId="0">
      <text>
        <r>
          <rPr>
            <sz val="11"/>
            <color rgb="FF000000"/>
            <rFont val="Calibri"/>
            <family val="2"/>
            <charset val="1"/>
          </rPr>
          <t>[Comentario encadenado]
Su versión de Excel le permite leer este comentario encadenado; sin embargo, las ediciones que se apliquen se quitarán si el archivo se abre en una versión más reciente de Excel. Más información: https://go.microsoft.com/fwlink/?linkid=870924
Comentario:
    Misma duda pero ahora waste oils es 300.</t>
        </r>
      </text>
    </comment>
    <comment ref="I67" authorId="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Waste Oils tiene FE de 30 ¿Pondero? O no. En CO2 no se ha ponderado
Reply:
    Según los datos de IEA no.</t>
        </r>
      </text>
    </comment>
    <comment ref="I78" authorId="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Waste Oils tiene FE de 30 ¿Pondero? O no. En CO2 no se ha ponderado
Reply:
    Según los datos de IEA no.</t>
        </r>
      </text>
    </comment>
    <comment ref="J78" authorId="2"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Waste Oils tiene FE de 30 ¿Pondero? O no. En CO2 no se ha ponderado
Reply:
    Según los datos de IEA no.</t>
        </r>
      </text>
    </comment>
  </commentList>
</comments>
</file>

<file path=xl/sharedStrings.xml><?xml version="1.0" encoding="utf-8"?>
<sst xmlns="http://schemas.openxmlformats.org/spreadsheetml/2006/main" count="3349" uniqueCount="536">
  <si>
    <t>Combustion GHG emission factors</t>
  </si>
  <si>
    <t>Fugitive GHG emission factors</t>
  </si>
  <si>
    <t>GHG_I</t>
  </si>
  <si>
    <t>CO2</t>
  </si>
  <si>
    <t>CH4</t>
  </si>
  <si>
    <t>N2O</t>
  </si>
  <si>
    <t>NRG_PE_I</t>
  </si>
  <si>
    <t>gCO2/EJ</t>
  </si>
  <si>
    <t>gCH4/EJ</t>
  </si>
  <si>
    <t>gN2O/EJ</t>
  </si>
  <si>
    <t>PE_agriculture_products</t>
  </si>
  <si>
    <t>X</t>
  </si>
  <si>
    <t>PE_coal</t>
  </si>
  <si>
    <t>PE_oil</t>
  </si>
  <si>
    <t>PE_forestry_products</t>
  </si>
  <si>
    <r>
      <rPr>
        <sz val="11"/>
        <color rgb="FF000000"/>
        <rFont val="Calibri"/>
        <family val="2"/>
        <charset val="1"/>
      </rPr>
      <t>PE_geothermal</t>
    </r>
    <r>
      <rPr>
        <sz val="8"/>
        <color rgb="FF000000"/>
        <rFont val="Calibri"/>
        <family val="2"/>
        <charset val="1"/>
      </rPr>
      <t> </t>
    </r>
  </si>
  <si>
    <t>PE_hydropower</t>
  </si>
  <si>
    <t>PE_natural_gas</t>
  </si>
  <si>
    <t>PE_nuclear</t>
  </si>
  <si>
    <t>PE_oceanic</t>
  </si>
  <si>
    <t>PE_solar</t>
  </si>
  <si>
    <t>PE_waste</t>
  </si>
  <si>
    <t>??</t>
  </si>
  <si>
    <t>PE_wind</t>
  </si>
  <si>
    <r>
      <rPr>
        <sz val="11"/>
        <color rgb="FF000000"/>
        <rFont val="Calibri"/>
        <family val="2"/>
        <charset val="1"/>
      </rPr>
      <t>0</t>
    </r>
    <r>
      <rPr>
        <sz val="8"/>
        <color rgb="FF000000"/>
        <rFont val="Calibri"/>
        <family val="2"/>
        <charset val="1"/>
      </rPr>
      <t> </t>
    </r>
  </si>
  <si>
    <t>_MATRIX:CO2_EMISSION_FACTORS_STATIONARY_COMBUSTION(PROCESS_TRANSFORMATION_I, GHG_I,TRANSFORMATION_INPUT_I)</t>
  </si>
  <si>
    <t>kgCO2/TJ</t>
  </si>
  <si>
    <t>PROCESS_TRANSFORMATION_I</t>
  </si>
  <si>
    <t>ti1_gas_bio</t>
  </si>
  <si>
    <t>ti2_gas_fossil</t>
  </si>
  <si>
    <t>ti3_geothermal</t>
  </si>
  <si>
    <t>ti4_hydrogen</t>
  </si>
  <si>
    <t>ti5_hydropower</t>
  </si>
  <si>
    <t>ti6_liquid_bio</t>
  </si>
  <si>
    <t>ti7_liquid_fossil</t>
  </si>
  <si>
    <t>ti8_nuclear</t>
  </si>
  <si>
    <t>ti9_oceanic</t>
  </si>
  <si>
    <t>ti10_solar</t>
  </si>
  <si>
    <t>ti11_solid_bio</t>
  </si>
  <si>
    <t>ti12_solid_fossil</t>
  </si>
  <si>
    <t>ti13_waste</t>
  </si>
  <si>
    <t>ti14_wind</t>
  </si>
  <si>
    <t>Data (kgCO2/TJ)</t>
  </si>
  <si>
    <t>PROTRA_CHP_liquid_fuels (kgCO2/TJ)</t>
  </si>
  <si>
    <t>PROTRA_CHP_gas_fuels</t>
  </si>
  <si>
    <t>LPG/Ethane</t>
  </si>
  <si>
    <t>CHP_gas_fuels</t>
  </si>
  <si>
    <t>PROTRA_CHP_gas_fuels_CCS</t>
  </si>
  <si>
    <t>Naphtha</t>
  </si>
  <si>
    <t>CHP_geothermal</t>
  </si>
  <si>
    <t>PROTRA_CHP_geothermal</t>
  </si>
  <si>
    <t>Motor gasoline</t>
  </si>
  <si>
    <t>CHP_solid_fuels</t>
  </si>
  <si>
    <t>PROTRA_CHP_liquid_fuels</t>
  </si>
  <si>
    <t>Jet kerosene</t>
  </si>
  <si>
    <t>CHP_waste</t>
  </si>
  <si>
    <t>PROTRA_CHP_liquid_fuels_CSS</t>
  </si>
  <si>
    <t>Other kerosene</t>
  </si>
  <si>
    <t>CHP_gas_fuels_CCS</t>
  </si>
  <si>
    <t>PROTRA_CHP_solid_fuels</t>
  </si>
  <si>
    <t>Gas/Diesel</t>
  </si>
  <si>
    <t>CHP_solid_fuel_CCS</t>
  </si>
  <si>
    <t>PROTRA_CHP_solid_fuels_CCS</t>
  </si>
  <si>
    <t>Fuel oil</t>
  </si>
  <si>
    <t>CHP_waste_CCS</t>
  </si>
  <si>
    <t>PROTRA_CHP_waste</t>
  </si>
  <si>
    <t>Other oil products</t>
  </si>
  <si>
    <t>CHP_liquid_fuels</t>
  </si>
  <si>
    <t>PROTRA_CHP_waste_CCS</t>
  </si>
  <si>
    <t>Crude oil/NGL</t>
  </si>
  <si>
    <t>CHP_liquid_fuels_CSS</t>
  </si>
  <si>
    <t>PROTRA_HP_gas_fuels</t>
  </si>
  <si>
    <t>HP_gas_fuels</t>
  </si>
  <si>
    <t>PROTRA_HP_gas_fuels_CCS</t>
  </si>
  <si>
    <t>HP_geothermal</t>
  </si>
  <si>
    <t>PROTRA_HP_geothermal</t>
  </si>
  <si>
    <t>HP_large_heat_pumps</t>
  </si>
  <si>
    <t>PROTRA_HP_liquid_fuels</t>
  </si>
  <si>
    <t>HP_liquid_fuels</t>
  </si>
  <si>
    <t>PROTRA_HP_liquid_fuels_CCS</t>
  </si>
  <si>
    <t>HP_solar</t>
  </si>
  <si>
    <t>PROTRA_HP_solar</t>
  </si>
  <si>
    <t>HP_solid_fuels</t>
  </si>
  <si>
    <t>PROTRA_HP_solid_fuels</t>
  </si>
  <si>
    <t>g CH4 per MMBtu</t>
  </si>
  <si>
    <t>Kg CH4 per Tj</t>
  </si>
  <si>
    <t>HP_waste</t>
  </si>
  <si>
    <t>PROTRA_HP_solid_fuels_CCS</t>
  </si>
  <si>
    <t>HP_gas_fuels_CCS</t>
  </si>
  <si>
    <t>PROTRA_HP_waste</t>
  </si>
  <si>
    <t>HP_liquid_fuels_CCS</t>
  </si>
  <si>
    <t>PROTRA_HP_waste_CSS</t>
  </si>
  <si>
    <t>HP_solid_fuels_CCS</t>
  </si>
  <si>
    <t>PROTRA_PP_gas_fuels</t>
  </si>
  <si>
    <t>HP_waste_CCS</t>
  </si>
  <si>
    <t>PROTRA_PP_gas_fuels_CCS</t>
  </si>
  <si>
    <t>PP_gas_fuels</t>
  </si>
  <si>
    <t>PROTRA_PP_geothermal</t>
  </si>
  <si>
    <t>PP_geothermal</t>
  </si>
  <si>
    <t>PROTRA_PP_hydropower_dammed</t>
  </si>
  <si>
    <t>PP_hydropower_run_of_river</t>
  </si>
  <si>
    <t>PROTRA_PP_hydropower_run_of_river</t>
  </si>
  <si>
    <t>PP_hydropower_dammed</t>
  </si>
  <si>
    <t>PROTRA_PP_liquid_fuels</t>
  </si>
  <si>
    <t>PP_liquid_fuels</t>
  </si>
  <si>
    <t>PROTRA_PP_liquid_fuels_CCS</t>
  </si>
  <si>
    <t>PP_nuclear</t>
  </si>
  <si>
    <t>PROTRA_PP_nuclear</t>
  </si>
  <si>
    <t>PP_oceanic</t>
  </si>
  <si>
    <t>PROTRA_PP_oceanic</t>
  </si>
  <si>
    <t>PP_solar_PV</t>
  </si>
  <si>
    <t>PROTRA_PP_solar_CSP</t>
  </si>
  <si>
    <t>PP_solar_CSP</t>
  </si>
  <si>
    <t>PROTRA_PP_solar_PV</t>
  </si>
  <si>
    <t>PP_solar_urban_PV</t>
  </si>
  <si>
    <t>PROTRA_PP_solar_urban_PV</t>
  </si>
  <si>
    <t>PP_solid_fuels</t>
  </si>
  <si>
    <t>PROTRA_PP_solid_fuels</t>
  </si>
  <si>
    <t>PP_waste</t>
  </si>
  <si>
    <t>PROTRA_PP_solid_fuels_CCS</t>
  </si>
  <si>
    <t>PP_wind_onshore</t>
  </si>
  <si>
    <t>PROTRA_PP_waste</t>
  </si>
  <si>
    <t>PP_wind_offshore</t>
  </si>
  <si>
    <t>PROTRA_PP_waste_CCS</t>
  </si>
  <si>
    <t>PP_gas_fuels_CCS</t>
  </si>
  <si>
    <t>PROTRA_PP_wind_offshore</t>
  </si>
  <si>
    <t>PP_liquid_fuels_CCS</t>
  </si>
  <si>
    <t>PROTRA_PP_wind_onshore</t>
  </si>
  <si>
    <t>PP_solid_fuels_CCS</t>
  </si>
  <si>
    <t>PROTRA_blending_gas_fuels</t>
  </si>
  <si>
    <t>PP_waste_CCS</t>
  </si>
  <si>
    <t>PROTRA_blending_liquid_fuels_fossil</t>
  </si>
  <si>
    <t>PROTRA_no_process_TI_hydrogen</t>
  </si>
  <si>
    <t>PROTRA_no_process_TI_solid_bio</t>
  </si>
  <si>
    <t>PROTRA_no_process_TI_solid_fossil</t>
  </si>
  <si>
    <r>
      <rPr>
        <sz val="8"/>
        <color rgb="FF000000"/>
        <rFont val="Calibri"/>
        <family val="2"/>
        <charset val="1"/>
      </rPr>
      <t> </t>
    </r>
    <r>
      <rPr>
        <sz val="10"/>
        <color rgb="FF000000"/>
        <rFont val="Calibri"/>
        <family val="2"/>
        <charset val="1"/>
      </rPr>
      <t>Note that with CCS the amount of emissions drops, but I have still not collated data for this. Since CCS capacities are currently 0 this does not affect.</t>
    </r>
  </si>
  <si>
    <t>PENDING TASK IN CASE WE GO THIS WAY.</t>
  </si>
  <si>
    <t>_MATRIX:CH4_EMISSION_FACTORS_STATIONARY_COMBUSTION(PROCESS_TRANSFORMATION_I, GHG_I,TRANSFORMATION_INPUT_I)</t>
  </si>
  <si>
    <t>Energy industries</t>
  </si>
  <si>
    <t>Manufacturing industries and construction</t>
  </si>
  <si>
    <t>Commercial/institucional</t>
  </si>
  <si>
    <t>Residential and agriculture / forestry / fishing / fishing farms</t>
  </si>
  <si>
    <t>kgCH4/TJ</t>
  </si>
  <si>
    <t>-</t>
  </si>
  <si>
    <r>
      <rPr>
        <sz val="9"/>
        <color rgb="FF000000"/>
        <rFont val="Calibri"/>
        <family val="2"/>
        <charset val="1"/>
      </rPr>
      <t xml:space="preserve">0 </t>
    </r>
    <r>
      <rPr>
        <sz val="8"/>
        <color rgb="FF000000"/>
        <rFont val="Calibri"/>
        <family val="2"/>
        <charset val="1"/>
      </rPr>
      <t> </t>
    </r>
  </si>
  <si>
    <t>_MATRIX:N20_EMISSION_FACTORS_STATIONARY_COMBUSTION(PROCESS_TRANSFORMATION_I, GHG_I,TRANSFORMATION_INPUT_I)</t>
  </si>
  <si>
    <t>kgN2O/TJ</t>
  </si>
  <si>
    <t>The higher number of the interval has been selected</t>
  </si>
  <si>
    <t>There is an uncertainty more than 500% up to 1000%</t>
  </si>
  <si>
    <t>kwh/m^3</t>
  </si>
  <si>
    <t>(Ré &amp; Filippín, 2021)</t>
  </si>
  <si>
    <t>Ré, G., &amp; Filippín, C. (2021). Evaluación energética y rehabilitación de la envolvente edilicia de una escuela en zona bioambiental templada cálida, Argentina. Informes de la Construcción, 73(563), e407. https://doi.org/10.3989/ic.79374</t>
  </si>
  <si>
    <t>They have not been implemented in the model yet</t>
  </si>
  <si>
    <t>TJ/kWh</t>
  </si>
  <si>
    <t>Gg/Mt</t>
  </si>
  <si>
    <t>Oil and natural gas systems</t>
  </si>
  <si>
    <t>Developed Countries (US)</t>
  </si>
  <si>
    <t>Developing countries and countries with economies in transition</t>
  </si>
  <si>
    <t>Value variation</t>
  </si>
  <si>
    <t>Developed Countries (US): Data introduced in the model</t>
  </si>
  <si>
    <t>Category</t>
  </si>
  <si>
    <t>Sub-
category'</t>
  </si>
  <si>
    <t>Emission source</t>
  </si>
  <si>
    <r>
      <rPr>
        <sz val="12"/>
        <rFont val="Calibri"/>
        <family val="2"/>
        <charset val="1"/>
      </rPr>
      <t>CO</t>
    </r>
    <r>
      <rPr>
        <vertAlign val="subscript"/>
        <sz val="12"/>
        <rFont val="Calibri"/>
        <family val="2"/>
        <charset val="1"/>
      </rPr>
      <t>2</t>
    </r>
  </si>
  <si>
    <t>Units</t>
  </si>
  <si>
    <t>Relative errors</t>
  </si>
  <si>
    <t>Emission Factor</t>
  </si>
  <si>
    <t>Extraction</t>
  </si>
  <si>
    <t>Refining</t>
  </si>
  <si>
    <t>Supply</t>
  </si>
  <si>
    <t>Well Drilling</t>
  </si>
  <si>
    <t>All</t>
  </si>
  <si>
    <t>Flaring and Venting</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</si>
  <si>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 xml:space="preserve">3 </t>
    </r>
    <r>
      <rPr>
        <sz val="12"/>
        <rFont val="Calibri"/>
        <family val="2"/>
        <charset val="1"/>
      </rPr>
      <t>total oil production</t>
    </r>
  </si>
  <si>
    <r>
      <rPr>
        <sz val="12"/>
        <rFont val="Calibri"/>
        <family val="2"/>
        <charset val="1"/>
      </rPr>
      <t>Gg per 10</t>
    </r>
    <r>
      <rPr>
        <vertAlign val="superscript"/>
        <sz val="12"/>
        <rFont val="Calibri"/>
        <family val="2"/>
        <charset val="1"/>
      </rPr>
      <t xml:space="preserve">6 </t>
    </r>
    <r>
      <rPr>
        <sz val="12"/>
        <rFont val="Calibri"/>
        <family val="2"/>
        <charset val="1"/>
      </rPr>
      <t>m</t>
    </r>
    <r>
      <rPr>
        <vertAlign val="superscript"/>
        <sz val="12"/>
        <rFont val="Calibri"/>
        <family val="2"/>
        <charset val="1"/>
      </rPr>
      <t xml:space="preserve">3 </t>
    </r>
    <r>
      <rPr>
        <sz val="12"/>
        <rFont val="Calibri"/>
        <family val="2"/>
        <charset val="1"/>
      </rPr>
      <t>gas production</t>
    </r>
  </si>
  <si>
    <r>
      <rPr>
        <sz val="12"/>
        <rFont val="Calibri"/>
        <family val="2"/>
        <charset val="1"/>
      </rPr>
      <t>Gg per 10</t>
    </r>
    <r>
      <rPr>
        <vertAlign val="superscript"/>
        <sz val="12"/>
        <rFont val="Calibri"/>
        <family val="2"/>
        <charset val="1"/>
      </rPr>
      <t xml:space="preserve">6 </t>
    </r>
    <r>
      <rPr>
        <sz val="12"/>
        <rFont val="Calibri"/>
        <family val="2"/>
        <charset val="1"/>
      </rPr>
      <t>m</t>
    </r>
    <r>
      <rPr>
        <vertAlign val="superscript"/>
        <sz val="12"/>
        <rFont val="Calibri"/>
        <family val="2"/>
        <charset val="1"/>
      </rPr>
      <t xml:space="preserve">3 </t>
    </r>
  </si>
  <si>
    <t>EF_agriculture_products</t>
  </si>
  <si>
    <t>Well Testing</t>
  </si>
  <si>
    <t>EF_coal</t>
  </si>
  <si>
    <t>Well Servicing</t>
  </si>
  <si>
    <t>EF_oil</t>
  </si>
  <si>
    <t>Extracción</t>
  </si>
  <si>
    <t>Gas_Production</t>
  </si>
  <si>
    <t>Fugitives</t>
  </si>
  <si>
    <t>Gas Production</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</si>
  <si>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t>
    </r>
  </si>
  <si>
    <t>EF_forestry_products</t>
  </si>
  <si>
    <t>Flaring</t>
  </si>
  <si>
    <t>EF_geothermal</t>
  </si>
  <si>
    <t>Refino</t>
  </si>
  <si>
    <t>Gas_Processing</t>
  </si>
  <si>
    <t>Default Weighted Total</t>
  </si>
  <si>
    <t>Gas Processing</t>
  </si>
  <si>
    <r>
      <rPr>
        <sz val="12"/>
        <rFont val="Calibri"/>
        <family val="2"/>
        <charset val="1"/>
      </rPr>
      <t>Gg per 10</t>
    </r>
    <r>
      <rPr>
        <vertAlign val="superscript"/>
        <sz val="12"/>
        <rFont val="Calibri"/>
        <family val="2"/>
        <charset val="1"/>
      </rPr>
      <t xml:space="preserve">6 </t>
    </r>
    <r>
      <rPr>
        <sz val="12"/>
        <rFont val="Calibri"/>
        <family val="2"/>
        <charset val="1"/>
      </rPr>
      <t>m</t>
    </r>
    <r>
      <rPr>
        <vertAlign val="superscript"/>
        <sz val="12"/>
        <rFont val="Calibri"/>
        <family val="2"/>
        <charset val="1"/>
      </rPr>
      <t xml:space="preserve">3 </t>
    </r>
    <r>
      <rPr>
        <sz val="12"/>
        <rFont val="Calibri"/>
        <family val="2"/>
        <charset val="1"/>
      </rPr>
      <t>of marketable gas</t>
    </r>
  </si>
  <si>
    <t>EF_hydropower</t>
  </si>
  <si>
    <t>EF_natural_gas</t>
  </si>
  <si>
    <t>Raw CO2 Venting</t>
  </si>
  <si>
    <t>EF_nuclear</t>
  </si>
  <si>
    <t>Gas_transmission_and_storage</t>
  </si>
  <si>
    <t>Transmission</t>
  </si>
  <si>
    <t xml:space="preserve">Fugitives </t>
  </si>
  <si>
    <t>Gas transmission &amp; storage</t>
  </si>
  <si>
    <r>
      <rPr>
        <sz val="12"/>
        <rFont val="Calibri"/>
        <family val="2"/>
        <charset val="1"/>
      </rPr>
      <t>Gg per 10</t>
    </r>
    <r>
      <rPr>
        <vertAlign val="superscript"/>
        <sz val="12"/>
        <rFont val="Calibri"/>
        <family val="2"/>
        <charset val="1"/>
      </rPr>
      <t xml:space="preserve">6 </t>
    </r>
    <r>
      <rPr>
        <sz val="12"/>
        <rFont val="Calibri"/>
        <family val="2"/>
        <charset val="1"/>
      </rPr>
      <t>m</t>
    </r>
    <r>
      <rPr>
        <vertAlign val="superscript"/>
        <sz val="12"/>
        <rFont val="Calibri"/>
        <family val="2"/>
        <charset val="1"/>
      </rPr>
      <t xml:space="preserve">3 </t>
    </r>
    <r>
      <rPr>
        <sz val="12"/>
        <rFont val="Calibri"/>
        <family val="2"/>
        <charset val="1"/>
      </rPr>
      <t>of utility sales</t>
    </r>
  </si>
  <si>
    <t>EF_oceanic</t>
  </si>
  <si>
    <t>Venting</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</si>
  <si>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total oil production</t>
    </r>
  </si>
  <si>
    <t>EF_solar</t>
  </si>
  <si>
    <t>Storage</t>
  </si>
  <si>
    <t>EF_waste</t>
  </si>
  <si>
    <t>Gas_distribution</t>
  </si>
  <si>
    <t>Gas distribution</t>
  </si>
  <si>
    <t>EF_wind</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</si>
  <si>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total oil upgraded</t>
    </r>
  </si>
  <si>
    <t>ND</t>
  </si>
  <si>
    <t xml:space="preserve">Natural Gas Liquids Transport </t>
  </si>
  <si>
    <t>Condensate</t>
  </si>
  <si>
    <t xml:space="preserve">All </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</si>
  <si>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 xml:space="preserve">3 </t>
    </r>
    <r>
      <rPr>
        <sz val="12"/>
        <rFont val="Calibri"/>
        <family val="2"/>
        <charset val="1"/>
      </rPr>
      <t>Condensate and Pentanes Plus</t>
    </r>
  </si>
  <si>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oil transported by pipeline</t>
    </r>
  </si>
  <si>
    <t xml:space="preserve">Liquefied Petroleum Gas </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</si>
  <si>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LPG</t>
    </r>
  </si>
  <si>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oil transported by Tanker Truck</t>
    </r>
  </si>
  <si>
    <t>Liquefied Natural Gas</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</si>
  <si>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oil transported by Tanker Ships</t>
    </r>
  </si>
  <si>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oil refined</t>
    </r>
  </si>
  <si>
    <t>Oil_Production</t>
  </si>
  <si>
    <t>Oil Production</t>
  </si>
  <si>
    <r>
      <rPr>
        <sz val="12"/>
        <rFont val="Calibri"/>
        <family val="2"/>
        <charset val="1"/>
      </rP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product transported</t>
    </r>
  </si>
  <si>
    <t>NA</t>
  </si>
  <si>
    <t>Oil_Upgrading</t>
  </si>
  <si>
    <t>Oil Upgrading</t>
  </si>
  <si>
    <t>Oil_Transport</t>
  </si>
  <si>
    <t>Pipelines</t>
  </si>
  <si>
    <t>Oil Transport</t>
  </si>
  <si>
    <t>Tanker_truks_and_Rail_Cars</t>
  </si>
  <si>
    <t>Tanker truks and Rail Cars</t>
  </si>
  <si>
    <t>Loading_of_OFF_shore_Production_on_Tanker_Ships</t>
  </si>
  <si>
    <t>Loading of OFF-shore Production on Tanker Ships</t>
  </si>
  <si>
    <t>Oil_Refining</t>
  </si>
  <si>
    <t>Oil Refining</t>
  </si>
  <si>
    <t>Refine_product_distribution</t>
  </si>
  <si>
    <t>Refine product Distribution</t>
  </si>
  <si>
    <t xml:space="preserve">Fugitive emissions from fuel transformation </t>
  </si>
  <si>
    <t>Solid to solid transformation processes</t>
  </si>
  <si>
    <t>Charcoal and biochar production</t>
  </si>
  <si>
    <t>Coke production</t>
  </si>
  <si>
    <t>Flaring of coke oven gas emissions</t>
  </si>
  <si>
    <t>Gas</t>
  </si>
  <si>
    <t>Production</t>
  </si>
  <si>
    <t xml:space="preserve">Default emission emission factors  </t>
  </si>
  <si>
    <t>Default emission emission factor</t>
  </si>
  <si>
    <t>Charcoal</t>
  </si>
  <si>
    <t>g GHG / kg produced</t>
  </si>
  <si>
    <t>kg/tonne</t>
  </si>
  <si>
    <t>Biochar</t>
  </si>
  <si>
    <t>Gasification transformation processes</t>
  </si>
  <si>
    <t>EMISSION FACTORS FOR GASIFICATION PROCESSES OF Gas to liquids</t>
  </si>
  <si>
    <t>Syngas</t>
  </si>
  <si>
    <t>Syngas/H2</t>
  </si>
  <si>
    <t>Synthetic Natural Gas</t>
  </si>
  <si>
    <t xml:space="preserve">Emission Factor </t>
  </si>
  <si>
    <t>kg/TJ total output</t>
  </si>
  <si>
    <t>kg/TJ natural gas input</t>
  </si>
  <si>
    <t>Road_tranportation</t>
  </si>
  <si>
    <t>Fuel type</t>
  </si>
  <si>
    <t>Default (kg/TJ)</t>
  </si>
  <si>
    <t>EF is the carbon content (independent if it is emitted as co2, ch4 ..) *44/12</t>
  </si>
  <si>
    <t>Motor_Gasoline</t>
  </si>
  <si>
    <t>Gas_or_Diesel_Oil</t>
  </si>
  <si>
    <t>Liquefied_Petroleum_Gases</t>
  </si>
  <si>
    <t>Kerosene</t>
  </si>
  <si>
    <t>Lubricants</t>
  </si>
  <si>
    <t>Compressed_Natural_Gas</t>
  </si>
  <si>
    <t>Liquefied_Natural_Gas</t>
  </si>
  <si>
    <t>Diesel</t>
  </si>
  <si>
    <t>Agriculture</t>
  </si>
  <si>
    <t>Forestry</t>
  </si>
  <si>
    <t>Industry</t>
  </si>
  <si>
    <t>Household</t>
  </si>
  <si>
    <t>Motor_Gasoline_4_stroke</t>
  </si>
  <si>
    <t>Motor_Gasoline_2_Stroke</t>
  </si>
  <si>
    <t>Rail_transport</t>
  </si>
  <si>
    <t>(kg/TJ)</t>
  </si>
  <si>
    <t>Sub_bituminous_Coal</t>
  </si>
  <si>
    <t>Water_borne_navigation</t>
  </si>
  <si>
    <r>
      <rPr>
        <b/>
        <sz val="10"/>
        <color rgb="FF000000"/>
        <rFont val="Calibri"/>
        <family val="2"/>
        <charset val="1"/>
      </rPr>
      <t>CO</t>
    </r>
    <r>
      <rPr>
        <b/>
        <vertAlign val="subscript"/>
        <sz val="10"/>
        <color rgb="FF000000"/>
        <rFont val="Calibri"/>
        <family val="2"/>
        <charset val="1"/>
      </rPr>
      <t>2</t>
    </r>
  </si>
  <si>
    <t>(Kg/TJ)</t>
  </si>
  <si>
    <t>Gasoline</t>
  </si>
  <si>
    <t>Other_Kerosene</t>
  </si>
  <si>
    <t>Residual_Fuel_Oil</t>
  </si>
  <si>
    <t>Other_oil</t>
  </si>
  <si>
    <t>Refinery_Gas</t>
  </si>
  <si>
    <t>Paraffin_Waxes</t>
  </si>
  <si>
    <t>White_Spirit_and_SBP</t>
  </si>
  <si>
    <t>Other_Petroleum_products</t>
  </si>
  <si>
    <t>Natural _Gas</t>
  </si>
  <si>
    <t>Civil_and_military_aviation</t>
  </si>
  <si>
    <t>Aviation Gasoline</t>
  </si>
  <si>
    <t>Jet Kerosene</t>
  </si>
  <si>
    <t>Underground mining</t>
  </si>
  <si>
    <t>Surface mining</t>
  </si>
  <si>
    <t>Coal Exploration</t>
  </si>
  <si>
    <r>
      <rPr>
        <sz val="9"/>
        <color rgb="FF000000"/>
        <rFont val="Calibri"/>
        <family val="2"/>
        <charset val="1"/>
      </rPr>
      <t>Emission factors (m</t>
    </r>
    <r>
      <rPr>
        <vertAlign val="superscript"/>
        <sz val="9"/>
        <color rgb="FF000000"/>
        <rFont val="Calibri"/>
        <family val="2"/>
        <charset val="1"/>
      </rPr>
      <t>3</t>
    </r>
    <r>
      <rPr>
        <sz val="9"/>
        <color rgb="FF000000"/>
        <rFont val="Calibri"/>
        <family val="2"/>
        <charset val="1"/>
      </rPr>
      <t xml:space="preserve"> tonnes</t>
    </r>
    <r>
      <rPr>
        <vertAlign val="superscript"/>
        <sz val="9"/>
        <color rgb="FF000000"/>
        <rFont val="Calibri"/>
        <family val="2"/>
        <charset val="1"/>
      </rPr>
      <t>-1</t>
    </r>
    <r>
      <rPr>
        <sz val="9"/>
        <color rgb="FF000000"/>
        <rFont val="Calibri"/>
        <family val="2"/>
        <charset val="1"/>
      </rPr>
      <t>)</t>
    </r>
  </si>
  <si>
    <r>
      <rPr>
        <sz val="9"/>
        <color rgb="FF000000"/>
        <rFont val="Calibri"/>
        <family val="2"/>
        <charset val="1"/>
      </rPr>
      <t>Conversion Factor (Gg m</t>
    </r>
    <r>
      <rPr>
        <vertAlign val="superscript"/>
        <sz val="9"/>
        <color rgb="FF000000"/>
        <rFont val="Calibri"/>
        <family val="2"/>
        <charset val="1"/>
      </rPr>
      <t>-3</t>
    </r>
    <r>
      <rPr>
        <sz val="9"/>
        <color rgb="FF000000"/>
        <rFont val="Calibri"/>
        <family val="2"/>
        <charset val="1"/>
      </rPr>
      <t>)</t>
    </r>
  </si>
  <si>
    <t>Mining depth (m)</t>
  </si>
  <si>
    <t>Average burden depths (m)</t>
  </si>
  <si>
    <t>Depth range</t>
  </si>
  <si>
    <r>
      <rPr>
        <sz val="9"/>
        <color rgb="FF000000"/>
        <rFont val="Calibri"/>
        <family val="2"/>
        <charset val="1"/>
      </rPr>
      <t>Emission factors for CH</t>
    </r>
    <r>
      <rPr>
        <vertAlign val="subscript"/>
        <sz val="9"/>
        <color rgb="FF000000"/>
        <rFont val="Calibri"/>
        <family val="2"/>
        <charset val="1"/>
      </rPr>
      <t>4</t>
    </r>
    <r>
      <rPr>
        <sz val="9"/>
        <color rgb="FF000000"/>
        <rFont val="Calibri"/>
        <family val="2"/>
        <charset val="1"/>
      </rPr>
      <t xml:space="preserve"> (m3 tonnes-1)</t>
    </r>
  </si>
  <si>
    <r>
      <rPr>
        <sz val="9"/>
        <color rgb="FF000000"/>
        <rFont val="Calibri"/>
        <family val="2"/>
        <charset val="1"/>
      </rPr>
      <t>Conversion Factor (Gg m</t>
    </r>
    <r>
      <rPr>
        <vertAlign val="superscript"/>
        <sz val="9"/>
        <color rgb="FF000000"/>
        <rFont val="Calibri"/>
        <family val="2"/>
        <charset val="1"/>
      </rPr>
      <t>-3</t>
    </r>
    <r>
      <rPr>
        <sz val="9"/>
        <color rgb="FF000000"/>
        <rFont val="Calibri"/>
        <family val="2"/>
        <charset val="1"/>
      </rPr>
      <t>) at 20˚C and 1 
atmosphere</t>
    </r>
  </si>
  <si>
    <t xml:space="preserve">Average </t>
  </si>
  <si>
    <t xml:space="preserve">Low </t>
  </si>
  <si>
    <t>High</t>
  </si>
  <si>
    <t>At 20˚C and 1 
atmosphere</t>
  </si>
  <si>
    <t>&lt; 200</t>
  </si>
  <si>
    <t xml:space="preserve">&lt; 25 </t>
  </si>
  <si>
    <t xml:space="preserve">0 - 600 </t>
  </si>
  <si>
    <t>Mining</t>
  </si>
  <si>
    <r>
      <rPr>
        <sz val="11"/>
        <color rgb="FF000000"/>
        <rFont val="Calibri"/>
        <family val="2"/>
        <charset val="1"/>
      </rPr>
      <t>CH</t>
    </r>
    <r>
      <rPr>
        <vertAlign val="subscript"/>
        <sz val="9"/>
        <color rgb="FF000000"/>
        <rFont val="Calibri"/>
        <family val="2"/>
        <charset val="1"/>
      </rPr>
      <t>4</t>
    </r>
  </si>
  <si>
    <t>200-400</t>
  </si>
  <si>
    <t>25 - 50</t>
  </si>
  <si>
    <t>600 - 1200</t>
  </si>
  <si>
    <r>
      <rPr>
        <sz val="11"/>
        <color rgb="FF000000"/>
        <rFont val="Calibri"/>
        <family val="2"/>
        <charset val="1"/>
      </rPr>
      <t>CO</t>
    </r>
    <r>
      <rPr>
        <vertAlign val="subscript"/>
        <sz val="9"/>
        <color rgb="FF000000"/>
        <rFont val="Calibri"/>
        <family val="2"/>
        <charset val="1"/>
      </rPr>
      <t>2</t>
    </r>
  </si>
  <si>
    <t>&gt; 400</t>
  </si>
  <si>
    <t>&gt; 50</t>
  </si>
  <si>
    <t>&gt;1200</t>
  </si>
  <si>
    <r>
      <rPr>
        <sz val="9"/>
        <color rgb="FF000000"/>
        <rFont val="Calibri"/>
        <family val="2"/>
        <charset val="1"/>
      </rPr>
      <t>CH</t>
    </r>
    <r>
      <rPr>
        <vertAlign val="subscript"/>
        <sz val="9"/>
        <color rgb="FF000000"/>
        <rFont val="Calibri"/>
        <family val="2"/>
        <charset val="1"/>
      </rPr>
      <t>4</t>
    </r>
  </si>
  <si>
    <t>Post-mining</t>
  </si>
  <si>
    <t>Abandoned</t>
  </si>
  <si>
    <r>
      <rPr>
        <sz val="13"/>
        <color rgb="FF2D2D2D"/>
        <rFont val="Calibri"/>
        <family val="2"/>
        <charset val="1"/>
      </rPr>
      <t xml:space="preserve">PERCENTAGE </t>
    </r>
    <r>
      <rPr>
        <sz val="13"/>
        <color rgb="FF423F44"/>
        <rFont val="Calibri"/>
        <family val="2"/>
        <charset val="1"/>
      </rPr>
      <t xml:space="preserve">OF COAL MINES </t>
    </r>
    <r>
      <rPr>
        <sz val="13"/>
        <color rgb="FF2D2D2D"/>
        <rFont val="Calibri"/>
        <family val="2"/>
        <charset val="1"/>
      </rPr>
      <t xml:space="preserve">THAT ARE </t>
    </r>
    <r>
      <rPr>
        <sz val="13"/>
        <color rgb="FF423F44"/>
        <rFont val="Calibri"/>
        <family val="2"/>
        <charset val="1"/>
      </rPr>
      <t>GASSY</t>
    </r>
  </si>
  <si>
    <t>Time Interval</t>
  </si>
  <si>
    <t>Low</t>
  </si>
  <si>
    <t>1900-1925</t>
  </si>
  <si>
    <t>1926-1950</t>
  </si>
  <si>
    <t>1951-1975</t>
  </si>
  <si>
    <t>1976-2000</t>
  </si>
  <si>
    <r>
      <rPr>
        <sz val="12"/>
        <color rgb="FF423F44"/>
        <rFont val="Calibri"/>
        <family val="2"/>
        <charset val="1"/>
      </rPr>
      <t>2001-</t>
    </r>
    <r>
      <rPr>
        <sz val="12"/>
        <color rgb="FF2D2D2D"/>
        <rFont val="Calibri"/>
        <family val="2"/>
        <charset val="1"/>
      </rPr>
      <t>Pre</t>
    </r>
    <r>
      <rPr>
        <sz val="12"/>
        <color rgb="FF595459"/>
        <rFont val="Calibri"/>
        <family val="2"/>
        <charset val="1"/>
      </rPr>
      <t>se</t>
    </r>
    <r>
      <rPr>
        <sz val="12"/>
        <color rgb="FF2D2D2D"/>
        <rFont val="Calibri"/>
        <family val="2"/>
        <charset val="1"/>
      </rPr>
      <t>nt</t>
    </r>
  </si>
  <si>
    <r>
      <rPr>
        <sz val="12"/>
        <color rgb="FF3B3842"/>
        <rFont val="Calibri"/>
        <family val="2"/>
        <charset val="1"/>
      </rPr>
      <t>Emission factor in fuction of interval of mine closure (milion m</t>
    </r>
    <r>
      <rPr>
        <vertAlign val="superscript"/>
        <sz val="12"/>
        <color rgb="FF3B3842"/>
        <rFont val="Calibri"/>
        <family val="2"/>
        <charset val="1"/>
      </rPr>
      <t>3</t>
    </r>
    <r>
      <rPr>
        <sz val="12"/>
        <color rgb="FF3B3842"/>
        <rFont val="Calibri"/>
        <family val="2"/>
        <charset val="1"/>
      </rPr>
      <t xml:space="preserve"> methane/mine)</t>
    </r>
  </si>
  <si>
    <t>Inventory Year</t>
  </si>
  <si>
    <r>
      <rPr>
        <sz val="12"/>
        <color rgb="FF282828"/>
        <rFont val="Calibri"/>
        <family val="2"/>
        <charset val="1"/>
      </rPr>
      <t>ln</t>
    </r>
    <r>
      <rPr>
        <sz val="12"/>
        <color rgb="FF3B3842"/>
        <rFont val="Calibri"/>
        <family val="2"/>
        <charset val="1"/>
      </rPr>
      <t>ve</t>
    </r>
    <r>
      <rPr>
        <sz val="12"/>
        <color rgb="FF282828"/>
        <rFont val="Calibri"/>
        <family val="2"/>
        <charset val="1"/>
      </rPr>
      <t>n</t>
    </r>
    <r>
      <rPr>
        <sz val="12"/>
        <color rgb="FF3B3842"/>
        <rFont val="Calibri"/>
        <family val="2"/>
        <charset val="1"/>
      </rPr>
      <t>to</t>
    </r>
    <r>
      <rPr>
        <sz val="12"/>
        <color rgb="FF282828"/>
        <rFont val="Calibri"/>
        <family val="2"/>
        <charset val="1"/>
      </rPr>
      <t>r</t>
    </r>
    <r>
      <rPr>
        <sz val="12"/>
        <color rgb="FF575059"/>
        <rFont val="Calibri"/>
        <family val="2"/>
        <charset val="1"/>
      </rPr>
      <t xml:space="preserve">y </t>
    </r>
    <r>
      <rPr>
        <sz val="12"/>
        <color rgb="FF3B3842"/>
        <rFont val="Calibri"/>
        <family val="2"/>
        <charset val="1"/>
      </rPr>
      <t>Year</t>
    </r>
  </si>
  <si>
    <r>
      <rPr>
        <sz val="12"/>
        <color rgb="FF3B3842"/>
        <rFont val="Calibri"/>
        <family val="2"/>
        <charset val="1"/>
      </rPr>
      <t>19</t>
    </r>
    <r>
      <rPr>
        <sz val="12"/>
        <color rgb="FF282828"/>
        <rFont val="Calibri"/>
        <family val="2"/>
        <charset val="1"/>
      </rPr>
      <t>0</t>
    </r>
    <r>
      <rPr>
        <sz val="12"/>
        <color rgb="FF3B3842"/>
        <rFont val="Calibri"/>
        <family val="2"/>
        <charset val="1"/>
      </rPr>
      <t>1</t>
    </r>
    <r>
      <rPr>
        <sz val="12"/>
        <color rgb="FF575059"/>
        <rFont val="Calibri"/>
        <family val="2"/>
        <charset val="1"/>
      </rPr>
      <t xml:space="preserve">- </t>
    </r>
    <r>
      <rPr>
        <sz val="12"/>
        <color rgb="FF3B3842"/>
        <rFont val="Calibri"/>
        <family val="2"/>
        <charset val="1"/>
      </rPr>
      <t>1925</t>
    </r>
  </si>
  <si>
    <r>
      <rPr>
        <sz val="12"/>
        <color rgb="FF3B3842"/>
        <rFont val="Calibri"/>
        <family val="2"/>
        <charset val="1"/>
      </rPr>
      <t xml:space="preserve">1926 </t>
    </r>
    <r>
      <rPr>
        <sz val="12"/>
        <color rgb="FF575059"/>
        <rFont val="Calibri"/>
        <family val="2"/>
        <charset val="1"/>
      </rPr>
      <t>-</t>
    </r>
    <r>
      <rPr>
        <sz val="12"/>
        <color rgb="FF3B3842"/>
        <rFont val="Calibri"/>
        <family val="2"/>
        <charset val="1"/>
      </rPr>
      <t>1950</t>
    </r>
  </si>
  <si>
    <r>
      <rPr>
        <sz val="12"/>
        <color rgb="FF3B3842"/>
        <rFont val="Calibri"/>
        <family val="2"/>
        <charset val="1"/>
      </rPr>
      <t>1951</t>
    </r>
    <r>
      <rPr>
        <sz val="12"/>
        <color rgb="FF282828"/>
        <rFont val="Calibri"/>
        <family val="2"/>
        <charset val="1"/>
      </rPr>
      <t xml:space="preserve">- </t>
    </r>
    <r>
      <rPr>
        <sz val="12"/>
        <color rgb="FF3B3842"/>
        <rFont val="Calibri"/>
        <family val="2"/>
        <charset val="1"/>
      </rPr>
      <t>19</t>
    </r>
    <r>
      <rPr>
        <sz val="12"/>
        <color rgb="FF575059"/>
        <rFont val="Calibri"/>
        <family val="2"/>
        <charset val="1"/>
      </rPr>
      <t>7</t>
    </r>
    <r>
      <rPr>
        <sz val="12"/>
        <color rgb="FF3B3842"/>
        <rFont val="Calibri"/>
        <family val="2"/>
        <charset val="1"/>
      </rPr>
      <t>5</t>
    </r>
  </si>
  <si>
    <r>
      <rPr>
        <sz val="12"/>
        <color rgb="FF3B3842"/>
        <rFont val="Calibri"/>
        <family val="2"/>
        <charset val="1"/>
      </rPr>
      <t>19</t>
    </r>
    <r>
      <rPr>
        <sz val="12"/>
        <color rgb="FF575059"/>
        <rFont val="Calibri"/>
        <family val="2"/>
        <charset val="1"/>
      </rPr>
      <t>7</t>
    </r>
    <r>
      <rPr>
        <sz val="12"/>
        <color rgb="FF3B3842"/>
        <rFont val="Calibri"/>
        <family val="2"/>
        <charset val="1"/>
      </rPr>
      <t xml:space="preserve">6 </t>
    </r>
    <r>
      <rPr>
        <sz val="12"/>
        <color rgb="FF575059"/>
        <rFont val="Calibri"/>
        <family val="2"/>
        <charset val="1"/>
      </rPr>
      <t>-</t>
    </r>
    <r>
      <rPr>
        <sz val="12"/>
        <color rgb="FF3B3842"/>
        <rFont val="Calibri"/>
        <family val="2"/>
        <charset val="1"/>
      </rPr>
      <t>2</t>
    </r>
    <r>
      <rPr>
        <sz val="12"/>
        <color rgb="FF282828"/>
        <rFont val="Calibri"/>
        <family val="2"/>
        <charset val="1"/>
      </rPr>
      <t>0</t>
    </r>
    <r>
      <rPr>
        <sz val="12"/>
        <color rgb="FF3B3842"/>
        <rFont val="Calibri"/>
        <family val="2"/>
        <charset val="1"/>
      </rPr>
      <t>00</t>
    </r>
  </si>
  <si>
    <r>
      <rPr>
        <sz val="12"/>
        <color rgb="FF3B3842"/>
        <rFont val="Calibri"/>
        <family val="2"/>
        <charset val="1"/>
      </rPr>
      <t>2001</t>
    </r>
    <r>
      <rPr>
        <sz val="12"/>
        <color rgb="FF575059"/>
        <rFont val="Calibri"/>
        <family val="2"/>
        <charset val="1"/>
      </rPr>
      <t>- 2025</t>
    </r>
  </si>
  <si>
    <t>2025 - 2050</t>
  </si>
  <si>
    <t>1901 -1925</t>
  </si>
  <si>
    <t>1926 - 1950</t>
  </si>
  <si>
    <t>1951- 1975</t>
  </si>
  <si>
    <t>1976 - 2000</t>
  </si>
  <si>
    <t>2001- 2025</t>
  </si>
  <si>
    <t>Number of mines closed per time band (mines)</t>
  </si>
  <si>
    <t xml:space="preserve">Fraction of gassy mines </t>
  </si>
  <si>
    <t>Emission factor for Inventory year, 2005 (from Table 4.L6) (m^3 CH4/mine)</t>
  </si>
  <si>
    <r>
      <rPr>
        <sz val="12"/>
        <rFont val="Calibri"/>
        <family val="2"/>
        <charset val="1"/>
      </rPr>
      <t>Total emissions (Gg CH</t>
    </r>
    <r>
      <rPr>
        <sz val="8"/>
        <rFont val="Calibri"/>
        <family val="2"/>
        <charset val="1"/>
      </rPr>
      <t xml:space="preserve">4 </t>
    </r>
    <r>
      <rPr>
        <sz val="12"/>
        <rFont val="Calibri"/>
        <family val="2"/>
        <charset val="1"/>
      </rPr>
      <t>per year from Egn 4.L l O)</t>
    </r>
  </si>
  <si>
    <t>Total for inventory year</t>
  </si>
  <si>
    <t>Source: IEA Oil Information https://www.iea.org/data-and-statistics/data-product/oil-information</t>
  </si>
  <si>
    <t>Documentation: https://iea.blob.core.windows.net/assets/41f0451c-3db9-45ea-b3d9-6f28ac7536ff/Oil_documentation.pdf</t>
  </si>
  <si>
    <t>This data is subject to the IEA's terms and conditions: https://www.iea.org/terms</t>
  </si>
  <si>
    <t>WORLD - Oil final consumption by product</t>
  </si>
  <si>
    <t>TJ</t>
  </si>
  <si>
    <t>Oil consumption in 2019 (%)</t>
  </si>
  <si>
    <t>%</t>
  </si>
  <si>
    <t>Europe - Oil final consumption by product</t>
  </si>
  <si>
    <t>European Union 28 - Oil final consumption by product</t>
  </si>
  <si>
    <t>NAT GAS</t>
  </si>
  <si>
    <t>OIL</t>
  </si>
  <si>
    <t>GAS</t>
  </si>
  <si>
    <r>
      <t>Gg per 10</t>
    </r>
    <r>
      <rPr>
        <vertAlign val="superscript"/>
        <sz val="12"/>
        <rFont val="Calibri"/>
        <family val="2"/>
        <charset val="1"/>
      </rPr>
      <t xml:space="preserve">3 </t>
    </r>
    <r>
      <rPr>
        <sz val="12"/>
        <rFont val="Calibri"/>
        <family val="2"/>
        <charset val="1"/>
      </rPr>
      <t>m</t>
    </r>
    <r>
      <rPr>
        <vertAlign val="superscript"/>
        <sz val="12"/>
        <rFont val="Calibri"/>
        <family val="2"/>
        <charset val="1"/>
      </rPr>
      <t>3</t>
    </r>
    <r>
      <rPr>
        <sz val="12"/>
        <rFont val="Calibri"/>
        <family val="2"/>
        <charset val="1"/>
      </rPr>
      <t xml:space="preserve"> total oil production</t>
    </r>
  </si>
  <si>
    <t>FE_gas</t>
  </si>
  <si>
    <t>FE_elec</t>
  </si>
  <si>
    <t>FE_heat</t>
  </si>
  <si>
    <t>FE_hydrogen</t>
  </si>
  <si>
    <t>FE_liquid</t>
  </si>
  <si>
    <t>FE_solid_fossil</t>
  </si>
  <si>
    <t>FE_solid_bio</t>
  </si>
  <si>
    <t>NRG_FE_I</t>
  </si>
  <si>
    <t>LDV</t>
  </si>
  <si>
    <t>RAIL</t>
  </si>
  <si>
    <t>MARINE</t>
  </si>
  <si>
    <t>NMT</t>
  </si>
  <si>
    <t>TRANSPORT_MODE_I</t>
  </si>
  <si>
    <t>2W</t>
  </si>
  <si>
    <t>BUS</t>
  </si>
  <si>
    <t>POWER_TRAIN_I</t>
  </si>
  <si>
    <t>ICE_gasoline</t>
  </si>
  <si>
    <t>ICE_diesel</t>
  </si>
  <si>
    <t>ICE_LPG</t>
  </si>
  <si>
    <t xml:space="preserve">ICE_gas </t>
  </si>
  <si>
    <t>BEV</t>
  </si>
  <si>
    <t>PHEV</t>
  </si>
  <si>
    <t>HEV</t>
  </si>
  <si>
    <t>FCEV</t>
  </si>
  <si>
    <t>EV</t>
  </si>
  <si>
    <t>HPV</t>
  </si>
  <si>
    <t>*</t>
  </si>
  <si>
    <t>* 100 gasoline consumption,a factor will be applied in the Vensim variable</t>
  </si>
  <si>
    <r>
      <t>N</t>
    </r>
    <r>
      <rPr>
        <b/>
        <vertAlign val="subscript"/>
        <sz val="11"/>
        <color rgb="FF000000"/>
        <rFont val="Calibri"/>
        <family val="2"/>
      </rPr>
      <t>2</t>
    </r>
    <r>
      <rPr>
        <b/>
        <sz val="11"/>
        <color rgb="FF000000"/>
        <rFont val="Calibri"/>
        <family val="2"/>
      </rPr>
      <t>O (kg/TJ)</t>
    </r>
  </si>
  <si>
    <r>
      <t>CH</t>
    </r>
    <r>
      <rPr>
        <b/>
        <vertAlign val="subscript"/>
        <sz val="11"/>
        <color rgb="FF000000"/>
        <rFont val="Calibri"/>
        <family val="2"/>
      </rPr>
      <t>4</t>
    </r>
    <r>
      <rPr>
        <b/>
        <sz val="11"/>
        <color rgb="FF000000"/>
        <rFont val="Calibri"/>
        <family val="2"/>
      </rPr>
      <t xml:space="preserve"> </t>
    </r>
  </si>
  <si>
    <t>EMISSIONS FACTOR [kg CO2/TJ]</t>
  </si>
  <si>
    <t>EMISSIONS FACTOR [kg CH4/TJ]</t>
  </si>
  <si>
    <t>EMISSIONS FACTOR [kg N2O/TJ]</t>
  </si>
  <si>
    <t>[kg CO2/TJ]</t>
  </si>
  <si>
    <t>[kg CH4/TJ]</t>
  </si>
  <si>
    <t>[kg N2O/TJ]</t>
  </si>
  <si>
    <t>_MATRIX:HISTORIC_CO2_EMISSIONS_FROM_ENERGY_AND_WASTE(REGIONS_I,YEAR)</t>
  </si>
  <si>
    <t>Mt/year</t>
  </si>
  <si>
    <t>REGIONS_I</t>
  </si>
  <si>
    <t>CATEGORY_EMISSIONS_I</t>
  </si>
  <si>
    <t xml:space="preserve">AUSTRIA </t>
  </si>
  <si>
    <t>BELGIUM</t>
  </si>
  <si>
    <t>BULGARIA</t>
  </si>
  <si>
    <t>CROATIA</t>
  </si>
  <si>
    <t>CYPRUS</t>
  </si>
  <si>
    <t>CZECH REPUBLIC</t>
  </si>
  <si>
    <t>DENMARK</t>
  </si>
  <si>
    <t>ESTONIA</t>
  </si>
  <si>
    <t>FINLAND</t>
  </si>
  <si>
    <t>FRANCE</t>
  </si>
  <si>
    <t>GERMANY</t>
  </si>
  <si>
    <t>GREECE</t>
  </si>
  <si>
    <t>HUNGARY</t>
  </si>
  <si>
    <t>IRELAND</t>
  </si>
  <si>
    <t>ITALY</t>
  </si>
  <si>
    <t>LATVIA</t>
  </si>
  <si>
    <t xml:space="preserve">LITHUANIA </t>
  </si>
  <si>
    <t>LUXEMBOURG</t>
  </si>
  <si>
    <t>MALTA</t>
  </si>
  <si>
    <t>NETHERLANDS</t>
  </si>
  <si>
    <t>POLAND</t>
  </si>
  <si>
    <t>PORTUGAL</t>
  </si>
  <si>
    <t>ROMANIA</t>
  </si>
  <si>
    <t>SLOVAKIA</t>
  </si>
  <si>
    <t>SLOVENIA</t>
  </si>
  <si>
    <t>SPAIN</t>
  </si>
  <si>
    <t>SWEDEN</t>
  </si>
  <si>
    <t>UK</t>
  </si>
  <si>
    <t>CHINA</t>
  </si>
  <si>
    <t>EASOC</t>
  </si>
  <si>
    <t>INDIA</t>
  </si>
  <si>
    <t>LATAM</t>
  </si>
  <si>
    <t>RUSSIA</t>
  </si>
  <si>
    <t>USMCA</t>
  </si>
  <si>
    <t>LROW</t>
  </si>
  <si>
    <t>_MATRIX:CO2_EMISSION_FACTORS_PROTRA_TI_STATIONARY_COMBUSTION(PROTRA_I,TI_I)</t>
  </si>
  <si>
    <t>PROTRA_I</t>
  </si>
  <si>
    <t>TI_gas_bio</t>
  </si>
  <si>
    <t>TI_gas_fossil</t>
  </si>
  <si>
    <t>TI_geothermal</t>
  </si>
  <si>
    <t>TI_hydrogen</t>
  </si>
  <si>
    <t>TI_hydropower</t>
  </si>
  <si>
    <t>TI_liquid_bio</t>
  </si>
  <si>
    <t>TI_liquid_fossil</t>
  </si>
  <si>
    <t>TI_nuclear</t>
  </si>
  <si>
    <t>TI_oceanic</t>
  </si>
  <si>
    <t>TI_solar</t>
  </si>
  <si>
    <t>TI_solid_bio</t>
  </si>
  <si>
    <t>TI_solid_fossil</t>
  </si>
  <si>
    <t>TI_waste</t>
  </si>
  <si>
    <t>TI_wind</t>
  </si>
  <si>
    <t>_VECTOR(NRG_PE_I)</t>
  </si>
  <si>
    <t>CO2_EMISSION_FACTORS_PE</t>
  </si>
  <si>
    <t>NRG_PE_I│UNIT</t>
  </si>
  <si>
    <t>kg/TJ</t>
  </si>
  <si>
    <t>PE_geothermal</t>
  </si>
  <si>
    <t>EF_Road_tranportation_Motor_Gasoline</t>
  </si>
  <si>
    <t>EF_Road_tranportation_Gas_or_Diesel_Oil</t>
  </si>
  <si>
    <t>EF_Road_tranportation_Liquefied_Petroleum_Gases</t>
  </si>
  <si>
    <t>EF_Road_tranportation_Kerosene</t>
  </si>
  <si>
    <t>EF_Road_tranportation_Lubricants</t>
  </si>
  <si>
    <t>EF_Road_tranportation_Compressed_Natural_Gas</t>
  </si>
  <si>
    <t>EF_Road_tranportation_Liquefied_Natural_Gas</t>
  </si>
  <si>
    <t>EF_Off_Road_transportation_Diesel_Agriculture</t>
  </si>
  <si>
    <t>EF_Off_Road_transportation_Diesel_Forestry</t>
  </si>
  <si>
    <t>EF_Off_Road_transportation_Diesel_Industry</t>
  </si>
  <si>
    <t>EF_Off_Road_transportation_Diesel_Household</t>
  </si>
  <si>
    <t>EF_Off_Road_transportation_Motor_Gasoline_4_stroke_Agriculture</t>
  </si>
  <si>
    <t>EF_Off_Road_transportation_Motor_Gasoline_4_stroke_Forestry</t>
  </si>
  <si>
    <t>EF_Off_Road_transportation_Motor_Gasoline_4_stroke_Industry</t>
  </si>
  <si>
    <t>EF_Off_Road_transportation_Motor_Gasoline_4_stroke_Household</t>
  </si>
  <si>
    <t>EF_Off_Road_transportation_Motor_Gasoline_2_Stroke_Agriculture</t>
  </si>
  <si>
    <t>EF_Off_Road_transportation_Motor_Gasoline_2_Stroke_Forestry</t>
  </si>
  <si>
    <t>EF_Off_Road_transportation_Motor_Gasoline_2_Stroke_Industry</t>
  </si>
  <si>
    <t>EF_Off_Road_transportation_Motor_Gasoline_2_Stroke_Household</t>
  </si>
  <si>
    <t>EF_Rail_transport_Diesel</t>
  </si>
  <si>
    <t>EF_Rail_transport_Sub_bituminous_Coal</t>
  </si>
  <si>
    <t>EF_Water_borne_navigation_Gasoline</t>
  </si>
  <si>
    <t>EF_Water_borne_navigation_Other_Kerosene</t>
  </si>
  <si>
    <t>EF_Water_borne_navigation_Gas_or_Diesel_Oil</t>
  </si>
  <si>
    <t>EF_Water_borne_navigation_Residual_Fuel_Oil</t>
  </si>
  <si>
    <t>EF_Water_borne_navigation_Liquefied_Petroleum_Gases</t>
  </si>
  <si>
    <t>EF_Water_borne_navigation_Other_oil_Refinery_Gas</t>
  </si>
  <si>
    <t>EF_Water_borne_navigation_Other_oil_Paraffin_Waxes</t>
  </si>
  <si>
    <t>EF_Water_borne_navigation_Other_oil_White_Spirit_and_SBP</t>
  </si>
  <si>
    <t>EF_Water_borne_navigation_Other_oil_Other_Petroleum_products</t>
  </si>
  <si>
    <t>EF_Water_borne_navigation_Natural _Gas</t>
  </si>
  <si>
    <t>EF_Civil_and_military_aviation_Aviation Gasoline</t>
  </si>
  <si>
    <t>EF_Civil_and_military_aviation_Jet Kerosene</t>
  </si>
  <si>
    <t>_MATRIX:GHG_EMISSION_FACTORS_STATIONARY_COMBUSTION(NRG_FE_I, GHG_I)</t>
  </si>
  <si>
    <t>PROTRA_CHP_solid_bio</t>
  </si>
  <si>
    <t>PROTRA_CHP_liquid_fuels_CCS</t>
  </si>
  <si>
    <t>PROTRA_CHP_solid_fossil</t>
  </si>
  <si>
    <t>PROTRA_CHP_solid_fossil_CCS</t>
  </si>
  <si>
    <t>PROTRA_CHP_solid_bio_CCS</t>
  </si>
  <si>
    <t>PROTRA_HP_solid_bio</t>
  </si>
  <si>
    <t>PROTRA_HP_solid_fossil</t>
  </si>
  <si>
    <t>PROTRA_PP_solid_bio</t>
  </si>
  <si>
    <t>PROTRA_PP_solid_bio_CCS</t>
  </si>
  <si>
    <t>PROTRA_PP_solid_fossil</t>
  </si>
  <si>
    <t>PROTRA_PP_solid_fossil_CCS</t>
  </si>
  <si>
    <t>PROTRA_blending_liquid_fuels</t>
  </si>
  <si>
    <r>
      <t>Conversion Factor (Mt m</t>
    </r>
    <r>
      <rPr>
        <vertAlign val="superscript"/>
        <sz val="9"/>
        <color rgb="FF000000"/>
        <rFont val="Calibri"/>
        <family val="2"/>
        <charset val="1"/>
      </rPr>
      <t>-3</t>
    </r>
    <r>
      <rPr>
        <sz val="9"/>
        <color rgb="FF000000"/>
        <rFont val="Calibri"/>
        <family val="2"/>
        <charset val="1"/>
      </rPr>
      <t>)</t>
    </r>
  </si>
  <si>
    <r>
      <t>CO</t>
    </r>
    <r>
      <rPr>
        <vertAlign val="subscript"/>
        <sz val="9"/>
        <color rgb="FF000000"/>
        <rFont val="Calibri"/>
        <family val="2"/>
        <charset val="1"/>
      </rPr>
      <t>2</t>
    </r>
  </si>
  <si>
    <t>AIR_DOMESTIC</t>
  </si>
  <si>
    <t>AIR_INTRA_EU</t>
  </si>
  <si>
    <t>AIR_INTERNATIONAL</t>
  </si>
  <si>
    <t>EF_Road_transportation_Ethanol_cars</t>
  </si>
  <si>
    <t>EF_Road_transportation_Ethanol_trucks</t>
  </si>
  <si>
    <t>Off_Road_transport_and_machinery</t>
  </si>
  <si>
    <t>* Como introducimos éstas emisiones</t>
  </si>
  <si>
    <r>
      <t>Gg per 10</t>
    </r>
    <r>
      <rPr>
        <b/>
        <vertAlign val="superscript"/>
        <sz val="12"/>
        <rFont val="Calibri"/>
        <family val="2"/>
      </rPr>
      <t xml:space="preserve">6 </t>
    </r>
    <r>
      <rPr>
        <b/>
        <sz val="12"/>
        <rFont val="Calibri"/>
        <family val="2"/>
      </rPr>
      <t>m</t>
    </r>
    <r>
      <rPr>
        <b/>
        <vertAlign val="superscript"/>
        <sz val="12"/>
        <rFont val="Calibri"/>
        <family val="2"/>
      </rPr>
      <t xml:space="preserve">3 </t>
    </r>
  </si>
  <si>
    <r>
      <t>t per 10</t>
    </r>
    <r>
      <rPr>
        <b/>
        <vertAlign val="superscript"/>
        <sz val="14"/>
        <rFont val="Calibri"/>
        <family val="2"/>
      </rPr>
      <t xml:space="preserve">6 </t>
    </r>
    <r>
      <rPr>
        <b/>
        <sz val="14"/>
        <rFont val="Calibri"/>
        <family val="2"/>
      </rPr>
      <t>m</t>
    </r>
    <r>
      <rPr>
        <b/>
        <vertAlign val="superscript"/>
        <sz val="14"/>
        <rFont val="Calibri"/>
        <family val="2"/>
      </rPr>
      <t xml:space="preserve">3 </t>
    </r>
  </si>
  <si>
    <t>https://www.google.com/url?sa=t&amp;rct=j&amp;q=&amp;esrc=s&amp;source=web&amp;cd=&amp;cad=rja&amp;uact=8&amp;ved=2ahUKEwjN1sTepb38AhX58rsIHapVAgAQFnoECEoQAQ&amp;url=https%3A%2F%2Fcanviclimatic.gencat.cat%2Fweb%2F.content%2F03_AMBITS%2Fmitigacio%2Fcomerc_de_drets_demissio%2Ffactors_demissio%2Fdocuments%2Fannexo_8_inventario_gei_espana_1990-2011_ed_2013.pdf&amp;usg=AOvVaw3an0k3J560YyCultwIqOwV</t>
  </si>
  <si>
    <t>MJ/m3</t>
  </si>
  <si>
    <t>EMISSION FACTORS FOR GASIFICATION PROCESSES OF Coal to liquids (Coal to gas)</t>
  </si>
  <si>
    <r>
      <rPr>
        <b/>
        <sz val="12"/>
        <rFont val="Calibri"/>
        <family val="2"/>
      </rPr>
      <t>t per 10</t>
    </r>
    <r>
      <rPr>
        <b/>
        <vertAlign val="superscript"/>
        <sz val="12"/>
        <rFont val="Calibri"/>
        <family val="2"/>
      </rPr>
      <t xml:space="preserve">6 </t>
    </r>
    <r>
      <rPr>
        <b/>
        <sz val="12"/>
        <rFont val="Calibri"/>
        <family val="2"/>
      </rPr>
      <t>m</t>
    </r>
    <r>
      <rPr>
        <b/>
        <vertAlign val="superscript"/>
        <sz val="12"/>
        <rFont val="Calibri"/>
        <family val="2"/>
      </rPr>
      <t xml:space="preserve">3 </t>
    </r>
  </si>
  <si>
    <r>
      <t>t per 10</t>
    </r>
    <r>
      <rPr>
        <vertAlign val="superscript"/>
        <sz val="12"/>
        <rFont val="Calibri"/>
        <family val="2"/>
        <charset val="1"/>
      </rPr>
      <t xml:space="preserve">6 </t>
    </r>
    <r>
      <rPr>
        <sz val="12"/>
        <rFont val="Calibri"/>
        <family val="2"/>
        <charset val="1"/>
      </rPr>
      <t>m</t>
    </r>
    <r>
      <rPr>
        <vertAlign val="superscript"/>
        <sz val="12"/>
        <rFont val="Calibri"/>
        <family val="2"/>
        <charset val="1"/>
      </rPr>
      <t xml:space="preserve">3 </t>
    </r>
  </si>
  <si>
    <t>ENERGY AND WASTE</t>
  </si>
  <si>
    <t>_MATRIX:GHG_EMISSION_FACTORS_RESIDENTIAL_STATIONARY_COMBUSTION(NRG_FE_I, GHG_I)</t>
  </si>
  <si>
    <t>https://www.ipcc-nggip.iges.or.jp/EFDB/find_ef.php</t>
  </si>
  <si>
    <t>ISIC</t>
  </si>
  <si>
    <t>Version Guidebook 2022</t>
  </si>
  <si>
    <t>Software</t>
  </si>
  <si>
    <t>version</t>
  </si>
  <si>
    <t>COPERT 5.6</t>
  </si>
  <si>
    <t>Updated October 2021</t>
  </si>
  <si>
    <t>EMEP/EEA air pollutant emission inventory guidebook 2019 – Update Oct.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</si>
</sst>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0.00;\-"/>
    <numFmt numFmtId="165" formatCode="0_ ;\-0\ "/>
    <numFmt numFmtId="166" formatCode="0.000%"/>
    <numFmt numFmtId="167" formatCode="0.0000000"/>
    <numFmt numFmtId="168" formatCode="0.000"/>
    <numFmt numFmtId="169" formatCode="0.0"/>
  </numFmts>
  <fonts count="56" x14ac:knownFonts="1">
    <font>
      <sz val="11"/>
      <color rgb="FF000000"/>
      <name val="Calibri"/>
      <family val="2"/>
      <charset val="1"/>
    </font>
    <font>
      <sz val="11"/>
      <color theme="1"/>
      <name val="Calibri"/>
      <family val="2"/>
      <scheme val="minor"/>
    </font>
    <font>
      <sz val="11"/>
      <color theme="1"/>
      <name val="Calibri"/>
      <family val="2"/>
      <scheme val="minor"/>
    </font>
    <font>
      <b/>
      <sz val="10"/>
      <color rgb="FFFFFFFF"/>
      <name val="Calibri"/>
      <family val="2"/>
      <charset val="1"/>
    </font>
    <font>
      <sz val="10"/>
      <color rgb="FF000000"/>
      <name val="Calibri"/>
      <family val="2"/>
      <charset val="1"/>
    </font>
    <font>
      <sz val="10"/>
      <color rgb="FF000000"/>
      <name val="Times New Roman"/>
      <family val="1"/>
      <charset val="1"/>
    </font>
    <font>
      <b/>
      <sz val="11"/>
      <color rgb="FF000000"/>
      <name val="Calibri"/>
      <family val="2"/>
      <charset val="1"/>
    </font>
    <font>
      <sz val="11"/>
      <color rgb="FFFF0000"/>
      <name val="Calibri"/>
      <family val="2"/>
      <charset val="1"/>
    </font>
    <font>
      <b/>
      <sz val="11"/>
      <color rgb="FFFF0000"/>
      <name val="Calibri"/>
      <family val="2"/>
      <charset val="1"/>
    </font>
    <font>
      <sz val="8"/>
      <color rgb="FF000000"/>
      <name val="Calibri"/>
      <family val="2"/>
      <charset val="1"/>
    </font>
    <font>
      <sz val="9"/>
      <color rgb="FF000000"/>
      <name val="Calibri"/>
      <family val="2"/>
      <charset val="1"/>
    </font>
    <font>
      <b/>
      <sz val="9"/>
      <color rgb="FFFFFFFF"/>
      <name val="Calibri"/>
      <family val="2"/>
      <charset val="1"/>
    </font>
    <font>
      <sz val="9"/>
      <color rgb="FF000000"/>
      <name val="Tahoma"/>
      <family val="2"/>
      <charset val="1"/>
    </font>
    <font>
      <sz val="12"/>
      <name val="Calibri"/>
      <family val="2"/>
      <charset val="1"/>
    </font>
    <font>
      <sz val="10.5"/>
      <color rgb="FF000000"/>
      <name val="Courier New"/>
      <family val="3"/>
      <charset val="1"/>
    </font>
    <font>
      <b/>
      <sz val="12"/>
      <name val="Calibri"/>
      <family val="2"/>
      <charset val="1"/>
    </font>
    <font>
      <vertAlign val="subscript"/>
      <sz val="12"/>
      <name val="Calibri"/>
      <family val="2"/>
      <charset val="1"/>
    </font>
    <font>
      <vertAlign val="superscript"/>
      <sz val="12"/>
      <name val="Calibri"/>
      <family val="2"/>
      <charset val="1"/>
    </font>
    <font>
      <sz val="11"/>
      <name val="Calibri Light"/>
      <family val="2"/>
      <charset val="1"/>
    </font>
    <font>
      <b/>
      <sz val="10"/>
      <color rgb="FF000000"/>
      <name val="Calibri"/>
      <family val="2"/>
      <charset val="1"/>
    </font>
    <font>
      <b/>
      <vertAlign val="subscript"/>
      <sz val="10"/>
      <color rgb="FF000000"/>
      <name val="Calibri"/>
      <family val="2"/>
      <charset val="1"/>
    </font>
    <font>
      <vertAlign val="superscript"/>
      <sz val="9"/>
      <color rgb="FF000000"/>
      <name val="Calibri"/>
      <family val="2"/>
      <charset val="1"/>
    </font>
    <font>
      <vertAlign val="subscript"/>
      <sz val="9"/>
      <color rgb="FF000000"/>
      <name val="Calibri"/>
      <family val="2"/>
      <charset val="1"/>
    </font>
    <font>
      <sz val="13"/>
      <color rgb="FF2D2D2D"/>
      <name val="Calibri"/>
      <family val="2"/>
      <charset val="1"/>
    </font>
    <font>
      <sz val="13"/>
      <color rgb="FF423F44"/>
      <name val="Calibri"/>
      <family val="2"/>
      <charset val="1"/>
    </font>
    <font>
      <sz val="12"/>
      <color rgb="FF2D2D2D"/>
      <name val="Calibri"/>
      <family val="2"/>
      <charset val="1"/>
    </font>
    <font>
      <sz val="12"/>
      <color rgb="FF000000"/>
      <name val="Calibri"/>
      <family val="2"/>
      <charset val="1"/>
    </font>
    <font>
      <sz val="12"/>
      <color rgb="FF423F44"/>
      <name val="Calibri"/>
      <family val="2"/>
      <charset val="1"/>
    </font>
    <font>
      <sz val="12"/>
      <color rgb="FF595459"/>
      <name val="Calibri"/>
      <family val="2"/>
      <charset val="1"/>
    </font>
    <font>
      <sz val="12"/>
      <color rgb="FF3B3842"/>
      <name val="Calibri"/>
      <family val="2"/>
      <charset val="1"/>
    </font>
    <font>
      <vertAlign val="superscript"/>
      <sz val="12"/>
      <color rgb="FF3B3842"/>
      <name val="Calibri"/>
      <family val="2"/>
      <charset val="1"/>
    </font>
    <font>
      <sz val="12"/>
      <color rgb="FF282828"/>
      <name val="Calibri"/>
      <family val="2"/>
      <charset val="1"/>
    </font>
    <font>
      <sz val="12"/>
      <color rgb="FF575059"/>
      <name val="Calibri"/>
      <family val="2"/>
      <charset val="1"/>
    </font>
    <font>
      <sz val="8"/>
      <name val="Calibri"/>
      <family val="2"/>
      <charset val="1"/>
    </font>
    <font>
      <sz val="11"/>
      <color rgb="FF000000"/>
      <name val="Calibri"/>
      <family val="2"/>
      <charset val="1"/>
    </font>
    <font>
      <b/>
      <sz val="22"/>
      <color rgb="FF000000"/>
      <name val="Calibri"/>
      <family val="2"/>
    </font>
    <font>
      <b/>
      <sz val="11"/>
      <name val="Calibri Light"/>
      <family val="2"/>
      <charset val="1"/>
    </font>
    <font>
      <b/>
      <sz val="12"/>
      <name val="Calibri"/>
      <family val="2"/>
    </font>
    <font>
      <b/>
      <sz val="16"/>
      <name val="Calibri"/>
      <family val="2"/>
    </font>
    <font>
      <b/>
      <sz val="20"/>
      <name val="Calibri"/>
      <family val="2"/>
    </font>
    <font>
      <b/>
      <sz val="12"/>
      <color rgb="FF000000"/>
      <name val="Calibri"/>
      <family val="2"/>
      <charset val="1"/>
    </font>
    <font>
      <b/>
      <sz val="11"/>
      <color rgb="FF000000"/>
      <name val="Calibri"/>
      <family val="2"/>
    </font>
    <font>
      <b/>
      <vertAlign val="subscript"/>
      <sz val="11"/>
      <color rgb="FF000000"/>
      <name val="Calibri"/>
      <family val="2"/>
    </font>
    <font>
      <sz val="11"/>
      <color rgb="FF000000"/>
      <name val="Calibri"/>
      <family val="2"/>
    </font>
    <font>
      <b/>
      <sz val="12"/>
      <color rgb="FF000000"/>
      <name val="Calibri"/>
      <family val="2"/>
    </font>
    <font>
      <sz val="11"/>
      <color rgb="FF000000"/>
      <name val="Calibri"/>
      <family val="2"/>
      <scheme val="minor"/>
    </font>
    <font>
      <sz val="10"/>
      <color indexed="8"/>
      <name val="Arial"/>
      <family val="2"/>
      <charset val="161"/>
    </font>
    <font>
      <sz val="11"/>
      <color indexed="8"/>
      <name val="Calibri"/>
      <family val="2"/>
      <charset val="161"/>
    </font>
    <font>
      <sz val="11"/>
      <name val="Calibri"/>
      <family val="2"/>
      <scheme val="minor"/>
    </font>
    <font>
      <sz val="10"/>
      <color theme="1"/>
      <name val="Calibri"/>
      <family val="2"/>
      <scheme val="minor"/>
    </font>
    <font>
      <b/>
      <sz val="10"/>
      <color theme="0"/>
      <name val="Calibri"/>
      <family val="2"/>
      <scheme val="minor"/>
    </font>
    <font>
      <sz val="11"/>
      <name val="Calibri"/>
      <family val="2"/>
    </font>
    <font>
      <b/>
      <vertAlign val="superscript"/>
      <sz val="12"/>
      <name val="Calibri"/>
      <family val="2"/>
    </font>
    <font>
      <b/>
      <sz val="14"/>
      <name val="Calibri"/>
      <family val="2"/>
    </font>
    <font>
      <b/>
      <vertAlign val="superscript"/>
      <sz val="14"/>
      <name val="Calibri"/>
      <family val="2"/>
    </font>
    <font>
      <u/>
      <sz val="11"/>
      <color theme="10"/>
      <name val="Calibri"/>
      <family val="2"/>
      <charset val="1"/>
    </font>
  </fonts>
  <fills count="28">
    <fill>
      <patternFill patternType="none"/>
    </fill>
    <fill>
      <patternFill patternType="gray125"/>
    </fill>
    <fill>
      <patternFill patternType="solid">
        <fgColor rgb="FF000000"/>
        <bgColor rgb="FF003300"/>
      </patternFill>
    </fill>
    <fill>
      <patternFill patternType="solid">
        <fgColor rgb="FFDAE3F3"/>
        <bgColor rgb="FFDDEBF7"/>
      </patternFill>
    </fill>
    <fill>
      <patternFill patternType="solid">
        <fgColor rgb="FF66FF33"/>
        <bgColor rgb="FF00FF00"/>
      </patternFill>
    </fill>
    <fill>
      <patternFill patternType="solid">
        <fgColor rgb="FFC5E0B4"/>
        <bgColor rgb="FFD9D9D9"/>
      </patternFill>
    </fill>
    <fill>
      <patternFill patternType="solid">
        <fgColor rgb="FFFFFF00"/>
        <bgColor rgb="FFFFFF00"/>
      </patternFill>
    </fill>
    <fill>
      <patternFill patternType="solid">
        <fgColor rgb="FFDDEBF7"/>
        <bgColor rgb="FFDAE3F3"/>
      </patternFill>
    </fill>
    <fill>
      <patternFill patternType="solid">
        <fgColor rgb="FFD9D9D9"/>
        <bgColor rgb="FFDAE3F3"/>
      </patternFill>
    </fill>
    <fill>
      <patternFill patternType="solid">
        <fgColor rgb="FF9DC3E6"/>
        <bgColor rgb="FF9999FF"/>
      </patternFill>
    </fill>
    <fill>
      <patternFill patternType="solid">
        <fgColor rgb="FFDA9674"/>
        <bgColor rgb="FFF4B183"/>
      </patternFill>
    </fill>
    <fill>
      <patternFill patternType="solid">
        <fgColor rgb="FFF4B183"/>
        <bgColor rgb="FFDA9674"/>
      </patternFill>
    </fill>
    <fill>
      <patternFill patternType="solid">
        <fgColor rgb="FFFFE699"/>
        <bgColor rgb="FFFFF2CC"/>
      </patternFill>
    </fill>
    <fill>
      <patternFill patternType="solid">
        <fgColor rgb="FFE2F0D9"/>
        <bgColor rgb="FFE2EFD9"/>
      </patternFill>
    </fill>
    <fill>
      <patternFill patternType="solid">
        <fgColor rgb="FFFFF2CC"/>
        <bgColor rgb="FFE2F0D9"/>
      </patternFill>
    </fill>
    <fill>
      <patternFill patternType="solid">
        <fgColor rgb="FFE2EFD9"/>
        <bgColor rgb="FFE2F0D9"/>
      </patternFill>
    </fill>
    <fill>
      <patternFill patternType="solid">
        <fgColor rgb="FFFFFF00"/>
        <bgColor rgb="FFE2EFD9"/>
      </patternFill>
    </fill>
    <fill>
      <patternFill patternType="solid">
        <fgColor rgb="FF00B0F0"/>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F0"/>
        <bgColor rgb="FF008080"/>
      </patternFill>
    </fill>
    <fill>
      <patternFill patternType="solid">
        <fgColor rgb="FF66FF33"/>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1"/>
        <bgColor indexed="64"/>
      </patternFill>
    </fill>
    <fill>
      <patternFill patternType="solid">
        <fgColor theme="1"/>
        <bgColor theme="4" tint="0.79998168889431442"/>
      </patternFill>
    </fill>
    <fill>
      <patternFill patternType="solid">
        <fgColor rgb="FFFFC000"/>
        <bgColor indexed="64"/>
      </patternFill>
    </fill>
    <fill>
      <patternFill patternType="solid">
        <fgColor rgb="FFFF0000"/>
        <bgColor rgb="FFDAE3F3"/>
      </patternFill>
    </fill>
  </fills>
  <borders count="6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style="thin">
        <color auto="1"/>
      </right>
      <top style="thin">
        <color auto="1"/>
      </top>
      <bottom style="thin">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medium">
        <color indexed="64"/>
      </right>
      <top/>
      <bottom/>
      <diagonal/>
    </border>
    <border>
      <left style="thin">
        <color auto="1"/>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thin">
        <color auto="1"/>
      </left>
      <right/>
      <top style="thin">
        <color auto="1"/>
      </top>
      <bottom style="medium">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medium">
        <color indexed="64"/>
      </right>
      <top style="thin">
        <color auto="1"/>
      </top>
      <bottom/>
      <diagonal/>
    </border>
    <border>
      <left style="thin">
        <color auto="1"/>
      </left>
      <right/>
      <top style="medium">
        <color auto="1"/>
      </top>
      <bottom/>
      <diagonal/>
    </border>
  </borders>
  <cellStyleXfs count="14">
    <xf numFmtId="0" fontId="0" fillId="0" borderId="0"/>
    <xf numFmtId="9" fontId="34" fillId="0" borderId="0" applyBorder="0" applyProtection="0"/>
    <xf numFmtId="0" fontId="3" fillId="2" borderId="1">
      <alignment horizontal="center" vertical="center"/>
    </xf>
    <xf numFmtId="0" fontId="4" fillId="3" borderId="1">
      <alignment horizontal="center" vertical="center"/>
      <protection locked="0"/>
    </xf>
    <xf numFmtId="0" fontId="5" fillId="0" borderId="0"/>
    <xf numFmtId="0" fontId="5" fillId="0" borderId="0"/>
    <xf numFmtId="0" fontId="2" fillId="0" borderId="0"/>
    <xf numFmtId="0" fontId="46" fillId="0" borderId="0"/>
    <xf numFmtId="49" fontId="48" fillId="21" borderId="1">
      <alignment horizontal="left" wrapText="1"/>
    </xf>
    <xf numFmtId="49" fontId="48" fillId="21" borderId="1">
      <alignment horizontal="center"/>
    </xf>
    <xf numFmtId="0" fontId="48" fillId="21" borderId="1">
      <alignment horizontal="left" vertical="center"/>
    </xf>
    <xf numFmtId="164" fontId="49" fillId="22" borderId="1" applyNumberFormat="0">
      <alignment horizontal="center" vertical="center"/>
      <protection locked="0"/>
    </xf>
    <xf numFmtId="0" fontId="50" fillId="24" borderId="1" applyNumberFormat="0">
      <alignment horizontal="center" vertical="center"/>
    </xf>
    <xf numFmtId="0" fontId="55" fillId="0" borderId="0" applyNumberFormat="0" applyFill="0" applyBorder="0" applyAlignment="0" applyProtection="0"/>
  </cellStyleXfs>
  <cellXfs count="386">
    <xf numFmtId="0" fontId="0" fillId="0" borderId="0" xfId="0"/>
    <xf numFmtId="0" fontId="0" fillId="0" borderId="1" xfId="0" applyBorder="1" applyAlignment="1">
      <alignment horizontal="center"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wrapText="1"/>
    </xf>
    <xf numFmtId="0" fontId="0" fillId="0" borderId="4" xfId="0" applyBorder="1" applyAlignment="1">
      <alignment vertical="center"/>
    </xf>
    <xf numFmtId="0" fontId="0" fillId="0" borderId="3" xfId="0" applyBorder="1" applyAlignment="1">
      <alignment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center" vertical="center" wrapText="1"/>
    </xf>
    <xf numFmtId="0" fontId="9" fillId="0" borderId="0" xfId="0" applyFont="1" applyAlignment="1">
      <alignment vertical="center"/>
    </xf>
    <xf numFmtId="0" fontId="10" fillId="4" borderId="2" xfId="0" applyFont="1" applyFill="1" applyBorder="1" applyAlignment="1">
      <alignment vertical="center" wrapText="1"/>
    </xf>
    <xf numFmtId="0" fontId="10" fillId="0" borderId="3" xfId="0" applyFont="1" applyBorder="1" applyAlignment="1">
      <alignment vertical="center" wrapText="1"/>
    </xf>
    <xf numFmtId="0" fontId="10" fillId="4" borderId="3" xfId="0" applyFont="1" applyFill="1" applyBorder="1" applyAlignment="1">
      <alignment vertical="center" wrapText="1"/>
    </xf>
    <xf numFmtId="0" fontId="10" fillId="4" borderId="5" xfId="0" applyFont="1" applyFill="1" applyBorder="1" applyAlignment="1">
      <alignment horizontal="center" vertical="center"/>
    </xf>
    <xf numFmtId="0" fontId="0" fillId="5" borderId="1" xfId="0" applyFill="1" applyBorder="1"/>
    <xf numFmtId="0" fontId="10" fillId="4" borderId="6" xfId="0" applyFont="1" applyFill="1" applyBorder="1" applyAlignment="1">
      <alignment vertical="center" wrapText="1"/>
    </xf>
    <xf numFmtId="164" fontId="3" fillId="2" borderId="1" xfId="2" applyNumberFormat="1">
      <alignment horizontal="center" vertical="center"/>
    </xf>
    <xf numFmtId="165" fontId="4" fillId="3" borderId="1" xfId="3" applyNumberFormat="1">
      <alignment horizontal="center" vertical="center"/>
      <protection locked="0"/>
    </xf>
    <xf numFmtId="0" fontId="0" fillId="0" borderId="1" xfId="0" applyBorder="1"/>
    <xf numFmtId="166" fontId="34" fillId="0" borderId="7" xfId="1" applyNumberFormat="1" applyBorder="1" applyProtection="1"/>
    <xf numFmtId="0" fontId="10" fillId="4" borderId="3" xfId="0" applyFont="1" applyFill="1" applyBorder="1" applyAlignment="1">
      <alignment vertical="center"/>
    </xf>
    <xf numFmtId="2" fontId="10" fillId="7" borderId="2" xfId="0" applyNumberFormat="1" applyFont="1" applyFill="1" applyBorder="1" applyAlignment="1">
      <alignment horizontal="center" vertical="center"/>
    </xf>
    <xf numFmtId="0" fontId="10" fillId="4" borderId="2" xfId="0" applyFont="1" applyFill="1" applyBorder="1" applyAlignment="1">
      <alignment vertical="center"/>
    </xf>
    <xf numFmtId="0" fontId="10" fillId="7" borderId="2" xfId="0" applyFont="1" applyFill="1" applyBorder="1" applyAlignment="1">
      <alignment horizontal="center" vertical="center"/>
    </xf>
    <xf numFmtId="2" fontId="10" fillId="7" borderId="4" xfId="0" applyNumberFormat="1" applyFont="1" applyFill="1" applyBorder="1" applyAlignment="1">
      <alignment horizontal="center" vertical="center"/>
    </xf>
    <xf numFmtId="0" fontId="10" fillId="7" borderId="4" xfId="0" applyFont="1" applyFill="1" applyBorder="1" applyAlignment="1">
      <alignment horizontal="center" vertical="center"/>
    </xf>
    <xf numFmtId="2" fontId="0" fillId="0" borderId="0" xfId="0" applyNumberFormat="1"/>
    <xf numFmtId="0" fontId="11" fillId="2" borderId="0" xfId="0" applyFont="1" applyFill="1" applyAlignment="1">
      <alignment horizontal="center" vertical="center"/>
    </xf>
    <xf numFmtId="167" fontId="0" fillId="0" borderId="0" xfId="0" applyNumberFormat="1"/>
    <xf numFmtId="164" fontId="0" fillId="0" borderId="0" xfId="0" applyNumberFormat="1"/>
    <xf numFmtId="0" fontId="4" fillId="0" borderId="0" xfId="0" applyFont="1" applyAlignment="1">
      <alignment vertical="center"/>
    </xf>
    <xf numFmtId="0" fontId="11" fillId="2" borderId="4" xfId="0" applyFont="1" applyFill="1" applyBorder="1" applyAlignment="1">
      <alignment horizontal="center" vertical="center"/>
    </xf>
    <xf numFmtId="2" fontId="13" fillId="0" borderId="0" xfId="0" applyNumberFormat="1" applyFont="1" applyAlignment="1">
      <alignment wrapText="1"/>
    </xf>
    <xf numFmtId="2" fontId="13" fillId="0" borderId="1" xfId="0" applyNumberFormat="1" applyFont="1" applyBorder="1" applyAlignment="1">
      <alignment wrapText="1"/>
    </xf>
    <xf numFmtId="11" fontId="13" fillId="0" borderId="1" xfId="0" applyNumberFormat="1" applyFont="1" applyBorder="1" applyAlignment="1">
      <alignment wrapText="1"/>
    </xf>
    <xf numFmtId="0" fontId="13" fillId="13" borderId="1" xfId="0" applyFont="1" applyFill="1" applyBorder="1" applyAlignment="1">
      <alignment horizontal="center"/>
    </xf>
    <xf numFmtId="0" fontId="13" fillId="13" borderId="9" xfId="0" applyFont="1" applyFill="1" applyBorder="1" applyAlignment="1">
      <alignment horizontal="center"/>
    </xf>
    <xf numFmtId="0" fontId="13" fillId="0" borderId="1" xfId="5" applyFont="1" applyBorder="1" applyAlignment="1">
      <alignment vertical="top" wrapText="1"/>
    </xf>
    <xf numFmtId="0" fontId="13" fillId="10" borderId="1" xfId="5" applyFont="1" applyFill="1" applyBorder="1" applyAlignment="1">
      <alignment vertical="top" wrapText="1"/>
    </xf>
    <xf numFmtId="11" fontId="13" fillId="9" borderId="1" xfId="0" applyNumberFormat="1" applyFont="1" applyFill="1" applyBorder="1" applyAlignment="1">
      <alignment wrapText="1"/>
    </xf>
    <xf numFmtId="9" fontId="13" fillId="0" borderId="1" xfId="1" applyFont="1" applyBorder="1" applyAlignment="1" applyProtection="1">
      <alignment wrapText="1"/>
    </xf>
    <xf numFmtId="0" fontId="13" fillId="13" borderId="1" xfId="0" applyFont="1" applyFill="1" applyBorder="1" applyAlignment="1">
      <alignment horizontal="center" wrapText="1"/>
    </xf>
    <xf numFmtId="168" fontId="13" fillId="0" borderId="1" xfId="0" applyNumberFormat="1" applyFont="1" applyBorder="1" applyAlignment="1">
      <alignment wrapText="1"/>
    </xf>
    <xf numFmtId="0" fontId="13" fillId="0" borderId="1" xfId="0" applyFont="1" applyBorder="1" applyAlignment="1">
      <alignment wrapText="1"/>
    </xf>
    <xf numFmtId="0" fontId="0" fillId="14" borderId="1" xfId="0" applyFill="1" applyBorder="1"/>
    <xf numFmtId="0" fontId="0" fillId="0" borderId="4" xfId="0" applyBorder="1" applyAlignment="1">
      <alignment horizontal="justify" vertical="center" wrapText="1"/>
    </xf>
    <xf numFmtId="0" fontId="0" fillId="14" borderId="4" xfId="0" applyFill="1" applyBorder="1" applyAlignment="1">
      <alignment horizontal="justify" vertical="center" wrapText="1"/>
    </xf>
    <xf numFmtId="0" fontId="0" fillId="0" borderId="0" xfId="0" applyAlignment="1">
      <alignment horizontal="justify" vertical="center" wrapText="1"/>
    </xf>
    <xf numFmtId="0" fontId="0" fillId="15" borderId="1" xfId="0" applyFill="1" applyBorder="1" applyAlignment="1">
      <alignment horizontal="justify" vertical="center" wrapText="1"/>
    </xf>
    <xf numFmtId="2" fontId="0" fillId="0" borderId="1" xfId="0" applyNumberFormat="1" applyBorder="1" applyAlignment="1">
      <alignment horizontal="justify" vertical="center" wrapText="1"/>
    </xf>
    <xf numFmtId="0" fontId="6" fillId="15" borderId="2" xfId="0" applyFont="1" applyFill="1" applyBorder="1" applyAlignment="1">
      <alignment vertical="center" wrapText="1"/>
    </xf>
    <xf numFmtId="0" fontId="6" fillId="15" borderId="1" xfId="0" applyFont="1" applyFill="1" applyBorder="1" applyAlignment="1">
      <alignment vertical="center"/>
    </xf>
    <xf numFmtId="0" fontId="0" fillId="0" borderId="1" xfId="0" applyBorder="1" applyAlignment="1">
      <alignment horizontal="justify" vertical="center"/>
    </xf>
    <xf numFmtId="0" fontId="6" fillId="15" borderId="1" xfId="0" applyFont="1" applyFill="1" applyBorder="1" applyAlignment="1">
      <alignment vertical="center" wrapText="1"/>
    </xf>
    <xf numFmtId="0" fontId="0" fillId="0" borderId="0" xfId="0" applyAlignment="1">
      <alignment horizontal="justify" vertical="center"/>
    </xf>
    <xf numFmtId="0" fontId="19" fillId="15" borderId="2" xfId="0" applyFont="1" applyFill="1" applyBorder="1" applyAlignment="1">
      <alignment horizontal="center" vertical="center" wrapText="1"/>
    </xf>
    <xf numFmtId="0" fontId="19" fillId="15" borderId="12" xfId="0"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0" fontId="4" fillId="14" borderId="1" xfId="0" applyFont="1" applyFill="1" applyBorder="1" applyAlignment="1">
      <alignment vertical="center" wrapText="1"/>
    </xf>
    <xf numFmtId="0" fontId="4" fillId="14" borderId="1" xfId="0" applyFont="1" applyFill="1" applyBorder="1" applyAlignment="1">
      <alignment horizontal="justify" vertical="center" wrapText="1"/>
    </xf>
    <xf numFmtId="0" fontId="0" fillId="0" borderId="0" xfId="0" applyAlignment="1">
      <alignment vertical="center" wrapText="1"/>
    </xf>
    <xf numFmtId="0" fontId="19" fillId="15" borderId="2" xfId="0" applyFont="1" applyFill="1" applyBorder="1" applyAlignment="1">
      <alignment vertical="center" wrapText="1"/>
    </xf>
    <xf numFmtId="0" fontId="19" fillId="15" borderId="12" xfId="0" applyFont="1" applyFill="1" applyBorder="1" applyAlignment="1">
      <alignment vertical="center" wrapText="1"/>
    </xf>
    <xf numFmtId="0" fontId="0" fillId="0" borderId="1" xfId="0" applyBorder="1" applyAlignment="1">
      <alignment horizontal="justify" vertical="center" wrapText="1"/>
    </xf>
    <xf numFmtId="0" fontId="10" fillId="4" borderId="5"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0" fillId="4" borderId="12" xfId="0" applyFont="1" applyFill="1" applyBorder="1" applyAlignment="1">
      <alignment horizontal="center" vertical="center"/>
    </xf>
    <xf numFmtId="0" fontId="10" fillId="4" borderId="13" xfId="0" applyFont="1" applyFill="1" applyBorder="1" applyAlignment="1">
      <alignment horizontal="center" vertical="center" wrapText="1"/>
    </xf>
    <xf numFmtId="0" fontId="10" fillId="4" borderId="13" xfId="0" applyFont="1" applyFill="1" applyBorder="1" applyAlignment="1">
      <alignment horizontal="center" vertical="center"/>
    </xf>
    <xf numFmtId="0" fontId="10" fillId="4" borderId="14" xfId="0" applyFont="1" applyFill="1" applyBorder="1" applyAlignment="1">
      <alignment horizontal="center" vertical="center"/>
    </xf>
    <xf numFmtId="0" fontId="0" fillId="0" borderId="1" xfId="0" applyBorder="1" applyAlignment="1">
      <alignment vertical="center"/>
    </xf>
    <xf numFmtId="0" fontId="0" fillId="0" borderId="15" xfId="0" applyBorder="1" applyAlignment="1">
      <alignment horizontal="center"/>
    </xf>
    <xf numFmtId="0" fontId="0" fillId="0" borderId="15" xfId="0" applyBorder="1"/>
    <xf numFmtId="0" fontId="10" fillId="4" borderId="16" xfId="0" applyFont="1" applyFill="1" applyBorder="1" applyAlignment="1">
      <alignment horizontal="center" vertical="center"/>
    </xf>
    <xf numFmtId="0" fontId="25" fillId="4" borderId="2" xfId="0" applyFont="1" applyFill="1" applyBorder="1" applyAlignment="1">
      <alignment horizontal="center" vertical="center" wrapText="1"/>
    </xf>
    <xf numFmtId="0" fontId="25" fillId="4" borderId="17" xfId="0" applyFont="1" applyFill="1" applyBorder="1" applyAlignment="1">
      <alignment horizontal="center" vertical="center" wrapText="1"/>
    </xf>
    <xf numFmtId="0" fontId="25" fillId="4" borderId="18" xfId="0" applyFont="1" applyFill="1" applyBorder="1" applyAlignment="1">
      <alignment horizontal="center" vertical="center" wrapText="1"/>
    </xf>
    <xf numFmtId="0" fontId="25" fillId="4" borderId="19" xfId="0" applyFont="1" applyFill="1" applyBorder="1" applyAlignment="1">
      <alignment horizontal="center" vertical="center" wrapText="1"/>
    </xf>
    <xf numFmtId="9" fontId="26" fillId="0" borderId="20" xfId="1" applyFont="1" applyBorder="1" applyProtection="1"/>
    <xf numFmtId="9" fontId="26" fillId="0" borderId="8" xfId="1" applyFont="1" applyBorder="1" applyProtection="1"/>
    <xf numFmtId="0" fontId="25" fillId="4" borderId="21" xfId="0" applyFont="1" applyFill="1" applyBorder="1" applyAlignment="1">
      <alignment horizontal="center" vertical="center" wrapText="1"/>
    </xf>
    <xf numFmtId="9" fontId="26" fillId="0" borderId="15" xfId="1" applyFont="1" applyBorder="1" applyProtection="1"/>
    <xf numFmtId="9" fontId="26" fillId="0" borderId="1" xfId="1" applyFont="1" applyBorder="1" applyProtection="1"/>
    <xf numFmtId="0" fontId="27" fillId="4" borderId="22"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31" fillId="4" borderId="23" xfId="0" applyFont="1" applyFill="1" applyBorder="1" applyAlignment="1">
      <alignment horizontal="center" vertical="center" wrapText="1"/>
    </xf>
    <xf numFmtId="0" fontId="29" fillId="4" borderId="24" xfId="0" applyFont="1" applyFill="1" applyBorder="1" applyAlignment="1">
      <alignment horizontal="center" vertical="center" wrapText="1"/>
    </xf>
    <xf numFmtId="0" fontId="10" fillId="4" borderId="18" xfId="0" applyFont="1" applyFill="1" applyBorder="1" applyAlignment="1">
      <alignment horizontal="center" vertical="center" wrapText="1"/>
    </xf>
    <xf numFmtId="1" fontId="13" fillId="0" borderId="22" xfId="4" applyNumberFormat="1" applyFont="1" applyBorder="1" applyAlignment="1">
      <alignment horizontal="center" vertical="top" wrapText="1"/>
    </xf>
    <xf numFmtId="0" fontId="0" fillId="0" borderId="25" xfId="0" applyBorder="1"/>
    <xf numFmtId="0" fontId="0" fillId="0" borderId="8"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10" fillId="4" borderId="34" xfId="0" applyFont="1" applyFill="1" applyBorder="1" applyAlignment="1">
      <alignment horizontal="center" vertical="center" wrapText="1"/>
    </xf>
    <xf numFmtId="0" fontId="10" fillId="4" borderId="35" xfId="0" applyFont="1" applyFill="1" applyBorder="1" applyAlignment="1">
      <alignment horizontal="center" vertical="center" wrapText="1"/>
    </xf>
    <xf numFmtId="1" fontId="13" fillId="0" borderId="36" xfId="4" applyNumberFormat="1" applyFont="1" applyBorder="1" applyAlignment="1">
      <alignment horizontal="center" vertical="top" wrapText="1"/>
    </xf>
    <xf numFmtId="1" fontId="13" fillId="0" borderId="37" xfId="4" applyNumberFormat="1" applyFont="1" applyBorder="1" applyAlignment="1">
      <alignment horizontal="center" vertical="top" wrapText="1"/>
    </xf>
    <xf numFmtId="0" fontId="0" fillId="0" borderId="38" xfId="0" applyBorder="1"/>
    <xf numFmtId="169" fontId="13" fillId="0" borderId="27" xfId="4" applyNumberFormat="1" applyFont="1" applyBorder="1" applyAlignment="1">
      <alignment horizontal="center" vertical="top" wrapText="1"/>
    </xf>
    <xf numFmtId="169" fontId="13" fillId="0" borderId="1" xfId="4" applyNumberFormat="1" applyFont="1" applyBorder="1" applyAlignment="1">
      <alignment horizontal="center" vertical="top" wrapText="1"/>
    </xf>
    <xf numFmtId="1" fontId="13" fillId="0" borderId="27" xfId="4" applyNumberFormat="1" applyFont="1" applyBorder="1" applyAlignment="1">
      <alignment horizontal="left" vertical="top" wrapText="1"/>
    </xf>
    <xf numFmtId="1" fontId="13" fillId="0" borderId="1" xfId="4" applyNumberFormat="1" applyFont="1" applyBorder="1" applyAlignment="1">
      <alignment horizontal="left" vertical="top" wrapText="1"/>
    </xf>
    <xf numFmtId="0" fontId="13" fillId="4" borderId="35" xfId="0" applyFont="1" applyFill="1" applyBorder="1" applyAlignment="1">
      <alignment horizontal="center" vertical="center" wrapText="1"/>
    </xf>
    <xf numFmtId="2" fontId="13" fillId="0" borderId="29" xfId="4" applyNumberFormat="1" applyFont="1" applyBorder="1" applyAlignment="1">
      <alignment horizontal="left" vertical="top" wrapText="1"/>
    </xf>
    <xf numFmtId="2" fontId="13" fillId="0" borderId="30" xfId="4" applyNumberFormat="1" applyFont="1" applyBorder="1" applyAlignment="1">
      <alignment horizontal="left" vertical="top" wrapText="1"/>
    </xf>
    <xf numFmtId="2" fontId="0" fillId="0" borderId="31" xfId="0" applyNumberFormat="1" applyBorder="1"/>
    <xf numFmtId="0" fontId="10" fillId="4" borderId="8" xfId="0" applyFont="1" applyFill="1" applyBorder="1" applyAlignment="1">
      <alignment horizontal="center" vertical="center" wrapText="1"/>
    </xf>
    <xf numFmtId="2" fontId="0" fillId="0" borderId="8" xfId="0" applyNumberFormat="1" applyBorder="1"/>
    <xf numFmtId="166" fontId="34" fillId="0" borderId="1" xfId="1" applyNumberFormat="1" applyBorder="1" applyProtection="1"/>
    <xf numFmtId="2" fontId="13" fillId="0" borderId="0" xfId="0" applyNumberFormat="1" applyFont="1" applyAlignment="1">
      <alignment horizontal="center" vertical="center" wrapText="1"/>
    </xf>
    <xf numFmtId="2" fontId="13" fillId="13" borderId="9" xfId="0" applyNumberFormat="1" applyFont="1" applyFill="1" applyBorder="1" applyAlignment="1">
      <alignment horizontal="center" vertical="center" wrapText="1"/>
    </xf>
    <xf numFmtId="0" fontId="13" fillId="13" borderId="9" xfId="0" applyFont="1" applyFill="1" applyBorder="1" applyAlignment="1">
      <alignment horizontal="center" vertical="center"/>
    </xf>
    <xf numFmtId="0" fontId="14" fillId="0" borderId="0" xfId="0" applyFont="1" applyAlignment="1">
      <alignment horizontal="center" vertical="center"/>
    </xf>
    <xf numFmtId="2" fontId="15" fillId="0" borderId="0" xfId="0" applyNumberFormat="1" applyFont="1" applyAlignment="1">
      <alignment wrapText="1"/>
    </xf>
    <xf numFmtId="0" fontId="13" fillId="13" borderId="1" xfId="0" applyFont="1" applyFill="1" applyBorder="1" applyAlignment="1">
      <alignment horizontal="center" vertical="center"/>
    </xf>
    <xf numFmtId="0" fontId="13" fillId="13" borderId="1" xfId="0" applyFont="1" applyFill="1" applyBorder="1" applyAlignment="1">
      <alignment horizontal="center" vertical="center" wrapText="1"/>
    </xf>
    <xf numFmtId="2" fontId="13" fillId="0" borderId="37" xfId="0" applyNumberFormat="1" applyFont="1" applyBorder="1" applyAlignment="1">
      <alignment wrapText="1"/>
    </xf>
    <xf numFmtId="11" fontId="13" fillId="0" borderId="37" xfId="0" applyNumberFormat="1" applyFont="1" applyBorder="1" applyAlignment="1">
      <alignment wrapText="1"/>
    </xf>
    <xf numFmtId="2" fontId="13" fillId="0" borderId="30" xfId="0" applyNumberFormat="1" applyFont="1" applyBorder="1" applyAlignment="1">
      <alignment wrapText="1"/>
    </xf>
    <xf numFmtId="11" fontId="13" fillId="0" borderId="30" xfId="0" applyNumberFormat="1" applyFont="1" applyBorder="1" applyAlignment="1">
      <alignment wrapText="1"/>
    </xf>
    <xf numFmtId="11" fontId="13" fillId="0" borderId="31" xfId="0" applyNumberFormat="1" applyFont="1" applyBorder="1" applyAlignment="1">
      <alignment vertical="center" wrapText="1"/>
    </xf>
    <xf numFmtId="2" fontId="13" fillId="6" borderId="15" xfId="0" applyNumberFormat="1" applyFont="1" applyFill="1" applyBorder="1" applyAlignment="1">
      <alignment wrapText="1"/>
    </xf>
    <xf numFmtId="11" fontId="13" fillId="0" borderId="28" xfId="0" applyNumberFormat="1" applyFont="1" applyBorder="1" applyAlignment="1">
      <alignment vertical="center" wrapText="1"/>
    </xf>
    <xf numFmtId="11" fontId="13" fillId="19" borderId="1" xfId="0" applyNumberFormat="1" applyFont="1" applyFill="1" applyBorder="1" applyAlignment="1">
      <alignment horizontal="center" vertical="center" wrapText="1"/>
    </xf>
    <xf numFmtId="2" fontId="13" fillId="0" borderId="36" xfId="0" applyNumberFormat="1" applyFont="1" applyBorder="1" applyAlignment="1">
      <alignment wrapText="1"/>
    </xf>
    <xf numFmtId="2" fontId="13" fillId="0" borderId="27" xfId="0" applyNumberFormat="1" applyFont="1" applyBorder="1" applyAlignment="1">
      <alignment wrapText="1"/>
    </xf>
    <xf numFmtId="2" fontId="13" fillId="0" borderId="29" xfId="0" applyNumberFormat="1" applyFont="1" applyBorder="1" applyAlignment="1">
      <alignment wrapText="1"/>
    </xf>
    <xf numFmtId="0" fontId="6" fillId="15" borderId="2" xfId="0" applyFont="1" applyFill="1" applyBorder="1" applyAlignment="1">
      <alignment horizontal="center" vertical="center" wrapText="1"/>
    </xf>
    <xf numFmtId="0" fontId="10" fillId="0" borderId="6" xfId="0" applyFont="1" applyBorder="1" applyAlignment="1">
      <alignment vertical="center" wrapText="1"/>
    </xf>
    <xf numFmtId="0" fontId="10" fillId="4" borderId="12" xfId="0" applyFont="1" applyFill="1" applyBorder="1" applyAlignment="1">
      <alignment vertical="center" wrapText="1"/>
    </xf>
    <xf numFmtId="2" fontId="10" fillId="7" borderId="5" xfId="0" applyNumberFormat="1" applyFont="1" applyFill="1" applyBorder="1" applyAlignment="1">
      <alignment horizontal="center" vertical="center"/>
    </xf>
    <xf numFmtId="0" fontId="0" fillId="0" borderId="0" xfId="0"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6" xfId="0" applyFill="1" applyBorder="1" applyAlignment="1">
      <alignment horizontal="center" vertical="center" wrapText="1"/>
    </xf>
    <xf numFmtId="0" fontId="0" fillId="0" borderId="0" xfId="0"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13"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3" xfId="0" applyBorder="1" applyAlignment="1">
      <alignment horizontal="center" vertical="center"/>
    </xf>
    <xf numFmtId="0" fontId="0" fillId="0" borderId="4" xfId="0" applyBorder="1" applyAlignment="1">
      <alignment horizontal="center" vertical="center"/>
    </xf>
    <xf numFmtId="0" fontId="6" fillId="15" borderId="5" xfId="0" applyFont="1" applyFill="1" applyBorder="1" applyAlignment="1">
      <alignment horizontal="center" vertical="center" wrapText="1"/>
    </xf>
    <xf numFmtId="0" fontId="6" fillId="15" borderId="13" xfId="0" applyFont="1" applyFill="1" applyBorder="1" applyAlignment="1">
      <alignment horizontal="center" vertical="center" wrapText="1"/>
    </xf>
    <xf numFmtId="0" fontId="43" fillId="0" borderId="1" xfId="0" applyFont="1" applyBorder="1"/>
    <xf numFmtId="0" fontId="2" fillId="0" borderId="0" xfId="6"/>
    <xf numFmtId="0" fontId="45" fillId="0" borderId="1" xfId="6" applyFont="1" applyBorder="1"/>
    <xf numFmtId="0" fontId="45" fillId="0" borderId="1" xfId="6" applyFont="1" applyBorder="1" applyAlignment="1">
      <alignment vertical="center" wrapText="1"/>
    </xf>
    <xf numFmtId="0" fontId="47" fillId="0" borderId="1" xfId="7" applyFont="1" applyBorder="1" applyAlignment="1">
      <alignment wrapText="1"/>
    </xf>
    <xf numFmtId="49" fontId="48" fillId="21" borderId="1" xfId="8">
      <alignment horizontal="left" wrapText="1"/>
    </xf>
    <xf numFmtId="49" fontId="48" fillId="0" borderId="1" xfId="8" applyFill="1">
      <alignment horizontal="left" wrapText="1"/>
    </xf>
    <xf numFmtId="49" fontId="48" fillId="0" borderId="0" xfId="9" applyFill="1" applyBorder="1">
      <alignment horizontal="center"/>
    </xf>
    <xf numFmtId="49" fontId="48" fillId="21" borderId="1" xfId="9">
      <alignment horizontal="center"/>
    </xf>
    <xf numFmtId="0" fontId="48" fillId="21" borderId="1" xfId="10">
      <alignment horizontal="left" vertical="center"/>
    </xf>
    <xf numFmtId="165" fontId="49" fillId="23" borderId="1" xfId="11" applyNumberFormat="1" applyFill="1">
      <alignment horizontal="center" vertical="center"/>
      <protection locked="0"/>
    </xf>
    <xf numFmtId="164" fontId="50" fillId="24" borderId="1" xfId="12" applyNumberFormat="1">
      <alignment horizontal="center" vertical="center"/>
    </xf>
    <xf numFmtId="0" fontId="51" fillId="0" borderId="1" xfId="6" applyFont="1" applyBorder="1" applyAlignment="1">
      <alignment horizontal="left"/>
    </xf>
    <xf numFmtId="0" fontId="48" fillId="0" borderId="1" xfId="6" applyFont="1" applyBorder="1" applyAlignment="1">
      <alignment horizontal="center"/>
    </xf>
    <xf numFmtId="0" fontId="2" fillId="0" borderId="0" xfId="6" applyAlignment="1">
      <alignment wrapText="1"/>
    </xf>
    <xf numFmtId="164" fontId="50" fillId="25" borderId="1" xfId="11" applyFont="1" applyFill="1">
      <alignment horizontal="center" vertical="center"/>
      <protection locked="0"/>
    </xf>
    <xf numFmtId="0" fontId="10" fillId="4" borderId="0" xfId="0" applyFont="1" applyFill="1" applyAlignment="1">
      <alignment vertical="center" wrapText="1"/>
    </xf>
    <xf numFmtId="0" fontId="10" fillId="0" borderId="0" xfId="0" applyFont="1" applyAlignment="1">
      <alignment vertical="center" wrapText="1"/>
    </xf>
    <xf numFmtId="0" fontId="10" fillId="4" borderId="4" xfId="0" applyFont="1" applyFill="1" applyBorder="1" applyAlignment="1">
      <alignment vertical="center" wrapText="1"/>
    </xf>
    <xf numFmtId="0" fontId="0" fillId="0" borderId="15" xfId="0" applyBorder="1" applyAlignment="1">
      <alignment horizontal="center" vertical="center"/>
    </xf>
    <xf numFmtId="0" fontId="10" fillId="4" borderId="0" xfId="0" applyFont="1" applyFill="1" applyAlignment="1">
      <alignment horizontal="center" vertical="center"/>
    </xf>
    <xf numFmtId="0" fontId="0" fillId="0" borderId="0" xfId="0" applyAlignment="1">
      <alignment vertical="center"/>
    </xf>
    <xf numFmtId="0" fontId="0" fillId="0" borderId="49"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28" xfId="0" applyBorder="1" applyAlignment="1">
      <alignment horizontal="center" vertical="center"/>
    </xf>
    <xf numFmtId="0" fontId="0" fillId="0" borderId="50" xfId="0" applyBorder="1" applyAlignment="1">
      <alignment horizontal="center" vertical="center"/>
    </xf>
    <xf numFmtId="11" fontId="13" fillId="0" borderId="1" xfId="0" applyNumberFormat="1" applyFont="1" applyBorder="1" applyAlignment="1">
      <alignment horizontal="center" vertical="center" wrapText="1"/>
    </xf>
    <xf numFmtId="11" fontId="13" fillId="0" borderId="37" xfId="0" applyNumberFormat="1" applyFont="1" applyBorder="1" applyAlignment="1">
      <alignment horizontal="center" vertical="center" wrapText="1"/>
    </xf>
    <xf numFmtId="11" fontId="13" fillId="0" borderId="30" xfId="0" applyNumberFormat="1" applyFont="1" applyBorder="1" applyAlignment="1">
      <alignment horizontal="center" vertical="center" wrapText="1"/>
    </xf>
    <xf numFmtId="0" fontId="13" fillId="0" borderId="1" xfId="5" applyFont="1" applyBorder="1" applyAlignment="1">
      <alignment horizontal="center" vertical="center" wrapText="1"/>
    </xf>
    <xf numFmtId="11" fontId="13" fillId="0" borderId="28" xfId="0" applyNumberFormat="1" applyFont="1" applyBorder="1" applyAlignment="1">
      <alignment horizontal="center" vertical="center" wrapText="1"/>
    </xf>
    <xf numFmtId="11" fontId="13" fillId="0" borderId="38"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0" fontId="0" fillId="0" borderId="36" xfId="0" applyBorder="1"/>
    <xf numFmtId="0" fontId="0" fillId="0" borderId="37" xfId="0" applyBorder="1"/>
    <xf numFmtId="0" fontId="0" fillId="15" borderId="37" xfId="0" applyFill="1" applyBorder="1" applyAlignment="1">
      <alignment horizontal="justify" vertical="center" wrapText="1"/>
    </xf>
    <xf numFmtId="2" fontId="0" fillId="0" borderId="37" xfId="0" applyNumberFormat="1" applyBorder="1" applyAlignment="1">
      <alignment horizontal="justify" vertical="center" wrapText="1"/>
    </xf>
    <xf numFmtId="0" fontId="0" fillId="15" borderId="30" xfId="0" applyFill="1" applyBorder="1" applyAlignment="1">
      <alignment horizontal="justify" vertical="center" wrapText="1"/>
    </xf>
    <xf numFmtId="2" fontId="0" fillId="0" borderId="30" xfId="0" applyNumberFormat="1" applyBorder="1" applyAlignment="1">
      <alignment horizontal="justify" vertical="center" wrapText="1"/>
    </xf>
    <xf numFmtId="0" fontId="26" fillId="0" borderId="45" xfId="0" applyFont="1" applyBorder="1" applyAlignment="1">
      <alignment horizontal="center" vertical="center"/>
    </xf>
    <xf numFmtId="0" fontId="26" fillId="0" borderId="13" xfId="0" applyFont="1" applyBorder="1" applyAlignment="1">
      <alignment horizontal="center" vertical="center"/>
    </xf>
    <xf numFmtId="0" fontId="26" fillId="0" borderId="0" xfId="0" applyFont="1" applyAlignment="1">
      <alignment horizontal="center" vertical="center"/>
    </xf>
    <xf numFmtId="0" fontId="26" fillId="0" borderId="47" xfId="0" applyFont="1" applyBorder="1" applyAlignment="1">
      <alignment horizontal="center" vertical="center"/>
    </xf>
    <xf numFmtId="0" fontId="26" fillId="0" borderId="43" xfId="0" applyFont="1" applyBorder="1" applyAlignment="1">
      <alignment horizontal="center" vertical="center"/>
    </xf>
    <xf numFmtId="0" fontId="26" fillId="0" borderId="4" xfId="0" applyFont="1" applyBorder="1" applyAlignment="1">
      <alignment horizontal="center" vertical="center"/>
    </xf>
    <xf numFmtId="0" fontId="0" fillId="26" borderId="0" xfId="0" applyFill="1"/>
    <xf numFmtId="0" fontId="13" fillId="13" borderId="0" xfId="0" applyFont="1" applyFill="1" applyAlignment="1">
      <alignment horizontal="center"/>
    </xf>
    <xf numFmtId="0" fontId="36" fillId="16" borderId="0" xfId="0" applyFont="1" applyFill="1" applyAlignment="1">
      <alignment horizontal="center" vertical="center"/>
    </xf>
    <xf numFmtId="0" fontId="13" fillId="13" borderId="8" xfId="5" applyFont="1" applyFill="1" applyBorder="1" applyAlignment="1">
      <alignment horizontal="center" vertical="center" wrapText="1"/>
    </xf>
    <xf numFmtId="0" fontId="13" fillId="12" borderId="1" xfId="5" applyFont="1" applyFill="1" applyBorder="1" applyAlignment="1">
      <alignment horizontal="center" vertical="center" wrapText="1"/>
    </xf>
    <xf numFmtId="2" fontId="13" fillId="0" borderId="8" xfId="0" applyNumberFormat="1" applyFont="1" applyBorder="1" applyAlignment="1">
      <alignment horizontal="center" vertical="center" wrapText="1"/>
    </xf>
    <xf numFmtId="2" fontId="13" fillId="0" borderId="23" xfId="0" applyNumberFormat="1" applyFont="1" applyBorder="1" applyAlignment="1">
      <alignment horizontal="center" vertical="center" wrapText="1"/>
    </xf>
    <xf numFmtId="2" fontId="13" fillId="0" borderId="24" xfId="0" applyNumberFormat="1" applyFont="1" applyBorder="1" applyAlignment="1">
      <alignment wrapText="1"/>
    </xf>
    <xf numFmtId="11" fontId="13" fillId="10" borderId="24" xfId="0" applyNumberFormat="1" applyFont="1" applyFill="1" applyBorder="1" applyAlignment="1">
      <alignment wrapText="1"/>
    </xf>
    <xf numFmtId="11" fontId="13" fillId="0" borderId="18" xfId="0" applyNumberFormat="1" applyFont="1" applyBorder="1" applyAlignment="1">
      <alignment vertical="center" wrapText="1"/>
    </xf>
    <xf numFmtId="11" fontId="13" fillId="0" borderId="38" xfId="0" applyNumberFormat="1" applyFont="1" applyBorder="1" applyAlignment="1">
      <alignment vertical="center" wrapText="1"/>
    </xf>
    <xf numFmtId="2" fontId="13" fillId="9" borderId="1" xfId="0" applyNumberFormat="1" applyFont="1" applyFill="1" applyBorder="1" applyAlignment="1">
      <alignment horizontal="center" vertical="center" wrapText="1"/>
    </xf>
    <xf numFmtId="2" fontId="13" fillId="10" borderId="1" xfId="0" applyNumberFormat="1" applyFont="1" applyFill="1" applyBorder="1" applyAlignment="1">
      <alignment horizontal="center" vertical="center" wrapText="1"/>
    </xf>
    <xf numFmtId="2" fontId="13" fillId="12" borderId="1" xfId="0" applyNumberFormat="1" applyFont="1" applyFill="1" applyBorder="1" applyAlignment="1">
      <alignment horizontal="center" vertical="center" wrapText="1"/>
    </xf>
    <xf numFmtId="11" fontId="13" fillId="0" borderId="8" xfId="0" applyNumberFormat="1" applyFont="1" applyBorder="1" applyAlignment="1">
      <alignment horizontal="center" vertical="center" wrapText="1"/>
    </xf>
    <xf numFmtId="11" fontId="13" fillId="0" borderId="10" xfId="0" applyNumberFormat="1" applyFont="1" applyBorder="1" applyAlignment="1">
      <alignment horizontal="center" vertical="center" wrapText="1"/>
    </xf>
    <xf numFmtId="0" fontId="13" fillId="13" borderId="8" xfId="0" applyFont="1" applyFill="1" applyBorder="1" applyAlignment="1">
      <alignment horizontal="center" vertical="center"/>
    </xf>
    <xf numFmtId="2" fontId="13" fillId="0" borderId="0" xfId="0" applyNumberFormat="1" applyFont="1" applyAlignment="1">
      <alignment horizontal="center" vertical="center"/>
    </xf>
    <xf numFmtId="11" fontId="13" fillId="9" borderId="1" xfId="0" applyNumberFormat="1" applyFont="1" applyFill="1" applyBorder="1" applyAlignment="1">
      <alignment horizontal="center" vertical="center" wrapText="1"/>
    </xf>
    <xf numFmtId="2" fontId="13" fillId="0" borderId="37" xfId="0" applyNumberFormat="1" applyFont="1" applyBorder="1" applyAlignment="1">
      <alignment horizontal="center" vertical="center" wrapText="1"/>
    </xf>
    <xf numFmtId="2" fontId="13" fillId="0" borderId="30" xfId="0" applyNumberFormat="1" applyFont="1" applyBorder="1" applyAlignment="1">
      <alignment horizontal="center" vertical="center" wrapText="1"/>
    </xf>
    <xf numFmtId="11" fontId="13" fillId="10" borderId="30" xfId="0" applyNumberFormat="1" applyFont="1" applyFill="1" applyBorder="1" applyAlignment="1">
      <alignment horizontal="center" vertical="center" wrapText="1"/>
    </xf>
    <xf numFmtId="2" fontId="13" fillId="0" borderId="24" xfId="0" applyNumberFormat="1" applyFont="1" applyBorder="1" applyAlignment="1">
      <alignment horizontal="center" vertical="center" wrapText="1"/>
    </xf>
    <xf numFmtId="11" fontId="13" fillId="10" borderId="24" xfId="0" applyNumberFormat="1" applyFont="1" applyFill="1" applyBorder="1" applyAlignment="1">
      <alignment horizontal="center" vertical="center" wrapText="1"/>
    </xf>
    <xf numFmtId="11" fontId="13" fillId="0" borderId="18" xfId="0" applyNumberFormat="1" applyFont="1" applyBorder="1" applyAlignment="1">
      <alignment horizontal="center" vertical="center" wrapText="1"/>
    </xf>
    <xf numFmtId="11" fontId="13" fillId="0" borderId="31" xfId="0" applyNumberFormat="1" applyFont="1" applyBorder="1" applyAlignment="1">
      <alignment horizontal="center" vertical="center" wrapText="1"/>
    </xf>
    <xf numFmtId="2" fontId="15" fillId="0" borderId="0" xfId="0" applyNumberFormat="1" applyFont="1" applyAlignment="1">
      <alignment horizontal="center" vertical="center" wrapText="1"/>
    </xf>
    <xf numFmtId="0" fontId="13" fillId="0" borderId="1" xfId="0" applyFont="1" applyBorder="1" applyAlignment="1">
      <alignment horizontal="center" vertical="center" wrapText="1"/>
    </xf>
    <xf numFmtId="0" fontId="13" fillId="13" borderId="9" xfId="5" applyFont="1" applyFill="1" applyBorder="1" applyAlignment="1">
      <alignment wrapText="1"/>
    </xf>
    <xf numFmtId="0" fontId="13" fillId="12" borderId="36" xfId="5" applyFont="1" applyFill="1" applyBorder="1" applyAlignment="1">
      <alignment vertical="top" wrapText="1"/>
    </xf>
    <xf numFmtId="0" fontId="13" fillId="0" borderId="37" xfId="5" applyFont="1" applyBorder="1" applyAlignment="1">
      <alignment vertical="top" wrapText="1"/>
    </xf>
    <xf numFmtId="0" fontId="13" fillId="10" borderId="37" xfId="5" applyFont="1" applyFill="1" applyBorder="1" applyAlignment="1">
      <alignment vertical="top" wrapText="1"/>
    </xf>
    <xf numFmtId="11" fontId="13" fillId="9" borderId="37" xfId="0" applyNumberFormat="1" applyFont="1" applyFill="1" applyBorder="1" applyAlignment="1">
      <alignment wrapText="1"/>
    </xf>
    <xf numFmtId="0" fontId="13" fillId="12" borderId="27" xfId="5" applyFont="1" applyFill="1" applyBorder="1" applyAlignment="1">
      <alignment vertical="top" wrapText="1"/>
    </xf>
    <xf numFmtId="0" fontId="13" fillId="12" borderId="29" xfId="5" applyFont="1" applyFill="1" applyBorder="1" applyAlignment="1">
      <alignment vertical="top" wrapText="1"/>
    </xf>
    <xf numFmtId="0" fontId="13" fillId="0" borderId="30" xfId="5" applyFont="1" applyBorder="1" applyAlignment="1">
      <alignment vertical="top" wrapText="1"/>
    </xf>
    <xf numFmtId="0" fontId="13" fillId="10" borderId="30" xfId="5" applyFont="1" applyFill="1" applyBorder="1" applyAlignment="1">
      <alignment vertical="top" wrapText="1"/>
    </xf>
    <xf numFmtId="11" fontId="13" fillId="9" borderId="30" xfId="0" applyNumberFormat="1" applyFont="1" applyFill="1" applyBorder="1" applyAlignment="1">
      <alignment wrapText="1"/>
    </xf>
    <xf numFmtId="11" fontId="13" fillId="9" borderId="38" xfId="0" applyNumberFormat="1" applyFont="1" applyFill="1" applyBorder="1" applyAlignment="1">
      <alignment wrapText="1"/>
    </xf>
    <xf numFmtId="0" fontId="13" fillId="0" borderId="30" xfId="5" applyFont="1" applyBorder="1" applyAlignment="1">
      <alignment vertical="center" wrapText="1"/>
    </xf>
    <xf numFmtId="11" fontId="13" fillId="9" borderId="31" xfId="0" applyNumberFormat="1" applyFont="1" applyFill="1" applyBorder="1" applyAlignment="1">
      <alignment wrapText="1"/>
    </xf>
    <xf numFmtId="11" fontId="13" fillId="9" borderId="28" xfId="0" applyNumberFormat="1" applyFont="1" applyFill="1" applyBorder="1" applyAlignment="1">
      <alignment wrapText="1"/>
    </xf>
    <xf numFmtId="2" fontId="13" fillId="0" borderId="23" xfId="0" applyNumberFormat="1" applyFont="1" applyBorder="1" applyAlignment="1">
      <alignment wrapText="1"/>
    </xf>
    <xf numFmtId="0" fontId="13" fillId="10" borderId="37" xfId="5" applyFont="1" applyFill="1" applyBorder="1" applyAlignment="1">
      <alignment horizontal="center" vertical="center" wrapText="1"/>
    </xf>
    <xf numFmtId="11" fontId="13" fillId="9" borderId="37" xfId="0" applyNumberFormat="1" applyFont="1" applyFill="1" applyBorder="1" applyAlignment="1">
      <alignment horizontal="center" vertical="center" wrapText="1"/>
    </xf>
    <xf numFmtId="11" fontId="13" fillId="9" borderId="30" xfId="0" applyNumberFormat="1" applyFont="1" applyFill="1" applyBorder="1" applyAlignment="1">
      <alignment horizontal="center" vertical="center" wrapText="1"/>
    </xf>
    <xf numFmtId="11" fontId="13" fillId="0" borderId="23" xfId="0" applyNumberFormat="1" applyFont="1" applyBorder="1" applyAlignment="1">
      <alignment horizontal="center" vertical="center" wrapText="1"/>
    </xf>
    <xf numFmtId="11" fontId="13" fillId="0" borderId="24" xfId="0" applyNumberFormat="1" applyFont="1" applyBorder="1" applyAlignment="1">
      <alignment horizontal="center" vertical="center" wrapText="1"/>
    </xf>
    <xf numFmtId="0" fontId="13" fillId="12" borderId="9" xfId="5" applyFont="1" applyFill="1" applyBorder="1" applyAlignment="1">
      <alignment horizontal="center" vertical="center" wrapText="1"/>
    </xf>
    <xf numFmtId="0" fontId="13" fillId="0" borderId="9" xfId="5" applyFont="1" applyBorder="1" applyAlignment="1">
      <alignment horizontal="center" vertical="center" wrapText="1"/>
    </xf>
    <xf numFmtId="11" fontId="13" fillId="0" borderId="9" xfId="0" applyNumberFormat="1" applyFont="1" applyBorder="1" applyAlignment="1">
      <alignment horizontal="center" vertical="center" wrapText="1"/>
    </xf>
    <xf numFmtId="0" fontId="13" fillId="0" borderId="37" xfId="5" applyFont="1" applyBorder="1" applyAlignment="1">
      <alignment horizontal="center" vertical="center" wrapText="1"/>
    </xf>
    <xf numFmtId="11" fontId="13" fillId="9" borderId="38" xfId="0" applyNumberFormat="1" applyFont="1" applyFill="1" applyBorder="1" applyAlignment="1">
      <alignment horizontal="center" vertical="center" wrapText="1"/>
    </xf>
    <xf numFmtId="0" fontId="13" fillId="0" borderId="30" xfId="5" applyFont="1" applyBorder="1" applyAlignment="1">
      <alignment horizontal="center" vertical="center" wrapText="1"/>
    </xf>
    <xf numFmtId="0" fontId="13" fillId="0" borderId="30" xfId="0" applyFont="1" applyBorder="1" applyAlignment="1">
      <alignment horizontal="center" vertical="center"/>
    </xf>
    <xf numFmtId="11" fontId="13" fillId="10" borderId="31" xfId="0" applyNumberFormat="1" applyFont="1" applyFill="1" applyBorder="1" applyAlignment="1">
      <alignment horizontal="center" vertical="center" wrapText="1"/>
    </xf>
    <xf numFmtId="2" fontId="13" fillId="0" borderId="33" xfId="0" applyNumberFormat="1" applyFont="1" applyBorder="1" applyAlignment="1">
      <alignment horizontal="center" vertical="center" wrapText="1"/>
    </xf>
    <xf numFmtId="2" fontId="13" fillId="0" borderId="9" xfId="0" applyNumberFormat="1" applyFont="1" applyBorder="1" applyAlignment="1">
      <alignment horizontal="center" vertical="center" wrapText="1"/>
    </xf>
    <xf numFmtId="2" fontId="13" fillId="0" borderId="10" xfId="0" applyNumberFormat="1" applyFont="1" applyBorder="1" applyAlignment="1">
      <alignment horizontal="center" vertical="center" wrapText="1"/>
    </xf>
    <xf numFmtId="11" fontId="13" fillId="0" borderId="54" xfId="0" applyNumberFormat="1" applyFont="1" applyBorder="1" applyAlignment="1">
      <alignment vertical="center" wrapText="1"/>
    </xf>
    <xf numFmtId="2" fontId="13" fillId="11" borderId="1" xfId="0" applyNumberFormat="1" applyFont="1" applyFill="1" applyBorder="1" applyAlignment="1">
      <alignment horizontal="center" vertical="center" wrapText="1"/>
    </xf>
    <xf numFmtId="2" fontId="13" fillId="0" borderId="1" xfId="0" applyNumberFormat="1" applyFont="1" applyBorder="1" applyAlignment="1">
      <alignment horizontal="center" vertical="center"/>
    </xf>
    <xf numFmtId="11" fontId="13" fillId="0" borderId="43" xfId="0" applyNumberFormat="1" applyFont="1" applyBorder="1" applyAlignment="1">
      <alignment horizontal="center" vertical="center" wrapText="1"/>
    </xf>
    <xf numFmtId="0" fontId="13" fillId="13" borderId="57" xfId="0" applyFont="1" applyFill="1" applyBorder="1" applyAlignment="1">
      <alignment horizontal="center" vertical="center"/>
    </xf>
    <xf numFmtId="0" fontId="13" fillId="13" borderId="32" xfId="0" applyFont="1" applyFill="1" applyBorder="1" applyAlignment="1">
      <alignment horizontal="center" vertical="center"/>
    </xf>
    <xf numFmtId="0" fontId="13" fillId="13" borderId="33" xfId="0" applyFont="1" applyFill="1" applyBorder="1" applyAlignment="1">
      <alignment horizontal="center" vertical="center"/>
    </xf>
    <xf numFmtId="0" fontId="13" fillId="13" borderId="34" xfId="0" applyFont="1" applyFill="1" applyBorder="1" applyAlignment="1">
      <alignment horizontal="center" vertical="center"/>
    </xf>
    <xf numFmtId="11" fontId="13" fillId="0" borderId="36" xfId="0" applyNumberFormat="1" applyFont="1" applyBorder="1" applyAlignment="1">
      <alignment horizontal="center" vertical="center" wrapText="1"/>
    </xf>
    <xf numFmtId="11" fontId="13" fillId="0" borderId="27" xfId="0" applyNumberFormat="1" applyFont="1" applyBorder="1" applyAlignment="1">
      <alignment horizontal="center" vertical="center" wrapText="1"/>
    </xf>
    <xf numFmtId="11" fontId="13" fillId="0" borderId="29" xfId="0" applyNumberFormat="1" applyFont="1" applyBorder="1" applyAlignment="1">
      <alignment horizontal="center" vertical="center" wrapText="1"/>
    </xf>
    <xf numFmtId="2" fontId="13" fillId="0" borderId="46" xfId="0" applyNumberFormat="1" applyFont="1" applyBorder="1" applyAlignment="1">
      <alignment horizontal="center" vertical="center" wrapText="1"/>
    </xf>
    <xf numFmtId="0" fontId="13" fillId="13" borderId="58" xfId="0" applyFont="1" applyFill="1" applyBorder="1" applyAlignment="1">
      <alignment horizontal="center" vertical="center"/>
    </xf>
    <xf numFmtId="2" fontId="13" fillId="0" borderId="27" xfId="0" applyNumberFormat="1" applyFont="1" applyBorder="1" applyAlignment="1">
      <alignment horizontal="center" vertical="center" wrapText="1"/>
    </xf>
    <xf numFmtId="2" fontId="13" fillId="0" borderId="29" xfId="0" applyNumberFormat="1" applyFont="1" applyBorder="1" applyAlignment="1">
      <alignment horizontal="center" vertical="center" wrapText="1"/>
    </xf>
    <xf numFmtId="2" fontId="13" fillId="0" borderId="14" xfId="0" applyNumberFormat="1" applyFont="1" applyBorder="1" applyAlignment="1">
      <alignment horizontal="center" vertical="center" wrapText="1"/>
    </xf>
    <xf numFmtId="2" fontId="13" fillId="0" borderId="5" xfId="0" applyNumberFormat="1" applyFont="1" applyBorder="1" applyAlignment="1">
      <alignment horizontal="center" vertical="center" wrapText="1"/>
    </xf>
    <xf numFmtId="11" fontId="13" fillId="0" borderId="59" xfId="0" applyNumberFormat="1" applyFont="1" applyBorder="1" applyAlignment="1">
      <alignment wrapText="1"/>
    </xf>
    <xf numFmtId="0" fontId="1" fillId="0" borderId="0" xfId="6" applyFont="1"/>
    <xf numFmtId="0" fontId="0" fillId="19" borderId="0" xfId="0" applyFill="1" applyAlignment="1">
      <alignment horizontal="center" vertical="center"/>
    </xf>
    <xf numFmtId="11" fontId="13" fillId="0" borderId="0" xfId="0" applyNumberFormat="1" applyFont="1" applyAlignment="1">
      <alignment horizontal="center" vertical="center" wrapText="1"/>
    </xf>
    <xf numFmtId="11" fontId="13" fillId="19" borderId="37" xfId="0" applyNumberFormat="1" applyFont="1" applyFill="1" applyBorder="1" applyAlignment="1">
      <alignment horizontal="center" vertical="center" wrapText="1"/>
    </xf>
    <xf numFmtId="2" fontId="10" fillId="27" borderId="4" xfId="0" applyNumberFormat="1" applyFont="1" applyFill="1" applyBorder="1" applyAlignment="1">
      <alignment horizontal="center" vertical="center"/>
    </xf>
    <xf numFmtId="0" fontId="55" fillId="0" borderId="0" xfId="13"/>
    <xf numFmtId="0" fontId="6" fillId="0" borderId="2" xfId="0" applyFont="1" applyBorder="1" applyAlignment="1">
      <alignment horizontal="center" vertical="center" wrapText="1"/>
    </xf>
    <xf numFmtId="0" fontId="10" fillId="4" borderId="2" xfId="0" applyFont="1" applyFill="1" applyBorder="1" applyAlignment="1">
      <alignment horizontal="center" vertical="center"/>
    </xf>
    <xf numFmtId="0" fontId="23" fillId="4" borderId="2" xfId="0" applyFont="1" applyFill="1" applyBorder="1" applyAlignment="1">
      <alignment horizontal="center" vertical="center" wrapText="1"/>
    </xf>
    <xf numFmtId="0" fontId="29" fillId="4" borderId="12" xfId="0" applyFont="1" applyFill="1" applyBorder="1" applyAlignment="1">
      <alignment horizontal="center" vertical="center" wrapText="1"/>
    </xf>
    <xf numFmtId="0" fontId="0" fillId="0" borderId="1" xfId="0" applyBorder="1" applyAlignment="1">
      <alignment horizontal="center" vertical="center"/>
    </xf>
    <xf numFmtId="0" fontId="10" fillId="4" borderId="12"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45" xfId="0" applyFont="1" applyFill="1" applyBorder="1" applyAlignment="1">
      <alignment horizontal="center" vertical="center"/>
    </xf>
    <xf numFmtId="0" fontId="10" fillId="4" borderId="0" xfId="0" applyFont="1" applyFill="1" applyAlignment="1">
      <alignment horizontal="center" vertical="center"/>
    </xf>
    <xf numFmtId="0" fontId="38" fillId="13" borderId="51" xfId="0" applyFont="1" applyFill="1" applyBorder="1" applyAlignment="1">
      <alignment horizontal="center" vertical="center"/>
    </xf>
    <xf numFmtId="0" fontId="38" fillId="13" borderId="20" xfId="0" applyFont="1" applyFill="1" applyBorder="1" applyAlignment="1">
      <alignment horizontal="center" vertical="center"/>
    </xf>
    <xf numFmtId="0" fontId="0" fillId="13" borderId="2" xfId="0" applyFill="1" applyBorder="1" applyAlignment="1">
      <alignment horizontal="center"/>
    </xf>
    <xf numFmtId="2" fontId="15" fillId="13" borderId="1" xfId="0" applyNumberFormat="1" applyFont="1" applyFill="1" applyBorder="1" applyAlignment="1">
      <alignment horizontal="center" wrapText="1"/>
    </xf>
    <xf numFmtId="2" fontId="13" fillId="13" borderId="1" xfId="0" applyNumberFormat="1" applyFont="1" applyFill="1" applyBorder="1" applyAlignment="1">
      <alignment horizontal="center" wrapText="1"/>
    </xf>
    <xf numFmtId="2" fontId="39" fillId="13" borderId="44" xfId="0" applyNumberFormat="1" applyFont="1" applyFill="1" applyBorder="1" applyAlignment="1">
      <alignment horizontal="center" vertical="center" wrapText="1"/>
    </xf>
    <xf numFmtId="2" fontId="39" fillId="13" borderId="45" xfId="0" applyNumberFormat="1" applyFont="1" applyFill="1" applyBorder="1" applyAlignment="1">
      <alignment horizontal="center" vertical="center" wrapText="1"/>
    </xf>
    <xf numFmtId="2" fontId="39" fillId="13" borderId="13" xfId="0" applyNumberFormat="1" applyFont="1" applyFill="1" applyBorder="1" applyAlignment="1">
      <alignment horizontal="center" vertical="center" wrapText="1"/>
    </xf>
    <xf numFmtId="2" fontId="55" fillId="0" borderId="0" xfId="13" applyNumberFormat="1" applyAlignment="1">
      <alignment horizontal="center" vertical="center" wrapText="1"/>
    </xf>
    <xf numFmtId="2" fontId="13" fillId="0" borderId="0" xfId="0" applyNumberFormat="1" applyFont="1" applyAlignment="1">
      <alignment horizontal="center" vertical="center" wrapText="1"/>
    </xf>
    <xf numFmtId="11" fontId="13" fillId="0" borderId="1" xfId="0" applyNumberFormat="1" applyFont="1" applyBorder="1" applyAlignment="1">
      <alignment horizontal="center" vertical="center" wrapText="1"/>
    </xf>
    <xf numFmtId="11" fontId="13" fillId="0" borderId="38" xfId="0" applyNumberFormat="1" applyFont="1" applyBorder="1" applyAlignment="1">
      <alignment horizontal="center" vertical="center" wrapText="1"/>
    </xf>
    <xf numFmtId="11" fontId="13" fillId="0" borderId="28" xfId="0" applyNumberFormat="1" applyFont="1" applyBorder="1" applyAlignment="1">
      <alignment horizontal="center" vertical="center" wrapText="1"/>
    </xf>
    <xf numFmtId="11" fontId="13" fillId="0" borderId="31" xfId="0" applyNumberFormat="1" applyFont="1" applyBorder="1" applyAlignment="1">
      <alignment horizontal="center" vertical="center" wrapText="1"/>
    </xf>
    <xf numFmtId="2" fontId="38" fillId="17" borderId="36" xfId="0" applyNumberFormat="1" applyFont="1" applyFill="1" applyBorder="1" applyAlignment="1">
      <alignment horizontal="center" vertical="center" wrapText="1"/>
    </xf>
    <xf numFmtId="2" fontId="38" fillId="17" borderId="29" xfId="0" applyNumberFormat="1" applyFont="1" applyFill="1" applyBorder="1" applyAlignment="1">
      <alignment horizontal="center" vertical="center" wrapText="1"/>
    </xf>
    <xf numFmtId="2" fontId="13" fillId="0" borderId="37" xfId="0" applyNumberFormat="1" applyFont="1" applyBorder="1" applyAlignment="1">
      <alignment horizontal="center" vertical="center" wrapText="1"/>
    </xf>
    <xf numFmtId="2" fontId="13" fillId="0" borderId="30" xfId="0" applyNumberFormat="1" applyFont="1" applyBorder="1" applyAlignment="1">
      <alignment horizontal="center" vertical="center" wrapText="1"/>
    </xf>
    <xf numFmtId="11" fontId="13" fillId="0" borderId="35" xfId="0" applyNumberFormat="1" applyFont="1" applyBorder="1" applyAlignment="1">
      <alignment horizontal="center" vertical="center" wrapText="1"/>
    </xf>
    <xf numFmtId="11" fontId="13" fillId="0" borderId="7" xfId="0" applyNumberFormat="1" applyFont="1" applyBorder="1" applyAlignment="1">
      <alignment horizontal="center" vertical="center" wrapText="1"/>
    </xf>
    <xf numFmtId="11" fontId="13" fillId="0" borderId="55" xfId="0" applyNumberFormat="1" applyFont="1" applyBorder="1" applyAlignment="1">
      <alignment horizontal="center" vertical="center" wrapText="1"/>
    </xf>
    <xf numFmtId="11" fontId="37" fillId="0" borderId="34" xfId="0" applyNumberFormat="1" applyFont="1" applyBorder="1" applyAlignment="1">
      <alignment horizontal="center" vertical="center" wrapText="1"/>
    </xf>
    <xf numFmtId="11" fontId="37" fillId="0" borderId="41" xfId="0" applyNumberFormat="1" applyFont="1" applyBorder="1" applyAlignment="1">
      <alignment horizontal="center" vertical="center" wrapText="1"/>
    </xf>
    <xf numFmtId="11" fontId="37" fillId="0" borderId="42" xfId="0" applyNumberFormat="1" applyFont="1" applyBorder="1" applyAlignment="1">
      <alignment horizontal="center" vertical="center" wrapText="1"/>
    </xf>
    <xf numFmtId="11" fontId="53" fillId="0" borderId="34" xfId="0" applyNumberFormat="1" applyFont="1" applyBorder="1" applyAlignment="1">
      <alignment horizontal="center" vertical="center" wrapText="1"/>
    </xf>
    <xf numFmtId="11" fontId="53" fillId="0" borderId="41" xfId="0" applyNumberFormat="1" applyFont="1" applyBorder="1" applyAlignment="1">
      <alignment horizontal="center" vertical="center" wrapText="1"/>
    </xf>
    <xf numFmtId="11" fontId="53" fillId="0" borderId="42" xfId="0" applyNumberFormat="1" applyFont="1" applyBorder="1" applyAlignment="1">
      <alignment horizontal="center" vertical="center" wrapText="1"/>
    </xf>
    <xf numFmtId="2" fontId="37" fillId="26" borderId="32" xfId="0" applyNumberFormat="1" applyFont="1" applyFill="1" applyBorder="1" applyAlignment="1">
      <alignment horizontal="center" vertical="center" wrapText="1"/>
    </xf>
    <xf numFmtId="2" fontId="37" fillId="26" borderId="39" xfId="0" applyNumberFormat="1" applyFont="1" applyFill="1" applyBorder="1" applyAlignment="1">
      <alignment horizontal="center" vertical="center" wrapText="1"/>
    </xf>
    <xf numFmtId="2" fontId="37" fillId="26" borderId="40" xfId="0" applyNumberFormat="1" applyFont="1" applyFill="1" applyBorder="1" applyAlignment="1">
      <alignment horizontal="center" vertical="center" wrapText="1"/>
    </xf>
    <xf numFmtId="2" fontId="37" fillId="17" borderId="32" xfId="0" applyNumberFormat="1" applyFont="1" applyFill="1" applyBorder="1" applyAlignment="1">
      <alignment horizontal="center" vertical="center" wrapText="1"/>
    </xf>
    <xf numFmtId="2" fontId="37" fillId="17" borderId="39" xfId="0" applyNumberFormat="1" applyFont="1" applyFill="1" applyBorder="1" applyAlignment="1">
      <alignment horizontal="center" vertical="center" wrapText="1"/>
    </xf>
    <xf numFmtId="2" fontId="37" fillId="17" borderId="40" xfId="0" applyNumberFormat="1" applyFont="1" applyFill="1" applyBorder="1" applyAlignment="1">
      <alignment horizontal="center" vertical="center" wrapText="1"/>
    </xf>
    <xf numFmtId="2" fontId="38" fillId="17" borderId="27" xfId="0" applyNumberFormat="1" applyFont="1" applyFill="1" applyBorder="1" applyAlignment="1">
      <alignment horizontal="center" vertical="center" wrapText="1"/>
    </xf>
    <xf numFmtId="2" fontId="13" fillId="0" borderId="1" xfId="0" applyNumberFormat="1" applyFont="1" applyBorder="1" applyAlignment="1">
      <alignment horizontal="center" vertical="center" wrapText="1"/>
    </xf>
    <xf numFmtId="0" fontId="13" fillId="0" borderId="36" xfId="5" applyFont="1" applyBorder="1" applyAlignment="1">
      <alignment horizontal="center" vertical="center" wrapText="1"/>
    </xf>
    <xf numFmtId="0" fontId="13" fillId="0" borderId="29" xfId="5" applyFont="1" applyBorder="1" applyAlignment="1">
      <alignment horizontal="center" vertical="center" wrapText="1"/>
    </xf>
    <xf numFmtId="0" fontId="13" fillId="0" borderId="37" xfId="5" applyFont="1" applyBorder="1" applyAlignment="1">
      <alignment horizontal="center" vertical="center" wrapText="1"/>
    </xf>
    <xf numFmtId="0" fontId="13" fillId="0" borderId="30" xfId="5" applyFont="1" applyBorder="1" applyAlignment="1">
      <alignment horizontal="center" vertical="center" wrapText="1"/>
    </xf>
    <xf numFmtId="11" fontId="13" fillId="0" borderId="15" xfId="0" applyNumberFormat="1" applyFont="1" applyBorder="1" applyAlignment="1">
      <alignment horizontal="center" vertical="center" wrapText="1"/>
    </xf>
    <xf numFmtId="11" fontId="13" fillId="0" borderId="56" xfId="0" applyNumberFormat="1" applyFont="1" applyBorder="1" applyAlignment="1">
      <alignment horizontal="center" vertical="center" wrapText="1"/>
    </xf>
    <xf numFmtId="11" fontId="13" fillId="0" borderId="52" xfId="0" applyNumberFormat="1" applyFont="1" applyBorder="1" applyAlignment="1">
      <alignment horizontal="center" vertical="center" wrapText="1"/>
    </xf>
    <xf numFmtId="11" fontId="13" fillId="0" borderId="53" xfId="0" applyNumberFormat="1" applyFont="1" applyBorder="1" applyAlignment="1">
      <alignment horizontal="center" vertical="center" wrapText="1"/>
    </xf>
    <xf numFmtId="11" fontId="13" fillId="0" borderId="54" xfId="0" applyNumberFormat="1" applyFont="1" applyBorder="1" applyAlignment="1">
      <alignment horizontal="center" vertical="center" wrapText="1"/>
    </xf>
    <xf numFmtId="0" fontId="13" fillId="0" borderId="27" xfId="5" applyFont="1" applyBorder="1" applyAlignment="1">
      <alignment horizontal="center" vertical="center" wrapText="1"/>
    </xf>
    <xf numFmtId="0" fontId="13" fillId="0" borderId="1" xfId="5" applyFont="1" applyBorder="1" applyAlignment="1">
      <alignment horizontal="center" vertical="center" wrapText="1"/>
    </xf>
    <xf numFmtId="2" fontId="38" fillId="18" borderId="37" xfId="0" applyNumberFormat="1" applyFont="1" applyFill="1" applyBorder="1" applyAlignment="1">
      <alignment horizontal="center" vertical="center" wrapText="1"/>
    </xf>
    <xf numFmtId="2" fontId="38" fillId="18" borderId="1" xfId="0" applyNumberFormat="1" applyFont="1" applyFill="1" applyBorder="1" applyAlignment="1">
      <alignment horizontal="center" vertical="center" wrapText="1"/>
    </xf>
    <xf numFmtId="2" fontId="13" fillId="12" borderId="36" xfId="0" applyNumberFormat="1" applyFont="1" applyFill="1" applyBorder="1" applyAlignment="1">
      <alignment horizontal="center" vertical="center" wrapText="1"/>
    </xf>
    <xf numFmtId="2" fontId="13" fillId="12" borderId="27" xfId="0" applyNumberFormat="1" applyFont="1" applyFill="1" applyBorder="1" applyAlignment="1">
      <alignment horizontal="center" vertical="center" wrapText="1"/>
    </xf>
    <xf numFmtId="2" fontId="13" fillId="12" borderId="29" xfId="0" applyNumberFormat="1" applyFont="1" applyFill="1" applyBorder="1" applyAlignment="1">
      <alignment horizontal="center" vertical="center" wrapText="1"/>
    </xf>
    <xf numFmtId="2" fontId="13" fillId="0" borderId="36" xfId="0" applyNumberFormat="1" applyFont="1" applyBorder="1" applyAlignment="1">
      <alignment horizontal="center" vertical="center" wrapText="1"/>
    </xf>
    <xf numFmtId="2" fontId="13" fillId="0" borderId="27" xfId="0" applyNumberFormat="1" applyFont="1" applyBorder="1" applyAlignment="1">
      <alignment horizontal="center" vertical="center" wrapText="1"/>
    </xf>
    <xf numFmtId="2" fontId="13" fillId="0" borderId="29" xfId="0" applyNumberFormat="1" applyFont="1" applyBorder="1" applyAlignment="1">
      <alignment horizontal="center" vertical="center" wrapText="1"/>
    </xf>
    <xf numFmtId="2" fontId="39" fillId="0" borderId="44" xfId="0" applyNumberFormat="1" applyFont="1" applyBorder="1" applyAlignment="1">
      <alignment horizontal="center" vertical="center" wrapText="1"/>
    </xf>
    <xf numFmtId="2" fontId="39" fillId="0" borderId="46" xfId="0" applyNumberFormat="1" applyFont="1" applyBorder="1" applyAlignment="1">
      <alignment horizontal="center" vertical="center" wrapText="1"/>
    </xf>
    <xf numFmtId="2" fontId="39" fillId="0" borderId="48" xfId="0" applyNumberFormat="1" applyFont="1" applyBorder="1" applyAlignment="1">
      <alignment horizontal="center" vertical="center" wrapText="1"/>
    </xf>
    <xf numFmtId="2" fontId="39" fillId="0" borderId="32" xfId="0" applyNumberFormat="1" applyFont="1" applyBorder="1" applyAlignment="1">
      <alignment horizontal="center" vertical="center" wrapText="1"/>
    </xf>
    <xf numFmtId="2" fontId="39" fillId="0" borderId="39" xfId="0" applyNumberFormat="1" applyFont="1" applyBorder="1" applyAlignment="1">
      <alignment horizontal="center" vertical="center" wrapText="1"/>
    </xf>
    <xf numFmtId="2" fontId="39" fillId="0" borderId="40" xfId="0" applyNumberFormat="1" applyFont="1" applyBorder="1" applyAlignment="1">
      <alignment horizontal="center" vertical="center" wrapText="1"/>
    </xf>
    <xf numFmtId="11" fontId="13" fillId="0" borderId="34" xfId="0" applyNumberFormat="1" applyFont="1" applyBorder="1" applyAlignment="1">
      <alignment horizontal="center" vertical="center" wrapText="1"/>
    </xf>
    <xf numFmtId="11" fontId="13" fillId="0" borderId="41" xfId="0" applyNumberFormat="1" applyFont="1" applyBorder="1" applyAlignment="1">
      <alignment horizontal="center" vertical="center" wrapText="1"/>
    </xf>
    <xf numFmtId="11" fontId="13" fillId="0" borderId="42" xfId="0" applyNumberFormat="1" applyFont="1" applyBorder="1" applyAlignment="1">
      <alignment horizontal="center" vertical="center" wrapText="1"/>
    </xf>
    <xf numFmtId="0" fontId="35" fillId="13" borderId="23" xfId="0" applyFont="1" applyFill="1" applyBorder="1" applyAlignment="1">
      <alignment horizontal="center"/>
    </xf>
    <xf numFmtId="0" fontId="35" fillId="13" borderId="24" xfId="0" applyFont="1" applyFill="1" applyBorder="1" applyAlignment="1">
      <alignment horizontal="center"/>
    </xf>
    <xf numFmtId="0" fontId="35" fillId="13" borderId="18" xfId="0" applyFont="1" applyFill="1" applyBorder="1" applyAlignment="1">
      <alignment horizontal="center"/>
    </xf>
    <xf numFmtId="0" fontId="0" fillId="13" borderId="1" xfId="0" applyFill="1" applyBorder="1" applyAlignment="1">
      <alignment horizontal="center"/>
    </xf>
    <xf numFmtId="0" fontId="0" fillId="13" borderId="1" xfId="0" applyFill="1" applyBorder="1" applyAlignment="1">
      <alignment horizontal="center" wrapText="1"/>
    </xf>
    <xf numFmtId="11" fontId="13" fillId="0" borderId="36" xfId="0" applyNumberFormat="1" applyFont="1" applyBorder="1" applyAlignment="1">
      <alignment horizontal="center" vertical="center" wrapText="1"/>
    </xf>
    <xf numFmtId="11" fontId="13" fillId="0" borderId="27" xfId="0" applyNumberFormat="1" applyFont="1" applyBorder="1" applyAlignment="1">
      <alignment horizontal="center" vertical="center" wrapText="1"/>
    </xf>
    <xf numFmtId="11" fontId="13" fillId="0" borderId="29" xfId="0" applyNumberFormat="1" applyFont="1" applyBorder="1" applyAlignment="1">
      <alignment horizontal="center" vertical="center" wrapText="1"/>
    </xf>
    <xf numFmtId="0" fontId="35" fillId="13" borderId="2" xfId="0" applyFont="1" applyFill="1" applyBorder="1" applyAlignment="1">
      <alignment horizontal="center"/>
    </xf>
    <xf numFmtId="0" fontId="36" fillId="16" borderId="1" xfId="0" applyFont="1" applyFill="1" applyBorder="1" applyAlignment="1">
      <alignment horizontal="center" vertical="center"/>
    </xf>
    <xf numFmtId="0" fontId="18" fillId="13" borderId="1" xfId="0" applyFont="1" applyFill="1" applyBorder="1" applyAlignment="1">
      <alignment horizontal="center" vertical="center"/>
    </xf>
    <xf numFmtId="2" fontId="38" fillId="18" borderId="30" xfId="0" applyNumberFormat="1" applyFont="1" applyFill="1" applyBorder="1" applyAlignment="1">
      <alignment horizontal="center" vertical="center" wrapText="1"/>
    </xf>
    <xf numFmtId="2" fontId="13" fillId="17" borderId="36" xfId="0" applyNumberFormat="1" applyFont="1" applyFill="1" applyBorder="1" applyAlignment="1">
      <alignment horizontal="center" vertical="center" wrapText="1"/>
    </xf>
    <xf numFmtId="2" fontId="13" fillId="17" borderId="27" xfId="0" applyNumberFormat="1" applyFont="1" applyFill="1" applyBorder="1" applyAlignment="1">
      <alignment horizontal="center" vertical="center" wrapText="1"/>
    </xf>
    <xf numFmtId="2" fontId="13" fillId="17" borderId="29" xfId="0" applyNumberFormat="1" applyFont="1" applyFill="1" applyBorder="1" applyAlignment="1">
      <alignment horizontal="center" vertical="center" wrapText="1"/>
    </xf>
    <xf numFmtId="0" fontId="0" fillId="8" borderId="1" xfId="0" applyFill="1" applyBorder="1" applyAlignment="1">
      <alignment horizontal="center" vertical="center" wrapText="1"/>
    </xf>
    <xf numFmtId="0" fontId="0" fillId="5" borderId="1" xfId="0" applyFill="1" applyBorder="1" applyAlignment="1">
      <alignment horizontal="center"/>
    </xf>
    <xf numFmtId="0" fontId="0" fillId="8" borderId="1" xfId="0" applyFill="1" applyBorder="1" applyAlignment="1">
      <alignment horizontal="center" vertical="center"/>
    </xf>
    <xf numFmtId="0" fontId="6" fillId="15" borderId="46" xfId="0" applyFont="1" applyFill="1" applyBorder="1" applyAlignment="1">
      <alignment horizontal="center" vertical="center" wrapText="1"/>
    </xf>
    <xf numFmtId="0" fontId="6" fillId="15" borderId="0" xfId="0" applyFont="1" applyFill="1" applyAlignment="1">
      <alignment horizontal="center" vertical="center" wrapText="1"/>
    </xf>
    <xf numFmtId="0" fontId="6" fillId="15" borderId="2" xfId="0" applyFont="1" applyFill="1" applyBorder="1" applyAlignment="1">
      <alignment horizontal="center" vertical="center" wrapText="1"/>
    </xf>
    <xf numFmtId="0" fontId="40" fillId="20" borderId="0" xfId="0" applyFont="1" applyFill="1" applyAlignment="1">
      <alignment horizontal="center" vertical="center"/>
    </xf>
    <xf numFmtId="0" fontId="44" fillId="0" borderId="14" xfId="0" applyFont="1" applyBorder="1" applyAlignment="1">
      <alignment horizontal="center" vertical="center"/>
    </xf>
    <xf numFmtId="0" fontId="44" fillId="0" borderId="16" xfId="0" applyFont="1" applyBorder="1" applyAlignment="1">
      <alignment horizontal="center" vertical="center"/>
    </xf>
    <xf numFmtId="0" fontId="44" fillId="0" borderId="5" xfId="0" applyFont="1" applyBorder="1" applyAlignment="1">
      <alignment horizontal="center" vertical="center"/>
    </xf>
    <xf numFmtId="0" fontId="4" fillId="0" borderId="1" xfId="0" applyFont="1" applyBorder="1" applyAlignment="1">
      <alignment horizontal="justify" vertical="center" wrapText="1"/>
    </xf>
    <xf numFmtId="0" fontId="6" fillId="15" borderId="12" xfId="0" applyFont="1" applyFill="1" applyBorder="1" applyAlignment="1">
      <alignment horizontal="center" vertical="center" wrapText="1"/>
    </xf>
    <xf numFmtId="0" fontId="19" fillId="15" borderId="2" xfId="0" applyFont="1" applyFill="1" applyBorder="1" applyAlignment="1">
      <alignment horizontal="center" vertical="center" wrapText="1"/>
    </xf>
    <xf numFmtId="0" fontId="19" fillId="15" borderId="11" xfId="0" applyFont="1" applyFill="1" applyBorder="1" applyAlignment="1">
      <alignment horizontal="center" vertical="center" wrapText="1"/>
    </xf>
  </cellXfs>
  <cellStyles count="14">
    <cellStyle name="header_column" xfId="9"/>
    <cellStyle name="header_row" xfId="10"/>
    <cellStyle name="header_table" xfId="8"/>
    <cellStyle name="Hipervínculo" xfId="13" builtinId="8"/>
    <cellStyle name="input_fixed" xfId="2"/>
    <cellStyle name="input_fixed 2" xfId="12"/>
    <cellStyle name="input_mandatory" xfId="3"/>
    <cellStyle name="input_mandatory 2" xfId="11"/>
    <cellStyle name="Normal" xfId="0" builtinId="0"/>
    <cellStyle name="Normal 2" xfId="4"/>
    <cellStyle name="Normal 3" xfId="5"/>
    <cellStyle name="Normal 4" xfId="6"/>
    <cellStyle name="Normal_World" xfId="7"/>
    <cellStyle name="Porcentaje"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575059"/>
      <rgbColor rgb="FFFFF2CC"/>
      <rgbColor rgb="FFDDEBF7"/>
      <rgbColor rgb="FF660066"/>
      <rgbColor rgb="FFDA9674"/>
      <rgbColor rgb="FF0066CC"/>
      <rgbColor rgb="FFD9D9D9"/>
      <rgbColor rgb="FF000080"/>
      <rgbColor rgb="FFFF00FF"/>
      <rgbColor rgb="FFFFFF00"/>
      <rgbColor rgb="FF00FFFF"/>
      <rgbColor rgb="FF800080"/>
      <rgbColor rgb="FF800000"/>
      <rgbColor rgb="FF008080"/>
      <rgbColor rgb="FF0000FF"/>
      <rgbColor rgb="FF00CCFF"/>
      <rgbColor rgb="FFE2EFD9"/>
      <rgbColor rgb="FFE2F0D9"/>
      <rgbColor rgb="FFFFE699"/>
      <rgbColor rgb="FF9DC3E6"/>
      <rgbColor rgb="FFFF99CC"/>
      <rgbColor rgb="FFDAE3F3"/>
      <rgbColor rgb="FFF4B183"/>
      <rgbColor rgb="FF3366FF"/>
      <rgbColor rgb="FF33CCCC"/>
      <rgbColor rgb="FF66FF33"/>
      <rgbColor rgb="FFFFCC00"/>
      <rgbColor rgb="FFFF9900"/>
      <rgbColor rgb="FFFF6600"/>
      <rgbColor rgb="FF595459"/>
      <rgbColor rgb="FF969696"/>
      <rgbColor rgb="FF423F44"/>
      <rgbColor rgb="FF339966"/>
      <rgbColor rgb="FF003300"/>
      <rgbColor rgb="FF282828"/>
      <rgbColor rgb="FF993300"/>
      <rgbColor rgb="FF993366"/>
      <rgbColor rgb="FF3B3842"/>
      <rgbColor rgb="FF2D2D2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19</xdr:col>
      <xdr:colOff>219960</xdr:colOff>
      <xdr:row>6</xdr:row>
      <xdr:rowOff>54360</xdr:rowOff>
    </xdr:from>
    <xdr:to>
      <xdr:col>20</xdr:col>
      <xdr:colOff>855000</xdr:colOff>
      <xdr:row>8</xdr:row>
      <xdr:rowOff>255240</xdr:rowOff>
    </xdr:to>
    <xdr:sp macro="" textlink="">
      <xdr:nvSpPr>
        <xdr:cNvPr id="2" name="CuadroTexto 1">
          <a:extLst>
            <a:ext uri="{FF2B5EF4-FFF2-40B4-BE49-F238E27FC236}">
              <a16:creationId xmlns:a16="http://schemas.microsoft.com/office/drawing/2014/main" id="{00000000-0008-0000-0200-000002000000}"/>
            </a:ext>
          </a:extLst>
        </xdr:cNvPr>
        <xdr:cNvSpPr/>
      </xdr:nvSpPr>
      <xdr:spPr>
        <a:xfrm>
          <a:off x="17669880" y="1273680"/>
          <a:ext cx="1451520" cy="106740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spAutoFit/>
        </a:bodyPr>
        <a:lstStyle/>
        <a:p>
          <a:pPr algn="ctr">
            <a:lnSpc>
              <a:spcPct val="100000"/>
            </a:lnSpc>
          </a:pPr>
          <a:r>
            <a:rPr lang="en-GB" sz="1100" b="0" strike="noStrike" spc="-1">
              <a:solidFill>
                <a:srgbClr val="000000"/>
              </a:solidFill>
              <a:latin typeface="Calibri"/>
            </a:rPr>
            <a:t>These great differences show that they are not similar, in this first approach we will use the developed countries data.</a:t>
          </a:r>
          <a:endParaRPr lang="en-US" sz="1100" b="0" strike="noStrike" spc="-1">
            <a:latin typeface="Times New Roman"/>
          </a:endParaRPr>
        </a:p>
      </xdr:txBody>
    </xdr:sp>
    <xdr:clientData/>
  </xdr:twoCellAnchor>
  <xdr:twoCellAnchor editAs="oneCell">
    <xdr:from>
      <xdr:col>31</xdr:col>
      <xdr:colOff>163800</xdr:colOff>
      <xdr:row>20</xdr:row>
      <xdr:rowOff>124920</xdr:rowOff>
    </xdr:from>
    <xdr:to>
      <xdr:col>34</xdr:col>
      <xdr:colOff>247759</xdr:colOff>
      <xdr:row>23</xdr:row>
      <xdr:rowOff>195475</xdr:rowOff>
    </xdr:to>
    <xdr:sp macro="" textlink="">
      <xdr:nvSpPr>
        <xdr:cNvPr id="3" name="CuadroTexto 2">
          <a:extLst>
            <a:ext uri="{FF2B5EF4-FFF2-40B4-BE49-F238E27FC236}">
              <a16:creationId xmlns:a16="http://schemas.microsoft.com/office/drawing/2014/main" id="{00000000-0008-0000-0200-000003000000}"/>
            </a:ext>
          </a:extLst>
        </xdr:cNvPr>
        <xdr:cNvSpPr/>
      </xdr:nvSpPr>
      <xdr:spPr>
        <a:xfrm>
          <a:off x="29258280" y="9145080"/>
          <a:ext cx="3477240" cy="106740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spAutoFit/>
        </a:bodyPr>
        <a:lstStyle/>
        <a:p>
          <a:pPr algn="ctr">
            <a:lnSpc>
              <a:spcPct val="100000"/>
            </a:lnSpc>
          </a:pPr>
          <a:r>
            <a:rPr lang="en-GB" sz="1100" b="0" strike="noStrike" spc="-1">
              <a:solidFill>
                <a:srgbClr val="000000"/>
              </a:solidFill>
              <a:latin typeface="Calibri"/>
            </a:rPr>
            <a:t>Los valores marcados en amarillo son aquelos que había indicado el IPCC. Debido a la necesidad de introducir estos datos en el modelo para que funcione hemos sustituido los que son aplicables por un pequeño valor del mismo orden de magnitud que el resto. DUDA: PARA UPGRADING SI USO EL ORDEN DE MAGNITUD DEL RESTO PASARÍA A SER UN VALOR RELEVANTE. ¿qué hacemos?</a:t>
          </a:r>
          <a:endParaRPr lang="en-US" sz="1100" b="0" strike="noStrike" spc="-1">
            <a:latin typeface="Times New Roman"/>
          </a:endParaRPr>
        </a:p>
      </xdr:txBody>
    </xdr:sp>
    <xdr:clientData/>
  </xdr:twoCellAnchor>
  <xdr:twoCellAnchor editAs="oneCell">
    <xdr:from>
      <xdr:col>7</xdr:col>
      <xdr:colOff>360000</xdr:colOff>
      <xdr:row>42</xdr:row>
      <xdr:rowOff>0</xdr:rowOff>
    </xdr:from>
    <xdr:to>
      <xdr:col>9</xdr:col>
      <xdr:colOff>1176176</xdr:colOff>
      <xdr:row>44</xdr:row>
      <xdr:rowOff>155880</xdr:rowOff>
    </xdr:to>
    <xdr:sp macro="" textlink="">
      <xdr:nvSpPr>
        <xdr:cNvPr id="4" name="CuadroTexto 3">
          <a:extLst>
            <a:ext uri="{FF2B5EF4-FFF2-40B4-BE49-F238E27FC236}">
              <a16:creationId xmlns:a16="http://schemas.microsoft.com/office/drawing/2014/main" id="{00000000-0008-0000-0200-000004000000}"/>
            </a:ext>
          </a:extLst>
        </xdr:cNvPr>
        <xdr:cNvSpPr/>
      </xdr:nvSpPr>
      <xdr:spPr>
        <a:xfrm>
          <a:off x="8384400" y="19478520"/>
          <a:ext cx="2704320" cy="134676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spAutoFit/>
        </a:bodyPr>
        <a:lstStyle/>
        <a:p>
          <a:pPr algn="ctr">
            <a:lnSpc>
              <a:spcPct val="100000"/>
            </a:lnSpc>
          </a:pPr>
          <a:r>
            <a:rPr lang="en-GB" sz="1100" b="0" strike="noStrike" spc="-1">
              <a:solidFill>
                <a:srgbClr val="000000"/>
              </a:solidFill>
              <a:latin typeface="Calibri"/>
            </a:rPr>
            <a:t>We included this emissions factors in the model but we did not link it to anything. This emissions, when followwing IPCC are supposed to be accounted for in the Agriculture, Land Use Change and Forestry sector. This is why we included the data of the emission factor but did not calculate the emissions until checking there is no double counting.</a:t>
          </a:r>
          <a:endParaRPr lang="en-US" sz="1100" b="0" strike="noStrike" spc="-1">
            <a:latin typeface="Times New Roman"/>
          </a:endParaRPr>
        </a:p>
      </xdr:txBody>
    </xdr:sp>
    <xdr:clientData/>
  </xdr:twoCellAnchor>
  <xdr:twoCellAnchor editAs="oneCell">
    <xdr:from>
      <xdr:col>15</xdr:col>
      <xdr:colOff>261720</xdr:colOff>
      <xdr:row>42</xdr:row>
      <xdr:rowOff>53640</xdr:rowOff>
    </xdr:from>
    <xdr:to>
      <xdr:col>17</xdr:col>
      <xdr:colOff>635399</xdr:colOff>
      <xdr:row>42</xdr:row>
      <xdr:rowOff>702000</xdr:rowOff>
    </xdr:to>
    <xdr:sp macro="" textlink="">
      <xdr:nvSpPr>
        <xdr:cNvPr id="5" name="CuadroTexto 4">
          <a:extLst>
            <a:ext uri="{FF2B5EF4-FFF2-40B4-BE49-F238E27FC236}">
              <a16:creationId xmlns:a16="http://schemas.microsoft.com/office/drawing/2014/main" id="{00000000-0008-0000-0200-000005000000}"/>
            </a:ext>
          </a:extLst>
        </xdr:cNvPr>
        <xdr:cNvSpPr/>
      </xdr:nvSpPr>
      <xdr:spPr>
        <a:xfrm>
          <a:off x="14365080" y="19532160"/>
          <a:ext cx="2007000" cy="64836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spAutoFit/>
        </a:bodyPr>
        <a:lstStyle/>
        <a:p>
          <a:pPr algn="ctr">
            <a:lnSpc>
              <a:spcPct val="100000"/>
            </a:lnSpc>
          </a:pPr>
          <a:r>
            <a:rPr lang="en-GB" sz="1100" b="0" strike="noStrike" spc="-1">
              <a:solidFill>
                <a:srgbClr val="000000"/>
              </a:solidFill>
              <a:latin typeface="Calibri"/>
            </a:rPr>
            <a:t>Factor for “hard-coal-coke production (coking plants)” using horizontal coke batteries. Non-heat recovery ovens</a:t>
          </a:r>
          <a:endParaRPr lang="en-US" sz="1100" b="0" strike="noStrike" spc="-1">
            <a:latin typeface="Times New Roman"/>
          </a:endParaRPr>
        </a:p>
      </xdr:txBody>
    </xdr:sp>
    <xdr:clientData/>
  </xdr:twoCellAnchor>
  <xdr:twoCellAnchor editAs="oneCell">
    <xdr:from>
      <xdr:col>18</xdr:col>
      <xdr:colOff>150840</xdr:colOff>
      <xdr:row>42</xdr:row>
      <xdr:rowOff>24480</xdr:rowOff>
    </xdr:from>
    <xdr:to>
      <xdr:col>20</xdr:col>
      <xdr:colOff>1708199</xdr:colOff>
      <xdr:row>42</xdr:row>
      <xdr:rowOff>672840</xdr:rowOff>
    </xdr:to>
    <xdr:sp macro="" textlink="">
      <xdr:nvSpPr>
        <xdr:cNvPr id="6" name="CuadroTexto 5">
          <a:extLst>
            <a:ext uri="{FF2B5EF4-FFF2-40B4-BE49-F238E27FC236}">
              <a16:creationId xmlns:a16="http://schemas.microsoft.com/office/drawing/2014/main" id="{00000000-0008-0000-0200-000006000000}"/>
            </a:ext>
          </a:extLst>
        </xdr:cNvPr>
        <xdr:cNvSpPr/>
      </xdr:nvSpPr>
      <xdr:spPr>
        <a:xfrm>
          <a:off x="16743960" y="19503000"/>
          <a:ext cx="3230640" cy="64836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spAutoFit/>
        </a:bodyPr>
        <a:lstStyle/>
        <a:p>
          <a:pPr algn="ctr">
            <a:lnSpc>
              <a:spcPct val="100000"/>
            </a:lnSpc>
          </a:pPr>
          <a:r>
            <a:rPr lang="en-GB" sz="1100" b="0" strike="noStrike" spc="-1">
              <a:solidFill>
                <a:srgbClr val="000000"/>
              </a:solidFill>
              <a:latin typeface="Calibri"/>
            </a:rPr>
            <a:t>IPCC Guidelines states that </a:t>
          </a:r>
          <a:r>
            <a:rPr lang="en-GB" sz="1100" b="0" u="sng" strike="noStrike" spc="-1">
              <a:solidFill>
                <a:srgbClr val="000000"/>
              </a:solidFill>
              <a:uFillTx/>
              <a:latin typeface="Calibri"/>
            </a:rPr>
            <a:t>If non-fugitive emissions are estimated using Tier 1 approach</a:t>
          </a:r>
          <a:r>
            <a:rPr lang="en-GB" sz="1100" b="0" strike="noStrike" spc="-1">
              <a:solidFill>
                <a:srgbClr val="000000"/>
              </a:solidFill>
              <a:latin typeface="Calibri"/>
            </a:rPr>
            <a:t>, </a:t>
          </a:r>
          <a:r>
            <a:rPr lang="en-GB" sz="1100" b="0" u="sng" strike="noStrike" spc="-1">
              <a:solidFill>
                <a:srgbClr val="000000"/>
              </a:solidFill>
              <a:uFillTx/>
              <a:latin typeface="Calibri"/>
            </a:rPr>
            <a:t>CO2 emissions from flaring are equal to zero</a:t>
          </a:r>
          <a:r>
            <a:rPr lang="en-GB" sz="1100" b="0" strike="noStrike" spc="-1">
              <a:solidFill>
                <a:srgbClr val="000000"/>
              </a:solidFill>
              <a:latin typeface="Calibri"/>
            </a:rPr>
            <a:t>.  This is why it has not been included in the model.</a:t>
          </a:r>
          <a:endParaRPr lang="en-US" sz="1100" b="0" strike="noStrike" spc="-1">
            <a:latin typeface="Times New Roman"/>
          </a:endParaRPr>
        </a:p>
      </xdr:txBody>
    </xdr:sp>
    <xdr:clientData/>
  </xdr:twoCellAnchor>
  <xdr:twoCellAnchor editAs="oneCell">
    <xdr:from>
      <xdr:col>22</xdr:col>
      <xdr:colOff>13608</xdr:colOff>
      <xdr:row>30</xdr:row>
      <xdr:rowOff>100483</xdr:rowOff>
    </xdr:from>
    <xdr:to>
      <xdr:col>25</xdr:col>
      <xdr:colOff>789214</xdr:colOff>
      <xdr:row>32</xdr:row>
      <xdr:rowOff>370116</xdr:rowOff>
    </xdr:to>
    <xdr:pic>
      <xdr:nvPicPr>
        <xdr:cNvPr id="7" name="Imagen 6">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131894" y="13911733"/>
          <a:ext cx="6055178" cy="27828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639347</xdr:colOff>
      <xdr:row>19</xdr:row>
      <xdr:rowOff>174446</xdr:rowOff>
    </xdr:from>
    <xdr:to>
      <xdr:col>16</xdr:col>
      <xdr:colOff>111810</xdr:colOff>
      <xdr:row>33</xdr:row>
      <xdr:rowOff>98285</xdr:rowOff>
    </xdr:to>
    <xdr:sp macro="" textlink="">
      <xdr:nvSpPr>
        <xdr:cNvPr id="5" name="CuadroTexto 18">
          <a:extLst>
            <a:ext uri="{FF2B5EF4-FFF2-40B4-BE49-F238E27FC236}">
              <a16:creationId xmlns:a16="http://schemas.microsoft.com/office/drawing/2014/main" id="{00000000-0008-0000-0300-000005000000}"/>
            </a:ext>
          </a:extLst>
        </xdr:cNvPr>
        <xdr:cNvSpPr/>
      </xdr:nvSpPr>
      <xdr:spPr>
        <a:xfrm>
          <a:off x="20015918" y="5059410"/>
          <a:ext cx="3187213" cy="3080696"/>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Although for CO2 we find the same values for every division this is not the case for other GHG. This is why we are introducing the hole vector in the model. By doing this it will have the same format that we will have to apply when the model is expanded.</a:t>
          </a:r>
          <a:endParaRPr lang="en-US" sz="1100" b="0" strike="noStrike" spc="-1">
            <a:latin typeface="Times New Roman"/>
          </a:endParaRPr>
        </a:p>
        <a:p>
          <a:pPr>
            <a:lnSpc>
              <a:spcPct val="100000"/>
            </a:lnSpc>
          </a:pPr>
          <a:r>
            <a:rPr lang="en-GB" sz="1100" b="0" strike="noStrike" spc="-1">
              <a:solidFill>
                <a:srgbClr val="000000"/>
              </a:solidFill>
              <a:latin typeface="Calibri"/>
            </a:rPr>
            <a:t>Also, only pasenger tranportation has been defined yet. Nevertheless we are not including only household because the rest will be included at some point in the model.</a:t>
          </a:r>
          <a:endParaRPr lang="en-US" sz="1100" b="0" strike="noStrike" spc="-1">
            <a:latin typeface="Times New Roman"/>
          </a:endParaRPr>
        </a:p>
        <a:p>
          <a:pPr>
            <a:lnSpc>
              <a:spcPct val="100000"/>
            </a:lnSpc>
          </a:pPr>
          <a:r>
            <a:rPr lang="en-GB" sz="1100" b="0" strike="noStrike" spc="-1">
              <a:solidFill>
                <a:srgbClr val="000000"/>
              </a:solidFill>
              <a:latin typeface="Calibri"/>
            </a:rPr>
            <a:t>Lastly, it must be noticed that even thogh normaly the diferentiation in the model is done by dieles and gasoline but not the motor type, in this case the information regarding motorcycles (which is already in the model) will be used to adapt this emission factors.</a:t>
          </a:r>
          <a:endParaRPr lang="en-US" sz="1100" b="0" strike="noStrike" spc="-1">
            <a:latin typeface="Times New Roman"/>
          </a:endParaRPr>
        </a:p>
      </xdr:txBody>
    </xdr:sp>
    <xdr:clientData/>
  </xdr:twoCellAnchor>
  <xdr:twoCellAnchor editAs="oneCell">
    <xdr:from>
      <xdr:col>9</xdr:col>
      <xdr:colOff>797235</xdr:colOff>
      <xdr:row>36</xdr:row>
      <xdr:rowOff>87180</xdr:rowOff>
    </xdr:from>
    <xdr:to>
      <xdr:col>12</xdr:col>
      <xdr:colOff>1341370</xdr:colOff>
      <xdr:row>40</xdr:row>
      <xdr:rowOff>117414</xdr:rowOff>
    </xdr:to>
    <xdr:sp macro="" textlink="">
      <xdr:nvSpPr>
        <xdr:cNvPr id="6" name="CuadroTexto 19">
          <a:extLst>
            <a:ext uri="{FF2B5EF4-FFF2-40B4-BE49-F238E27FC236}">
              <a16:creationId xmlns:a16="http://schemas.microsoft.com/office/drawing/2014/main" id="{00000000-0008-0000-0300-000006000000}"/>
            </a:ext>
          </a:extLst>
        </xdr:cNvPr>
        <xdr:cNvSpPr/>
      </xdr:nvSpPr>
      <xdr:spPr>
        <a:xfrm>
          <a:off x="17123085" y="9431205"/>
          <a:ext cx="3268285" cy="82081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Althought it is very uncommun to find Sub_bituminous coal rail transportation the values are included so as to be able to use the data for different scenarios depending on the politic adopted.</a:t>
          </a:r>
          <a:endParaRPr lang="en-US" sz="1100" b="0" strike="noStrike" spc="-1">
            <a:latin typeface="Times New Roman"/>
          </a:endParaRPr>
        </a:p>
      </xdr:txBody>
    </xdr:sp>
    <xdr:clientData/>
  </xdr:twoCellAnchor>
  <xdr:twoCellAnchor editAs="oneCell">
    <xdr:from>
      <xdr:col>12</xdr:col>
      <xdr:colOff>1522905</xdr:colOff>
      <xdr:row>36</xdr:row>
      <xdr:rowOff>7185</xdr:rowOff>
    </xdr:from>
    <xdr:to>
      <xdr:col>16</xdr:col>
      <xdr:colOff>561975</xdr:colOff>
      <xdr:row>37</xdr:row>
      <xdr:rowOff>142875</xdr:rowOff>
    </xdr:to>
    <xdr:sp macro="" textlink="">
      <xdr:nvSpPr>
        <xdr:cNvPr id="7" name="CuadroTexto 20">
          <a:extLst>
            <a:ext uri="{FF2B5EF4-FFF2-40B4-BE49-F238E27FC236}">
              <a16:creationId xmlns:a16="http://schemas.microsoft.com/office/drawing/2014/main" id="{00000000-0008-0000-0300-000007000000}"/>
            </a:ext>
          </a:extLst>
        </xdr:cNvPr>
        <xdr:cNvSpPr/>
      </xdr:nvSpPr>
      <xdr:spPr>
        <a:xfrm>
          <a:off x="20572905" y="9351210"/>
          <a:ext cx="2744295" cy="335715"/>
        </a:xfrm>
        <a:prstGeom prst="rect">
          <a:avLst/>
        </a:prstGeom>
        <a:solidFill>
          <a:srgbClr val="FFFF00"/>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Habría que hacer un sub subscript??</a:t>
          </a:r>
          <a:endParaRPr lang="en-US" sz="1100" b="0" strike="noStrike" spc="-1">
            <a:latin typeface="Times New Roman"/>
          </a:endParaRPr>
        </a:p>
      </xdr:txBody>
    </xdr:sp>
    <xdr:clientData/>
  </xdr:twoCellAnchor>
  <xdr:twoCellAnchor editAs="oneCell">
    <xdr:from>
      <xdr:col>9</xdr:col>
      <xdr:colOff>808815</xdr:colOff>
      <xdr:row>45</xdr:row>
      <xdr:rowOff>15240</xdr:rowOff>
    </xdr:from>
    <xdr:to>
      <xdr:col>12</xdr:col>
      <xdr:colOff>1482315</xdr:colOff>
      <xdr:row>51</xdr:row>
      <xdr:rowOff>32520</xdr:rowOff>
    </xdr:to>
    <xdr:sp macro="" textlink="">
      <xdr:nvSpPr>
        <xdr:cNvPr id="8" name="CuadroTexto 21">
          <a:extLst>
            <a:ext uri="{FF2B5EF4-FFF2-40B4-BE49-F238E27FC236}">
              <a16:creationId xmlns:a16="http://schemas.microsoft.com/office/drawing/2014/main" id="{00000000-0008-0000-0300-000008000000}"/>
            </a:ext>
          </a:extLst>
        </xdr:cNvPr>
        <xdr:cNvSpPr/>
      </xdr:nvSpPr>
      <xdr:spPr>
        <a:xfrm>
          <a:off x="19849290" y="11121390"/>
          <a:ext cx="3397650" cy="1160280"/>
        </a:xfrm>
        <a:prstGeom prst="rect">
          <a:avLst/>
        </a:prstGeom>
        <a:solidFill>
          <a:srgbClr val="FFFFFF"/>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In order to adapt the data given by the IPCC Guidelines to our model we have joined several values:</a:t>
          </a:r>
          <a:endParaRPr lang="en-US" sz="1100" b="0" strike="noStrike" spc="-1">
            <a:latin typeface="Times New Roman"/>
          </a:endParaRPr>
        </a:p>
        <a:p>
          <a:pPr>
            <a:lnSpc>
              <a:spcPct val="100000"/>
            </a:lnSpc>
          </a:pPr>
          <a:r>
            <a:rPr lang="en-GB" sz="1100" b="0" strike="noStrike" spc="-1">
              <a:solidFill>
                <a:srgbClr val="000000"/>
              </a:solidFill>
              <a:latin typeface="Calibri"/>
            </a:rPr>
            <a:t>- Diesel: It includes the average of Kerosene, Diesel and Fuel</a:t>
          </a:r>
          <a:endParaRPr lang="en-US" sz="1100" b="0" strike="noStrike" spc="-1">
            <a:latin typeface="Times New Roman"/>
          </a:endParaRPr>
        </a:p>
        <a:p>
          <a:pPr>
            <a:lnSpc>
              <a:spcPct val="100000"/>
            </a:lnSpc>
          </a:pPr>
          <a:r>
            <a:rPr lang="en-GB" sz="1100" b="0" strike="noStrike" spc="-1">
              <a:solidFill>
                <a:srgbClr val="000000"/>
              </a:solidFill>
              <a:latin typeface="Calibri"/>
            </a:rPr>
            <a:t>- CNG: It includes the average of Refinery Gas and Natural Gas</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5</xdr:col>
      <xdr:colOff>1616520</xdr:colOff>
      <xdr:row>79</xdr:row>
      <xdr:rowOff>40710</xdr:rowOff>
    </xdr:from>
    <xdr:to>
      <xdr:col>6</xdr:col>
      <xdr:colOff>374865</xdr:colOff>
      <xdr:row>80</xdr:row>
      <xdr:rowOff>150870</xdr:rowOff>
    </xdr:to>
    <xdr:sp macro="" textlink="">
      <xdr:nvSpPr>
        <xdr:cNvPr id="9" name="CuadroTexto 22">
          <a:extLst>
            <a:ext uri="{FF2B5EF4-FFF2-40B4-BE49-F238E27FC236}">
              <a16:creationId xmlns:a16="http://schemas.microsoft.com/office/drawing/2014/main" id="{00000000-0008-0000-0300-000009000000}"/>
            </a:ext>
          </a:extLst>
        </xdr:cNvPr>
        <xdr:cNvSpPr/>
      </xdr:nvSpPr>
      <xdr:spPr>
        <a:xfrm>
          <a:off x="12103545" y="18376335"/>
          <a:ext cx="2330220" cy="300660"/>
        </a:xfrm>
        <a:prstGeom prst="rect">
          <a:avLst/>
        </a:prstGeom>
        <a:solidFill>
          <a:srgbClr val="FFFF00"/>
        </a:solidFill>
        <a:ln w="0">
          <a:solidFill>
            <a:srgbClr val="000000"/>
          </a:solidFill>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¿Cómo se mete únicamente un valor?</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53340</xdr:colOff>
      <xdr:row>28</xdr:row>
      <xdr:rowOff>99060</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355580" cy="521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Paula Derqui" id="{9FB8EB48-13F1-47F0-A6AA-110F4794B651}" userId="S::paula.derqui@alumnos.uva.es::dcc01ec2-8579-4de2-8435-6d0eb222610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22-03-20T18:18:42.96" personId="{9FB8EB48-13F1-47F0-A6AA-110F4794B651}" id="{DAF059FC-D17D-4A60-B2EA-6420137FFCB3}">
    <text>Waste Oils tiene FE de 30 ¿Pondero? O no. En CO2 no se ha ponderado</text>
  </threadedComment>
  <threadedComment ref="J57" dT="2022-03-26T17:14:28.84" personId="{9FB8EB48-13F1-47F0-A6AA-110F4794B651}" id="{5540B357-BB5C-49C5-9460-1AEB3489B3BD}" parentId="{DAF059FC-D17D-4A60-B2EA-6420137FFCB3}">
    <text>Según los datos de IEA no.</text>
  </threadedComment>
  <threadedComment ref="J78" dT="2022-03-20T18:18:42.96" personId="{9FB8EB48-13F1-47F0-A6AA-110F4794B651}" id="{94C589D5-720D-446F-8EE4-C9D2EF7280EF}">
    <text>Waste Oils tiene FE de 30 ¿Pondero? O no. En CO2 no se ha ponderado</text>
  </threadedComment>
  <threadedComment ref="J78" dT="2022-03-26T17:14:28.84" personId="{9FB8EB48-13F1-47F0-A6AA-110F4794B651}" id="{5F693482-CEF2-4E99-84B7-C614C52E7B4E}" parentId="{94C589D5-720D-446F-8EE4-C9D2EF7280EF}">
    <text>Según los datos de IEA no.</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ipcc-nggip.iges.or.jp/EFDB/find_ef.php" TargetMode="Externa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18"/>
  <sheetViews>
    <sheetView zoomScale="75" zoomScaleNormal="75" workbookViewId="0">
      <selection activeCell="C19" sqref="C19"/>
    </sheetView>
  </sheetViews>
  <sheetFormatPr baseColWidth="10" defaultColWidth="10.5546875" defaultRowHeight="14.4" x14ac:dyDescent="0.3"/>
  <cols>
    <col min="2" max="2" width="22.109375" customWidth="1"/>
  </cols>
  <sheetData>
    <row r="1" spans="2:8" ht="15" customHeight="1" x14ac:dyDescent="0.3"/>
    <row r="2" spans="2:8" ht="15" customHeight="1" x14ac:dyDescent="0.3">
      <c r="C2" s="284" t="s">
        <v>0</v>
      </c>
      <c r="D2" s="284"/>
      <c r="E2" s="284"/>
      <c r="F2" s="284" t="s">
        <v>1</v>
      </c>
      <c r="G2" s="284"/>
      <c r="H2" s="284"/>
    </row>
    <row r="3" spans="2:8" ht="15.75" customHeight="1" x14ac:dyDescent="0.3">
      <c r="C3" s="284" t="s">
        <v>2</v>
      </c>
      <c r="D3" s="284"/>
      <c r="E3" s="284"/>
      <c r="F3" s="284" t="s">
        <v>2</v>
      </c>
      <c r="G3" s="284"/>
      <c r="H3" s="284"/>
    </row>
    <row r="4" spans="2:8" x14ac:dyDescent="0.3">
      <c r="C4" s="2" t="s">
        <v>3</v>
      </c>
      <c r="D4" s="3" t="s">
        <v>4</v>
      </c>
      <c r="E4" s="3" t="s">
        <v>5</v>
      </c>
      <c r="F4" s="3" t="s">
        <v>3</v>
      </c>
      <c r="G4" s="3" t="s">
        <v>4</v>
      </c>
      <c r="H4" s="3" t="s">
        <v>5</v>
      </c>
    </row>
    <row r="5" spans="2:8" x14ac:dyDescent="0.3">
      <c r="B5" s="4" t="s">
        <v>6</v>
      </c>
      <c r="C5" s="5" t="s">
        <v>7</v>
      </c>
      <c r="D5" s="5" t="s">
        <v>8</v>
      </c>
      <c r="E5" s="5" t="s">
        <v>9</v>
      </c>
      <c r="F5" s="5" t="s">
        <v>7</v>
      </c>
      <c r="G5" s="5" t="s">
        <v>8</v>
      </c>
      <c r="H5" s="5" t="s">
        <v>9</v>
      </c>
    </row>
    <row r="6" spans="2:8" x14ac:dyDescent="0.3">
      <c r="B6" s="6" t="s">
        <v>10</v>
      </c>
      <c r="C6" s="7">
        <v>0</v>
      </c>
      <c r="D6" s="8" t="s">
        <v>11</v>
      </c>
      <c r="E6" s="8" t="s">
        <v>11</v>
      </c>
      <c r="F6" s="7">
        <v>0</v>
      </c>
      <c r="G6" s="7">
        <v>0</v>
      </c>
      <c r="H6" s="7">
        <v>0</v>
      </c>
    </row>
    <row r="7" spans="2:8" x14ac:dyDescent="0.3">
      <c r="B7" s="6" t="s">
        <v>12</v>
      </c>
      <c r="C7" s="9" t="s">
        <v>11</v>
      </c>
      <c r="D7" s="9" t="s">
        <v>11</v>
      </c>
      <c r="E7" s="9" t="s">
        <v>11</v>
      </c>
      <c r="F7" s="9" t="s">
        <v>11</v>
      </c>
      <c r="G7" s="9" t="s">
        <v>11</v>
      </c>
      <c r="H7" s="9" t="s">
        <v>11</v>
      </c>
    </row>
    <row r="8" spans="2:8" x14ac:dyDescent="0.3">
      <c r="B8" s="6" t="s">
        <v>13</v>
      </c>
      <c r="C8" s="9" t="s">
        <v>11</v>
      </c>
      <c r="D8" s="9" t="s">
        <v>11</v>
      </c>
      <c r="E8" s="9" t="s">
        <v>11</v>
      </c>
      <c r="F8" s="9" t="s">
        <v>11</v>
      </c>
      <c r="G8" s="9" t="s">
        <v>11</v>
      </c>
      <c r="H8" s="9" t="s">
        <v>11</v>
      </c>
    </row>
    <row r="9" spans="2:8" x14ac:dyDescent="0.3">
      <c r="B9" s="6" t="s">
        <v>14</v>
      </c>
      <c r="C9" s="7">
        <v>0</v>
      </c>
      <c r="D9" s="8" t="s">
        <v>11</v>
      </c>
      <c r="E9" s="8" t="s">
        <v>11</v>
      </c>
      <c r="F9" s="7">
        <v>0</v>
      </c>
      <c r="G9" s="7">
        <v>0</v>
      </c>
      <c r="H9" s="7">
        <v>0</v>
      </c>
    </row>
    <row r="10" spans="2:8" x14ac:dyDescent="0.3">
      <c r="B10" s="6" t="s">
        <v>15</v>
      </c>
      <c r="C10" s="10">
        <v>0</v>
      </c>
      <c r="D10" s="10">
        <v>0</v>
      </c>
      <c r="E10" s="10">
        <v>0</v>
      </c>
      <c r="F10" s="10">
        <v>0</v>
      </c>
      <c r="G10" s="10">
        <v>0</v>
      </c>
      <c r="H10" s="10">
        <v>0</v>
      </c>
    </row>
    <row r="11" spans="2:8" x14ac:dyDescent="0.3">
      <c r="B11" s="6" t="s">
        <v>16</v>
      </c>
      <c r="C11" s="10">
        <v>0</v>
      </c>
      <c r="D11" s="10">
        <v>0</v>
      </c>
      <c r="E11" s="10">
        <v>0</v>
      </c>
      <c r="F11" s="10">
        <v>0</v>
      </c>
      <c r="G11" s="10">
        <v>0</v>
      </c>
      <c r="H11" s="10">
        <v>0</v>
      </c>
    </row>
    <row r="12" spans="2:8" x14ac:dyDescent="0.3">
      <c r="B12" s="6" t="s">
        <v>17</v>
      </c>
      <c r="C12" s="9" t="s">
        <v>11</v>
      </c>
      <c r="D12" s="9" t="s">
        <v>11</v>
      </c>
      <c r="E12" s="9" t="s">
        <v>11</v>
      </c>
      <c r="F12" s="9" t="s">
        <v>11</v>
      </c>
      <c r="G12" s="9" t="s">
        <v>11</v>
      </c>
      <c r="H12" s="9" t="s">
        <v>11</v>
      </c>
    </row>
    <row r="13" spans="2:8" x14ac:dyDescent="0.3">
      <c r="B13" s="6" t="s">
        <v>18</v>
      </c>
      <c r="C13" s="10">
        <v>0</v>
      </c>
      <c r="D13" s="10">
        <v>0</v>
      </c>
      <c r="E13" s="10">
        <v>0</v>
      </c>
      <c r="F13" s="10">
        <v>0</v>
      </c>
      <c r="G13" s="10">
        <v>0</v>
      </c>
      <c r="H13" s="10">
        <v>0</v>
      </c>
    </row>
    <row r="14" spans="2:8" x14ac:dyDescent="0.3">
      <c r="B14" s="6" t="s">
        <v>19</v>
      </c>
      <c r="C14" s="10">
        <v>0</v>
      </c>
      <c r="D14" s="10">
        <v>0</v>
      </c>
      <c r="E14" s="10">
        <v>0</v>
      </c>
      <c r="F14" s="10">
        <v>0</v>
      </c>
      <c r="G14" s="10">
        <v>0</v>
      </c>
      <c r="H14" s="10">
        <v>0</v>
      </c>
    </row>
    <row r="15" spans="2:8" x14ac:dyDescent="0.3">
      <c r="B15" s="6" t="s">
        <v>20</v>
      </c>
      <c r="C15" s="10">
        <v>0</v>
      </c>
      <c r="D15" s="10">
        <v>0</v>
      </c>
      <c r="E15" s="10">
        <v>0</v>
      </c>
      <c r="F15" s="10">
        <v>0</v>
      </c>
      <c r="G15" s="10">
        <v>0</v>
      </c>
      <c r="H15" s="10">
        <v>0</v>
      </c>
    </row>
    <row r="16" spans="2:8" x14ac:dyDescent="0.3">
      <c r="B16" s="6" t="s">
        <v>21</v>
      </c>
      <c r="C16" s="9" t="s">
        <v>11</v>
      </c>
      <c r="D16" s="9" t="s">
        <v>11</v>
      </c>
      <c r="E16" s="9" t="s">
        <v>11</v>
      </c>
      <c r="F16" s="7" t="s">
        <v>22</v>
      </c>
      <c r="G16" s="7" t="s">
        <v>22</v>
      </c>
      <c r="H16" s="7" t="s">
        <v>22</v>
      </c>
    </row>
    <row r="17" spans="2:8" x14ac:dyDescent="0.3">
      <c r="B17" s="6" t="s">
        <v>23</v>
      </c>
      <c r="C17" s="10">
        <v>0</v>
      </c>
      <c r="D17" s="10">
        <v>0</v>
      </c>
      <c r="E17" s="10" t="s">
        <v>24</v>
      </c>
      <c r="F17" s="10">
        <v>0</v>
      </c>
      <c r="G17" s="10">
        <v>0</v>
      </c>
      <c r="H17" s="10">
        <v>0</v>
      </c>
    </row>
    <row r="18" spans="2:8" x14ac:dyDescent="0.3">
      <c r="B18" s="11"/>
      <c r="C18" s="11"/>
    </row>
  </sheetData>
  <mergeCells count="4">
    <mergeCell ref="C2:E2"/>
    <mergeCell ref="F2:H2"/>
    <mergeCell ref="C3:E3"/>
    <mergeCell ref="F3:H3"/>
  </mergeCells>
  <pageMargins left="0.7" right="0.7" top="0.75" bottom="0.75" header="0.511811023622047" footer="0.511811023622047"/>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W95"/>
  <sheetViews>
    <sheetView zoomScale="115" zoomScaleNormal="115" workbookViewId="0">
      <selection activeCell="M19" sqref="M19:M20"/>
    </sheetView>
  </sheetViews>
  <sheetFormatPr baseColWidth="10" defaultColWidth="11.5546875" defaultRowHeight="14.4" x14ac:dyDescent="0.3"/>
  <cols>
    <col min="5" max="5" width="13.109375" customWidth="1"/>
    <col min="6" max="6" width="15.5546875" customWidth="1"/>
    <col min="8" max="8" width="10.88671875" customWidth="1"/>
    <col min="9" max="9" width="9.44140625" customWidth="1"/>
    <col min="10" max="10" width="9.109375" customWidth="1"/>
    <col min="19" max="19" width="17.109375" customWidth="1"/>
    <col min="22" max="22" width="16.88671875" customWidth="1"/>
  </cols>
  <sheetData>
    <row r="2" spans="1:23" ht="15" customHeight="1" x14ac:dyDescent="0.3">
      <c r="A2" s="285" t="s">
        <v>299</v>
      </c>
      <c r="B2" s="285"/>
      <c r="C2" s="285"/>
      <c r="D2" s="285"/>
      <c r="E2" s="285"/>
      <c r="F2" s="285"/>
      <c r="G2" s="285"/>
      <c r="H2" s="285"/>
      <c r="I2" s="285"/>
      <c r="K2" s="285" t="s">
        <v>300</v>
      </c>
      <c r="L2" s="285"/>
      <c r="M2" s="285"/>
      <c r="N2" s="285"/>
      <c r="O2" s="285"/>
      <c r="P2" s="285"/>
      <c r="Q2" s="285"/>
      <c r="R2" s="285"/>
      <c r="S2" s="285"/>
      <c r="U2" s="285" t="s">
        <v>301</v>
      </c>
      <c r="V2" s="285"/>
      <c r="W2" s="285"/>
    </row>
    <row r="4" spans="1:23" ht="39" customHeight="1" x14ac:dyDescent="0.3">
      <c r="C4" s="285" t="s">
        <v>302</v>
      </c>
      <c r="D4" s="285"/>
      <c r="E4" s="285"/>
      <c r="F4" s="67" t="s">
        <v>510</v>
      </c>
      <c r="I4" s="68" t="s">
        <v>304</v>
      </c>
      <c r="M4" s="285" t="s">
        <v>302</v>
      </c>
      <c r="N4" s="285"/>
      <c r="O4" s="285"/>
      <c r="P4" s="67" t="s">
        <v>303</v>
      </c>
      <c r="S4" s="68" t="s">
        <v>305</v>
      </c>
      <c r="U4" s="69" t="s">
        <v>306</v>
      </c>
      <c r="V4" s="69" t="s">
        <v>307</v>
      </c>
      <c r="W4" s="70" t="s">
        <v>308</v>
      </c>
    </row>
    <row r="5" spans="1:23" ht="23.25" customHeight="1" thickBot="1" x14ac:dyDescent="0.35">
      <c r="B5" s="69" t="s">
        <v>247</v>
      </c>
      <c r="C5" s="69" t="s">
        <v>309</v>
      </c>
      <c r="D5" s="71" t="s">
        <v>310</v>
      </c>
      <c r="E5" s="71" t="s">
        <v>311</v>
      </c>
      <c r="F5" s="70" t="s">
        <v>312</v>
      </c>
      <c r="H5" s="72" t="str">
        <f>D5</f>
        <v xml:space="preserve">Low </v>
      </c>
      <c r="I5" s="20" t="s">
        <v>313</v>
      </c>
      <c r="L5" s="69" t="s">
        <v>247</v>
      </c>
      <c r="M5" s="69" t="s">
        <v>309</v>
      </c>
      <c r="N5" s="71" t="s">
        <v>310</v>
      </c>
      <c r="O5" s="71" t="s">
        <v>311</v>
      </c>
      <c r="P5" s="70" t="s">
        <v>312</v>
      </c>
      <c r="R5" s="72" t="str">
        <f>N5</f>
        <v xml:space="preserve">Low </v>
      </c>
      <c r="S5" s="20" t="s">
        <v>314</v>
      </c>
      <c r="U5" s="1" t="s">
        <v>315</v>
      </c>
      <c r="V5" s="73">
        <v>0.01</v>
      </c>
      <c r="W5" s="288">
        <f>0.67*10^-6</f>
        <v>6.7000000000000004E-7</v>
      </c>
    </row>
    <row r="6" spans="1:23" ht="24" customHeight="1" thickBot="1" x14ac:dyDescent="0.4">
      <c r="A6" s="289" t="s">
        <v>316</v>
      </c>
      <c r="B6" s="174" t="s">
        <v>511</v>
      </c>
      <c r="C6" s="1">
        <v>5.9</v>
      </c>
      <c r="D6" s="1">
        <v>5.0000000000000001E-3</v>
      </c>
      <c r="E6" s="1">
        <v>12.3</v>
      </c>
      <c r="F6" s="180">
        <f>1.84*10^-6/1000</f>
        <v>1.8400000000000001E-9</v>
      </c>
      <c r="H6" s="72" t="str">
        <f>C5</f>
        <v xml:space="preserve">Average </v>
      </c>
      <c r="I6" s="20" t="s">
        <v>318</v>
      </c>
      <c r="K6" s="292" t="s">
        <v>316</v>
      </c>
      <c r="L6" s="74" t="s">
        <v>321</v>
      </c>
      <c r="M6" s="20">
        <v>0.44</v>
      </c>
      <c r="N6" s="20">
        <v>0.01</v>
      </c>
      <c r="O6" s="20">
        <v>0.94</v>
      </c>
      <c r="P6" s="20">
        <f>1.84*10^-6</f>
        <v>1.84E-6</v>
      </c>
      <c r="R6" s="72" t="str">
        <f>M5</f>
        <v xml:space="preserve">Average </v>
      </c>
      <c r="S6" s="20" t="s">
        <v>319</v>
      </c>
      <c r="U6" s="1" t="s">
        <v>320</v>
      </c>
      <c r="V6" s="73">
        <v>0.03</v>
      </c>
      <c r="W6" s="288"/>
    </row>
    <row r="7" spans="1:23" ht="23.25" customHeight="1" thickBot="1" x14ac:dyDescent="0.4">
      <c r="A7" s="290"/>
      <c r="B7" s="177" t="s">
        <v>317</v>
      </c>
      <c r="C7" s="279">
        <v>6.77</v>
      </c>
      <c r="D7" s="178">
        <v>10</v>
      </c>
      <c r="E7" s="178">
        <v>25</v>
      </c>
      <c r="F7" s="179">
        <f>0.67*10^-6/1000</f>
        <v>6.7000000000000006E-10</v>
      </c>
      <c r="H7" s="72" t="str">
        <f>E5</f>
        <v>High</v>
      </c>
      <c r="I7" s="20" t="s">
        <v>322</v>
      </c>
      <c r="K7" s="293"/>
      <c r="L7" s="74" t="s">
        <v>317</v>
      </c>
      <c r="M7" s="75">
        <v>1.2</v>
      </c>
      <c r="N7" s="20">
        <v>0.3</v>
      </c>
      <c r="O7" s="20">
        <v>2</v>
      </c>
      <c r="P7" s="20">
        <f>0.67*10^-6</f>
        <v>6.7000000000000004E-7</v>
      </c>
      <c r="R7" s="72" t="str">
        <f>O5</f>
        <v>High</v>
      </c>
      <c r="S7" s="20" t="s">
        <v>323</v>
      </c>
      <c r="U7" s="1" t="s">
        <v>324</v>
      </c>
      <c r="V7" s="73">
        <v>0.05</v>
      </c>
      <c r="W7" s="288"/>
    </row>
    <row r="8" spans="1:23" ht="23.25" customHeight="1" thickBot="1" x14ac:dyDescent="0.35">
      <c r="A8" s="291"/>
      <c r="B8" s="181" t="s">
        <v>5</v>
      </c>
      <c r="C8" s="151">
        <v>0</v>
      </c>
      <c r="D8" s="151">
        <v>0</v>
      </c>
      <c r="E8" s="151">
        <v>0</v>
      </c>
      <c r="F8" s="152">
        <v>0</v>
      </c>
      <c r="H8" s="175"/>
      <c r="K8" s="293"/>
      <c r="L8" s="181" t="s">
        <v>5</v>
      </c>
      <c r="M8" s="151">
        <v>0</v>
      </c>
      <c r="N8" s="151">
        <v>0</v>
      </c>
      <c r="O8" s="151">
        <v>0</v>
      </c>
      <c r="P8" s="152">
        <v>0</v>
      </c>
      <c r="R8" s="175"/>
      <c r="U8" s="144"/>
      <c r="V8" s="176"/>
      <c r="W8" s="144"/>
    </row>
    <row r="9" spans="1:23" ht="23.25" customHeight="1" thickBot="1" x14ac:dyDescent="0.35"/>
    <row r="10" spans="1:23" ht="37.5" customHeight="1" thickBot="1" x14ac:dyDescent="0.35">
      <c r="B10" s="285" t="s">
        <v>302</v>
      </c>
      <c r="C10" s="285"/>
      <c r="D10" s="285"/>
      <c r="E10" s="67" t="s">
        <v>303</v>
      </c>
      <c r="M10" s="285" t="s">
        <v>302</v>
      </c>
      <c r="N10" s="285"/>
      <c r="O10" s="285"/>
      <c r="P10" s="67" t="s">
        <v>303</v>
      </c>
    </row>
    <row r="11" spans="1:23" ht="23.25" customHeight="1" x14ac:dyDescent="0.3">
      <c r="B11" s="285" t="s">
        <v>325</v>
      </c>
      <c r="C11" s="285"/>
      <c r="D11" s="285"/>
      <c r="E11" s="285"/>
      <c r="L11" s="69" t="s">
        <v>247</v>
      </c>
      <c r="M11" s="69" t="s">
        <v>309</v>
      </c>
      <c r="N11" s="71" t="s">
        <v>310</v>
      </c>
      <c r="O11" s="71" t="s">
        <v>311</v>
      </c>
      <c r="P11" s="70" t="s">
        <v>312</v>
      </c>
    </row>
    <row r="12" spans="1:23" ht="23.25" customHeight="1" x14ac:dyDescent="0.35">
      <c r="B12" s="69" t="s">
        <v>309</v>
      </c>
      <c r="C12" s="71" t="s">
        <v>310</v>
      </c>
      <c r="D12" s="71" t="s">
        <v>311</v>
      </c>
      <c r="E12" s="70" t="s">
        <v>312</v>
      </c>
      <c r="K12" s="24" t="s">
        <v>326</v>
      </c>
      <c r="L12" s="74" t="s">
        <v>317</v>
      </c>
      <c r="M12" s="75">
        <v>0.1</v>
      </c>
      <c r="N12" s="20">
        <v>0</v>
      </c>
      <c r="O12" s="20">
        <v>0.2</v>
      </c>
      <c r="P12" s="20">
        <f>0.67*10^-6</f>
        <v>6.7000000000000004E-7</v>
      </c>
    </row>
    <row r="13" spans="1:23" ht="23.25" customHeight="1" x14ac:dyDescent="0.3">
      <c r="A13" s="76" t="s">
        <v>326</v>
      </c>
      <c r="B13" s="1">
        <v>2.5</v>
      </c>
      <c r="C13" s="1">
        <v>0.9</v>
      </c>
      <c r="D13" s="1">
        <v>4</v>
      </c>
      <c r="E13" s="1">
        <f>0.67*10^-6</f>
        <v>6.7000000000000004E-7</v>
      </c>
    </row>
    <row r="15" spans="1:23" x14ac:dyDescent="0.3">
      <c r="A15" s="285" t="s">
        <v>327</v>
      </c>
      <c r="B15" s="285"/>
      <c r="C15" s="285"/>
      <c r="D15" s="285"/>
      <c r="E15" s="285"/>
      <c r="F15" s="285"/>
      <c r="G15" s="285"/>
      <c r="H15" s="285"/>
      <c r="I15" s="285"/>
    </row>
    <row r="17" spans="1:9" ht="36" customHeight="1" x14ac:dyDescent="0.3">
      <c r="A17" s="286" t="s">
        <v>328</v>
      </c>
      <c r="B17" s="286"/>
      <c r="C17" s="286"/>
    </row>
    <row r="18" spans="1:9" ht="31.5" customHeight="1" x14ac:dyDescent="0.3">
      <c r="A18" s="77" t="s">
        <v>329</v>
      </c>
      <c r="B18" s="78" t="s">
        <v>330</v>
      </c>
      <c r="C18" s="79" t="s">
        <v>311</v>
      </c>
    </row>
    <row r="19" spans="1:9" ht="15.6" x14ac:dyDescent="0.3">
      <c r="A19" s="80" t="s">
        <v>331</v>
      </c>
      <c r="B19" s="81">
        <v>0</v>
      </c>
      <c r="C19" s="82">
        <v>0.1</v>
      </c>
    </row>
    <row r="20" spans="1:9" ht="15.6" x14ac:dyDescent="0.3">
      <c r="A20" s="83" t="s">
        <v>332</v>
      </c>
      <c r="B20" s="84">
        <v>0.03</v>
      </c>
      <c r="C20" s="85">
        <v>0.5</v>
      </c>
    </row>
    <row r="21" spans="1:9" ht="15.6" x14ac:dyDescent="0.3">
      <c r="A21" s="83" t="s">
        <v>333</v>
      </c>
      <c r="B21" s="84">
        <v>0.05</v>
      </c>
      <c r="C21" s="85">
        <v>0.75</v>
      </c>
    </row>
    <row r="22" spans="1:9" ht="15.6" x14ac:dyDescent="0.3">
      <c r="A22" s="83" t="s">
        <v>334</v>
      </c>
      <c r="B22" s="84">
        <v>0.08</v>
      </c>
      <c r="C22" s="85">
        <v>1</v>
      </c>
    </row>
    <row r="23" spans="1:9" ht="31.2" x14ac:dyDescent="0.3">
      <c r="A23" s="86" t="s">
        <v>335</v>
      </c>
      <c r="B23" s="84">
        <v>0.09</v>
      </c>
      <c r="C23" s="85">
        <v>1</v>
      </c>
    </row>
    <row r="25" spans="1:9" ht="36" customHeight="1" x14ac:dyDescent="0.3">
      <c r="A25" s="287" t="s">
        <v>336</v>
      </c>
      <c r="B25" s="287"/>
      <c r="C25" s="287"/>
      <c r="D25" s="287"/>
      <c r="E25" s="287"/>
      <c r="F25" s="287"/>
      <c r="G25" s="287"/>
      <c r="I25" s="87" t="s">
        <v>337</v>
      </c>
    </row>
    <row r="26" spans="1:9" ht="31.2" x14ac:dyDescent="0.3">
      <c r="A26" s="88" t="s">
        <v>338</v>
      </c>
      <c r="B26" s="89" t="s">
        <v>339</v>
      </c>
      <c r="C26" s="89" t="s">
        <v>340</v>
      </c>
      <c r="D26" s="89" t="s">
        <v>341</v>
      </c>
      <c r="E26" s="89" t="s">
        <v>342</v>
      </c>
      <c r="F26" s="89" t="s">
        <v>343</v>
      </c>
      <c r="G26" s="90" t="s">
        <v>344</v>
      </c>
      <c r="I26" s="91">
        <v>2025</v>
      </c>
    </row>
    <row r="27" spans="1:9" x14ac:dyDescent="0.3">
      <c r="A27" s="92">
        <v>1990</v>
      </c>
      <c r="B27" s="93">
        <v>0.28100000000000003</v>
      </c>
      <c r="C27" s="93">
        <v>0.34300000000000003</v>
      </c>
      <c r="D27" s="93">
        <v>0.47799999999999998</v>
      </c>
      <c r="E27" s="93">
        <v>1.5609999999999999</v>
      </c>
      <c r="F27" s="93" t="s">
        <v>228</v>
      </c>
      <c r="G27" s="94" t="s">
        <v>228</v>
      </c>
    </row>
    <row r="28" spans="1:9" x14ac:dyDescent="0.3">
      <c r="A28" s="95">
        <v>1991</v>
      </c>
      <c r="B28" s="20">
        <v>0.27900000000000003</v>
      </c>
      <c r="C28" s="20">
        <v>0.34</v>
      </c>
      <c r="D28" s="20">
        <v>0.46899999999999997</v>
      </c>
      <c r="E28" s="20">
        <v>1.3340000000000001</v>
      </c>
      <c r="F28" s="20" t="s">
        <v>228</v>
      </c>
      <c r="G28" s="96" t="s">
        <v>228</v>
      </c>
    </row>
    <row r="29" spans="1:9" x14ac:dyDescent="0.3">
      <c r="A29" s="95">
        <v>1992</v>
      </c>
      <c r="B29" s="20">
        <v>0.27700000000000002</v>
      </c>
      <c r="C29" s="20">
        <v>0.33600000000000002</v>
      </c>
      <c r="D29" s="20">
        <v>0.46100000000000002</v>
      </c>
      <c r="E29" s="20">
        <v>1.1830000000000001</v>
      </c>
      <c r="F29" s="20" t="s">
        <v>228</v>
      </c>
      <c r="G29" s="94" t="s">
        <v>228</v>
      </c>
    </row>
    <row r="30" spans="1:9" x14ac:dyDescent="0.3">
      <c r="A30" s="95">
        <v>1993</v>
      </c>
      <c r="B30" s="20">
        <v>0.27500000000000002</v>
      </c>
      <c r="C30" s="20">
        <v>0.33300000000000002</v>
      </c>
      <c r="D30" s="20">
        <v>0.45300000000000001</v>
      </c>
      <c r="E30" s="20">
        <v>1.0720000000000001</v>
      </c>
      <c r="F30" s="93" t="s">
        <v>228</v>
      </c>
      <c r="G30" s="96" t="s">
        <v>228</v>
      </c>
    </row>
    <row r="31" spans="1:9" x14ac:dyDescent="0.3">
      <c r="A31" s="95">
        <v>1994</v>
      </c>
      <c r="B31" s="20">
        <v>0.27300000000000002</v>
      </c>
      <c r="C31" s="20">
        <v>0.33</v>
      </c>
      <c r="D31" s="20">
        <v>0.44600000000000001</v>
      </c>
      <c r="E31" s="20">
        <v>0.98799999999999999</v>
      </c>
      <c r="F31" s="20" t="s">
        <v>228</v>
      </c>
      <c r="G31" s="94" t="s">
        <v>228</v>
      </c>
    </row>
    <row r="32" spans="1:9" x14ac:dyDescent="0.3">
      <c r="A32" s="95">
        <v>1995</v>
      </c>
      <c r="B32" s="20">
        <v>0.27200000000000002</v>
      </c>
      <c r="C32" s="20">
        <v>0.32700000000000001</v>
      </c>
      <c r="D32" s="20">
        <v>0.439</v>
      </c>
      <c r="E32" s="20">
        <v>0.92100000000000004</v>
      </c>
      <c r="F32" s="20" t="s">
        <v>228</v>
      </c>
      <c r="G32" s="96" t="s">
        <v>228</v>
      </c>
    </row>
    <row r="33" spans="1:7" x14ac:dyDescent="0.3">
      <c r="A33" s="95">
        <v>1996</v>
      </c>
      <c r="B33" s="20">
        <v>0.27</v>
      </c>
      <c r="C33" s="20">
        <v>0.32400000000000001</v>
      </c>
      <c r="D33" s="20">
        <v>0.432</v>
      </c>
      <c r="E33" s="20">
        <v>0.86499999999999999</v>
      </c>
      <c r="F33" s="93" t="s">
        <v>228</v>
      </c>
      <c r="G33" s="94" t="s">
        <v>228</v>
      </c>
    </row>
    <row r="34" spans="1:7" x14ac:dyDescent="0.3">
      <c r="A34" s="95">
        <v>1997</v>
      </c>
      <c r="B34" s="20">
        <v>0.26800000000000002</v>
      </c>
      <c r="C34" s="20">
        <v>0.32200000000000001</v>
      </c>
      <c r="D34" s="20">
        <v>0.42499999999999999</v>
      </c>
      <c r="E34" s="20">
        <v>0.81799999999999995</v>
      </c>
      <c r="F34" s="20" t="s">
        <v>228</v>
      </c>
      <c r="G34" s="96" t="s">
        <v>228</v>
      </c>
    </row>
    <row r="35" spans="1:7" x14ac:dyDescent="0.3">
      <c r="A35" s="95">
        <v>1998</v>
      </c>
      <c r="B35" s="20">
        <v>0.26700000000000002</v>
      </c>
      <c r="C35" s="20">
        <v>0.31900000000000001</v>
      </c>
      <c r="D35" s="20">
        <v>0.41899999999999998</v>
      </c>
      <c r="E35" s="20">
        <v>0.77800000000000002</v>
      </c>
      <c r="F35" s="20" t="s">
        <v>228</v>
      </c>
      <c r="G35" s="94" t="s">
        <v>228</v>
      </c>
    </row>
    <row r="36" spans="1:7" x14ac:dyDescent="0.3">
      <c r="A36" s="95">
        <v>1999</v>
      </c>
      <c r="B36" s="20">
        <v>0.26500000000000001</v>
      </c>
      <c r="C36" s="20">
        <v>0.316</v>
      </c>
      <c r="D36" s="20">
        <v>0.41299999999999998</v>
      </c>
      <c r="E36" s="20">
        <v>0.74299999999999999</v>
      </c>
      <c r="F36" s="93" t="s">
        <v>228</v>
      </c>
      <c r="G36" s="96" t="s">
        <v>228</v>
      </c>
    </row>
    <row r="37" spans="1:7" x14ac:dyDescent="0.3">
      <c r="A37" s="95">
        <v>2000</v>
      </c>
      <c r="B37" s="20">
        <v>0.26400000000000001</v>
      </c>
      <c r="C37" s="20">
        <v>0.314</v>
      </c>
      <c r="D37" s="20">
        <v>0.40799999999999997</v>
      </c>
      <c r="E37" s="20">
        <v>0.71299999999999997</v>
      </c>
      <c r="F37" s="20" t="s">
        <v>228</v>
      </c>
      <c r="G37" s="94" t="s">
        <v>228</v>
      </c>
    </row>
    <row r="38" spans="1:7" x14ac:dyDescent="0.3">
      <c r="A38" s="95">
        <v>2001</v>
      </c>
      <c r="B38" s="20">
        <v>0.26200000000000001</v>
      </c>
      <c r="C38" s="20">
        <v>0.311</v>
      </c>
      <c r="D38" s="20">
        <v>0.40200000000000002</v>
      </c>
      <c r="E38" s="20">
        <v>0.68600000000000005</v>
      </c>
      <c r="F38" s="20">
        <v>5.7350000000000003</v>
      </c>
      <c r="G38" s="96" t="s">
        <v>228</v>
      </c>
    </row>
    <row r="39" spans="1:7" x14ac:dyDescent="0.3">
      <c r="A39" s="95">
        <v>2002</v>
      </c>
      <c r="B39" s="20">
        <v>0.26100000000000001</v>
      </c>
      <c r="C39" s="20">
        <v>0.308</v>
      </c>
      <c r="D39" s="20">
        <v>0.39700000000000002</v>
      </c>
      <c r="E39" s="20">
        <v>0.66100000000000003</v>
      </c>
      <c r="F39" s="20">
        <v>2.3969999999999998</v>
      </c>
      <c r="G39" s="94" t="s">
        <v>228</v>
      </c>
    </row>
    <row r="40" spans="1:7" x14ac:dyDescent="0.3">
      <c r="A40" s="95">
        <v>2003</v>
      </c>
      <c r="B40" s="20">
        <v>0.25900000000000001</v>
      </c>
      <c r="C40" s="20">
        <v>0.30599999999999999</v>
      </c>
      <c r="D40" s="20">
        <v>0.39200000000000002</v>
      </c>
      <c r="E40" s="20">
        <v>0.63900000000000001</v>
      </c>
      <c r="F40" s="20">
        <v>1.762</v>
      </c>
      <c r="G40" s="96" t="s">
        <v>228</v>
      </c>
    </row>
    <row r="41" spans="1:7" x14ac:dyDescent="0.3">
      <c r="A41" s="95">
        <v>2004</v>
      </c>
      <c r="B41" s="20">
        <v>0.25800000000000001</v>
      </c>
      <c r="C41" s="20">
        <v>0.30399999999999999</v>
      </c>
      <c r="D41" s="20">
        <v>0.38700000000000001</v>
      </c>
      <c r="E41" s="20">
        <v>0.62</v>
      </c>
      <c r="F41" s="20">
        <v>1.454</v>
      </c>
      <c r="G41" s="94" t="s">
        <v>228</v>
      </c>
    </row>
    <row r="42" spans="1:7" x14ac:dyDescent="0.3">
      <c r="A42" s="95">
        <v>2005</v>
      </c>
      <c r="B42" s="20">
        <v>0.25600000000000001</v>
      </c>
      <c r="C42" s="20">
        <v>0.30099999999999999</v>
      </c>
      <c r="D42" s="20">
        <v>0.38200000000000001</v>
      </c>
      <c r="E42" s="20">
        <v>0.60099999999999998</v>
      </c>
      <c r="F42" s="20">
        <v>1.2649999999999999</v>
      </c>
      <c r="G42" s="96" t="s">
        <v>228</v>
      </c>
    </row>
    <row r="43" spans="1:7" x14ac:dyDescent="0.3">
      <c r="A43" s="95">
        <v>2006</v>
      </c>
      <c r="B43" s="20">
        <v>0.255</v>
      </c>
      <c r="C43" s="20">
        <v>0.29899999999999999</v>
      </c>
      <c r="D43" s="20">
        <v>0.378</v>
      </c>
      <c r="E43" s="20">
        <v>0.58499999999999996</v>
      </c>
      <c r="F43" s="20">
        <v>1.133</v>
      </c>
      <c r="G43" s="94" t="s">
        <v>228</v>
      </c>
    </row>
    <row r="44" spans="1:7" x14ac:dyDescent="0.3">
      <c r="A44" s="95">
        <v>2007</v>
      </c>
      <c r="B44" s="20">
        <v>0.253</v>
      </c>
      <c r="C44" s="20">
        <v>0.29699999999999999</v>
      </c>
      <c r="D44" s="20">
        <v>0.373</v>
      </c>
      <c r="E44" s="20">
        <v>0.56899999999999995</v>
      </c>
      <c r="F44" s="20">
        <v>1.0349999999999999</v>
      </c>
      <c r="G44" s="96" t="s">
        <v>228</v>
      </c>
    </row>
    <row r="45" spans="1:7" x14ac:dyDescent="0.3">
      <c r="A45" s="95">
        <v>2008</v>
      </c>
      <c r="B45" s="20">
        <v>0.252</v>
      </c>
      <c r="C45" s="20">
        <v>0.29499999999999998</v>
      </c>
      <c r="D45" s="20">
        <v>0.36899999999999999</v>
      </c>
      <c r="E45" s="20">
        <v>0.55500000000000005</v>
      </c>
      <c r="F45" s="20">
        <v>0.95899999999999996</v>
      </c>
      <c r="G45" s="94" t="s">
        <v>228</v>
      </c>
    </row>
    <row r="46" spans="1:7" x14ac:dyDescent="0.3">
      <c r="A46" s="95">
        <v>2009</v>
      </c>
      <c r="B46" s="20">
        <v>0.251</v>
      </c>
      <c r="C46" s="20">
        <v>0.29299999999999998</v>
      </c>
      <c r="D46" s="20">
        <v>0.36499999999999999</v>
      </c>
      <c r="E46" s="20">
        <v>0.54200000000000004</v>
      </c>
      <c r="F46" s="20">
        <v>0.89600000000000002</v>
      </c>
      <c r="G46" s="96" t="s">
        <v>228</v>
      </c>
    </row>
    <row r="47" spans="1:7" x14ac:dyDescent="0.3">
      <c r="A47" s="95">
        <v>2010</v>
      </c>
      <c r="B47" s="20">
        <v>0.249</v>
      </c>
      <c r="C47" s="20">
        <v>0.28999999999999998</v>
      </c>
      <c r="D47" s="20">
        <v>0.36099999999999999</v>
      </c>
      <c r="E47" s="20">
        <v>0.52900000000000003</v>
      </c>
      <c r="F47" s="20">
        <v>0.84499999999999997</v>
      </c>
      <c r="G47" s="94" t="s">
        <v>228</v>
      </c>
    </row>
    <row r="48" spans="1:7" x14ac:dyDescent="0.3">
      <c r="A48" s="95">
        <v>2011</v>
      </c>
      <c r="B48" s="20">
        <v>0.248</v>
      </c>
      <c r="C48" s="20">
        <v>0.28799999999999998</v>
      </c>
      <c r="D48" s="20">
        <v>0.35699999999999998</v>
      </c>
      <c r="E48" s="20">
        <v>0.51800000000000002</v>
      </c>
      <c r="F48" s="20">
        <v>0.80100000000000005</v>
      </c>
      <c r="G48" s="96" t="s">
        <v>228</v>
      </c>
    </row>
    <row r="49" spans="1:7" x14ac:dyDescent="0.3">
      <c r="A49" s="95">
        <v>2012</v>
      </c>
      <c r="B49" s="20">
        <v>0.247</v>
      </c>
      <c r="C49" s="20">
        <v>0.28599999999999998</v>
      </c>
      <c r="D49" s="20">
        <v>0.35299999999999998</v>
      </c>
      <c r="E49" s="20">
        <v>0.50700000000000001</v>
      </c>
      <c r="F49" s="20">
        <v>0.76300000000000001</v>
      </c>
      <c r="G49" s="94" t="s">
        <v>228</v>
      </c>
    </row>
    <row r="50" spans="1:7" x14ac:dyDescent="0.3">
      <c r="A50" s="95">
        <v>2013</v>
      </c>
      <c r="B50" s="20">
        <v>0.246</v>
      </c>
      <c r="C50" s="20">
        <v>0.28399999999999997</v>
      </c>
      <c r="D50" s="20">
        <v>0.35</v>
      </c>
      <c r="E50" s="20">
        <v>0.496</v>
      </c>
      <c r="F50" s="20">
        <v>0.73</v>
      </c>
      <c r="G50" s="96" t="s">
        <v>228</v>
      </c>
    </row>
    <row r="51" spans="1:7" x14ac:dyDescent="0.3">
      <c r="A51" s="95">
        <v>2014</v>
      </c>
      <c r="B51" s="20">
        <v>0.24399999999999999</v>
      </c>
      <c r="C51" s="20">
        <v>0.28299999999999997</v>
      </c>
      <c r="D51" s="20">
        <v>0.34599999999999997</v>
      </c>
      <c r="E51" s="20">
        <v>0.48699999999999999</v>
      </c>
      <c r="F51" s="20">
        <v>0.70099999999999996</v>
      </c>
      <c r="G51" s="94" t="s">
        <v>228</v>
      </c>
    </row>
    <row r="52" spans="1:7" x14ac:dyDescent="0.3">
      <c r="A52" s="95">
        <v>2015</v>
      </c>
      <c r="B52" s="20">
        <v>0.24299999999999999</v>
      </c>
      <c r="C52" s="20">
        <v>0.28100000000000003</v>
      </c>
      <c r="D52" s="20">
        <v>0.34300000000000003</v>
      </c>
      <c r="E52" s="20">
        <v>0.47799999999999998</v>
      </c>
      <c r="F52" s="20">
        <v>0.67500000000000004</v>
      </c>
      <c r="G52" s="96" t="s">
        <v>228</v>
      </c>
    </row>
    <row r="53" spans="1:7" x14ac:dyDescent="0.3">
      <c r="A53" s="95">
        <v>2016</v>
      </c>
      <c r="B53" s="20">
        <v>0.24199999999999999</v>
      </c>
      <c r="C53" s="20">
        <v>0.27900000000000003</v>
      </c>
      <c r="D53" s="20">
        <v>0.34</v>
      </c>
      <c r="E53" s="20">
        <v>0.46899999999999997</v>
      </c>
      <c r="F53" s="20">
        <v>0.65200000000000002</v>
      </c>
      <c r="G53" s="94" t="s">
        <v>228</v>
      </c>
    </row>
    <row r="54" spans="1:7" x14ac:dyDescent="0.3">
      <c r="A54" s="95">
        <v>2017</v>
      </c>
      <c r="B54" s="20">
        <v>0.24099999999999999</v>
      </c>
      <c r="C54" s="20">
        <v>0.27700000000000002</v>
      </c>
      <c r="D54" s="20">
        <v>0.33600000000000002</v>
      </c>
      <c r="E54" s="20">
        <v>0.439</v>
      </c>
      <c r="F54" s="20">
        <v>0.625</v>
      </c>
      <c r="G54" s="96" t="s">
        <v>228</v>
      </c>
    </row>
    <row r="55" spans="1:7" x14ac:dyDescent="0.3">
      <c r="A55" s="95">
        <v>2018</v>
      </c>
      <c r="B55" s="20">
        <v>0.23899999999999999</v>
      </c>
      <c r="C55" s="20">
        <v>0.27500000000000002</v>
      </c>
      <c r="D55" s="20">
        <v>0.33300000000000002</v>
      </c>
      <c r="E55" s="20">
        <v>0.432</v>
      </c>
      <c r="F55" s="20">
        <v>0.60399999999999998</v>
      </c>
      <c r="G55" s="94" t="s">
        <v>228</v>
      </c>
    </row>
    <row r="56" spans="1:7" x14ac:dyDescent="0.3">
      <c r="A56" s="95">
        <v>2019</v>
      </c>
      <c r="B56" s="20">
        <v>0.23799999999999999</v>
      </c>
      <c r="C56" s="20">
        <v>0.27300000000000002</v>
      </c>
      <c r="D56" s="20">
        <v>0.33</v>
      </c>
      <c r="E56" s="20">
        <v>0.42499999999999999</v>
      </c>
      <c r="F56" s="20">
        <v>0.58599999999999997</v>
      </c>
      <c r="G56" s="96" t="s">
        <v>228</v>
      </c>
    </row>
    <row r="57" spans="1:7" x14ac:dyDescent="0.3">
      <c r="A57" s="95">
        <v>2020</v>
      </c>
      <c r="B57" s="20">
        <v>0.23699999999999999</v>
      </c>
      <c r="C57" s="20">
        <v>0.27200000000000002</v>
      </c>
      <c r="D57" s="20">
        <v>0.32700000000000001</v>
      </c>
      <c r="E57" s="20">
        <v>0.41899999999999998</v>
      </c>
      <c r="F57" s="20">
        <v>0.56899999999999995</v>
      </c>
      <c r="G57" s="94" t="s">
        <v>228</v>
      </c>
    </row>
    <row r="58" spans="1:7" x14ac:dyDescent="0.3">
      <c r="A58" s="95">
        <v>2021</v>
      </c>
      <c r="B58" s="20">
        <v>0.23599999999999999</v>
      </c>
      <c r="C58" s="20">
        <v>0.27</v>
      </c>
      <c r="D58" s="20">
        <v>0.32400000000000001</v>
      </c>
      <c r="E58" s="20">
        <v>0.41299999999999998</v>
      </c>
      <c r="F58" s="20">
        <v>0.55500000000000005</v>
      </c>
      <c r="G58" s="96" t="s">
        <v>228</v>
      </c>
    </row>
    <row r="59" spans="1:7" x14ac:dyDescent="0.3">
      <c r="A59" s="95">
        <v>2022</v>
      </c>
      <c r="B59" s="20">
        <v>0.23499999999999999</v>
      </c>
      <c r="C59" s="20">
        <v>0.26800000000000002</v>
      </c>
      <c r="D59" s="20">
        <v>0.32200000000000001</v>
      </c>
      <c r="E59" s="20">
        <v>0.40799999999999997</v>
      </c>
      <c r="F59" s="20">
        <v>0.54200000000000004</v>
      </c>
      <c r="G59" s="94" t="s">
        <v>228</v>
      </c>
    </row>
    <row r="60" spans="1:7" x14ac:dyDescent="0.3">
      <c r="A60" s="95">
        <v>2023</v>
      </c>
      <c r="B60" s="20">
        <v>0.23400000000000001</v>
      </c>
      <c r="C60" s="20">
        <v>0.26700000000000002</v>
      </c>
      <c r="D60" s="20">
        <v>0.31900000000000001</v>
      </c>
      <c r="E60" s="20">
        <v>0.40200000000000002</v>
      </c>
      <c r="F60" s="20">
        <v>0.52900000000000003</v>
      </c>
      <c r="G60" s="96" t="s">
        <v>228</v>
      </c>
    </row>
    <row r="61" spans="1:7" x14ac:dyDescent="0.3">
      <c r="A61" s="95">
        <v>2024</v>
      </c>
      <c r="B61" s="20">
        <v>0.23300000000000001</v>
      </c>
      <c r="C61" s="20">
        <v>0.26500000000000001</v>
      </c>
      <c r="D61" s="20">
        <v>0.316</v>
      </c>
      <c r="E61" s="20">
        <v>0.39700000000000002</v>
      </c>
      <c r="F61" s="20">
        <v>0.51800000000000002</v>
      </c>
      <c r="G61" s="94" t="s">
        <v>228</v>
      </c>
    </row>
    <row r="62" spans="1:7" x14ac:dyDescent="0.3">
      <c r="A62" s="95">
        <v>2025</v>
      </c>
      <c r="B62" s="20">
        <v>0.23200000000000001</v>
      </c>
      <c r="C62" s="20">
        <v>0.26400000000000001</v>
      </c>
      <c r="D62" s="20">
        <v>0.314</v>
      </c>
      <c r="E62" s="20">
        <v>0.39200000000000002</v>
      </c>
      <c r="F62" s="20">
        <v>0.50700000000000001</v>
      </c>
      <c r="G62" s="96" t="s">
        <v>228</v>
      </c>
    </row>
    <row r="63" spans="1:7" x14ac:dyDescent="0.3">
      <c r="A63" s="95">
        <v>2026</v>
      </c>
      <c r="B63" s="20">
        <v>2.3E-2</v>
      </c>
      <c r="C63" s="20">
        <v>0.26200000000000001</v>
      </c>
      <c r="D63" s="20">
        <v>0.311</v>
      </c>
      <c r="E63" s="20">
        <v>0.38700000000000001</v>
      </c>
      <c r="F63" s="20">
        <v>0.496</v>
      </c>
      <c r="G63" s="96">
        <v>5.7350000000000003</v>
      </c>
    </row>
    <row r="64" spans="1:7" x14ac:dyDescent="0.3">
      <c r="A64" s="95">
        <v>2027</v>
      </c>
      <c r="B64" s="20">
        <v>0.22900000000000001</v>
      </c>
      <c r="C64" s="20">
        <v>0.26100000000000001</v>
      </c>
      <c r="D64" s="20">
        <v>0.308</v>
      </c>
      <c r="E64" s="20">
        <v>0.38200000000000001</v>
      </c>
      <c r="F64" s="20">
        <v>0.48699999999999999</v>
      </c>
      <c r="G64" s="96">
        <v>2.3969999999999998</v>
      </c>
    </row>
    <row r="65" spans="1:7" x14ac:dyDescent="0.3">
      <c r="A65" s="95">
        <v>2028</v>
      </c>
      <c r="B65" s="20">
        <v>0.22800000000000001</v>
      </c>
      <c r="C65" s="20">
        <v>0.25900000000000001</v>
      </c>
      <c r="D65" s="20">
        <v>0.30599999999999999</v>
      </c>
      <c r="E65" s="20">
        <v>0.378</v>
      </c>
      <c r="F65" s="20">
        <v>0.47799999999999998</v>
      </c>
      <c r="G65" s="96">
        <v>1.762</v>
      </c>
    </row>
    <row r="66" spans="1:7" x14ac:dyDescent="0.3">
      <c r="A66" s="95">
        <v>2029</v>
      </c>
      <c r="B66" s="20">
        <v>0.22700000000000001</v>
      </c>
      <c r="C66" s="20">
        <v>0.25800000000000001</v>
      </c>
      <c r="D66" s="20">
        <v>0.30399999999999999</v>
      </c>
      <c r="E66" s="20">
        <v>0.373</v>
      </c>
      <c r="F66" s="20">
        <v>0.46899999999999997</v>
      </c>
      <c r="G66" s="96">
        <v>1.454</v>
      </c>
    </row>
    <row r="67" spans="1:7" x14ac:dyDescent="0.3">
      <c r="A67" s="95">
        <v>2030</v>
      </c>
      <c r="B67" s="20">
        <v>0.22600000000000001</v>
      </c>
      <c r="C67" s="20">
        <v>0.25600000000000001</v>
      </c>
      <c r="D67" s="20">
        <v>0.30099999999999999</v>
      </c>
      <c r="E67" s="20">
        <v>0.36899999999999999</v>
      </c>
      <c r="F67" s="20">
        <v>0.439</v>
      </c>
      <c r="G67" s="96">
        <v>1.2649999999999999</v>
      </c>
    </row>
    <row r="68" spans="1:7" x14ac:dyDescent="0.3">
      <c r="A68" s="95">
        <v>2031</v>
      </c>
      <c r="B68" s="20">
        <v>0.22500000000000001</v>
      </c>
      <c r="C68" s="20">
        <v>0.255</v>
      </c>
      <c r="D68" s="20">
        <v>0.29899999999999999</v>
      </c>
      <c r="E68" s="20">
        <v>0.36499999999999999</v>
      </c>
      <c r="F68" s="20">
        <v>0.432</v>
      </c>
      <c r="G68" s="96">
        <v>1.133</v>
      </c>
    </row>
    <row r="69" spans="1:7" x14ac:dyDescent="0.3">
      <c r="A69" s="95">
        <v>2032</v>
      </c>
      <c r="B69" s="20">
        <v>0.224</v>
      </c>
      <c r="C69" s="20">
        <v>0.253</v>
      </c>
      <c r="D69" s="20">
        <v>0.29699999999999999</v>
      </c>
      <c r="E69" s="20">
        <v>0.36099999999999999</v>
      </c>
      <c r="F69" s="20">
        <v>0.42499999999999999</v>
      </c>
      <c r="G69" s="96">
        <v>1.0349999999999999</v>
      </c>
    </row>
    <row r="70" spans="1:7" x14ac:dyDescent="0.3">
      <c r="A70" s="95">
        <v>2033</v>
      </c>
      <c r="B70" s="20">
        <v>0.223</v>
      </c>
      <c r="C70" s="20">
        <v>0.252</v>
      </c>
      <c r="D70" s="20">
        <v>0.29499999999999998</v>
      </c>
      <c r="E70" s="20">
        <v>0.35699999999999998</v>
      </c>
      <c r="F70" s="20">
        <v>0.41899999999999998</v>
      </c>
      <c r="G70" s="96">
        <v>0.95899999999999996</v>
      </c>
    </row>
    <row r="71" spans="1:7" x14ac:dyDescent="0.3">
      <c r="A71" s="95">
        <v>2034</v>
      </c>
      <c r="B71" s="20">
        <v>0.223</v>
      </c>
      <c r="C71" s="20">
        <v>0.251</v>
      </c>
      <c r="D71" s="20">
        <v>0.29299999999999998</v>
      </c>
      <c r="E71" s="20">
        <v>0.35299999999999998</v>
      </c>
      <c r="F71" s="20">
        <v>0.41299999999999998</v>
      </c>
      <c r="G71" s="96">
        <v>0.89600000000000002</v>
      </c>
    </row>
    <row r="72" spans="1:7" x14ac:dyDescent="0.3">
      <c r="A72" s="95">
        <v>2035</v>
      </c>
      <c r="B72" s="20">
        <v>0.222</v>
      </c>
      <c r="C72" s="20">
        <v>0.249</v>
      </c>
      <c r="D72" s="20">
        <v>0.28999999999999998</v>
      </c>
      <c r="E72" s="20">
        <v>0.35</v>
      </c>
      <c r="F72" s="20">
        <v>0.40799999999999997</v>
      </c>
      <c r="G72" s="96">
        <v>0.84499999999999997</v>
      </c>
    </row>
    <row r="73" spans="1:7" x14ac:dyDescent="0.3">
      <c r="A73" s="95">
        <v>2036</v>
      </c>
      <c r="B73" s="20">
        <v>0.221</v>
      </c>
      <c r="C73" s="20">
        <v>0.248</v>
      </c>
      <c r="D73" s="20">
        <v>0.28799999999999998</v>
      </c>
      <c r="E73" s="20">
        <v>0.34599999999999997</v>
      </c>
      <c r="F73" s="20">
        <v>0.40200000000000002</v>
      </c>
      <c r="G73" s="96">
        <v>0.80100000000000005</v>
      </c>
    </row>
    <row r="74" spans="1:7" x14ac:dyDescent="0.3">
      <c r="A74" s="95">
        <v>2037</v>
      </c>
      <c r="B74" s="20">
        <v>0.22</v>
      </c>
      <c r="C74" s="20">
        <v>0.247</v>
      </c>
      <c r="D74" s="20">
        <v>0.28599999999999998</v>
      </c>
      <c r="E74" s="20">
        <v>0.34300000000000003</v>
      </c>
      <c r="F74" s="20">
        <v>0.39700000000000002</v>
      </c>
      <c r="G74" s="96">
        <v>0.76300000000000001</v>
      </c>
    </row>
    <row r="75" spans="1:7" x14ac:dyDescent="0.3">
      <c r="A75" s="95">
        <v>2038</v>
      </c>
      <c r="B75" s="20">
        <v>0.219</v>
      </c>
      <c r="C75" s="20">
        <v>0.246</v>
      </c>
      <c r="D75" s="20">
        <v>0.28399999999999997</v>
      </c>
      <c r="E75" s="20">
        <v>0.34</v>
      </c>
      <c r="F75" s="20">
        <v>0.39200000000000002</v>
      </c>
      <c r="G75" s="96">
        <v>0.73</v>
      </c>
    </row>
    <row r="76" spans="1:7" x14ac:dyDescent="0.3">
      <c r="A76" s="95">
        <v>2039</v>
      </c>
      <c r="B76" s="20">
        <v>0.218</v>
      </c>
      <c r="C76" s="20">
        <v>0.24399999999999999</v>
      </c>
      <c r="D76" s="20">
        <v>0.28299999999999997</v>
      </c>
      <c r="E76" s="20">
        <v>0.33600000000000002</v>
      </c>
      <c r="F76" s="20">
        <v>0.38700000000000001</v>
      </c>
      <c r="G76" s="96">
        <v>0.70099999999999996</v>
      </c>
    </row>
    <row r="77" spans="1:7" x14ac:dyDescent="0.3">
      <c r="A77" s="95">
        <v>2040</v>
      </c>
      <c r="B77" s="20">
        <v>0.217</v>
      </c>
      <c r="C77" s="20">
        <v>0.24299999999999999</v>
      </c>
      <c r="D77" s="20">
        <v>0.28100000000000003</v>
      </c>
      <c r="E77" s="20">
        <v>0.33300000000000002</v>
      </c>
      <c r="F77" s="20">
        <v>0.38200000000000001</v>
      </c>
      <c r="G77" s="96">
        <v>0.67500000000000004</v>
      </c>
    </row>
    <row r="78" spans="1:7" x14ac:dyDescent="0.3">
      <c r="A78" s="95">
        <v>2041</v>
      </c>
      <c r="B78" s="20">
        <v>0.216</v>
      </c>
      <c r="C78" s="20">
        <v>0.24199999999999999</v>
      </c>
      <c r="D78" s="20">
        <v>0.27900000000000003</v>
      </c>
      <c r="E78" s="20">
        <v>0.33</v>
      </c>
      <c r="F78" s="20">
        <v>0.378</v>
      </c>
      <c r="G78" s="96">
        <v>0.65200000000000002</v>
      </c>
    </row>
    <row r="79" spans="1:7" x14ac:dyDescent="0.3">
      <c r="A79" s="95">
        <v>2042</v>
      </c>
      <c r="B79" s="20">
        <v>0.215</v>
      </c>
      <c r="C79" s="20">
        <v>0.24099999999999999</v>
      </c>
      <c r="D79" s="20">
        <v>0.27700000000000002</v>
      </c>
      <c r="E79" s="20">
        <v>0.32700000000000001</v>
      </c>
      <c r="F79" s="20">
        <v>0.373</v>
      </c>
      <c r="G79" s="96">
        <v>0.625</v>
      </c>
    </row>
    <row r="80" spans="1:7" x14ac:dyDescent="0.3">
      <c r="A80" s="95">
        <v>2043</v>
      </c>
      <c r="B80" s="20">
        <v>0.214</v>
      </c>
      <c r="C80" s="20">
        <v>0.23899999999999999</v>
      </c>
      <c r="D80" s="20">
        <v>0.27500000000000002</v>
      </c>
      <c r="E80" s="20">
        <v>0.32400000000000001</v>
      </c>
      <c r="F80" s="20">
        <v>0.36899999999999999</v>
      </c>
      <c r="G80" s="96">
        <v>0.60399999999999998</v>
      </c>
    </row>
    <row r="81" spans="1:7" x14ac:dyDescent="0.3">
      <c r="A81" s="95">
        <v>2044</v>
      </c>
      <c r="B81" s="20">
        <v>0.214</v>
      </c>
      <c r="C81" s="20">
        <v>0.23799999999999999</v>
      </c>
      <c r="D81" s="20">
        <v>0.27300000000000002</v>
      </c>
      <c r="E81" s="20">
        <v>0.32200000000000001</v>
      </c>
      <c r="F81" s="20">
        <v>0.36499999999999999</v>
      </c>
      <c r="G81" s="96">
        <v>0.58599999999999997</v>
      </c>
    </row>
    <row r="82" spans="1:7" x14ac:dyDescent="0.3">
      <c r="A82" s="95">
        <v>2045</v>
      </c>
      <c r="B82" s="20">
        <v>0.21299999999999999</v>
      </c>
      <c r="C82" s="20">
        <v>0.23699999999999999</v>
      </c>
      <c r="D82" s="20">
        <v>0.27200000000000002</v>
      </c>
      <c r="E82" s="20">
        <v>0.31900000000000001</v>
      </c>
      <c r="F82" s="20">
        <v>0.36099999999999999</v>
      </c>
      <c r="G82" s="96">
        <v>0.56899999999999995</v>
      </c>
    </row>
    <row r="83" spans="1:7" x14ac:dyDescent="0.3">
      <c r="A83" s="95">
        <v>2046</v>
      </c>
      <c r="B83" s="20">
        <v>0.21199999999999999</v>
      </c>
      <c r="C83" s="20">
        <v>0.23599999999999999</v>
      </c>
      <c r="D83" s="20">
        <v>0.27</v>
      </c>
      <c r="E83" s="20">
        <v>0.316</v>
      </c>
      <c r="F83" s="20">
        <v>0.35699999999999998</v>
      </c>
      <c r="G83" s="96">
        <v>0.55500000000000005</v>
      </c>
    </row>
    <row r="84" spans="1:7" x14ac:dyDescent="0.3">
      <c r="A84" s="95">
        <v>2047</v>
      </c>
      <c r="B84" s="20">
        <v>0.21099999999999999</v>
      </c>
      <c r="C84" s="20">
        <v>0.23499999999999999</v>
      </c>
      <c r="D84" s="20">
        <v>0.26800000000000002</v>
      </c>
      <c r="E84" s="20">
        <v>0.314</v>
      </c>
      <c r="F84" s="20">
        <v>0.35299999999999998</v>
      </c>
      <c r="G84" s="96">
        <v>0.54200000000000004</v>
      </c>
    </row>
    <row r="85" spans="1:7" x14ac:dyDescent="0.3">
      <c r="A85" s="95">
        <v>2048</v>
      </c>
      <c r="B85" s="20">
        <v>0.21</v>
      </c>
      <c r="C85" s="20">
        <v>0.23400000000000001</v>
      </c>
      <c r="D85" s="20">
        <v>0.26700000000000002</v>
      </c>
      <c r="E85" s="20">
        <v>0.311</v>
      </c>
      <c r="F85" s="20">
        <v>0.35</v>
      </c>
      <c r="G85" s="96">
        <v>0.52900000000000003</v>
      </c>
    </row>
    <row r="86" spans="1:7" x14ac:dyDescent="0.3">
      <c r="A86" s="95">
        <v>2049</v>
      </c>
      <c r="B86" s="20">
        <v>0.21</v>
      </c>
      <c r="C86" s="20">
        <v>0.23300000000000001</v>
      </c>
      <c r="D86" s="20">
        <v>0.26500000000000001</v>
      </c>
      <c r="E86" s="20">
        <v>0.308</v>
      </c>
      <c r="F86" s="20">
        <v>0.34599999999999997</v>
      </c>
      <c r="G86" s="96">
        <v>0.51800000000000002</v>
      </c>
    </row>
    <row r="87" spans="1:7" x14ac:dyDescent="0.3">
      <c r="A87" s="97">
        <v>2050</v>
      </c>
      <c r="B87" s="98">
        <v>0.20899999999999999</v>
      </c>
      <c r="C87" s="98">
        <v>0.23200000000000001</v>
      </c>
      <c r="D87" s="98">
        <v>0.26400000000000001</v>
      </c>
      <c r="E87" s="98">
        <v>0.30599999999999999</v>
      </c>
      <c r="F87" s="98">
        <v>0.34300000000000003</v>
      </c>
      <c r="G87" s="99">
        <v>0.50700000000000001</v>
      </c>
    </row>
    <row r="90" spans="1:7" x14ac:dyDescent="0.3">
      <c r="B90" s="100" t="s">
        <v>345</v>
      </c>
      <c r="C90" s="101" t="s">
        <v>346</v>
      </c>
      <c r="D90" s="101" t="s">
        <v>347</v>
      </c>
      <c r="E90" s="101" t="s">
        <v>348</v>
      </c>
      <c r="F90" s="101" t="s">
        <v>349</v>
      </c>
      <c r="G90" s="102" t="s">
        <v>344</v>
      </c>
    </row>
    <row r="91" spans="1:7" ht="64.5" customHeight="1" x14ac:dyDescent="0.3">
      <c r="A91" s="103" t="s">
        <v>350</v>
      </c>
      <c r="B91" s="104">
        <v>20</v>
      </c>
      <c r="C91" s="105">
        <v>15</v>
      </c>
      <c r="D91" s="105">
        <v>10</v>
      </c>
      <c r="E91" s="105">
        <v>5</v>
      </c>
      <c r="F91" s="105">
        <v>1</v>
      </c>
      <c r="G91" s="106"/>
    </row>
    <row r="92" spans="1:7" ht="54" customHeight="1" x14ac:dyDescent="0.3">
      <c r="A92" s="103" t="s">
        <v>351</v>
      </c>
      <c r="B92" s="107">
        <v>0.1</v>
      </c>
      <c r="C92" s="108">
        <v>0.5</v>
      </c>
      <c r="D92" s="108">
        <v>0.75</v>
      </c>
      <c r="E92" s="108">
        <v>1</v>
      </c>
      <c r="F92" s="108">
        <v>1</v>
      </c>
      <c r="G92" s="96"/>
    </row>
    <row r="93" spans="1:7" ht="72" x14ac:dyDescent="0.3">
      <c r="A93" s="103" t="s">
        <v>352</v>
      </c>
      <c r="B93" s="109">
        <f t="array" ref="B93:F93">B62:F62*1000000</f>
        <v>232000</v>
      </c>
      <c r="C93" s="110">
        <v>264000</v>
      </c>
      <c r="D93" s="110">
        <v>314000</v>
      </c>
      <c r="E93" s="110">
        <v>392000</v>
      </c>
      <c r="F93" s="110">
        <v>507000</v>
      </c>
      <c r="G93" s="96"/>
    </row>
    <row r="94" spans="1:7" ht="78" x14ac:dyDescent="0.3">
      <c r="A94" s="111" t="s">
        <v>353</v>
      </c>
      <c r="B94" s="112">
        <f>B91*B92*B93*0.67*10^-6</f>
        <v>0.31087999999999999</v>
      </c>
      <c r="C94" s="113">
        <f>C91*C92*C93*0.67*10^-6</f>
        <v>1.3266</v>
      </c>
      <c r="D94" s="113">
        <f>D91*D92*D93*0.67*10^-6</f>
        <v>1.57785</v>
      </c>
      <c r="E94" s="113">
        <f>E91*E92*E93*0.67*10^-6</f>
        <v>1.3131999999999999</v>
      </c>
      <c r="F94" s="113">
        <f>F91*F92*F93*0.67*10^-6</f>
        <v>0.33968999999999999</v>
      </c>
      <c r="G94" s="114">
        <f>SUM(B94:F94)</f>
        <v>4.86822</v>
      </c>
    </row>
    <row r="95" spans="1:7" ht="24" x14ac:dyDescent="0.3">
      <c r="F95" s="115" t="s">
        <v>354</v>
      </c>
      <c r="G95" s="116">
        <f>G94</f>
        <v>4.86822</v>
      </c>
    </row>
  </sheetData>
  <mergeCells count="14">
    <mergeCell ref="B11:E11"/>
    <mergeCell ref="A15:I15"/>
    <mergeCell ref="A17:C17"/>
    <mergeCell ref="A25:G25"/>
    <mergeCell ref="W5:W7"/>
    <mergeCell ref="B10:D10"/>
    <mergeCell ref="M10:O10"/>
    <mergeCell ref="A6:A8"/>
    <mergeCell ref="K6:K8"/>
    <mergeCell ref="A2:I2"/>
    <mergeCell ref="K2:S2"/>
    <mergeCell ref="U2:W2"/>
    <mergeCell ref="C4:E4"/>
    <mergeCell ref="M4:O4"/>
  </mergeCells>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B59"/>
  <sheetViews>
    <sheetView topLeftCell="E1" zoomScale="85" zoomScaleNormal="85" workbookViewId="0">
      <selection activeCell="L13" sqref="L13"/>
    </sheetView>
  </sheetViews>
  <sheetFormatPr baseColWidth="10" defaultColWidth="11.5546875" defaultRowHeight="15.6" x14ac:dyDescent="0.3"/>
  <cols>
    <col min="1" max="1" width="16" style="34" customWidth="1"/>
    <col min="2" max="2" width="33.109375" style="118" customWidth="1"/>
    <col min="3" max="3" width="28.5546875" style="118" customWidth="1"/>
    <col min="4" max="4" width="24.88671875" style="118" customWidth="1"/>
    <col min="5" max="7" width="23.5546875" style="118" customWidth="1"/>
    <col min="8" max="8" width="15.44140625" style="118" customWidth="1"/>
    <col min="9" max="9" width="11.5546875" style="34"/>
    <col min="10" max="10" width="22.88671875" style="34" customWidth="1"/>
    <col min="11" max="11" width="17" style="34" customWidth="1"/>
    <col min="12" max="17" width="11.5546875" style="34"/>
    <col min="18" max="19" width="12.109375" style="34" customWidth="1"/>
    <col min="20" max="20" width="11.5546875" style="34"/>
    <col min="21" max="21" width="26.88671875" style="118" customWidth="1"/>
    <col min="22" max="22" width="17.88671875" style="118" customWidth="1"/>
    <col min="23" max="23" width="36.5546875" style="118" customWidth="1"/>
    <col min="24" max="24" width="23" style="118" customWidth="1"/>
    <col min="25" max="25" width="19.5546875" style="118" customWidth="1"/>
    <col min="26" max="28" width="12.33203125" style="118" customWidth="1"/>
    <col min="29" max="29" width="47.88671875" style="34" customWidth="1"/>
    <col min="30" max="30" width="11.5546875" style="34"/>
    <col min="31" max="32" width="11.5546875" style="118"/>
    <col min="33" max="33" width="25.109375" style="118" customWidth="1"/>
    <col min="34" max="41" width="11.5546875" style="118"/>
    <col min="42" max="42" width="11.5546875" style="34"/>
    <col min="43" max="43" width="34.109375" style="118" customWidth="1"/>
    <col min="44" max="44" width="44.109375" style="118" customWidth="1"/>
    <col min="45" max="47" width="11.5546875" style="118"/>
    <col min="48" max="48" width="15.5546875" style="118" customWidth="1"/>
    <col min="49" max="49" width="18" style="118" customWidth="1"/>
    <col min="50" max="50" width="41.88671875" style="118" customWidth="1"/>
    <col min="51" max="53" width="15.88671875" style="118" customWidth="1"/>
    <col min="54" max="54" width="17.88671875" style="118" customWidth="1"/>
    <col min="55" max="55" width="11.5546875" style="118"/>
    <col min="56" max="56" width="39.6640625" style="118" customWidth="1"/>
    <col min="57" max="59" width="11.5546875" style="118"/>
    <col min="60" max="60" width="16.6640625" style="118" customWidth="1"/>
    <col min="61" max="61" width="11.5546875" style="34"/>
    <col min="62" max="62" width="17.33203125" style="34" customWidth="1"/>
    <col min="63" max="1042" width="11.5546875" style="34"/>
  </cols>
  <sheetData>
    <row r="1" spans="1:66" x14ac:dyDescent="0.3">
      <c r="B1" s="212"/>
      <c r="C1" s="218" t="s">
        <v>147</v>
      </c>
    </row>
    <row r="2" spans="1:66" x14ac:dyDescent="0.3">
      <c r="B2" s="213"/>
      <c r="C2" s="218" t="s">
        <v>148</v>
      </c>
      <c r="AK2" s="261">
        <v>9.7669999999999995</v>
      </c>
      <c r="AL2" s="188" t="s">
        <v>149</v>
      </c>
      <c r="AO2" s="121" t="s">
        <v>150</v>
      </c>
      <c r="AQ2" s="121" t="s">
        <v>151</v>
      </c>
    </row>
    <row r="3" spans="1:66" x14ac:dyDescent="0.3">
      <c r="B3" s="214"/>
      <c r="C3" s="218" t="s">
        <v>152</v>
      </c>
      <c r="AK3" s="182">
        <f>3.6*10^-6</f>
        <v>3.5999999999999998E-6</v>
      </c>
      <c r="AL3" s="188" t="s">
        <v>153</v>
      </c>
    </row>
    <row r="4" spans="1:66" ht="16.2" thickBot="1" x14ac:dyDescent="0.35">
      <c r="C4" s="218"/>
      <c r="AK4" s="188">
        <v>1000</v>
      </c>
      <c r="AL4" s="188" t="s">
        <v>154</v>
      </c>
    </row>
    <row r="5" spans="1:66" ht="16.2" thickBot="1" x14ac:dyDescent="0.35">
      <c r="B5" s="296" t="s">
        <v>155</v>
      </c>
      <c r="C5" s="296"/>
      <c r="D5" s="296"/>
      <c r="E5" s="296"/>
      <c r="F5" s="296"/>
      <c r="G5" s="296"/>
      <c r="H5" s="296"/>
      <c r="I5" s="296"/>
      <c r="J5" s="296"/>
      <c r="K5" s="296"/>
      <c r="L5" s="296"/>
      <c r="M5" s="296"/>
      <c r="N5" s="296"/>
      <c r="O5" s="296"/>
      <c r="P5" s="296"/>
      <c r="Q5" s="296"/>
      <c r="R5" s="296"/>
      <c r="S5" s="296"/>
      <c r="T5" s="296"/>
      <c r="U5" s="296"/>
      <c r="V5" s="296"/>
      <c r="W5" s="296"/>
      <c r="X5" s="296"/>
      <c r="Y5" s="296"/>
      <c r="Z5" s="296"/>
      <c r="AA5" s="296"/>
      <c r="AB5" s="296"/>
      <c r="AC5" s="296"/>
      <c r="AD5" s="296"/>
    </row>
    <row r="6" spans="1:66" ht="16.2" thickBot="1" x14ac:dyDescent="0.35">
      <c r="C6" s="218"/>
      <c r="AK6" s="275">
        <f>39900*0.711/1000</f>
        <v>28.368899999999996</v>
      </c>
      <c r="AL6" s="276" t="s">
        <v>522</v>
      </c>
      <c r="AN6" s="302" t="s">
        <v>521</v>
      </c>
      <c r="AO6" s="303"/>
      <c r="AP6" s="303"/>
      <c r="AQ6" s="303"/>
      <c r="AR6" s="303"/>
      <c r="AS6" s="303"/>
      <c r="AT6" s="303"/>
      <c r="AU6" s="303"/>
      <c r="AV6" s="303"/>
      <c r="AW6" s="303"/>
      <c r="AX6" s="303"/>
    </row>
    <row r="7" spans="1:66" ht="35.25" customHeight="1" thickBot="1" x14ac:dyDescent="0.35">
      <c r="B7" s="297" t="s">
        <v>156</v>
      </c>
      <c r="C7" s="297"/>
      <c r="D7" s="297"/>
      <c r="E7" s="297"/>
      <c r="F7" s="297"/>
      <c r="G7" s="297"/>
      <c r="H7" s="297"/>
      <c r="J7" s="297" t="s">
        <v>157</v>
      </c>
      <c r="K7" s="297"/>
      <c r="L7" s="297"/>
      <c r="M7" s="297"/>
      <c r="N7" s="297"/>
      <c r="O7" s="297"/>
      <c r="P7" s="297"/>
      <c r="R7" s="298" t="s">
        <v>158</v>
      </c>
      <c r="S7" s="298"/>
      <c r="W7" s="297" t="s">
        <v>159</v>
      </c>
      <c r="X7" s="297"/>
      <c r="Y7" s="297"/>
      <c r="Z7" s="297"/>
      <c r="AA7" s="297"/>
      <c r="AB7" s="297"/>
      <c r="AC7" s="297"/>
      <c r="AQ7" s="299" t="s">
        <v>167</v>
      </c>
      <c r="AR7" s="300"/>
      <c r="AS7" s="300"/>
      <c r="AT7" s="300"/>
      <c r="AU7" s="300"/>
      <c r="AV7" s="301"/>
      <c r="AX7" s="299" t="s">
        <v>168</v>
      </c>
      <c r="AY7" s="300"/>
      <c r="AZ7" s="300"/>
      <c r="BA7" s="300"/>
      <c r="BB7" s="301"/>
      <c r="BD7" s="299" t="s">
        <v>169</v>
      </c>
      <c r="BE7" s="300"/>
      <c r="BF7" s="300"/>
      <c r="BG7" s="300"/>
      <c r="BH7" s="301"/>
      <c r="BK7" s="294" t="s">
        <v>169</v>
      </c>
      <c r="BL7" s="294"/>
      <c r="BM7" s="294"/>
      <c r="BN7" s="295"/>
    </row>
    <row r="8" spans="1:66" ht="33" customHeight="1" thickBot="1" x14ac:dyDescent="0.45">
      <c r="B8" s="204" t="s">
        <v>160</v>
      </c>
      <c r="C8" s="204" t="s">
        <v>161</v>
      </c>
      <c r="D8" s="204" t="s">
        <v>162</v>
      </c>
      <c r="E8" s="217" t="s">
        <v>163</v>
      </c>
      <c r="F8" s="217" t="s">
        <v>4</v>
      </c>
      <c r="G8" s="217" t="s">
        <v>5</v>
      </c>
      <c r="H8" s="123" t="s">
        <v>164</v>
      </c>
      <c r="J8" s="229" t="s">
        <v>160</v>
      </c>
      <c r="K8" s="229" t="s">
        <v>161</v>
      </c>
      <c r="L8" s="229" t="s">
        <v>162</v>
      </c>
      <c r="M8" s="38" t="s">
        <v>163</v>
      </c>
      <c r="N8" s="38" t="s">
        <v>4</v>
      </c>
      <c r="O8" s="38" t="s">
        <v>5</v>
      </c>
      <c r="P8" s="38" t="s">
        <v>164</v>
      </c>
      <c r="R8" s="298" t="s">
        <v>165</v>
      </c>
      <c r="S8" s="298"/>
      <c r="W8" s="119" t="str">
        <f>J8</f>
        <v>Category</v>
      </c>
      <c r="X8" s="119" t="str">
        <f>K8</f>
        <v>Sub-
category'</v>
      </c>
      <c r="Y8" s="119" t="str">
        <f>L8</f>
        <v>Emission source</v>
      </c>
      <c r="Z8" s="120" t="s">
        <v>163</v>
      </c>
      <c r="AA8" s="120" t="s">
        <v>4</v>
      </c>
      <c r="AB8" s="120" t="s">
        <v>5</v>
      </c>
      <c r="AC8" s="38" t="s">
        <v>164</v>
      </c>
      <c r="AG8" s="119" t="s">
        <v>166</v>
      </c>
      <c r="AH8" s="120" t="s">
        <v>163</v>
      </c>
      <c r="AI8" s="120" t="s">
        <v>4</v>
      </c>
      <c r="AJ8" s="120" t="s">
        <v>5</v>
      </c>
      <c r="AK8" s="264" t="s">
        <v>164</v>
      </c>
      <c r="AL8" s="265" t="s">
        <v>163</v>
      </c>
      <c r="AM8" s="266" t="s">
        <v>4</v>
      </c>
      <c r="AN8" s="266" t="s">
        <v>5</v>
      </c>
      <c r="AO8" s="267" t="s">
        <v>164</v>
      </c>
      <c r="AQ8" s="271"/>
      <c r="AS8" s="265" t="s">
        <v>163</v>
      </c>
      <c r="AT8" s="266" t="s">
        <v>4</v>
      </c>
      <c r="AU8" s="266" t="s">
        <v>5</v>
      </c>
      <c r="AV8" s="272" t="s">
        <v>164</v>
      </c>
      <c r="AX8" s="271"/>
      <c r="AY8" s="265" t="s">
        <v>163</v>
      </c>
      <c r="AZ8" s="266" t="s">
        <v>4</v>
      </c>
      <c r="BA8" s="266" t="s">
        <v>5</v>
      </c>
      <c r="BB8" s="272" t="s">
        <v>164</v>
      </c>
      <c r="BD8" s="271"/>
      <c r="BE8" s="265" t="s">
        <v>163</v>
      </c>
      <c r="BF8" s="266" t="s">
        <v>4</v>
      </c>
      <c r="BG8" s="266" t="s">
        <v>5</v>
      </c>
      <c r="BH8" s="272" t="s">
        <v>164</v>
      </c>
      <c r="BK8" s="265" t="s">
        <v>163</v>
      </c>
      <c r="BL8" s="266" t="s">
        <v>4</v>
      </c>
      <c r="BM8" s="266" t="s">
        <v>5</v>
      </c>
      <c r="BN8" s="120" t="s">
        <v>164</v>
      </c>
    </row>
    <row r="9" spans="1:66" ht="34.5" customHeight="1" x14ac:dyDescent="0.3">
      <c r="B9" s="205" t="s">
        <v>170</v>
      </c>
      <c r="C9" s="185" t="s">
        <v>171</v>
      </c>
      <c r="D9" s="185" t="s">
        <v>172</v>
      </c>
      <c r="E9" s="182">
        <f>1*10^-4</f>
        <v>1E-4</v>
      </c>
      <c r="F9" s="182">
        <v>3.3000000000000003E-5</v>
      </c>
      <c r="G9" s="182">
        <v>0</v>
      </c>
      <c r="H9" s="304" t="s">
        <v>173</v>
      </c>
      <c r="J9" s="230" t="s">
        <v>170</v>
      </c>
      <c r="K9" s="231" t="s">
        <v>171</v>
      </c>
      <c r="L9" s="232" t="s">
        <v>172</v>
      </c>
      <c r="M9" s="233">
        <f>1.7*10^-3</f>
        <v>1.6999999999999999E-3</v>
      </c>
      <c r="N9" s="233">
        <v>5.5999999999999995E-4</v>
      </c>
      <c r="O9" s="233" t="s">
        <v>213</v>
      </c>
      <c r="P9" s="305" t="s">
        <v>173</v>
      </c>
      <c r="R9" s="42">
        <f t="shared" ref="R9:R20" si="0">ABS(M9-E9)/M9</f>
        <v>0.94117647058823528</v>
      </c>
      <c r="S9" s="42">
        <f t="shared" ref="S9:S20" si="1">ABS(M9-E9)/E9</f>
        <v>15.999999999999998</v>
      </c>
      <c r="U9" s="348" t="s">
        <v>364</v>
      </c>
      <c r="V9" s="308" t="s">
        <v>167</v>
      </c>
      <c r="W9" s="220" t="str">
        <f>B12</f>
        <v>Gas_Production</v>
      </c>
      <c r="X9" s="310" t="str">
        <f>C12</f>
        <v>All</v>
      </c>
      <c r="Y9" s="220" t="str">
        <f>D12</f>
        <v>Fugitives</v>
      </c>
      <c r="Z9" s="183">
        <f>E12</f>
        <v>8.2000000000000001E-5</v>
      </c>
      <c r="AA9" s="281">
        <f>F12*0.5</f>
        <v>1.15E-3</v>
      </c>
      <c r="AB9" s="187">
        <f t="shared" ref="AB9" si="2">G12</f>
        <v>0</v>
      </c>
      <c r="AC9" s="335" t="s">
        <v>174</v>
      </c>
      <c r="AE9" s="321" t="s">
        <v>366</v>
      </c>
      <c r="AF9" s="220" t="str">
        <f>V9</f>
        <v>Extraction</v>
      </c>
      <c r="AG9" s="262" t="str">
        <f>CONCATENATE("EF_GAS_",AF9)</f>
        <v>EF_GAS_Extraction</v>
      </c>
      <c r="AH9" s="183">
        <f>SUM(Z9:Z10)</f>
        <v>1.2838999999999999E-3</v>
      </c>
      <c r="AI9" s="183">
        <f>SUM(AA9)</f>
        <v>1.15E-3</v>
      </c>
      <c r="AJ9" s="183">
        <f t="shared" ref="AJ9" si="3">SUM(AB9:AB10)</f>
        <v>2.0999999999999999E-8</v>
      </c>
      <c r="AK9" s="312" t="s">
        <v>175</v>
      </c>
      <c r="AL9" s="268">
        <f>AH9</f>
        <v>1.2838999999999999E-3</v>
      </c>
      <c r="AM9" s="183">
        <f t="shared" ref="AM9:AN11" si="4">AI9</f>
        <v>1.15E-3</v>
      </c>
      <c r="AN9" s="183">
        <f t="shared" si="4"/>
        <v>2.0999999999999999E-8</v>
      </c>
      <c r="AO9" s="315" t="s">
        <v>519</v>
      </c>
      <c r="AQ9" s="273" t="s">
        <v>176</v>
      </c>
      <c r="AR9" s="188" t="str">
        <f>CONCATENATE(AQ9,"_",$AQ$7,"_CO2")</f>
        <v>EF_agriculture_products_Extraction_CO2</v>
      </c>
      <c r="AS9" s="182">
        <v>0</v>
      </c>
      <c r="AT9" s="182">
        <v>0</v>
      </c>
      <c r="AU9" s="182">
        <v>0</v>
      </c>
      <c r="AV9" s="318" t="s">
        <v>520</v>
      </c>
      <c r="AX9" s="273" t="s">
        <v>176</v>
      </c>
      <c r="AY9" s="182">
        <v>0</v>
      </c>
      <c r="AZ9" s="182">
        <v>0</v>
      </c>
      <c r="BA9" s="182">
        <v>0</v>
      </c>
      <c r="BB9" s="318" t="s">
        <v>520</v>
      </c>
      <c r="BD9" s="273" t="s">
        <v>176</v>
      </c>
      <c r="BE9" s="182">
        <f>0</f>
        <v>0</v>
      </c>
      <c r="BF9" s="182">
        <f>0</f>
        <v>0</v>
      </c>
      <c r="BG9" s="182">
        <f>0</f>
        <v>0</v>
      </c>
      <c r="BH9" s="315" t="s">
        <v>524</v>
      </c>
      <c r="BJ9" s="133" t="s">
        <v>369</v>
      </c>
      <c r="BK9" s="126">
        <v>0</v>
      </c>
      <c r="BL9" s="277">
        <f>BK9</f>
        <v>0</v>
      </c>
      <c r="BM9" s="277">
        <f>BK9</f>
        <v>0</v>
      </c>
      <c r="BN9" s="354" t="s">
        <v>525</v>
      </c>
    </row>
    <row r="10" spans="1:66" ht="62.25" customHeight="1" thickBot="1" x14ac:dyDescent="0.35">
      <c r="B10" s="205" t="s">
        <v>177</v>
      </c>
      <c r="C10" s="185" t="s">
        <v>171</v>
      </c>
      <c r="D10" s="185" t="s">
        <v>172</v>
      </c>
      <c r="E10" s="182">
        <f>9*10^-3</f>
        <v>9.0000000000000011E-3</v>
      </c>
      <c r="F10" s="182">
        <v>5.1E-5</v>
      </c>
      <c r="G10" s="182">
        <v>6.8E-8</v>
      </c>
      <c r="H10" s="304"/>
      <c r="J10" s="234" t="s">
        <v>177</v>
      </c>
      <c r="K10" s="39" t="s">
        <v>171</v>
      </c>
      <c r="L10" s="40" t="s">
        <v>172</v>
      </c>
      <c r="M10" s="41">
        <f>1.5*10^-1</f>
        <v>0.15000000000000002</v>
      </c>
      <c r="N10" s="41">
        <v>8.4999999999999995E-4</v>
      </c>
      <c r="O10" s="41">
        <v>1.1000000000000001E-6</v>
      </c>
      <c r="P10" s="306"/>
      <c r="R10" s="42">
        <f t="shared" si="0"/>
        <v>0.94</v>
      </c>
      <c r="S10" s="42">
        <f t="shared" si="1"/>
        <v>15.666666666666666</v>
      </c>
      <c r="U10" s="349"/>
      <c r="V10" s="309"/>
      <c r="W10" s="221" t="str">
        <f>W9</f>
        <v>Gas_Production</v>
      </c>
      <c r="X10" s="311"/>
      <c r="Y10" s="221" t="str">
        <f t="shared" ref="Y10:Y17" si="5">D13</f>
        <v>Flaring</v>
      </c>
      <c r="Z10" s="184">
        <f>E13+E11</f>
        <v>1.2018999999999999E-3</v>
      </c>
      <c r="AA10" s="184">
        <f t="shared" ref="AA10:AB10" si="6">F13+F11</f>
        <v>1.1076E-4</v>
      </c>
      <c r="AB10" s="226">
        <f t="shared" si="6"/>
        <v>2.0999999999999999E-8</v>
      </c>
      <c r="AC10" s="336"/>
      <c r="AE10" s="322"/>
      <c r="AF10" s="188" t="str">
        <f>V11</f>
        <v>Refining</v>
      </c>
      <c r="AG10" s="262" t="str">
        <f t="shared" ref="AG10:AG14" si="7">CONCATENATE("EF_GAS_",AF10)</f>
        <v>EF_GAS_Refining</v>
      </c>
      <c r="AH10" s="182">
        <f>SUM(Z11:Z13)</f>
        <v>4.3319999999999997E-2</v>
      </c>
      <c r="AI10" s="182">
        <f t="shared" ref="AI10:AJ10" si="8">SUM(AA11:AA13)</f>
        <v>1.0499999999999999E-4</v>
      </c>
      <c r="AJ10" s="182">
        <f t="shared" si="8"/>
        <v>3.2999999999999998E-8</v>
      </c>
      <c r="AK10" s="313"/>
      <c r="AL10" s="269">
        <f>AH10</f>
        <v>4.3319999999999997E-2</v>
      </c>
      <c r="AM10" s="182">
        <f t="shared" si="4"/>
        <v>1.0499999999999999E-4</v>
      </c>
      <c r="AN10" s="182">
        <f t="shared" si="4"/>
        <v>3.2999999999999998E-8</v>
      </c>
      <c r="AO10" s="316"/>
      <c r="AQ10" s="273" t="s">
        <v>178</v>
      </c>
      <c r="AR10" s="188" t="str">
        <f t="shared" ref="AR10:AR20" si="9">CONCATENATE(AQ10,"_",$AQ$7,"_CO2")</f>
        <v>EF_coal_Extraction_CO2</v>
      </c>
      <c r="AS10" s="182">
        <v>0</v>
      </c>
      <c r="AT10" s="182">
        <v>0</v>
      </c>
      <c r="AU10" s="182">
        <v>0</v>
      </c>
      <c r="AV10" s="319"/>
      <c r="AX10" s="273" t="s">
        <v>178</v>
      </c>
      <c r="AY10" s="182">
        <v>0</v>
      </c>
      <c r="AZ10" s="182">
        <v>0</v>
      </c>
      <c r="BA10" s="182">
        <v>0</v>
      </c>
      <c r="BB10" s="319"/>
      <c r="BD10" s="273" t="s">
        <v>178</v>
      </c>
      <c r="BE10" s="182">
        <v>0</v>
      </c>
      <c r="BF10" s="182">
        <v>1</v>
      </c>
      <c r="BG10" s="182">
        <v>2</v>
      </c>
      <c r="BH10" s="319"/>
      <c r="BJ10" s="134" t="s">
        <v>368</v>
      </c>
      <c r="BK10" s="36">
        <f>BE15</f>
        <v>5.509E-2</v>
      </c>
      <c r="BL10" s="36">
        <f t="shared" ref="BL10:BM10" si="10">BF15</f>
        <v>1.925</v>
      </c>
      <c r="BM10" s="36">
        <f t="shared" si="10"/>
        <v>0</v>
      </c>
      <c r="BN10" s="355"/>
    </row>
    <row r="11" spans="1:66" ht="46.5" customHeight="1" thickBot="1" x14ac:dyDescent="0.35">
      <c r="B11" s="249" t="s">
        <v>179</v>
      </c>
      <c r="C11" s="250" t="s">
        <v>171</v>
      </c>
      <c r="D11" s="250" t="s">
        <v>172</v>
      </c>
      <c r="E11" s="251">
        <f>1.9*10^-6</f>
        <v>1.8999999999999998E-6</v>
      </c>
      <c r="F11" s="251">
        <v>1.1E-4</v>
      </c>
      <c r="G11" s="251">
        <v>0</v>
      </c>
      <c r="H11" s="304"/>
      <c r="J11" s="235" t="s">
        <v>179</v>
      </c>
      <c r="K11" s="236" t="s">
        <v>171</v>
      </c>
      <c r="L11" s="237" t="s">
        <v>172</v>
      </c>
      <c r="M11" s="238">
        <f>3.2*10^-5</f>
        <v>3.2000000000000005E-5</v>
      </c>
      <c r="N11" s="238">
        <v>1.8E-3</v>
      </c>
      <c r="O11" s="238" t="s">
        <v>213</v>
      </c>
      <c r="P11" s="307"/>
      <c r="Q11" s="34">
        <v>2</v>
      </c>
      <c r="R11" s="42">
        <f t="shared" si="0"/>
        <v>0.94062500000000004</v>
      </c>
      <c r="S11" s="42">
        <f t="shared" si="1"/>
        <v>15.842105263157899</v>
      </c>
      <c r="T11" s="34">
        <f>T12/AA9</f>
        <v>11.434782608695652</v>
      </c>
      <c r="U11" s="349"/>
      <c r="V11" s="308" t="s">
        <v>168</v>
      </c>
      <c r="W11" s="220" t="str">
        <f>B14</f>
        <v>Gas_Processing</v>
      </c>
      <c r="X11" s="310" t="str">
        <f>C14</f>
        <v>Default Weighted Total</v>
      </c>
      <c r="Y11" s="220" t="str">
        <f t="shared" si="5"/>
        <v>Fugitives</v>
      </c>
      <c r="Z11" s="183">
        <f t="shared" ref="Z11:Z17" si="11">E14</f>
        <v>3.2000000000000003E-4</v>
      </c>
      <c r="AA11" s="183">
        <f t="shared" ref="AA11:AB11" si="12">F14</f>
        <v>1.03E-4</v>
      </c>
      <c r="AB11" s="187">
        <f t="shared" si="12"/>
        <v>0</v>
      </c>
      <c r="AC11" s="336"/>
      <c r="AE11" s="323"/>
      <c r="AF11" s="221" t="str">
        <f>V14</f>
        <v>Supply</v>
      </c>
      <c r="AG11" s="262" t="str">
        <f t="shared" si="7"/>
        <v>EF_GAS_Supply</v>
      </c>
      <c r="AH11" s="184">
        <f>SUM(Z14:Z17)</f>
        <v>5.5090000000000003E-5</v>
      </c>
      <c r="AI11" s="184">
        <f t="shared" ref="AI11:AJ11" si="13">SUM(AA14:AA17)</f>
        <v>1.9250000000000001E-3</v>
      </c>
      <c r="AJ11" s="184">
        <f t="shared" si="13"/>
        <v>0</v>
      </c>
      <c r="AK11" s="314"/>
      <c r="AL11" s="270">
        <f>AH11</f>
        <v>5.5090000000000003E-5</v>
      </c>
      <c r="AM11" s="184">
        <f t="shared" si="4"/>
        <v>1.9250000000000001E-3</v>
      </c>
      <c r="AN11" s="184">
        <f t="shared" si="4"/>
        <v>0</v>
      </c>
      <c r="AO11" s="316"/>
      <c r="AQ11" s="273" t="s">
        <v>180</v>
      </c>
      <c r="AR11" s="188" t="str">
        <f t="shared" si="9"/>
        <v>EF_oil_Extraction_CO2</v>
      </c>
      <c r="AS11" s="132">
        <f>AL12*1000</f>
        <v>36080.11</v>
      </c>
      <c r="AT11" s="132">
        <f t="shared" ref="AT11:AU11" si="14">AM12*1000</f>
        <v>1100</v>
      </c>
      <c r="AU11" s="132">
        <f t="shared" si="14"/>
        <v>0.65</v>
      </c>
      <c r="AV11" s="319"/>
      <c r="AX11" s="273" t="s">
        <v>180</v>
      </c>
      <c r="AY11" s="132">
        <f>AL13*1000</f>
        <v>0.22</v>
      </c>
      <c r="AZ11" s="132">
        <f t="shared" ref="AZ11:BA11" si="15">AM13*1000</f>
        <v>0.22</v>
      </c>
      <c r="BA11" s="132">
        <f t="shared" si="15"/>
        <v>0.22</v>
      </c>
      <c r="BB11" s="319"/>
      <c r="BD11" s="273" t="s">
        <v>180</v>
      </c>
      <c r="BE11" s="132">
        <f>AL14*1000</f>
        <v>2.8999999999999995</v>
      </c>
      <c r="BF11" s="132">
        <f t="shared" ref="BF11:BG11" si="16">AM14*1000</f>
        <v>30.51</v>
      </c>
      <c r="BG11" s="132">
        <f t="shared" si="16"/>
        <v>0.11</v>
      </c>
      <c r="BH11" s="319"/>
      <c r="BJ11" s="134" t="s">
        <v>370</v>
      </c>
      <c r="BK11" s="36">
        <v>0</v>
      </c>
      <c r="BL11" s="36">
        <v>0</v>
      </c>
      <c r="BM11" s="36">
        <v>0</v>
      </c>
      <c r="BN11" s="355"/>
    </row>
    <row r="12" spans="1:66" ht="62.25" customHeight="1" x14ac:dyDescent="0.3">
      <c r="A12" s="34" t="s">
        <v>181</v>
      </c>
      <c r="B12" s="329" t="s">
        <v>182</v>
      </c>
      <c r="C12" s="331" t="s">
        <v>171</v>
      </c>
      <c r="D12" s="252" t="s">
        <v>183</v>
      </c>
      <c r="E12" s="245">
        <f>8.2*10^-5</f>
        <v>8.2000000000000001E-5</v>
      </c>
      <c r="F12" s="245">
        <v>2.3E-3</v>
      </c>
      <c r="G12" s="253">
        <v>0</v>
      </c>
      <c r="H12" s="333" t="s">
        <v>174</v>
      </c>
      <c r="J12" s="329" t="s">
        <v>184</v>
      </c>
      <c r="K12" s="331" t="s">
        <v>171</v>
      </c>
      <c r="L12" s="231" t="s">
        <v>183</v>
      </c>
      <c r="M12" s="233">
        <f>1.8*10^-4</f>
        <v>1.8000000000000001E-4</v>
      </c>
      <c r="N12" s="233">
        <v>2.4E-2</v>
      </c>
      <c r="O12" s="239" t="s">
        <v>228</v>
      </c>
      <c r="P12" s="335" t="s">
        <v>174</v>
      </c>
      <c r="R12" s="42">
        <f t="shared" si="0"/>
        <v>0.54444444444444451</v>
      </c>
      <c r="S12" s="42">
        <f t="shared" si="1"/>
        <v>1.1951219512195124</v>
      </c>
      <c r="T12" s="34">
        <f>AVERAGE(F12,N12)</f>
        <v>1.315E-2</v>
      </c>
      <c r="U12" s="349"/>
      <c r="V12" s="327"/>
      <c r="W12" s="188" t="str">
        <f>W11</f>
        <v>Gas_Processing</v>
      </c>
      <c r="X12" s="328"/>
      <c r="Y12" s="188" t="str">
        <f t="shared" si="5"/>
        <v>Flaring</v>
      </c>
      <c r="Z12" s="182">
        <f t="shared" si="11"/>
        <v>3.0000000000000001E-3</v>
      </c>
      <c r="AA12" s="182">
        <f t="shared" ref="AA12:AB12" si="17">F15</f>
        <v>1.9999999999999999E-6</v>
      </c>
      <c r="AB12" s="186">
        <f t="shared" si="17"/>
        <v>3.2999999999999998E-8</v>
      </c>
      <c r="AC12" s="336"/>
      <c r="AE12" s="324" t="s">
        <v>365</v>
      </c>
      <c r="AF12" s="220" t="str">
        <f>AF9</f>
        <v>Extraction</v>
      </c>
      <c r="AG12" s="262" t="str">
        <f t="shared" si="7"/>
        <v>EF_GAS_Extraction</v>
      </c>
      <c r="AH12" s="183">
        <f>SUM(Z18:Z21)</f>
        <v>3.6080109999999999E-2</v>
      </c>
      <c r="AI12" s="183">
        <f>AA18</f>
        <v>1.1000000000000001E-3</v>
      </c>
      <c r="AJ12" s="183">
        <f t="shared" ref="AJ12" si="18">SUM(AB18:AB21)</f>
        <v>6.5000000000000002E-7</v>
      </c>
      <c r="AK12" s="312" t="s">
        <v>185</v>
      </c>
      <c r="AL12" s="268">
        <f>AH12*1000</f>
        <v>36.080109999999998</v>
      </c>
      <c r="AM12" s="268">
        <f t="shared" ref="AM12:AN14" si="19">AI12*1000</f>
        <v>1.1000000000000001</v>
      </c>
      <c r="AN12" s="268">
        <f t="shared" si="19"/>
        <v>6.4999999999999997E-4</v>
      </c>
      <c r="AO12" s="316"/>
      <c r="AQ12" s="273" t="s">
        <v>186</v>
      </c>
      <c r="AR12" s="188" t="str">
        <f t="shared" si="9"/>
        <v>EF_forestry_products_Extraction_CO2</v>
      </c>
      <c r="AS12" s="182">
        <v>0</v>
      </c>
      <c r="AT12" s="182">
        <v>0</v>
      </c>
      <c r="AU12" s="182">
        <v>0</v>
      </c>
      <c r="AV12" s="319"/>
      <c r="AX12" s="273" t="s">
        <v>186</v>
      </c>
      <c r="AY12" s="182">
        <v>0</v>
      </c>
      <c r="AZ12" s="182">
        <v>0</v>
      </c>
      <c r="BA12" s="182">
        <v>0</v>
      </c>
      <c r="BB12" s="319"/>
      <c r="BD12" s="273" t="s">
        <v>186</v>
      </c>
      <c r="BE12" s="182">
        <v>0</v>
      </c>
      <c r="BF12" s="182">
        <v>0</v>
      </c>
      <c r="BG12" s="182">
        <v>0</v>
      </c>
      <c r="BH12" s="319"/>
      <c r="BJ12" s="134" t="s">
        <v>371</v>
      </c>
      <c r="BK12" s="36">
        <v>0</v>
      </c>
      <c r="BL12" s="36">
        <v>0</v>
      </c>
      <c r="BM12" s="36">
        <v>0</v>
      </c>
      <c r="BN12" s="355"/>
    </row>
    <row r="13" spans="1:66" ht="62.25" customHeight="1" thickBot="1" x14ac:dyDescent="0.35">
      <c r="B13" s="330"/>
      <c r="C13" s="332"/>
      <c r="D13" s="254" t="s">
        <v>187</v>
      </c>
      <c r="E13" s="184">
        <f>1.2*10^-3</f>
        <v>1.1999999999999999E-3</v>
      </c>
      <c r="F13" s="184">
        <v>7.6000000000000003E-7</v>
      </c>
      <c r="G13" s="226">
        <v>2.0999999999999999E-8</v>
      </c>
      <c r="H13" s="333"/>
      <c r="J13" s="330"/>
      <c r="K13" s="332"/>
      <c r="L13" s="240" t="s">
        <v>187</v>
      </c>
      <c r="M13" s="238">
        <f>1.6*10^-3</f>
        <v>1.6000000000000001E-3</v>
      </c>
      <c r="N13" s="238">
        <v>9.9999999999999995E-7</v>
      </c>
      <c r="O13" s="241">
        <v>2.9000000000000002E-8</v>
      </c>
      <c r="P13" s="336"/>
      <c r="R13" s="42">
        <f t="shared" si="0"/>
        <v>0.25000000000000011</v>
      </c>
      <c r="S13" s="42">
        <f t="shared" si="1"/>
        <v>0.33333333333333354</v>
      </c>
      <c r="U13" s="349"/>
      <c r="V13" s="309"/>
      <c r="W13" s="221" t="str">
        <f>W12</f>
        <v>Gas_Processing</v>
      </c>
      <c r="X13" s="311"/>
      <c r="Y13" s="221" t="str">
        <f t="shared" si="5"/>
        <v>Raw CO2 Venting</v>
      </c>
      <c r="Z13" s="184">
        <f t="shared" si="11"/>
        <v>0.04</v>
      </c>
      <c r="AA13" s="184">
        <f t="shared" ref="AA13:AB13" si="20">F16</f>
        <v>0</v>
      </c>
      <c r="AB13" s="226">
        <f t="shared" si="20"/>
        <v>0</v>
      </c>
      <c r="AC13" s="336"/>
      <c r="AE13" s="325"/>
      <c r="AF13" s="188" t="str">
        <f>AF10</f>
        <v>Refining</v>
      </c>
      <c r="AG13" s="262" t="str">
        <f t="shared" si="7"/>
        <v>EF_GAS_Refining</v>
      </c>
      <c r="AH13" s="182">
        <f>SUM(Z25:Z26)</f>
        <v>2.2000000000000001E-7</v>
      </c>
      <c r="AI13" s="182">
        <f t="shared" ref="AI13:AJ13" si="21">SUM(AA25:AA26)</f>
        <v>2.2000000000000001E-7</v>
      </c>
      <c r="AJ13" s="182">
        <f t="shared" si="21"/>
        <v>2.2000000000000001E-7</v>
      </c>
      <c r="AK13" s="313"/>
      <c r="AL13" s="269">
        <f>AH13*1000</f>
        <v>2.2000000000000001E-4</v>
      </c>
      <c r="AM13" s="269">
        <f t="shared" si="19"/>
        <v>2.2000000000000001E-4</v>
      </c>
      <c r="AN13" s="269">
        <f t="shared" si="19"/>
        <v>2.2000000000000001E-4</v>
      </c>
      <c r="AO13" s="316"/>
      <c r="AQ13" s="273" t="s">
        <v>188</v>
      </c>
      <c r="AR13" s="188" t="str">
        <f t="shared" si="9"/>
        <v>EF_geothermal_Extraction_CO2</v>
      </c>
      <c r="AS13" s="182">
        <v>0</v>
      </c>
      <c r="AT13" s="182">
        <v>0</v>
      </c>
      <c r="AU13" s="182">
        <v>0</v>
      </c>
      <c r="AV13" s="319"/>
      <c r="AX13" s="273" t="s">
        <v>188</v>
      </c>
      <c r="AY13" s="182">
        <v>0</v>
      </c>
      <c r="AZ13" s="182">
        <v>0</v>
      </c>
      <c r="BA13" s="182">
        <v>0</v>
      </c>
      <c r="BB13" s="319"/>
      <c r="BD13" s="273" t="s">
        <v>188</v>
      </c>
      <c r="BE13" s="182">
        <v>0</v>
      </c>
      <c r="BF13" s="182">
        <v>0</v>
      </c>
      <c r="BG13" s="182">
        <v>0</v>
      </c>
      <c r="BH13" s="319"/>
      <c r="BJ13" s="134" t="s">
        <v>372</v>
      </c>
      <c r="BK13" s="36">
        <f>BE11</f>
        <v>2.8999999999999995</v>
      </c>
      <c r="BL13" s="36">
        <f t="shared" ref="BL13:BM13" si="22">BF11</f>
        <v>30.51</v>
      </c>
      <c r="BM13" s="36">
        <f t="shared" si="22"/>
        <v>0.11</v>
      </c>
      <c r="BN13" s="355"/>
    </row>
    <row r="14" spans="1:66" ht="24.75" customHeight="1" thickBot="1" x14ac:dyDescent="0.35">
      <c r="A14" s="34" t="s">
        <v>189</v>
      </c>
      <c r="B14" s="329" t="s">
        <v>190</v>
      </c>
      <c r="C14" s="331" t="s">
        <v>191</v>
      </c>
      <c r="D14" s="252" t="s">
        <v>183</v>
      </c>
      <c r="E14" s="245">
        <f>3.2*10^-4</f>
        <v>3.2000000000000003E-4</v>
      </c>
      <c r="F14" s="245">
        <v>1.03E-4</v>
      </c>
      <c r="G14" s="253">
        <v>0</v>
      </c>
      <c r="H14" s="333"/>
      <c r="J14" s="329" t="s">
        <v>192</v>
      </c>
      <c r="K14" s="331" t="s">
        <v>191</v>
      </c>
      <c r="L14" s="231" t="s">
        <v>183</v>
      </c>
      <c r="M14" s="233">
        <v>2.8E-5</v>
      </c>
      <c r="N14" s="233">
        <v>3.5E-4</v>
      </c>
      <c r="O14" s="239" t="s">
        <v>228</v>
      </c>
      <c r="P14" s="336"/>
      <c r="R14" s="42">
        <f t="shared" si="0"/>
        <v>10.428571428571431</v>
      </c>
      <c r="S14" s="42">
        <f t="shared" si="1"/>
        <v>0.91250000000000009</v>
      </c>
      <c r="U14" s="349"/>
      <c r="V14" s="308" t="s">
        <v>169</v>
      </c>
      <c r="W14" s="220" t="str">
        <f>B17</f>
        <v>Gas_transmission_and_storage</v>
      </c>
      <c r="X14" s="220" t="str">
        <f>C17</f>
        <v>Transmission</v>
      </c>
      <c r="Y14" s="220" t="str">
        <f t="shared" si="5"/>
        <v xml:space="preserve">Fugitives </v>
      </c>
      <c r="Z14" s="183">
        <f t="shared" si="11"/>
        <v>8.8000000000000004E-7</v>
      </c>
      <c r="AA14" s="183">
        <f t="shared" ref="AA14:AB14" si="23">F17</f>
        <v>4.8000000000000001E-4</v>
      </c>
      <c r="AB14" s="187">
        <f t="shared" si="23"/>
        <v>0</v>
      </c>
      <c r="AC14" s="336" t="s">
        <v>193</v>
      </c>
      <c r="AE14" s="326"/>
      <c r="AF14" s="221" t="str">
        <f>AF11</f>
        <v>Supply</v>
      </c>
      <c r="AG14" s="262" t="str">
        <f t="shared" si="7"/>
        <v>EF_GAS_Supply</v>
      </c>
      <c r="AH14" s="263">
        <f>SUM(Z22:Z24)</f>
        <v>2.8999999999999993E-6</v>
      </c>
      <c r="AI14" s="263">
        <f>SUM(AA22:AA24)</f>
        <v>3.0510000000000001E-5</v>
      </c>
      <c r="AJ14" s="263">
        <f>SUM(AB22:AB24)</f>
        <v>1.1000000000000001E-7</v>
      </c>
      <c r="AK14" s="314"/>
      <c r="AL14" s="270">
        <f>AH14*1000</f>
        <v>2.8999999999999994E-3</v>
      </c>
      <c r="AM14" s="270">
        <f t="shared" si="19"/>
        <v>3.0510000000000002E-2</v>
      </c>
      <c r="AN14" s="270">
        <f t="shared" si="19"/>
        <v>1.1E-4</v>
      </c>
      <c r="AO14" s="317"/>
      <c r="AQ14" s="273" t="s">
        <v>194</v>
      </c>
      <c r="AR14" s="188" t="str">
        <f t="shared" si="9"/>
        <v>EF_hydropower_Extraction_CO2</v>
      </c>
      <c r="AS14" s="182">
        <v>0</v>
      </c>
      <c r="AT14" s="182">
        <v>0</v>
      </c>
      <c r="AU14" s="182">
        <v>0</v>
      </c>
      <c r="AV14" s="319"/>
      <c r="AX14" s="273" t="s">
        <v>194</v>
      </c>
      <c r="AY14" s="182">
        <v>0</v>
      </c>
      <c r="AZ14" s="182">
        <v>0</v>
      </c>
      <c r="BA14" s="182">
        <v>0</v>
      </c>
      <c r="BB14" s="319"/>
      <c r="BD14" s="273" t="s">
        <v>194</v>
      </c>
      <c r="BE14" s="182">
        <v>0</v>
      </c>
      <c r="BF14" s="182">
        <v>0</v>
      </c>
      <c r="BG14" s="182">
        <v>0</v>
      </c>
      <c r="BH14" s="319"/>
      <c r="BJ14" s="134" t="s">
        <v>374</v>
      </c>
      <c r="BK14" s="36">
        <v>0</v>
      </c>
      <c r="BL14" s="36">
        <v>0</v>
      </c>
      <c r="BM14" s="36">
        <v>0</v>
      </c>
      <c r="BN14" s="355"/>
    </row>
    <row r="15" spans="1:66" ht="30.75" customHeight="1" thickBot="1" x14ac:dyDescent="0.35">
      <c r="B15" s="338"/>
      <c r="C15" s="339"/>
      <c r="D15" s="185" t="s">
        <v>187</v>
      </c>
      <c r="E15" s="182">
        <f>3*10^-3</f>
        <v>3.0000000000000001E-3</v>
      </c>
      <c r="F15" s="182">
        <v>1.9999999999999999E-6</v>
      </c>
      <c r="G15" s="186">
        <v>3.2999999999999998E-8</v>
      </c>
      <c r="H15" s="333"/>
      <c r="J15" s="338"/>
      <c r="K15" s="339"/>
      <c r="L15" s="39" t="s">
        <v>187</v>
      </c>
      <c r="M15" s="41">
        <v>4.1000000000000003E-3</v>
      </c>
      <c r="N15" s="41">
        <v>2.7999999999999999E-6</v>
      </c>
      <c r="O15" s="242">
        <v>4.4999999999999999E-8</v>
      </c>
      <c r="P15" s="336"/>
      <c r="R15" s="42">
        <f t="shared" si="0"/>
        <v>0.26829268292682934</v>
      </c>
      <c r="S15" s="42">
        <f t="shared" si="1"/>
        <v>0.36666666666666675</v>
      </c>
      <c r="U15" s="349"/>
      <c r="V15" s="327"/>
      <c r="W15" s="188" t="str">
        <f>W14</f>
        <v>Gas_transmission_and_storage</v>
      </c>
      <c r="X15" s="188" t="str">
        <f>X14</f>
        <v>Transmission</v>
      </c>
      <c r="Y15" s="188" t="str">
        <f t="shared" si="5"/>
        <v>Venting</v>
      </c>
      <c r="Z15" s="182">
        <f t="shared" si="11"/>
        <v>3.1E-6</v>
      </c>
      <c r="AA15" s="182">
        <f t="shared" ref="AA15:AB15" si="24">F18</f>
        <v>3.2000000000000003E-4</v>
      </c>
      <c r="AB15" s="186">
        <f t="shared" si="24"/>
        <v>0</v>
      </c>
      <c r="AC15" s="336"/>
      <c r="AG15" s="218"/>
      <c r="AQ15" s="273" t="s">
        <v>195</v>
      </c>
      <c r="AR15" s="188" t="str">
        <f t="shared" si="9"/>
        <v>EF_natural_gas_Extraction_CO2</v>
      </c>
      <c r="AS15" s="132">
        <f>AL9*1000</f>
        <v>1.2838999999999998</v>
      </c>
      <c r="AT15" s="132">
        <f t="shared" ref="AT15" si="25">AM9*1000</f>
        <v>1.1499999999999999</v>
      </c>
      <c r="AU15" s="132">
        <f>AN9*1000</f>
        <v>2.0999999999999999E-5</v>
      </c>
      <c r="AV15" s="319"/>
      <c r="AX15" s="273" t="s">
        <v>195</v>
      </c>
      <c r="AY15" s="132">
        <f>AL10*1000</f>
        <v>43.32</v>
      </c>
      <c r="AZ15" s="132">
        <f t="shared" ref="AZ15:BA15" si="26">AM10*1000</f>
        <v>0.105</v>
      </c>
      <c r="BA15" s="132">
        <f t="shared" si="26"/>
        <v>3.2999999999999996E-5</v>
      </c>
      <c r="BB15" s="319"/>
      <c r="BD15" s="273" t="s">
        <v>195</v>
      </c>
      <c r="BE15" s="132">
        <f>AL11*1000</f>
        <v>5.509E-2</v>
      </c>
      <c r="BF15" s="132">
        <f t="shared" ref="BF15:BG15" si="27">AM11*1000</f>
        <v>1.925</v>
      </c>
      <c r="BG15" s="132">
        <f t="shared" si="27"/>
        <v>0</v>
      </c>
      <c r="BH15" s="319"/>
      <c r="BJ15" s="135" t="s">
        <v>373</v>
      </c>
      <c r="BK15" s="128">
        <v>0</v>
      </c>
      <c r="BL15" s="128">
        <v>0</v>
      </c>
      <c r="BM15" s="128">
        <v>0</v>
      </c>
      <c r="BN15" s="356"/>
    </row>
    <row r="16" spans="1:66" ht="62.25" customHeight="1" thickBot="1" x14ac:dyDescent="0.35">
      <c r="B16" s="330"/>
      <c r="C16" s="332"/>
      <c r="D16" s="255" t="s">
        <v>196</v>
      </c>
      <c r="E16" s="222">
        <f>4*10^-2</f>
        <v>0.04</v>
      </c>
      <c r="F16" s="222">
        <v>0</v>
      </c>
      <c r="G16" s="256">
        <v>0</v>
      </c>
      <c r="H16" s="334"/>
      <c r="J16" s="330"/>
      <c r="K16" s="332"/>
      <c r="L16" s="237" t="s">
        <v>196</v>
      </c>
      <c r="M16" s="238">
        <v>9.5000000000000001E-2</v>
      </c>
      <c r="N16" s="238" t="s">
        <v>228</v>
      </c>
      <c r="O16" s="241" t="s">
        <v>228</v>
      </c>
      <c r="P16" s="337"/>
      <c r="R16" s="42">
        <f t="shared" si="0"/>
        <v>0.57894736842105265</v>
      </c>
      <c r="S16" s="42">
        <f t="shared" si="1"/>
        <v>1.375</v>
      </c>
      <c r="U16" s="349"/>
      <c r="V16" s="327"/>
      <c r="W16" s="188" t="str">
        <f>W15</f>
        <v>Gas_transmission_and_storage</v>
      </c>
      <c r="X16" s="188" t="str">
        <f>C19</f>
        <v>Storage</v>
      </c>
      <c r="Y16" s="188" t="str">
        <f t="shared" si="5"/>
        <v>All</v>
      </c>
      <c r="Z16" s="182">
        <f t="shared" si="11"/>
        <v>1.1000000000000001E-7</v>
      </c>
      <c r="AA16" s="182">
        <f t="shared" ref="AA16:AB16" si="28">F19</f>
        <v>2.5000000000000001E-5</v>
      </c>
      <c r="AB16" s="186">
        <f t="shared" si="28"/>
        <v>0</v>
      </c>
      <c r="AC16" s="336"/>
      <c r="AG16" s="218"/>
      <c r="AQ16" s="273" t="s">
        <v>197</v>
      </c>
      <c r="AR16" s="188" t="str">
        <f t="shared" si="9"/>
        <v>EF_nuclear_Extraction_CO2</v>
      </c>
      <c r="AS16" s="182">
        <v>0</v>
      </c>
      <c r="AT16" s="182">
        <v>0</v>
      </c>
      <c r="AU16" s="182">
        <v>0</v>
      </c>
      <c r="AV16" s="319"/>
      <c r="AX16" s="273" t="s">
        <v>197</v>
      </c>
      <c r="AY16" s="182">
        <v>0</v>
      </c>
      <c r="AZ16" s="182">
        <v>0</v>
      </c>
      <c r="BA16" s="182">
        <v>0</v>
      </c>
      <c r="BB16" s="319"/>
      <c r="BD16" s="273" t="s">
        <v>197</v>
      </c>
      <c r="BE16" s="182">
        <v>0</v>
      </c>
      <c r="BF16" s="182">
        <v>0</v>
      </c>
      <c r="BG16" s="182">
        <v>0</v>
      </c>
      <c r="BH16" s="319"/>
    </row>
    <row r="17" spans="2:60" ht="46.5" customHeight="1" thickBot="1" x14ac:dyDescent="0.35">
      <c r="B17" s="345" t="s">
        <v>198</v>
      </c>
      <c r="C17" s="310" t="s">
        <v>199</v>
      </c>
      <c r="D17" s="220" t="s">
        <v>200</v>
      </c>
      <c r="E17" s="183">
        <f>8.8*10^-7</f>
        <v>8.8000000000000004E-7</v>
      </c>
      <c r="F17" s="183">
        <v>4.8000000000000001E-4</v>
      </c>
      <c r="G17" s="183">
        <v>0</v>
      </c>
      <c r="H17" s="305" t="s">
        <v>193</v>
      </c>
      <c r="J17" s="345" t="s">
        <v>201</v>
      </c>
      <c r="K17" s="310" t="s">
        <v>199</v>
      </c>
      <c r="L17" s="220" t="s">
        <v>200</v>
      </c>
      <c r="M17" s="183">
        <f>2*10^-6</f>
        <v>1.9999999999999999E-6</v>
      </c>
      <c r="N17" s="183">
        <v>1.1000000000000001E-3</v>
      </c>
      <c r="O17" s="183" t="s">
        <v>228</v>
      </c>
      <c r="P17" s="305" t="s">
        <v>193</v>
      </c>
      <c r="R17" s="42">
        <f t="shared" si="0"/>
        <v>0.55999999999999994</v>
      </c>
      <c r="S17" s="42">
        <f t="shared" si="1"/>
        <v>1.2727272727272725</v>
      </c>
      <c r="U17" s="350"/>
      <c r="V17" s="309"/>
      <c r="W17" s="221" t="str">
        <f>B20</f>
        <v>Gas_distribution</v>
      </c>
      <c r="X17" s="221" t="str">
        <f>C20</f>
        <v>All</v>
      </c>
      <c r="Y17" s="221" t="str">
        <f t="shared" si="5"/>
        <v>All</v>
      </c>
      <c r="Z17" s="184">
        <f t="shared" si="11"/>
        <v>5.1E-5</v>
      </c>
      <c r="AA17" s="184">
        <f t="shared" ref="AA17:AB17" si="29">F20</f>
        <v>1.1000000000000001E-3</v>
      </c>
      <c r="AB17" s="226">
        <f t="shared" si="29"/>
        <v>0</v>
      </c>
      <c r="AC17" s="260" t="s">
        <v>202</v>
      </c>
      <c r="AG17" s="218"/>
      <c r="AI17" s="280"/>
      <c r="AQ17" s="273" t="s">
        <v>203</v>
      </c>
      <c r="AR17" s="188" t="str">
        <f t="shared" si="9"/>
        <v>EF_oceanic_Extraction_CO2</v>
      </c>
      <c r="AS17" s="182">
        <v>0</v>
      </c>
      <c r="AT17" s="182">
        <v>0</v>
      </c>
      <c r="AU17" s="182">
        <v>0</v>
      </c>
      <c r="AV17" s="319"/>
      <c r="AX17" s="273" t="s">
        <v>203</v>
      </c>
      <c r="AY17" s="182">
        <v>0</v>
      </c>
      <c r="AZ17" s="182">
        <v>0</v>
      </c>
      <c r="BA17" s="182">
        <v>0</v>
      </c>
      <c r="BB17" s="319"/>
      <c r="BD17" s="273" t="s">
        <v>203</v>
      </c>
      <c r="BE17" s="182">
        <v>0</v>
      </c>
      <c r="BF17" s="182">
        <v>0</v>
      </c>
      <c r="BG17" s="182">
        <v>0</v>
      </c>
      <c r="BH17" s="319"/>
    </row>
    <row r="18" spans="2:60" ht="46.5" customHeight="1" x14ac:dyDescent="0.3">
      <c r="B18" s="346"/>
      <c r="C18" s="328"/>
      <c r="D18" s="188" t="s">
        <v>204</v>
      </c>
      <c r="E18" s="182">
        <f>3.1*10^-6</f>
        <v>3.1E-6</v>
      </c>
      <c r="F18" s="182">
        <v>3.2000000000000003E-4</v>
      </c>
      <c r="G18" s="182">
        <v>0</v>
      </c>
      <c r="H18" s="306"/>
      <c r="J18" s="346"/>
      <c r="K18" s="328"/>
      <c r="L18" s="188" t="s">
        <v>204</v>
      </c>
      <c r="M18" s="182">
        <f>7.3*10^-6</f>
        <v>7.2999999999999996E-6</v>
      </c>
      <c r="N18" s="182">
        <v>7.3999999999999999E-4</v>
      </c>
      <c r="O18" s="182" t="s">
        <v>228</v>
      </c>
      <c r="P18" s="306"/>
      <c r="R18" s="42">
        <f t="shared" si="0"/>
        <v>0.57534246575342463</v>
      </c>
      <c r="S18" s="42">
        <f t="shared" si="1"/>
        <v>1.3548387096774193</v>
      </c>
      <c r="U18" s="351" t="s">
        <v>365</v>
      </c>
      <c r="V18" s="340" t="s">
        <v>167</v>
      </c>
      <c r="W18" s="257" t="str">
        <f>B26</f>
        <v>Oil_Production</v>
      </c>
      <c r="X18" s="310" t="str">
        <f>C26</f>
        <v>Default Weighted Total</v>
      </c>
      <c r="Y18" s="220" t="str">
        <f>D26</f>
        <v>Fugitives</v>
      </c>
      <c r="Z18" s="183">
        <f>E26</f>
        <v>2.7999999999999998E-4</v>
      </c>
      <c r="AA18" s="281">
        <f>F26*0.5</f>
        <v>1.1000000000000001E-3</v>
      </c>
      <c r="AB18" s="183">
        <f t="shared" ref="AB18" si="30">G26</f>
        <v>0</v>
      </c>
      <c r="AC18" s="305" t="s">
        <v>367</v>
      </c>
      <c r="AG18" s="218"/>
      <c r="AQ18" s="273" t="s">
        <v>206</v>
      </c>
      <c r="AR18" s="188" t="str">
        <f t="shared" si="9"/>
        <v>EF_solar_Extraction_CO2</v>
      </c>
      <c r="AS18" s="182">
        <v>0</v>
      </c>
      <c r="AT18" s="182">
        <v>0</v>
      </c>
      <c r="AU18" s="182">
        <v>0</v>
      </c>
      <c r="AV18" s="319"/>
      <c r="AX18" s="273" t="s">
        <v>206</v>
      </c>
      <c r="AY18" s="182">
        <v>0</v>
      </c>
      <c r="AZ18" s="182">
        <v>0</v>
      </c>
      <c r="BA18" s="182">
        <v>0</v>
      </c>
      <c r="BB18" s="319"/>
      <c r="BD18" s="273" t="s">
        <v>206</v>
      </c>
      <c r="BE18" s="182">
        <v>0</v>
      </c>
      <c r="BF18" s="182">
        <v>0</v>
      </c>
      <c r="BG18" s="182">
        <v>0</v>
      </c>
      <c r="BH18" s="319"/>
    </row>
    <row r="19" spans="2:60" ht="62.25" customHeight="1" thickBot="1" x14ac:dyDescent="0.35">
      <c r="B19" s="347"/>
      <c r="C19" s="221" t="s">
        <v>207</v>
      </c>
      <c r="D19" s="221" t="s">
        <v>171</v>
      </c>
      <c r="E19" s="222">
        <f>1.1*10^-7</f>
        <v>1.1000000000000001E-7</v>
      </c>
      <c r="F19" s="222">
        <v>2.5000000000000001E-5</v>
      </c>
      <c r="G19" s="222">
        <v>0</v>
      </c>
      <c r="H19" s="307"/>
      <c r="J19" s="347"/>
      <c r="K19" s="221" t="s">
        <v>207</v>
      </c>
      <c r="L19" s="221" t="s">
        <v>171</v>
      </c>
      <c r="M19" s="222">
        <f>2.6*10^-7</f>
        <v>2.6E-7</v>
      </c>
      <c r="N19" s="222">
        <v>5.8E-5</v>
      </c>
      <c r="O19" s="222" t="s">
        <v>213</v>
      </c>
      <c r="P19" s="307"/>
      <c r="R19" s="42">
        <f t="shared" si="0"/>
        <v>0.57692307692307687</v>
      </c>
      <c r="S19" s="42">
        <f t="shared" si="1"/>
        <v>1.3636363636363635</v>
      </c>
      <c r="U19" s="352"/>
      <c r="V19" s="341"/>
      <c r="W19" s="258" t="str">
        <f>W18</f>
        <v>Oil_Production</v>
      </c>
      <c r="X19" s="328"/>
      <c r="Y19" s="188" t="str">
        <f>D27</f>
        <v>Venting</v>
      </c>
      <c r="Z19" s="182">
        <f>E27</f>
        <v>1.8000000000000002E-3</v>
      </c>
      <c r="AA19" s="182">
        <f t="shared" ref="AA19:AB19" si="31">F27</f>
        <v>8.6999999999999994E-3</v>
      </c>
      <c r="AB19" s="182">
        <f t="shared" si="31"/>
        <v>0</v>
      </c>
      <c r="AC19" s="306"/>
      <c r="AG19" s="218"/>
      <c r="AQ19" s="273" t="s">
        <v>208</v>
      </c>
      <c r="AR19" s="188" t="str">
        <f t="shared" si="9"/>
        <v>EF_waste_Extraction_CO2</v>
      </c>
      <c r="AS19" s="182">
        <v>0</v>
      </c>
      <c r="AT19" s="182">
        <v>0</v>
      </c>
      <c r="AU19" s="182">
        <v>0</v>
      </c>
      <c r="AV19" s="319"/>
      <c r="AX19" s="273" t="s">
        <v>208</v>
      </c>
      <c r="AY19" s="182">
        <v>0</v>
      </c>
      <c r="AZ19" s="182">
        <v>0</v>
      </c>
      <c r="BA19" s="182">
        <v>0</v>
      </c>
      <c r="BB19" s="319"/>
      <c r="BD19" s="273" t="s">
        <v>208</v>
      </c>
      <c r="BE19" s="182">
        <v>0</v>
      </c>
      <c r="BF19" s="182">
        <v>0</v>
      </c>
      <c r="BG19" s="182">
        <v>0</v>
      </c>
      <c r="BH19" s="319"/>
    </row>
    <row r="20" spans="2:60" ht="30.75" customHeight="1" thickBot="1" x14ac:dyDescent="0.35">
      <c r="B20" s="207" t="s">
        <v>209</v>
      </c>
      <c r="C20" s="223" t="s">
        <v>171</v>
      </c>
      <c r="D20" s="223" t="s">
        <v>171</v>
      </c>
      <c r="E20" s="224">
        <f>5.1*10^-5</f>
        <v>5.1E-5</v>
      </c>
      <c r="F20" s="224">
        <v>1.1000000000000001E-3</v>
      </c>
      <c r="G20" s="224">
        <v>0</v>
      </c>
      <c r="H20" s="225" t="s">
        <v>202</v>
      </c>
      <c r="J20" s="243" t="s">
        <v>210</v>
      </c>
      <c r="K20" s="208" t="s">
        <v>171</v>
      </c>
      <c r="L20" s="208" t="s">
        <v>171</v>
      </c>
      <c r="M20" s="209">
        <f>1.4*10^-4</f>
        <v>1.3999999999999999E-4</v>
      </c>
      <c r="N20" s="209">
        <v>2.5000000000000001E-3</v>
      </c>
      <c r="O20" s="209" t="s">
        <v>213</v>
      </c>
      <c r="P20" s="210" t="s">
        <v>202</v>
      </c>
      <c r="R20" s="42">
        <f t="shared" si="0"/>
        <v>0.63571428571428579</v>
      </c>
      <c r="S20" s="42">
        <f t="shared" si="1"/>
        <v>1.7450980392156863</v>
      </c>
      <c r="U20" s="352"/>
      <c r="V20" s="341"/>
      <c r="W20" s="258" t="str">
        <f>W19</f>
        <v>Oil_Production</v>
      </c>
      <c r="X20" s="328"/>
      <c r="Y20" s="188" t="str">
        <f>D28</f>
        <v>Flaring</v>
      </c>
      <c r="Z20" s="182">
        <f>E28</f>
        <v>3.4000000000000002E-2</v>
      </c>
      <c r="AA20" s="182">
        <f t="shared" ref="AA20:AB20" si="32">F28</f>
        <v>2.0999999999999999E-5</v>
      </c>
      <c r="AB20" s="182">
        <f t="shared" si="32"/>
        <v>5.4000000000000002E-7</v>
      </c>
      <c r="AC20" s="306"/>
      <c r="AG20" s="218"/>
      <c r="AQ20" s="274" t="s">
        <v>211</v>
      </c>
      <c r="AR20" s="221" t="str">
        <f t="shared" si="9"/>
        <v>EF_wind_Extraction_CO2</v>
      </c>
      <c r="AS20" s="184">
        <v>0</v>
      </c>
      <c r="AT20" s="184">
        <v>0</v>
      </c>
      <c r="AU20" s="184">
        <v>0</v>
      </c>
      <c r="AV20" s="320"/>
      <c r="AX20" s="274" t="s">
        <v>211</v>
      </c>
      <c r="AY20" s="184">
        <v>0</v>
      </c>
      <c r="AZ20" s="184">
        <v>0</v>
      </c>
      <c r="BA20" s="184">
        <v>0</v>
      </c>
      <c r="BB20" s="320"/>
      <c r="BD20" s="274" t="s">
        <v>211</v>
      </c>
      <c r="BE20" s="184">
        <v>0</v>
      </c>
      <c r="BF20" s="184">
        <v>0</v>
      </c>
      <c r="BG20" s="184">
        <v>0</v>
      </c>
      <c r="BH20" s="320"/>
    </row>
    <row r="21" spans="2:60" ht="18" thickBot="1" x14ac:dyDescent="0.35">
      <c r="R21" s="42"/>
      <c r="S21" s="42"/>
      <c r="U21" s="352"/>
      <c r="V21" s="341"/>
      <c r="W21" s="188" t="str">
        <f t="shared" ref="W21:Y22" si="33">B29</f>
        <v>Oil_Upgrading</v>
      </c>
      <c r="X21" s="188" t="str">
        <f t="shared" si="33"/>
        <v>All</v>
      </c>
      <c r="Y21" s="188" t="str">
        <f t="shared" si="33"/>
        <v>All</v>
      </c>
      <c r="Z21" s="182">
        <v>1.1000000000000001E-7</v>
      </c>
      <c r="AA21" s="182">
        <v>1.1000000000000001E-7</v>
      </c>
      <c r="AB21" s="182">
        <v>1.1000000000000001E-7</v>
      </c>
      <c r="AC21" s="131" t="s">
        <v>212</v>
      </c>
      <c r="AD21" s="130" t="s">
        <v>213</v>
      </c>
      <c r="AG21" s="218"/>
    </row>
    <row r="22" spans="2:60" ht="24" customHeight="1" x14ac:dyDescent="0.3">
      <c r="B22" s="342" t="s">
        <v>214</v>
      </c>
      <c r="C22" s="220" t="s">
        <v>215</v>
      </c>
      <c r="D22" s="220" t="s">
        <v>216</v>
      </c>
      <c r="E22" s="183">
        <f>7.2*10^-6</f>
        <v>7.1999999999999997E-6</v>
      </c>
      <c r="F22" s="183">
        <v>1.1E-4</v>
      </c>
      <c r="G22" s="183">
        <v>0</v>
      </c>
      <c r="H22" s="187" t="s">
        <v>217</v>
      </c>
      <c r="J22" s="342" t="s">
        <v>214</v>
      </c>
      <c r="K22" s="125" t="s">
        <v>215</v>
      </c>
      <c r="L22" s="125" t="s">
        <v>216</v>
      </c>
      <c r="M22" s="126">
        <f>7.2*10^-6</f>
        <v>7.1999999999999997E-6</v>
      </c>
      <c r="N22" s="126">
        <v>1.1E-4</v>
      </c>
      <c r="O22" s="126" t="s">
        <v>213</v>
      </c>
      <c r="P22" s="211" t="s">
        <v>217</v>
      </c>
      <c r="R22" s="42">
        <f>ABS(M22-E22)/M22</f>
        <v>0</v>
      </c>
      <c r="S22" s="42">
        <f>ABS(M22-E22)/E22</f>
        <v>0</v>
      </c>
      <c r="U22" s="352"/>
      <c r="V22" s="341" t="s">
        <v>169</v>
      </c>
      <c r="W22" s="258" t="str">
        <f t="shared" si="33"/>
        <v>Oil_Transport</v>
      </c>
      <c r="X22" s="188" t="str">
        <f t="shared" si="33"/>
        <v>Pipelines</v>
      </c>
      <c r="Y22" s="188" t="str">
        <f t="shared" si="33"/>
        <v>All</v>
      </c>
      <c r="Z22" s="182">
        <f>E30</f>
        <v>4.8999999999999997E-7</v>
      </c>
      <c r="AA22" s="182">
        <f t="shared" ref="AA22:AB22" si="34">F30</f>
        <v>5.4E-6</v>
      </c>
      <c r="AB22" s="182">
        <f t="shared" si="34"/>
        <v>0</v>
      </c>
      <c r="AC22" s="131" t="s">
        <v>218</v>
      </c>
      <c r="AG22" s="218"/>
    </row>
    <row r="23" spans="2:60" ht="34.799999999999997" x14ac:dyDescent="0.3">
      <c r="B23" s="343"/>
      <c r="C23" s="188" t="s">
        <v>219</v>
      </c>
      <c r="D23" s="188" t="s">
        <v>216</v>
      </c>
      <c r="E23" s="182">
        <f>4.3*10^-4</f>
        <v>4.2999999999999999E-4</v>
      </c>
      <c r="F23" s="182">
        <v>0</v>
      </c>
      <c r="G23" s="182">
        <v>2.1999999999999998E-9</v>
      </c>
      <c r="H23" s="186" t="s">
        <v>220</v>
      </c>
      <c r="J23" s="343"/>
      <c r="K23" s="35" t="s">
        <v>219</v>
      </c>
      <c r="L23" s="35" t="s">
        <v>216</v>
      </c>
      <c r="M23" s="36">
        <f>4.3*10^-4</f>
        <v>4.2999999999999999E-4</v>
      </c>
      <c r="N23" s="36" t="s">
        <v>228</v>
      </c>
      <c r="O23" s="36">
        <v>2.1999999999999998E-9</v>
      </c>
      <c r="P23" s="131" t="s">
        <v>220</v>
      </c>
      <c r="R23" s="42">
        <f>ABS(M23-E23)/M23</f>
        <v>0</v>
      </c>
      <c r="S23" s="42">
        <f>ABS(M23-E23)/E23</f>
        <v>0</v>
      </c>
      <c r="U23" s="352"/>
      <c r="V23" s="341"/>
      <c r="W23" s="259" t="str">
        <f>W22</f>
        <v>Oil_Transport</v>
      </c>
      <c r="X23" s="188" t="str">
        <f t="shared" ref="X23:Y26" si="35">C31</f>
        <v>Tanker_truks_and_Rail_Cars</v>
      </c>
      <c r="Y23" s="188" t="str">
        <f t="shared" si="35"/>
        <v>Venting</v>
      </c>
      <c r="Z23" s="182">
        <f>E31</f>
        <v>2.2999999999999996E-6</v>
      </c>
      <c r="AA23" s="182">
        <f t="shared" ref="AA23:AB23" si="36">F31</f>
        <v>2.5000000000000001E-5</v>
      </c>
      <c r="AB23" s="182">
        <f t="shared" si="36"/>
        <v>0</v>
      </c>
      <c r="AC23" s="131" t="s">
        <v>221</v>
      </c>
      <c r="AG23" s="218"/>
    </row>
    <row r="24" spans="2:60" ht="42" customHeight="1" thickBot="1" x14ac:dyDescent="0.35">
      <c r="B24" s="344"/>
      <c r="C24" s="221" t="s">
        <v>222</v>
      </c>
      <c r="D24" s="221" t="s">
        <v>216</v>
      </c>
      <c r="E24" s="184" t="s">
        <v>213</v>
      </c>
      <c r="F24" s="184">
        <v>0</v>
      </c>
      <c r="G24" s="184">
        <v>0</v>
      </c>
      <c r="H24" s="226" t="s">
        <v>193</v>
      </c>
      <c r="J24" s="344"/>
      <c r="K24" s="127" t="s">
        <v>222</v>
      </c>
      <c r="L24" s="127" t="s">
        <v>216</v>
      </c>
      <c r="M24" s="128" t="s">
        <v>213</v>
      </c>
      <c r="N24" s="128" t="s">
        <v>213</v>
      </c>
      <c r="O24" s="128" t="s">
        <v>213</v>
      </c>
      <c r="P24" s="129" t="s">
        <v>193</v>
      </c>
      <c r="R24" s="42" t="e">
        <f>ABS(M24-E24)/M24</f>
        <v>#VALUE!</v>
      </c>
      <c r="S24" s="42" t="e">
        <f>ABS(M24-E24)/E24</f>
        <v>#VALUE!</v>
      </c>
      <c r="U24" s="352"/>
      <c r="V24" s="341"/>
      <c r="W24" s="206" t="str">
        <f>W23</f>
        <v>Oil_Transport</v>
      </c>
      <c r="X24" s="188" t="str">
        <f t="shared" si="35"/>
        <v>Loading_of_OFF_shore_Production_on_Tanker_Ships</v>
      </c>
      <c r="Y24" s="188" t="str">
        <f t="shared" si="35"/>
        <v>Venting</v>
      </c>
      <c r="Z24" s="182">
        <v>1.1000000000000001E-7</v>
      </c>
      <c r="AA24" s="182">
        <v>1.1000000000000001E-7</v>
      </c>
      <c r="AB24" s="182">
        <v>1.1000000000000001E-7</v>
      </c>
      <c r="AC24" s="131" t="s">
        <v>223</v>
      </c>
      <c r="AD24" s="130" t="s">
        <v>213</v>
      </c>
      <c r="AG24" s="218"/>
    </row>
    <row r="25" spans="2:60" ht="31.5" customHeight="1" thickBot="1" x14ac:dyDescent="0.35">
      <c r="U25" s="352"/>
      <c r="V25" s="341" t="s">
        <v>168</v>
      </c>
      <c r="W25" s="188" t="str">
        <f>B33</f>
        <v>Oil_Refining</v>
      </c>
      <c r="X25" s="188" t="str">
        <f t="shared" si="35"/>
        <v>All</v>
      </c>
      <c r="Y25" s="188" t="str">
        <f t="shared" si="35"/>
        <v>All</v>
      </c>
      <c r="Z25" s="182">
        <v>1.1000000000000001E-7</v>
      </c>
      <c r="AA25" s="182">
        <v>1.1000000000000001E-7</v>
      </c>
      <c r="AB25" s="182">
        <v>1.1000000000000001E-7</v>
      </c>
      <c r="AC25" s="131" t="s">
        <v>224</v>
      </c>
      <c r="AD25" s="130" t="s">
        <v>213</v>
      </c>
      <c r="AG25" s="218"/>
    </row>
    <row r="26" spans="2:60" ht="50.25" customHeight="1" thickBot="1" x14ac:dyDescent="0.35">
      <c r="B26" s="369" t="s">
        <v>225</v>
      </c>
      <c r="C26" s="310" t="s">
        <v>191</v>
      </c>
      <c r="D26" s="220" t="s">
        <v>183</v>
      </c>
      <c r="E26" s="183">
        <f>2.8*10^-4</f>
        <v>2.7999999999999998E-4</v>
      </c>
      <c r="F26" s="183">
        <v>2.2000000000000001E-3</v>
      </c>
      <c r="G26" s="183">
        <v>0</v>
      </c>
      <c r="H26" s="305" t="s">
        <v>205</v>
      </c>
      <c r="J26" s="345" t="s">
        <v>226</v>
      </c>
      <c r="K26" s="310" t="s">
        <v>191</v>
      </c>
      <c r="L26" s="244" t="s">
        <v>183</v>
      </c>
      <c r="M26" s="245">
        <f>4.7*10^-3</f>
        <v>4.7000000000000002E-3</v>
      </c>
      <c r="N26" s="245">
        <v>3.6999999999999998E-2</v>
      </c>
      <c r="O26" s="245" t="s">
        <v>228</v>
      </c>
      <c r="P26" s="305" t="s">
        <v>205</v>
      </c>
      <c r="R26" s="42">
        <f t="shared" ref="R26:R34" si="37">ABS(M26-E26)/M26</f>
        <v>0.94042553191489364</v>
      </c>
      <c r="S26" s="42">
        <f t="shared" ref="S26:S34" si="38">ABS(M26-E26)/E26</f>
        <v>15.785714285714288</v>
      </c>
      <c r="U26" s="353"/>
      <c r="V26" s="368"/>
      <c r="W26" s="221" t="str">
        <f>B34</f>
        <v>Refine_product_distribution</v>
      </c>
      <c r="X26" s="221" t="str">
        <f t="shared" si="35"/>
        <v>All</v>
      </c>
      <c r="Y26" s="221" t="str">
        <f t="shared" si="35"/>
        <v>All</v>
      </c>
      <c r="Z26" s="182">
        <v>1.1000000000000001E-7</v>
      </c>
      <c r="AA26" s="182">
        <v>1.1000000000000001E-7</v>
      </c>
      <c r="AB26" s="182">
        <v>1.1000000000000001E-7</v>
      </c>
      <c r="AC26" s="129" t="s">
        <v>227</v>
      </c>
      <c r="AD26" s="130" t="s">
        <v>228</v>
      </c>
      <c r="AG26" s="218"/>
    </row>
    <row r="27" spans="2:60" ht="36" customHeight="1" x14ac:dyDescent="0.3">
      <c r="B27" s="370"/>
      <c r="C27" s="328"/>
      <c r="D27" s="188" t="s">
        <v>204</v>
      </c>
      <c r="E27" s="182">
        <f>1.8*10^-3</f>
        <v>1.8000000000000002E-3</v>
      </c>
      <c r="F27" s="182">
        <v>8.6999999999999994E-3</v>
      </c>
      <c r="G27" s="182">
        <v>0</v>
      </c>
      <c r="H27" s="306"/>
      <c r="J27" s="346"/>
      <c r="K27" s="328"/>
      <c r="L27" s="188" t="s">
        <v>204</v>
      </c>
      <c r="M27" s="219">
        <f>2.5*10^-3</f>
        <v>2.5000000000000001E-3</v>
      </c>
      <c r="N27" s="219">
        <v>1.2E-2</v>
      </c>
      <c r="O27" s="219" t="s">
        <v>228</v>
      </c>
      <c r="P27" s="306"/>
      <c r="R27" s="42">
        <f t="shared" si="37"/>
        <v>0.27999999999999997</v>
      </c>
      <c r="S27" s="42">
        <f t="shared" si="38"/>
        <v>0.38888888888888878</v>
      </c>
    </row>
    <row r="28" spans="2:60" ht="16.2" thickBot="1" x14ac:dyDescent="0.35">
      <c r="B28" s="371"/>
      <c r="C28" s="311"/>
      <c r="D28" s="221" t="s">
        <v>187</v>
      </c>
      <c r="E28" s="184">
        <f>3.4*10^-2</f>
        <v>3.4000000000000002E-2</v>
      </c>
      <c r="F28" s="184">
        <v>2.0999999999999999E-5</v>
      </c>
      <c r="G28" s="184">
        <v>5.4000000000000002E-7</v>
      </c>
      <c r="H28" s="307"/>
      <c r="J28" s="347"/>
      <c r="K28" s="311"/>
      <c r="L28" s="221" t="s">
        <v>187</v>
      </c>
      <c r="M28" s="246">
        <f>4.7*10^-2</f>
        <v>4.7E-2</v>
      </c>
      <c r="N28" s="246">
        <v>2.9E-5</v>
      </c>
      <c r="O28" s="246">
        <v>7.4000000000000001E-7</v>
      </c>
      <c r="P28" s="307"/>
      <c r="R28" s="42">
        <f t="shared" si="37"/>
        <v>0.27659574468085102</v>
      </c>
      <c r="S28" s="42">
        <f t="shared" si="38"/>
        <v>0.38235294117647051</v>
      </c>
    </row>
    <row r="29" spans="2:60" ht="20.25" customHeight="1" thickBot="1" x14ac:dyDescent="0.35">
      <c r="B29" s="216" t="s">
        <v>229</v>
      </c>
      <c r="C29" s="216" t="s">
        <v>171</v>
      </c>
      <c r="D29" s="216" t="s">
        <v>171</v>
      </c>
      <c r="E29" s="216" t="s">
        <v>213</v>
      </c>
      <c r="F29" s="216" t="s">
        <v>213</v>
      </c>
      <c r="G29" s="216" t="s">
        <v>213</v>
      </c>
      <c r="H29" s="216" t="s">
        <v>212</v>
      </c>
      <c r="J29" s="247" t="s">
        <v>230</v>
      </c>
      <c r="K29" s="248" t="s">
        <v>171</v>
      </c>
      <c r="L29" s="248" t="s">
        <v>171</v>
      </c>
      <c r="M29" s="248" t="s">
        <v>213</v>
      </c>
      <c r="N29" s="248" t="s">
        <v>213</v>
      </c>
      <c r="O29" s="248" t="s">
        <v>213</v>
      </c>
      <c r="P29" s="225" t="s">
        <v>212</v>
      </c>
      <c r="R29" s="42" t="e">
        <f t="shared" si="37"/>
        <v>#VALUE!</v>
      </c>
      <c r="S29" s="42" t="e">
        <f t="shared" si="38"/>
        <v>#VALUE!</v>
      </c>
    </row>
    <row r="30" spans="2:60" ht="83.25" customHeight="1" x14ac:dyDescent="0.3">
      <c r="B30" s="362" t="s">
        <v>231</v>
      </c>
      <c r="C30" s="183" t="s">
        <v>232</v>
      </c>
      <c r="D30" s="183" t="s">
        <v>171</v>
      </c>
      <c r="E30" s="183">
        <f>4.9*10^-7</f>
        <v>4.8999999999999997E-7</v>
      </c>
      <c r="F30" s="183">
        <v>5.4E-6</v>
      </c>
      <c r="G30" s="183">
        <v>0</v>
      </c>
      <c r="H30" s="187" t="s">
        <v>218</v>
      </c>
      <c r="J30" s="362" t="s">
        <v>233</v>
      </c>
      <c r="K30" s="183" t="s">
        <v>232</v>
      </c>
      <c r="L30" s="183" t="s">
        <v>171</v>
      </c>
      <c r="M30" s="183">
        <f>4.9*10^-7</f>
        <v>4.8999999999999997E-7</v>
      </c>
      <c r="N30" s="183">
        <v>5.4E-6</v>
      </c>
      <c r="O30" s="183" t="s">
        <v>228</v>
      </c>
      <c r="P30" s="187" t="s">
        <v>218</v>
      </c>
      <c r="R30" s="42">
        <f t="shared" si="37"/>
        <v>0</v>
      </c>
      <c r="S30" s="42">
        <f t="shared" si="38"/>
        <v>0</v>
      </c>
    </row>
    <row r="31" spans="2:60" ht="97.2" x14ac:dyDescent="0.3">
      <c r="B31" s="363"/>
      <c r="C31" s="182" t="s">
        <v>234</v>
      </c>
      <c r="D31" s="182" t="s">
        <v>204</v>
      </c>
      <c r="E31" s="182">
        <f>2.3*10^-6</f>
        <v>2.2999999999999996E-6</v>
      </c>
      <c r="F31" s="182">
        <v>2.5000000000000001E-5</v>
      </c>
      <c r="G31" s="182">
        <v>0</v>
      </c>
      <c r="H31" s="186" t="s">
        <v>221</v>
      </c>
      <c r="J31" s="363"/>
      <c r="K31" s="182" t="s">
        <v>235</v>
      </c>
      <c r="L31" s="182" t="s">
        <v>204</v>
      </c>
      <c r="M31" s="182">
        <f>2.3*10^-6</f>
        <v>2.2999999999999996E-6</v>
      </c>
      <c r="N31" s="182">
        <v>2.5000000000000001E-5</v>
      </c>
      <c r="O31" s="182" t="s">
        <v>228</v>
      </c>
      <c r="P31" s="186" t="s">
        <v>221</v>
      </c>
      <c r="R31" s="42">
        <f t="shared" si="37"/>
        <v>0</v>
      </c>
      <c r="S31" s="42">
        <f t="shared" si="38"/>
        <v>0</v>
      </c>
    </row>
    <row r="32" spans="2:60" ht="97.8" thickBot="1" x14ac:dyDescent="0.35">
      <c r="B32" s="364"/>
      <c r="C32" s="184" t="s">
        <v>236</v>
      </c>
      <c r="D32" s="184" t="s">
        <v>204</v>
      </c>
      <c r="E32" s="184" t="s">
        <v>213</v>
      </c>
      <c r="F32" s="182" t="s">
        <v>228</v>
      </c>
      <c r="G32" s="182" t="s">
        <v>228</v>
      </c>
      <c r="H32" s="226" t="s">
        <v>223</v>
      </c>
      <c r="J32" s="364"/>
      <c r="K32" s="184" t="s">
        <v>237</v>
      </c>
      <c r="L32" s="184" t="s">
        <v>204</v>
      </c>
      <c r="M32" s="184" t="s">
        <v>213</v>
      </c>
      <c r="N32" s="184" t="s">
        <v>213</v>
      </c>
      <c r="O32" s="184" t="s">
        <v>213</v>
      </c>
      <c r="P32" s="226" t="s">
        <v>223</v>
      </c>
      <c r="R32" s="42" t="e">
        <f t="shared" si="37"/>
        <v>#VALUE!</v>
      </c>
      <c r="S32" s="42" t="e">
        <f t="shared" si="38"/>
        <v>#VALUE!</v>
      </c>
    </row>
    <row r="33" spans="2:30" ht="51" thickBot="1" x14ac:dyDescent="0.35">
      <c r="B33" s="215" t="s">
        <v>238</v>
      </c>
      <c r="C33" s="215" t="s">
        <v>171</v>
      </c>
      <c r="D33" s="215" t="s">
        <v>171</v>
      </c>
      <c r="E33" s="215" t="s">
        <v>213</v>
      </c>
      <c r="F33" s="182" t="s">
        <v>228</v>
      </c>
      <c r="G33" s="182" t="s">
        <v>228</v>
      </c>
      <c r="H33" s="215" t="s">
        <v>224</v>
      </c>
      <c r="J33" s="247" t="s">
        <v>239</v>
      </c>
      <c r="K33" s="248" t="s">
        <v>171</v>
      </c>
      <c r="L33" s="248" t="s">
        <v>171</v>
      </c>
      <c r="M33" s="248" t="s">
        <v>213</v>
      </c>
      <c r="N33" s="248" t="s">
        <v>213</v>
      </c>
      <c r="O33" s="248" t="s">
        <v>213</v>
      </c>
      <c r="P33" s="225" t="s">
        <v>224</v>
      </c>
      <c r="R33" s="42" t="e">
        <f t="shared" si="37"/>
        <v>#VALUE!</v>
      </c>
      <c r="S33" s="42" t="e">
        <f t="shared" si="38"/>
        <v>#VALUE!</v>
      </c>
    </row>
    <row r="34" spans="2:30" ht="66.599999999999994" thickBot="1" x14ac:dyDescent="0.35">
      <c r="B34" s="182" t="s">
        <v>240</v>
      </c>
      <c r="C34" s="182" t="s">
        <v>171</v>
      </c>
      <c r="D34" s="182" t="s">
        <v>171</v>
      </c>
      <c r="E34" s="182" t="s">
        <v>228</v>
      </c>
      <c r="F34" s="182" t="s">
        <v>228</v>
      </c>
      <c r="G34" s="182" t="s">
        <v>228</v>
      </c>
      <c r="H34" s="182" t="s">
        <v>227</v>
      </c>
      <c r="J34" s="247" t="s">
        <v>241</v>
      </c>
      <c r="K34" s="248" t="s">
        <v>171</v>
      </c>
      <c r="L34" s="248" t="s">
        <v>171</v>
      </c>
      <c r="M34" s="248" t="s">
        <v>228</v>
      </c>
      <c r="N34" s="248"/>
      <c r="O34" s="248"/>
      <c r="P34" s="225" t="s">
        <v>227</v>
      </c>
      <c r="R34" s="42" t="e">
        <f t="shared" si="37"/>
        <v>#VALUE!</v>
      </c>
      <c r="S34" s="42" t="e">
        <f t="shared" si="38"/>
        <v>#VALUE!</v>
      </c>
    </row>
    <row r="37" spans="2:30" ht="29.4" thickBot="1" x14ac:dyDescent="0.6">
      <c r="B37" s="365" t="s">
        <v>242</v>
      </c>
      <c r="C37" s="365"/>
      <c r="D37" s="365"/>
      <c r="E37" s="365"/>
      <c r="F37" s="365"/>
      <c r="G37" s="365"/>
      <c r="H37" s="365"/>
      <c r="I37" s="365"/>
      <c r="J37" s="365"/>
      <c r="K37" s="365"/>
      <c r="L37" s="365"/>
      <c r="M37" s="365"/>
      <c r="N37" s="365"/>
      <c r="O37" s="365"/>
      <c r="P37" s="365"/>
      <c r="Q37" s="365"/>
      <c r="R37" s="365"/>
      <c r="S37" s="365"/>
      <c r="T37" s="365"/>
      <c r="U37" s="365"/>
      <c r="V37" s="365"/>
      <c r="W37" s="365"/>
      <c r="X37" s="365"/>
      <c r="Y37" s="365"/>
      <c r="Z37" s="365"/>
      <c r="AA37" s="365"/>
      <c r="AB37" s="365"/>
      <c r="AC37" s="365"/>
      <c r="AD37" s="365"/>
    </row>
    <row r="39" spans="2:30" x14ac:dyDescent="0.3">
      <c r="B39" s="360" t="s">
        <v>243</v>
      </c>
      <c r="C39" s="360"/>
      <c r="D39" s="360"/>
      <c r="E39" s="360"/>
      <c r="F39" s="360"/>
      <c r="G39" s="360"/>
      <c r="H39" s="360"/>
      <c r="I39" s="360"/>
      <c r="J39" s="360"/>
      <c r="K39" s="360"/>
      <c r="L39" s="360"/>
      <c r="M39" s="360"/>
      <c r="N39" s="360"/>
      <c r="O39" s="360"/>
      <c r="P39" s="360"/>
      <c r="Q39" s="360"/>
      <c r="R39" s="360"/>
      <c r="S39" s="360"/>
      <c r="T39" s="360"/>
      <c r="U39" s="360"/>
    </row>
    <row r="41" spans="2:30" x14ac:dyDescent="0.3">
      <c r="B41" s="366" t="s">
        <v>244</v>
      </c>
      <c r="C41" s="366"/>
      <c r="D41" s="366"/>
      <c r="E41" s="366"/>
      <c r="F41" s="203"/>
      <c r="G41" s="203"/>
      <c r="H41" s="227"/>
      <c r="I41" s="122"/>
      <c r="J41" s="122"/>
      <c r="K41" s="366" t="s">
        <v>245</v>
      </c>
      <c r="L41" s="366"/>
      <c r="M41" s="366"/>
      <c r="N41" s="203"/>
      <c r="O41" s="203"/>
      <c r="S41" s="367" t="s">
        <v>246</v>
      </c>
      <c r="T41" s="367"/>
      <c r="U41" s="367"/>
    </row>
    <row r="43" spans="2:30" ht="62.4" x14ac:dyDescent="0.3">
      <c r="B43" s="123" t="s">
        <v>247</v>
      </c>
      <c r="C43" s="123" t="s">
        <v>248</v>
      </c>
      <c r="D43" s="124" t="s">
        <v>249</v>
      </c>
      <c r="K43" s="37" t="s">
        <v>247</v>
      </c>
      <c r="L43" s="43" t="s">
        <v>250</v>
      </c>
      <c r="M43" s="37" t="s">
        <v>164</v>
      </c>
      <c r="N43" s="202"/>
      <c r="O43" s="202"/>
    </row>
    <row r="44" spans="2:30" ht="30.75" customHeight="1" x14ac:dyDescent="0.3">
      <c r="B44" s="1" t="s">
        <v>3</v>
      </c>
      <c r="C44" s="188" t="s">
        <v>251</v>
      </c>
      <c r="D44" s="1">
        <v>1.57</v>
      </c>
      <c r="E44" s="328" t="s">
        <v>252</v>
      </c>
      <c r="K44" s="35" t="s">
        <v>4</v>
      </c>
      <c r="L44" s="44">
        <v>4.9000000000000002E-2</v>
      </c>
      <c r="M44" s="35" t="s">
        <v>253</v>
      </c>
    </row>
    <row r="45" spans="2:30" ht="38.25" customHeight="1" x14ac:dyDescent="0.3">
      <c r="B45" s="188" t="str">
        <f>B44</f>
        <v>CO2</v>
      </c>
      <c r="C45" s="188" t="s">
        <v>254</v>
      </c>
      <c r="D45" s="1">
        <v>4.3</v>
      </c>
      <c r="E45" s="328"/>
    </row>
    <row r="46" spans="2:30" x14ac:dyDescent="0.3">
      <c r="B46" s="188" t="s">
        <v>4</v>
      </c>
      <c r="C46" s="188" t="str">
        <f>C44</f>
        <v>Charcoal</v>
      </c>
      <c r="D46" s="188">
        <v>403</v>
      </c>
      <c r="E46" s="328"/>
    </row>
    <row r="47" spans="2:30" x14ac:dyDescent="0.3">
      <c r="B47" s="188" t="str">
        <f>B46</f>
        <v>CH4</v>
      </c>
      <c r="C47" s="188" t="str">
        <f>C45</f>
        <v>Biochar</v>
      </c>
      <c r="D47" s="188">
        <v>30</v>
      </c>
      <c r="E47" s="328"/>
    </row>
    <row r="48" spans="2:30" x14ac:dyDescent="0.3">
      <c r="B48" s="188" t="s">
        <v>5</v>
      </c>
      <c r="C48" s="188" t="s">
        <v>251</v>
      </c>
      <c r="D48" s="188">
        <v>8</v>
      </c>
      <c r="E48" s="328"/>
    </row>
    <row r="49" spans="2:21" x14ac:dyDescent="0.3">
      <c r="B49" s="188" t="s">
        <v>5</v>
      </c>
      <c r="C49" s="188" t="s">
        <v>254</v>
      </c>
      <c r="D49" s="188">
        <v>0</v>
      </c>
      <c r="E49" s="328"/>
    </row>
    <row r="52" spans="2:21" ht="16.2" thickBot="1" x14ac:dyDescent="0.35"/>
    <row r="53" spans="2:21" ht="29.4" thickBot="1" x14ac:dyDescent="0.6">
      <c r="B53" s="357" t="s">
        <v>255</v>
      </c>
      <c r="C53" s="358"/>
      <c r="D53" s="358"/>
      <c r="E53" s="358"/>
      <c r="F53" s="358"/>
      <c r="G53" s="358"/>
      <c r="H53" s="358"/>
      <c r="I53" s="358"/>
      <c r="J53" s="358"/>
      <c r="K53" s="358"/>
      <c r="L53" s="358"/>
      <c r="M53" s="358"/>
      <c r="N53" s="358"/>
      <c r="O53" s="358"/>
      <c r="P53" s="358"/>
      <c r="Q53" s="358"/>
      <c r="R53" s="358"/>
      <c r="S53" s="358"/>
      <c r="T53" s="358"/>
      <c r="U53" s="359"/>
    </row>
    <row r="55" spans="2:21" ht="36" customHeight="1" x14ac:dyDescent="0.3">
      <c r="B55" s="360" t="s">
        <v>523</v>
      </c>
      <c r="C55" s="360"/>
      <c r="D55" s="360"/>
      <c r="E55" s="360"/>
      <c r="F55" s="360"/>
      <c r="G55" s="360"/>
      <c r="H55" s="360"/>
      <c r="J55" s="361" t="s">
        <v>256</v>
      </c>
      <c r="K55" s="361"/>
      <c r="L55" s="361"/>
    </row>
    <row r="56" spans="2:21" x14ac:dyDescent="0.3">
      <c r="B56" s="123" t="s">
        <v>247</v>
      </c>
      <c r="C56" s="123" t="s">
        <v>257</v>
      </c>
      <c r="D56" s="123" t="s">
        <v>258</v>
      </c>
      <c r="E56" s="123" t="s">
        <v>259</v>
      </c>
      <c r="F56" s="123"/>
      <c r="G56" s="123"/>
      <c r="H56" s="123" t="s">
        <v>164</v>
      </c>
      <c r="J56" s="37" t="s">
        <v>247</v>
      </c>
      <c r="K56" s="37" t="s">
        <v>260</v>
      </c>
      <c r="L56" s="37" t="s">
        <v>164</v>
      </c>
    </row>
    <row r="57" spans="2:21" ht="30.75" customHeight="1" x14ac:dyDescent="0.3">
      <c r="B57" s="188" t="s">
        <v>3</v>
      </c>
      <c r="C57" s="228">
        <v>55000</v>
      </c>
      <c r="D57" s="228">
        <v>55000</v>
      </c>
      <c r="E57" s="228">
        <v>78000</v>
      </c>
      <c r="F57" s="228"/>
      <c r="G57" s="228"/>
      <c r="H57" s="328" t="s">
        <v>261</v>
      </c>
      <c r="J57" s="35" t="s">
        <v>3</v>
      </c>
      <c r="K57" s="45">
        <v>12.73</v>
      </c>
      <c r="L57" s="35" t="s">
        <v>262</v>
      </c>
    </row>
    <row r="58" spans="2:21" x14ac:dyDescent="0.3">
      <c r="B58" s="188" t="s">
        <v>4</v>
      </c>
      <c r="C58" s="228">
        <v>6.1</v>
      </c>
      <c r="D58" s="228">
        <v>6.1</v>
      </c>
      <c r="E58" s="228">
        <v>6.1</v>
      </c>
      <c r="F58" s="228"/>
      <c r="G58" s="228"/>
      <c r="H58" s="328"/>
    </row>
    <row r="59" spans="2:21" x14ac:dyDescent="0.3">
      <c r="B59" s="188" t="s">
        <v>5</v>
      </c>
      <c r="C59" s="228">
        <v>0</v>
      </c>
      <c r="D59" s="228">
        <v>0</v>
      </c>
      <c r="E59" s="228">
        <v>0</v>
      </c>
      <c r="F59" s="228"/>
      <c r="G59" s="228"/>
      <c r="H59" s="328"/>
    </row>
  </sheetData>
  <mergeCells count="72">
    <mergeCell ref="BN9:BN15"/>
    <mergeCell ref="B53:U53"/>
    <mergeCell ref="B55:H55"/>
    <mergeCell ref="J55:L55"/>
    <mergeCell ref="H57:H59"/>
    <mergeCell ref="E44:E49"/>
    <mergeCell ref="B30:B32"/>
    <mergeCell ref="J30:J32"/>
    <mergeCell ref="B37:AD37"/>
    <mergeCell ref="B39:U39"/>
    <mergeCell ref="B41:E41"/>
    <mergeCell ref="K41:M41"/>
    <mergeCell ref="S41:U41"/>
    <mergeCell ref="V25:V26"/>
    <mergeCell ref="B26:B28"/>
    <mergeCell ref="C26:C28"/>
    <mergeCell ref="H26:H28"/>
    <mergeCell ref="J26:J28"/>
    <mergeCell ref="K26:K28"/>
    <mergeCell ref="P26:P28"/>
    <mergeCell ref="U18:U26"/>
    <mergeCell ref="P17:P19"/>
    <mergeCell ref="V18:V21"/>
    <mergeCell ref="X18:X20"/>
    <mergeCell ref="AC18:AC20"/>
    <mergeCell ref="B22:B24"/>
    <mergeCell ref="J22:J24"/>
    <mergeCell ref="V22:V24"/>
    <mergeCell ref="B17:B19"/>
    <mergeCell ref="C17:C18"/>
    <mergeCell ref="H17:H19"/>
    <mergeCell ref="J17:J19"/>
    <mergeCell ref="K17:K18"/>
    <mergeCell ref="U9:U17"/>
    <mergeCell ref="AC9:AC13"/>
    <mergeCell ref="BH9:BH20"/>
    <mergeCell ref="V11:V13"/>
    <mergeCell ref="X11:X13"/>
    <mergeCell ref="B12:B13"/>
    <mergeCell ref="C12:C13"/>
    <mergeCell ref="H12:H16"/>
    <mergeCell ref="J12:J13"/>
    <mergeCell ref="K12:K13"/>
    <mergeCell ref="P12:P16"/>
    <mergeCell ref="AK12:AK14"/>
    <mergeCell ref="B14:B16"/>
    <mergeCell ref="C14:C16"/>
    <mergeCell ref="J14:J16"/>
    <mergeCell ref="K14:K16"/>
    <mergeCell ref="V14:V17"/>
    <mergeCell ref="AC14:AC16"/>
    <mergeCell ref="AK9:AK11"/>
    <mergeCell ref="AO9:AO14"/>
    <mergeCell ref="AV9:AV20"/>
    <mergeCell ref="BB9:BB20"/>
    <mergeCell ref="AE9:AE11"/>
    <mergeCell ref="AE12:AE14"/>
    <mergeCell ref="R8:S8"/>
    <mergeCell ref="H9:H11"/>
    <mergeCell ref="P9:P11"/>
    <mergeCell ref="V9:V10"/>
    <mergeCell ref="X9:X10"/>
    <mergeCell ref="BK7:BN7"/>
    <mergeCell ref="B5:AD5"/>
    <mergeCell ref="B7:H7"/>
    <mergeCell ref="J7:P7"/>
    <mergeCell ref="R7:S7"/>
    <mergeCell ref="W7:AC7"/>
    <mergeCell ref="AQ7:AV7"/>
    <mergeCell ref="AX7:BB7"/>
    <mergeCell ref="BD7:BH7"/>
    <mergeCell ref="AN6:AX6"/>
  </mergeCells>
  <hyperlinks>
    <hyperlink ref="AN6" display="https://www.google.com/url?sa=t&amp;rct=j&amp;q=&amp;esrc=s&amp;source=web&amp;cd=&amp;cad=rja&amp;uact=8&amp;ved=2ahUKEwjN1sTepb38AhX58rsIHapVAgAQFnoECEoQAQ&amp;url=https%3A%2F%2Fcanviclimatic.gencat.cat%2Fweb%2F.content%2F03_AMBITS%2Fmitigacio%2Fcomerc_de_drets_demissio%2Ffactors_demissio"/>
  </hyperlinks>
  <pageMargins left="0.7" right="0.7" top="0.75" bottom="0.75" header="0.511811023622047" footer="0.511811023622047"/>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42"/>
  <sheetViews>
    <sheetView topLeftCell="A46" zoomScaleNormal="100" workbookViewId="0">
      <pane xSplit="2" topLeftCell="C1" activePane="topRight" state="frozen"/>
      <selection activeCell="A79" sqref="A79"/>
      <selection pane="topRight" activeCell="N51" sqref="N51"/>
    </sheetView>
  </sheetViews>
  <sheetFormatPr baseColWidth="10" defaultColWidth="10.5546875" defaultRowHeight="14.4" x14ac:dyDescent="0.3"/>
  <cols>
    <col min="1" max="1" width="11.5546875" hidden="1" customWidth="1"/>
    <col min="2" max="3" width="41.88671875" customWidth="1"/>
    <col min="4" max="4" width="11.5546875" customWidth="1"/>
    <col min="6" max="9" width="11.5546875" customWidth="1"/>
    <col min="11" max="14" width="11.5546875" customWidth="1"/>
    <col min="17" max="18" width="11.5546875" customWidth="1"/>
    <col min="19" max="19" width="41.33203125" customWidth="1"/>
    <col min="20" max="20" width="16.109375" customWidth="1"/>
    <col min="21" max="21" width="30" customWidth="1"/>
    <col min="22" max="22" width="39.5546875" customWidth="1"/>
    <col min="23" max="23" width="20.88671875" customWidth="1"/>
    <col min="24" max="24" width="34.5546875" customWidth="1"/>
    <col min="25" max="25" width="19.44140625" customWidth="1"/>
    <col min="27" max="27" width="22.88671875" customWidth="1"/>
    <col min="28" max="28" width="13.109375" customWidth="1"/>
    <col min="29" max="30" width="11.5546875" customWidth="1"/>
    <col min="31" max="31" width="32.5546875" customWidth="1"/>
    <col min="35" max="35" width="39.44140625" customWidth="1"/>
    <col min="37" max="40" width="11.5546875" customWidth="1"/>
    <col min="42" max="45" width="11.5546875" customWidth="1"/>
    <col min="50" max="50" width="11.5546875" customWidth="1"/>
    <col min="51" max="51" width="39.44140625" customWidth="1"/>
    <col min="52" max="53" width="11.5546875" customWidth="1"/>
    <col min="55" max="58" width="11.5546875" customWidth="1"/>
  </cols>
  <sheetData>
    <row r="1" spans="2:35" ht="15" thickBot="1" x14ac:dyDescent="0.35"/>
    <row r="2" spans="2:35" ht="71.25" customHeight="1" thickBot="1" x14ac:dyDescent="0.35">
      <c r="B2" s="12" t="s">
        <v>25</v>
      </c>
      <c r="C2" s="171"/>
      <c r="X2" s="12" t="s">
        <v>25</v>
      </c>
      <c r="AA2" s="12" t="s">
        <v>25</v>
      </c>
      <c r="AE2" s="12" t="s">
        <v>497</v>
      </c>
      <c r="AI2" s="283" t="s">
        <v>528</v>
      </c>
    </row>
    <row r="3" spans="2:35" ht="15" thickBot="1" x14ac:dyDescent="0.35">
      <c r="B3" s="13" t="s">
        <v>26</v>
      </c>
      <c r="C3" s="172"/>
      <c r="X3" s="13" t="s">
        <v>26</v>
      </c>
      <c r="AA3" s="13" t="s">
        <v>26</v>
      </c>
      <c r="AE3" s="137" t="s">
        <v>26</v>
      </c>
    </row>
    <row r="4" spans="2:35" ht="15" thickBot="1" x14ac:dyDescent="0.35">
      <c r="B4" s="14" t="s">
        <v>27</v>
      </c>
      <c r="C4" s="173"/>
      <c r="D4" s="15" t="s">
        <v>28</v>
      </c>
      <c r="E4" s="15" t="s">
        <v>29</v>
      </c>
      <c r="F4" s="15" t="s">
        <v>30</v>
      </c>
      <c r="G4" s="15" t="s">
        <v>31</v>
      </c>
      <c r="H4" s="15" t="s">
        <v>32</v>
      </c>
      <c r="I4" s="15" t="s">
        <v>33</v>
      </c>
      <c r="J4" s="15" t="s">
        <v>34</v>
      </c>
      <c r="K4" s="15" t="s">
        <v>35</v>
      </c>
      <c r="L4" s="15" t="s">
        <v>36</v>
      </c>
      <c r="M4" s="15" t="s">
        <v>37</v>
      </c>
      <c r="N4" s="15" t="s">
        <v>38</v>
      </c>
      <c r="O4" s="15" t="s">
        <v>39</v>
      </c>
      <c r="P4" s="15" t="s">
        <v>40</v>
      </c>
      <c r="Q4" s="15" t="s">
        <v>41</v>
      </c>
      <c r="S4" s="373" t="s">
        <v>42</v>
      </c>
      <c r="T4" s="373"/>
      <c r="U4" s="16" t="str">
        <f>'IEA - Oil consumption World'!M15</f>
        <v>Oil consumption in 2019 (%)</v>
      </c>
      <c r="V4" s="16" t="s">
        <v>43</v>
      </c>
      <c r="X4" s="14" t="s">
        <v>27</v>
      </c>
      <c r="AA4" s="17" t="s">
        <v>27</v>
      </c>
      <c r="AE4" s="138" t="s">
        <v>375</v>
      </c>
      <c r="AF4" s="138" t="s">
        <v>3</v>
      </c>
      <c r="AG4" s="138" t="s">
        <v>4</v>
      </c>
      <c r="AH4" s="138" t="s">
        <v>5</v>
      </c>
    </row>
    <row r="5" spans="2:35" ht="15" thickBot="1" x14ac:dyDescent="0.35">
      <c r="B5" s="22" t="s">
        <v>44</v>
      </c>
      <c r="C5" t="s">
        <v>44</v>
      </c>
      <c r="D5" s="18">
        <v>0</v>
      </c>
      <c r="E5" s="19">
        <v>56100</v>
      </c>
      <c r="F5" s="18">
        <v>0</v>
      </c>
      <c r="G5" s="18">
        <v>0</v>
      </c>
      <c r="H5" s="18">
        <v>0</v>
      </c>
      <c r="I5" s="18">
        <v>0</v>
      </c>
      <c r="J5" s="18">
        <v>0</v>
      </c>
      <c r="K5" s="18">
        <v>0</v>
      </c>
      <c r="L5" s="18">
        <v>0</v>
      </c>
      <c r="M5" s="18">
        <v>0</v>
      </c>
      <c r="N5" s="18">
        <v>0</v>
      </c>
      <c r="O5" s="18">
        <v>0</v>
      </c>
      <c r="P5" s="18">
        <v>0</v>
      </c>
      <c r="Q5" s="18">
        <v>0</v>
      </c>
      <c r="S5" s="20" t="s">
        <v>45</v>
      </c>
      <c r="T5" s="20">
        <f>AVERAGE(74100,77400)</f>
        <v>75750</v>
      </c>
      <c r="U5" s="21">
        <f>'IEA - Oil consumption World'!N16</f>
        <v>8.8794599992128312E-2</v>
      </c>
      <c r="V5" s="288">
        <f>SUMPRODUCT(T5:T13,U5:U13)</f>
        <v>72961.656860342453</v>
      </c>
      <c r="X5" s="22" t="s">
        <v>44</v>
      </c>
      <c r="Y5" s="23">
        <f>E5</f>
        <v>56100</v>
      </c>
      <c r="AA5" s="24" t="s">
        <v>46</v>
      </c>
      <c r="AB5" s="25">
        <f t="shared" ref="AB5:AB42" si="0">VLOOKUP(CONCATENATE("PROTRA_",AA5),$X$5:$Y$46,2)</f>
        <v>56100</v>
      </c>
      <c r="AE5" s="138" t="s">
        <v>369</v>
      </c>
      <c r="AF5" s="139">
        <f>0</f>
        <v>0</v>
      </c>
      <c r="AG5" s="139">
        <v>0</v>
      </c>
      <c r="AH5" s="139">
        <v>0</v>
      </c>
    </row>
    <row r="6" spans="2:35" ht="15" thickBot="1" x14ac:dyDescent="0.35">
      <c r="B6" s="22" t="s">
        <v>47</v>
      </c>
      <c r="C6" t="s">
        <v>47</v>
      </c>
      <c r="D6" s="18">
        <v>0</v>
      </c>
      <c r="E6" s="19">
        <v>0</v>
      </c>
      <c r="F6" s="18">
        <v>0</v>
      </c>
      <c r="G6" s="18">
        <v>0</v>
      </c>
      <c r="H6" s="18">
        <v>0</v>
      </c>
      <c r="I6" s="18">
        <v>0</v>
      </c>
      <c r="J6" s="18">
        <v>0</v>
      </c>
      <c r="K6" s="18">
        <v>0</v>
      </c>
      <c r="L6" s="18">
        <v>0</v>
      </c>
      <c r="M6" s="18">
        <v>0</v>
      </c>
      <c r="N6" s="18">
        <v>0</v>
      </c>
      <c r="O6" s="18">
        <v>0</v>
      </c>
      <c r="P6" s="18">
        <v>0</v>
      </c>
      <c r="Q6" s="18">
        <v>0</v>
      </c>
      <c r="S6" s="20" t="s">
        <v>48</v>
      </c>
      <c r="T6" s="20">
        <v>73300</v>
      </c>
      <c r="U6" s="21">
        <f>'IEA - Oil consumption World'!N17</f>
        <v>6.2096239101608421E-2</v>
      </c>
      <c r="V6" s="288"/>
      <c r="X6" s="22" t="s">
        <v>47</v>
      </c>
      <c r="Y6" s="26">
        <f>E6</f>
        <v>0</v>
      </c>
      <c r="AA6" s="22" t="s">
        <v>49</v>
      </c>
      <c r="AB6" s="27">
        <f t="shared" si="0"/>
        <v>0</v>
      </c>
      <c r="AE6" s="17" t="s">
        <v>368</v>
      </c>
      <c r="AF6" s="26">
        <f>E5</f>
        <v>56100</v>
      </c>
      <c r="AG6" s="26">
        <v>5</v>
      </c>
      <c r="AH6" s="26">
        <f>E101</f>
        <v>0.1</v>
      </c>
    </row>
    <row r="7" spans="2:35" ht="15" customHeight="1" thickBot="1" x14ac:dyDescent="0.35">
      <c r="B7" s="22" t="s">
        <v>50</v>
      </c>
      <c r="C7" t="s">
        <v>50</v>
      </c>
      <c r="D7" s="18">
        <v>0</v>
      </c>
      <c r="E7" s="18">
        <v>0</v>
      </c>
      <c r="F7" s="18">
        <v>0</v>
      </c>
      <c r="G7" s="18">
        <v>0</v>
      </c>
      <c r="H7" s="18">
        <v>0</v>
      </c>
      <c r="I7" s="18">
        <v>0</v>
      </c>
      <c r="J7" s="18">
        <v>0</v>
      </c>
      <c r="K7" s="18">
        <v>0</v>
      </c>
      <c r="L7" s="18">
        <v>0</v>
      </c>
      <c r="M7" s="18">
        <v>0</v>
      </c>
      <c r="N7" s="18">
        <v>0</v>
      </c>
      <c r="O7" s="18">
        <v>0</v>
      </c>
      <c r="P7" s="18">
        <v>0</v>
      </c>
      <c r="Q7" s="18">
        <v>0</v>
      </c>
      <c r="S7" s="20" t="s">
        <v>51</v>
      </c>
      <c r="T7" s="20">
        <v>69300</v>
      </c>
      <c r="U7" s="21">
        <f>'IEA - Oil consumption World'!N18</f>
        <v>0.27021627757325967</v>
      </c>
      <c r="V7" s="288"/>
      <c r="X7" s="22" t="s">
        <v>50</v>
      </c>
      <c r="Y7" s="26">
        <v>0</v>
      </c>
      <c r="AA7" s="22" t="s">
        <v>52</v>
      </c>
      <c r="AB7" s="27">
        <f t="shared" si="0"/>
        <v>98300</v>
      </c>
      <c r="AE7" s="17" t="s">
        <v>370</v>
      </c>
      <c r="AF7" s="26">
        <v>0</v>
      </c>
      <c r="AG7" s="26">
        <v>0</v>
      </c>
      <c r="AH7" s="26">
        <v>0</v>
      </c>
    </row>
    <row r="8" spans="2:35" ht="15" thickBot="1" x14ac:dyDescent="0.35">
      <c r="B8" s="22" t="s">
        <v>53</v>
      </c>
      <c r="C8" t="s">
        <v>53</v>
      </c>
      <c r="D8" s="18">
        <v>0</v>
      </c>
      <c r="E8" s="18">
        <v>0</v>
      </c>
      <c r="F8" s="18">
        <v>0</v>
      </c>
      <c r="G8" s="18">
        <v>0</v>
      </c>
      <c r="H8" s="18">
        <v>0</v>
      </c>
      <c r="I8" s="18">
        <v>0</v>
      </c>
      <c r="J8" s="19">
        <f>V5</f>
        <v>72961.656860342453</v>
      </c>
      <c r="K8" s="18">
        <v>0</v>
      </c>
      <c r="L8" s="18">
        <v>0</v>
      </c>
      <c r="M8" s="18">
        <v>0</v>
      </c>
      <c r="N8" s="18">
        <v>0</v>
      </c>
      <c r="O8" s="18">
        <v>0</v>
      </c>
      <c r="P8" s="18">
        <v>0</v>
      </c>
      <c r="Q8" s="18">
        <v>0</v>
      </c>
      <c r="S8" s="20" t="s">
        <v>54</v>
      </c>
      <c r="T8" s="20">
        <v>71500</v>
      </c>
      <c r="U8" s="21">
        <f>'IEA - Oil consumption World'!N19</f>
        <v>8.4555006948037567E-2</v>
      </c>
      <c r="V8" s="288"/>
      <c r="X8" s="22" t="s">
        <v>53</v>
      </c>
      <c r="Y8" s="26">
        <f>J8</f>
        <v>72961.656860342453</v>
      </c>
      <c r="AA8" s="22" t="s">
        <v>55</v>
      </c>
      <c r="AB8" s="27">
        <f t="shared" si="0"/>
        <v>91700</v>
      </c>
      <c r="AE8" s="17" t="s">
        <v>371</v>
      </c>
      <c r="AF8" s="26">
        <v>0</v>
      </c>
      <c r="AG8" s="26">
        <v>0</v>
      </c>
      <c r="AH8" s="26">
        <v>0</v>
      </c>
    </row>
    <row r="9" spans="2:35" ht="15" thickBot="1" x14ac:dyDescent="0.35">
      <c r="B9" s="22" t="s">
        <v>499</v>
      </c>
      <c r="C9" t="s">
        <v>499</v>
      </c>
      <c r="D9" s="18">
        <v>0</v>
      </c>
      <c r="E9" s="18">
        <v>0</v>
      </c>
      <c r="F9" s="18">
        <v>0</v>
      </c>
      <c r="G9" s="18">
        <v>0</v>
      </c>
      <c r="H9" s="18">
        <v>0</v>
      </c>
      <c r="I9" s="18">
        <v>0</v>
      </c>
      <c r="J9" s="19">
        <v>0</v>
      </c>
      <c r="K9" s="18">
        <v>0</v>
      </c>
      <c r="L9" s="18">
        <v>0</v>
      </c>
      <c r="M9" s="18">
        <v>0</v>
      </c>
      <c r="N9" s="18">
        <v>0</v>
      </c>
      <c r="O9" s="18">
        <v>0</v>
      </c>
      <c r="P9" s="18">
        <v>0</v>
      </c>
      <c r="Q9" s="18">
        <v>0</v>
      </c>
      <c r="S9" s="20" t="s">
        <v>57</v>
      </c>
      <c r="T9" s="20">
        <v>71900</v>
      </c>
      <c r="U9" s="21">
        <f>'IEA - Oil consumption World'!N20</f>
        <v>8.5459192053482323E-3</v>
      </c>
      <c r="V9" s="288"/>
      <c r="X9" s="22" t="s">
        <v>56</v>
      </c>
      <c r="Y9" s="26">
        <f>J9</f>
        <v>0</v>
      </c>
      <c r="AA9" s="22" t="s">
        <v>58</v>
      </c>
      <c r="AB9" s="27">
        <f t="shared" si="0"/>
        <v>0</v>
      </c>
      <c r="AE9" s="17" t="s">
        <v>372</v>
      </c>
      <c r="AF9" s="26">
        <f>J8</f>
        <v>72961.656860342453</v>
      </c>
      <c r="AG9" s="26">
        <f>Z57</f>
        <v>3</v>
      </c>
      <c r="AH9" s="26">
        <f>J104</f>
        <v>0.6</v>
      </c>
    </row>
    <row r="10" spans="2:35" ht="15" thickBot="1" x14ac:dyDescent="0.35">
      <c r="B10" s="22" t="s">
        <v>500</v>
      </c>
      <c r="C10" t="s">
        <v>500</v>
      </c>
      <c r="D10" s="18">
        <v>0</v>
      </c>
      <c r="E10" s="18">
        <v>0</v>
      </c>
      <c r="F10" s="18">
        <v>0</v>
      </c>
      <c r="G10" s="18">
        <v>0</v>
      </c>
      <c r="H10" s="18">
        <v>0</v>
      </c>
      <c r="I10" s="18">
        <v>0</v>
      </c>
      <c r="J10" s="18">
        <v>0</v>
      </c>
      <c r="K10" s="18">
        <v>0</v>
      </c>
      <c r="L10" s="18">
        <v>0</v>
      </c>
      <c r="M10" s="18">
        <v>0</v>
      </c>
      <c r="N10" s="18">
        <v>0</v>
      </c>
      <c r="O10" s="19">
        <v>98300</v>
      </c>
      <c r="P10" s="18">
        <v>0</v>
      </c>
      <c r="Q10" s="18">
        <v>0</v>
      </c>
      <c r="S10" s="20" t="s">
        <v>60</v>
      </c>
      <c r="T10" s="20">
        <v>74100</v>
      </c>
      <c r="U10" s="21">
        <f>'IEA - Oil consumption World'!N21</f>
        <v>0.32547751983400125</v>
      </c>
      <c r="V10" s="288"/>
      <c r="X10" s="22" t="s">
        <v>59</v>
      </c>
      <c r="Y10" s="26">
        <f>O10</f>
        <v>98300</v>
      </c>
      <c r="AA10" s="22" t="s">
        <v>61</v>
      </c>
      <c r="AB10" s="27">
        <f t="shared" si="0"/>
        <v>0</v>
      </c>
      <c r="AE10" s="17" t="s">
        <v>374</v>
      </c>
      <c r="AF10" s="26">
        <v>0</v>
      </c>
      <c r="AG10" s="282">
        <v>30</v>
      </c>
      <c r="AH10" s="26">
        <v>0</v>
      </c>
    </row>
    <row r="11" spans="2:35" ht="15" thickBot="1" x14ac:dyDescent="0.35">
      <c r="B11" s="22" t="s">
        <v>501</v>
      </c>
      <c r="C11" t="s">
        <v>501</v>
      </c>
      <c r="D11" s="18">
        <v>0</v>
      </c>
      <c r="E11" s="18">
        <v>0</v>
      </c>
      <c r="F11" s="18">
        <v>0</v>
      </c>
      <c r="G11" s="18">
        <v>0</v>
      </c>
      <c r="H11" s="18">
        <v>0</v>
      </c>
      <c r="I11" s="18">
        <v>0</v>
      </c>
      <c r="J11" s="18">
        <v>0</v>
      </c>
      <c r="K11" s="18">
        <v>0</v>
      </c>
      <c r="L11" s="18">
        <v>0</v>
      </c>
      <c r="M11" s="18">
        <v>0</v>
      </c>
      <c r="N11" s="18">
        <v>0</v>
      </c>
      <c r="O11" s="19">
        <v>0</v>
      </c>
      <c r="P11" s="18">
        <v>0</v>
      </c>
      <c r="Q11" s="18">
        <v>0</v>
      </c>
      <c r="S11" s="20" t="s">
        <v>63</v>
      </c>
      <c r="T11" s="20">
        <v>77400</v>
      </c>
      <c r="U11" s="21">
        <f>'IEA - Oil consumption World'!N22</f>
        <v>6.1573372985859152E-2</v>
      </c>
      <c r="V11" s="288"/>
      <c r="X11" s="22" t="s">
        <v>62</v>
      </c>
      <c r="Y11" s="26">
        <f>O11</f>
        <v>0</v>
      </c>
      <c r="AA11" s="22" t="s">
        <v>64</v>
      </c>
      <c r="AB11" s="27">
        <f t="shared" si="0"/>
        <v>0</v>
      </c>
      <c r="AE11" s="14" t="s">
        <v>373</v>
      </c>
      <c r="AF11" s="26">
        <f>O10</f>
        <v>98300</v>
      </c>
      <c r="AG11" s="26">
        <f>AE59</f>
        <v>10</v>
      </c>
      <c r="AH11" s="26">
        <f>O106</f>
        <v>1.5</v>
      </c>
    </row>
    <row r="12" spans="2:35" ht="15" thickBot="1" x14ac:dyDescent="0.35">
      <c r="B12" s="22" t="s">
        <v>65</v>
      </c>
      <c r="C12" t="s">
        <v>65</v>
      </c>
      <c r="D12" s="18">
        <v>0</v>
      </c>
      <c r="E12" s="18">
        <v>0</v>
      </c>
      <c r="F12" s="18">
        <v>0</v>
      </c>
      <c r="G12" s="18">
        <v>0</v>
      </c>
      <c r="H12" s="18">
        <v>0</v>
      </c>
      <c r="I12" s="18">
        <v>0</v>
      </c>
      <c r="J12" s="18">
        <v>0</v>
      </c>
      <c r="K12" s="18">
        <v>0</v>
      </c>
      <c r="L12" s="18">
        <v>0</v>
      </c>
      <c r="M12" s="18">
        <v>0</v>
      </c>
      <c r="N12" s="18">
        <v>0</v>
      </c>
      <c r="O12" s="18">
        <v>0</v>
      </c>
      <c r="P12" s="19">
        <v>91700</v>
      </c>
      <c r="Q12" s="18">
        <v>0</v>
      </c>
      <c r="S12" s="20" t="s">
        <v>66</v>
      </c>
      <c r="T12" s="20">
        <f>AVERAGE(73300,73300,80700,73300)</f>
        <v>75150</v>
      </c>
      <c r="U12" s="21">
        <f>'IEA - Oil consumption World'!N23</f>
        <v>9.5300354021358197E-2</v>
      </c>
      <c r="V12" s="288"/>
      <c r="X12" s="22" t="s">
        <v>65</v>
      </c>
      <c r="Y12" s="26">
        <f>P12</f>
        <v>91700</v>
      </c>
      <c r="AA12" s="22" t="s">
        <v>67</v>
      </c>
      <c r="AB12" s="27">
        <f t="shared" si="0"/>
        <v>72961.656860342453</v>
      </c>
    </row>
    <row r="13" spans="2:35" ht="15" thickBot="1" x14ac:dyDescent="0.35">
      <c r="B13" s="22" t="s">
        <v>498</v>
      </c>
      <c r="C13" t="s">
        <v>498</v>
      </c>
      <c r="D13" s="18">
        <v>0</v>
      </c>
      <c r="E13" s="18">
        <v>0</v>
      </c>
      <c r="F13" s="18">
        <v>0</v>
      </c>
      <c r="G13" s="18">
        <v>0</v>
      </c>
      <c r="H13" s="18">
        <v>0</v>
      </c>
      <c r="I13" s="18">
        <v>0</v>
      </c>
      <c r="J13" s="18">
        <v>0</v>
      </c>
      <c r="K13" s="18">
        <v>0</v>
      </c>
      <c r="L13" s="18">
        <v>0</v>
      </c>
      <c r="M13" s="18">
        <v>0</v>
      </c>
      <c r="N13" s="18">
        <v>0</v>
      </c>
      <c r="O13" s="18">
        <v>0</v>
      </c>
      <c r="P13" s="18">
        <v>0</v>
      </c>
      <c r="Q13" s="18">
        <v>0</v>
      </c>
      <c r="S13" s="20" t="s">
        <v>69</v>
      </c>
      <c r="T13" s="20">
        <v>73300</v>
      </c>
      <c r="U13" s="21">
        <f>'IEA - Oil consumption World'!N24</f>
        <v>3.4407103383992388E-3</v>
      </c>
      <c r="V13" s="288"/>
      <c r="X13" s="22" t="s">
        <v>68</v>
      </c>
      <c r="Y13" s="26">
        <f>P13</f>
        <v>0</v>
      </c>
      <c r="AA13" s="22" t="s">
        <v>70</v>
      </c>
      <c r="AB13" s="27">
        <f t="shared" si="0"/>
        <v>0</v>
      </c>
    </row>
    <row r="14" spans="2:35" ht="36.6" thickBot="1" x14ac:dyDescent="0.35">
      <c r="B14" s="22" t="s">
        <v>502</v>
      </c>
      <c r="C14" t="s">
        <v>502</v>
      </c>
      <c r="D14" s="18">
        <v>0</v>
      </c>
      <c r="E14" s="18">
        <v>0</v>
      </c>
      <c r="F14" s="18">
        <v>0</v>
      </c>
      <c r="G14" s="18">
        <v>0</v>
      </c>
      <c r="H14" s="18">
        <v>0</v>
      </c>
      <c r="I14" s="18">
        <v>0</v>
      </c>
      <c r="J14" s="18">
        <v>0</v>
      </c>
      <c r="K14" s="18">
        <v>0</v>
      </c>
      <c r="L14" s="18">
        <v>0</v>
      </c>
      <c r="M14" s="18">
        <v>0</v>
      </c>
      <c r="N14" s="18">
        <v>0</v>
      </c>
      <c r="O14" s="18">
        <v>0</v>
      </c>
      <c r="P14" s="18">
        <v>0</v>
      </c>
      <c r="Q14" s="18">
        <v>0</v>
      </c>
      <c r="U14" s="21">
        <f>SUM(U5:U13)</f>
        <v>0.99999999999999989</v>
      </c>
      <c r="V14" s="288"/>
      <c r="X14" s="22" t="s">
        <v>71</v>
      </c>
      <c r="Y14" s="26">
        <f>E14</f>
        <v>0</v>
      </c>
      <c r="AA14" s="22" t="s">
        <v>72</v>
      </c>
      <c r="AB14" s="27">
        <f t="shared" si="0"/>
        <v>0</v>
      </c>
      <c r="AE14" s="12" t="s">
        <v>527</v>
      </c>
    </row>
    <row r="15" spans="2:35" ht="15" thickBot="1" x14ac:dyDescent="0.35">
      <c r="B15" s="22" t="s">
        <v>71</v>
      </c>
      <c r="C15" t="s">
        <v>71</v>
      </c>
      <c r="D15" s="18">
        <v>0</v>
      </c>
      <c r="E15" s="19">
        <v>56100</v>
      </c>
      <c r="F15" s="18">
        <v>0</v>
      </c>
      <c r="G15" s="18">
        <v>0</v>
      </c>
      <c r="H15" s="18">
        <v>0</v>
      </c>
      <c r="I15" s="18">
        <v>0</v>
      </c>
      <c r="J15" s="18">
        <v>0</v>
      </c>
      <c r="K15" s="18">
        <v>0</v>
      </c>
      <c r="L15" s="18">
        <v>0</v>
      </c>
      <c r="M15" s="18">
        <v>0</v>
      </c>
      <c r="N15" s="18">
        <v>0</v>
      </c>
      <c r="O15" s="18">
        <v>0</v>
      </c>
      <c r="P15" s="18">
        <v>0</v>
      </c>
      <c r="Q15" s="18">
        <v>0</v>
      </c>
      <c r="X15" s="22" t="s">
        <v>73</v>
      </c>
      <c r="Y15" s="26">
        <f>E15</f>
        <v>56100</v>
      </c>
      <c r="AA15" s="22" t="s">
        <v>74</v>
      </c>
      <c r="AB15" s="27">
        <f t="shared" si="0"/>
        <v>0</v>
      </c>
      <c r="AE15" s="137" t="s">
        <v>26</v>
      </c>
    </row>
    <row r="16" spans="2:35" ht="15" thickBot="1" x14ac:dyDescent="0.35">
      <c r="B16" s="22" t="s">
        <v>503</v>
      </c>
      <c r="C16" t="s">
        <v>503</v>
      </c>
      <c r="D16" s="18">
        <v>0</v>
      </c>
      <c r="E16" s="18">
        <v>0</v>
      </c>
      <c r="F16" s="18">
        <v>0</v>
      </c>
      <c r="G16" s="18">
        <v>0</v>
      </c>
      <c r="H16" s="18">
        <v>0</v>
      </c>
      <c r="I16" s="18">
        <v>0</v>
      </c>
      <c r="J16" s="18">
        <v>0</v>
      </c>
      <c r="K16" s="18">
        <v>0</v>
      </c>
      <c r="L16" s="18">
        <v>0</v>
      </c>
      <c r="M16" s="18">
        <v>0</v>
      </c>
      <c r="N16" s="18">
        <v>0</v>
      </c>
      <c r="O16" s="18">
        <v>0</v>
      </c>
      <c r="P16" s="18">
        <v>0</v>
      </c>
      <c r="Q16" s="18">
        <v>0</v>
      </c>
      <c r="X16" s="22" t="s">
        <v>75</v>
      </c>
      <c r="Y16" s="26">
        <v>0</v>
      </c>
      <c r="AA16" s="22" t="s">
        <v>76</v>
      </c>
      <c r="AB16" s="27">
        <f t="shared" si="0"/>
        <v>0</v>
      </c>
      <c r="AE16" s="138" t="s">
        <v>375</v>
      </c>
      <c r="AF16" s="138" t="s">
        <v>3</v>
      </c>
      <c r="AG16" s="138" t="s">
        <v>4</v>
      </c>
      <c r="AH16" s="138" t="s">
        <v>5</v>
      </c>
    </row>
    <row r="17" spans="2:34" ht="15" thickBot="1" x14ac:dyDescent="0.35">
      <c r="B17" s="22" t="s">
        <v>75</v>
      </c>
      <c r="C17" t="s">
        <v>75</v>
      </c>
      <c r="D17" s="18">
        <v>0</v>
      </c>
      <c r="E17" s="18">
        <v>0</v>
      </c>
      <c r="F17" s="18">
        <v>0</v>
      </c>
      <c r="G17" s="18">
        <v>0</v>
      </c>
      <c r="H17" s="18">
        <v>0</v>
      </c>
      <c r="I17" s="18">
        <v>0</v>
      </c>
      <c r="J17" s="18">
        <v>0</v>
      </c>
      <c r="K17" s="18">
        <v>0</v>
      </c>
      <c r="L17" s="18">
        <v>0</v>
      </c>
      <c r="M17" s="18">
        <v>0</v>
      </c>
      <c r="N17" s="18">
        <v>0</v>
      </c>
      <c r="O17" s="18">
        <v>0</v>
      </c>
      <c r="P17" s="18">
        <v>0</v>
      </c>
      <c r="Q17" s="18">
        <v>0</v>
      </c>
      <c r="X17" s="22" t="s">
        <v>77</v>
      </c>
      <c r="Y17" s="26">
        <f>J17</f>
        <v>0</v>
      </c>
      <c r="AA17" s="22" t="s">
        <v>78</v>
      </c>
      <c r="AB17" s="27">
        <f t="shared" si="0"/>
        <v>0</v>
      </c>
      <c r="AE17" s="138" t="s">
        <v>369</v>
      </c>
      <c r="AF17" s="139">
        <f>0</f>
        <v>0</v>
      </c>
      <c r="AG17" s="139">
        <v>0</v>
      </c>
      <c r="AH17" s="139">
        <v>0</v>
      </c>
    </row>
    <row r="18" spans="2:34" ht="15" thickBot="1" x14ac:dyDescent="0.35">
      <c r="B18" s="22" t="s">
        <v>77</v>
      </c>
      <c r="C18" t="s">
        <v>77</v>
      </c>
      <c r="D18" s="18">
        <v>0</v>
      </c>
      <c r="E18" s="18">
        <v>0</v>
      </c>
      <c r="F18" s="18">
        <v>0</v>
      </c>
      <c r="G18" s="18">
        <v>0</v>
      </c>
      <c r="H18" s="18">
        <v>0</v>
      </c>
      <c r="I18" s="18">
        <v>0</v>
      </c>
      <c r="J18" s="19">
        <f>J8</f>
        <v>72961.656860342453</v>
      </c>
      <c r="K18" s="18">
        <v>0</v>
      </c>
      <c r="L18" s="18">
        <v>0</v>
      </c>
      <c r="M18" s="18">
        <v>0</v>
      </c>
      <c r="N18" s="18">
        <v>0</v>
      </c>
      <c r="O18" s="18">
        <v>0</v>
      </c>
      <c r="P18" s="18">
        <v>0</v>
      </c>
      <c r="Q18" s="18">
        <v>0</v>
      </c>
      <c r="X18" s="22" t="s">
        <v>79</v>
      </c>
      <c r="Y18" s="26">
        <f>J18</f>
        <v>72961.656860342453</v>
      </c>
      <c r="AA18" s="22" t="s">
        <v>80</v>
      </c>
      <c r="AB18" s="27">
        <f t="shared" si="0"/>
        <v>0</v>
      </c>
      <c r="AE18" s="17" t="s">
        <v>368</v>
      </c>
      <c r="AF18" s="26">
        <v>56100</v>
      </c>
      <c r="AG18" s="26">
        <v>20</v>
      </c>
      <c r="AH18" s="26">
        <v>0.1</v>
      </c>
    </row>
    <row r="19" spans="2:34" ht="15" thickBot="1" x14ac:dyDescent="0.35">
      <c r="B19" s="22" t="s">
        <v>81</v>
      </c>
      <c r="C19" t="s">
        <v>81</v>
      </c>
      <c r="D19" s="18">
        <v>0</v>
      </c>
      <c r="E19" s="18">
        <v>0</v>
      </c>
      <c r="F19" s="18">
        <v>0</v>
      </c>
      <c r="G19" s="18">
        <v>0</v>
      </c>
      <c r="H19" s="18">
        <v>0</v>
      </c>
      <c r="I19" s="18">
        <v>0</v>
      </c>
      <c r="J19" s="18">
        <v>0</v>
      </c>
      <c r="K19" s="18">
        <v>0</v>
      </c>
      <c r="L19" s="18">
        <v>0</v>
      </c>
      <c r="M19" s="18">
        <v>0</v>
      </c>
      <c r="N19" s="18">
        <v>0</v>
      </c>
      <c r="O19" s="18">
        <v>0</v>
      </c>
      <c r="P19" s="18">
        <v>0</v>
      </c>
      <c r="Q19" s="18">
        <v>0</v>
      </c>
      <c r="U19" s="28"/>
      <c r="X19" s="22" t="s">
        <v>81</v>
      </c>
      <c r="Y19" s="26">
        <v>0</v>
      </c>
      <c r="AA19" s="22" t="s">
        <v>82</v>
      </c>
      <c r="AB19" s="27">
        <f t="shared" si="0"/>
        <v>98300</v>
      </c>
      <c r="AE19" s="17" t="s">
        <v>370</v>
      </c>
      <c r="AF19" s="26">
        <v>0</v>
      </c>
      <c r="AG19" s="26">
        <v>0</v>
      </c>
      <c r="AH19" s="26">
        <v>0</v>
      </c>
    </row>
    <row r="20" spans="2:34" ht="15" thickBot="1" x14ac:dyDescent="0.35">
      <c r="B20" s="22" t="s">
        <v>504</v>
      </c>
      <c r="C20" t="s">
        <v>504</v>
      </c>
      <c r="D20" s="18">
        <v>0</v>
      </c>
      <c r="E20" s="18">
        <v>0</v>
      </c>
      <c r="F20" s="18">
        <v>0</v>
      </c>
      <c r="G20" s="18">
        <v>0</v>
      </c>
      <c r="H20" s="18">
        <v>0</v>
      </c>
      <c r="I20" s="18">
        <v>0</v>
      </c>
      <c r="J20" s="18">
        <v>0</v>
      </c>
      <c r="K20" s="18">
        <v>0</v>
      </c>
      <c r="L20" s="18">
        <v>0</v>
      </c>
      <c r="M20" s="18">
        <v>0</v>
      </c>
      <c r="N20" s="18">
        <v>0</v>
      </c>
      <c r="O20" s="19">
        <v>98300</v>
      </c>
      <c r="P20" s="18">
        <v>0</v>
      </c>
      <c r="Q20" s="18">
        <v>0</v>
      </c>
      <c r="S20" s="29" t="s">
        <v>84</v>
      </c>
      <c r="T20" s="29" t="s">
        <v>85</v>
      </c>
      <c r="X20" s="22" t="s">
        <v>83</v>
      </c>
      <c r="Y20" s="26">
        <f>O20</f>
        <v>98300</v>
      </c>
      <c r="AA20" s="22" t="s">
        <v>86</v>
      </c>
      <c r="AB20" s="27">
        <f t="shared" si="0"/>
        <v>0</v>
      </c>
      <c r="AE20" s="17" t="s">
        <v>371</v>
      </c>
      <c r="AF20" s="26">
        <v>0</v>
      </c>
      <c r="AG20" s="26">
        <v>0</v>
      </c>
      <c r="AH20" s="26">
        <v>0</v>
      </c>
    </row>
    <row r="21" spans="2:34" ht="15" thickBot="1" x14ac:dyDescent="0.35">
      <c r="B21" s="22" t="s">
        <v>89</v>
      </c>
      <c r="C21" t="s">
        <v>89</v>
      </c>
      <c r="D21" s="18">
        <v>0</v>
      </c>
      <c r="E21" s="18">
        <v>0</v>
      </c>
      <c r="F21" s="18">
        <v>0</v>
      </c>
      <c r="G21" s="18">
        <v>0</v>
      </c>
      <c r="H21" s="18">
        <v>0</v>
      </c>
      <c r="I21" s="18">
        <v>0</v>
      </c>
      <c r="J21" s="18">
        <v>0</v>
      </c>
      <c r="K21" s="18">
        <v>0</v>
      </c>
      <c r="L21" s="18">
        <v>0</v>
      </c>
      <c r="M21" s="18">
        <v>0</v>
      </c>
      <c r="N21" s="18">
        <v>0</v>
      </c>
      <c r="O21" s="18">
        <v>0</v>
      </c>
      <c r="P21" s="19">
        <v>91700</v>
      </c>
      <c r="Q21" s="18">
        <v>0</v>
      </c>
      <c r="S21">
        <v>11</v>
      </c>
      <c r="T21">
        <f>S21/1000*0.001055</f>
        <v>1.1604999999999998E-5</v>
      </c>
      <c r="X21" s="22" t="s">
        <v>87</v>
      </c>
      <c r="Y21" s="26">
        <f>O21</f>
        <v>0</v>
      </c>
      <c r="AA21" s="22" t="s">
        <v>88</v>
      </c>
      <c r="AB21" s="27">
        <f t="shared" si="0"/>
        <v>56100</v>
      </c>
      <c r="AE21" s="17" t="s">
        <v>372</v>
      </c>
      <c r="AF21" s="26">
        <v>74100</v>
      </c>
      <c r="AG21" s="282">
        <v>30</v>
      </c>
      <c r="AH21" s="26">
        <v>0.6</v>
      </c>
    </row>
    <row r="22" spans="2:34" ht="15" thickBot="1" x14ac:dyDescent="0.35">
      <c r="B22" s="22" t="s">
        <v>505</v>
      </c>
      <c r="C22" t="s">
        <v>505</v>
      </c>
      <c r="D22" s="18">
        <v>0</v>
      </c>
      <c r="E22" s="18">
        <v>0</v>
      </c>
      <c r="F22" s="18">
        <v>0</v>
      </c>
      <c r="G22" s="18">
        <v>0</v>
      </c>
      <c r="H22" s="18">
        <v>0</v>
      </c>
      <c r="I22" s="18">
        <v>0</v>
      </c>
      <c r="J22" s="18">
        <v>0</v>
      </c>
      <c r="K22" s="18">
        <v>0</v>
      </c>
      <c r="L22" s="18">
        <v>0</v>
      </c>
      <c r="M22" s="18">
        <v>0</v>
      </c>
      <c r="N22" s="18">
        <v>0</v>
      </c>
      <c r="O22" s="18">
        <v>0</v>
      </c>
      <c r="P22" s="18">
        <v>0</v>
      </c>
      <c r="Q22" s="18">
        <v>0</v>
      </c>
      <c r="X22" s="22" t="s">
        <v>89</v>
      </c>
      <c r="Y22" s="26">
        <f>P22</f>
        <v>0</v>
      </c>
      <c r="AA22" s="22" t="s">
        <v>90</v>
      </c>
      <c r="AB22" s="27">
        <f t="shared" si="0"/>
        <v>72961.656860342453</v>
      </c>
      <c r="AE22" s="17" t="s">
        <v>374</v>
      </c>
      <c r="AF22" s="26">
        <v>0</v>
      </c>
      <c r="AG22" s="282">
        <v>900</v>
      </c>
      <c r="AH22" s="26">
        <v>0</v>
      </c>
    </row>
    <row r="23" spans="2:34" ht="15" thickBot="1" x14ac:dyDescent="0.35">
      <c r="B23" s="22" t="s">
        <v>506</v>
      </c>
      <c r="C23" t="s">
        <v>506</v>
      </c>
      <c r="D23" s="18">
        <v>0</v>
      </c>
      <c r="E23" s="18">
        <v>0</v>
      </c>
      <c r="F23" s="18">
        <v>0</v>
      </c>
      <c r="G23" s="18">
        <v>0</v>
      </c>
      <c r="H23" s="18">
        <v>0</v>
      </c>
      <c r="I23" s="18">
        <v>0</v>
      </c>
      <c r="J23" s="18">
        <v>0</v>
      </c>
      <c r="K23" s="18">
        <v>0</v>
      </c>
      <c r="L23" s="18">
        <v>0</v>
      </c>
      <c r="M23" s="18">
        <v>0</v>
      </c>
      <c r="N23" s="18">
        <v>0</v>
      </c>
      <c r="O23" s="18">
        <v>0</v>
      </c>
      <c r="P23" s="18">
        <v>0</v>
      </c>
      <c r="Q23" s="18">
        <v>0</v>
      </c>
      <c r="X23" s="22" t="s">
        <v>91</v>
      </c>
      <c r="Y23" s="26">
        <f>P23</f>
        <v>0</v>
      </c>
      <c r="AA23" s="22" t="s">
        <v>92</v>
      </c>
      <c r="AB23" s="27">
        <f t="shared" si="0"/>
        <v>0</v>
      </c>
      <c r="AE23" s="14" t="s">
        <v>373</v>
      </c>
      <c r="AF23" s="26">
        <v>98300</v>
      </c>
      <c r="AG23" s="282">
        <v>900</v>
      </c>
      <c r="AH23" s="26">
        <v>1.5</v>
      </c>
    </row>
    <row r="24" spans="2:34" ht="15" thickBot="1" x14ac:dyDescent="0.35">
      <c r="B24" s="22" t="s">
        <v>93</v>
      </c>
      <c r="C24" t="s">
        <v>93</v>
      </c>
      <c r="D24" s="18">
        <v>0</v>
      </c>
      <c r="E24" s="19">
        <v>56100</v>
      </c>
      <c r="F24" s="18">
        <v>0</v>
      </c>
      <c r="G24" s="18">
        <v>0</v>
      </c>
      <c r="H24" s="18">
        <v>0</v>
      </c>
      <c r="I24" s="18">
        <v>0</v>
      </c>
      <c r="J24" s="18">
        <v>0</v>
      </c>
      <c r="K24" s="18">
        <v>0</v>
      </c>
      <c r="L24" s="18">
        <v>0</v>
      </c>
      <c r="M24" s="18">
        <v>0</v>
      </c>
      <c r="N24" s="18">
        <v>0</v>
      </c>
      <c r="O24" s="18">
        <v>0</v>
      </c>
      <c r="P24" s="18">
        <v>0</v>
      </c>
      <c r="Q24" s="18">
        <v>0</v>
      </c>
      <c r="X24" s="22" t="s">
        <v>93</v>
      </c>
      <c r="Y24" s="26">
        <f>E24</f>
        <v>56100</v>
      </c>
      <c r="AA24" s="22" t="s">
        <v>94</v>
      </c>
      <c r="AB24" s="27">
        <f t="shared" si="0"/>
        <v>0</v>
      </c>
    </row>
    <row r="25" spans="2:34" ht="15" thickBot="1" x14ac:dyDescent="0.35">
      <c r="B25" s="22" t="s">
        <v>95</v>
      </c>
      <c r="C25" t="s">
        <v>95</v>
      </c>
      <c r="D25" s="18">
        <v>0</v>
      </c>
      <c r="E25" s="19">
        <v>0</v>
      </c>
      <c r="F25" s="18">
        <v>0</v>
      </c>
      <c r="G25" s="18">
        <v>0</v>
      </c>
      <c r="H25" s="18">
        <v>0</v>
      </c>
      <c r="I25" s="18">
        <v>0</v>
      </c>
      <c r="J25" s="18">
        <v>0</v>
      </c>
      <c r="K25" s="18">
        <v>0</v>
      </c>
      <c r="L25" s="18">
        <v>0</v>
      </c>
      <c r="M25" s="18">
        <v>0</v>
      </c>
      <c r="N25" s="18">
        <v>0</v>
      </c>
      <c r="O25" s="18">
        <v>0</v>
      </c>
      <c r="P25" s="18">
        <v>0</v>
      </c>
      <c r="Q25" s="18">
        <v>0</v>
      </c>
      <c r="X25" s="22" t="s">
        <v>95</v>
      </c>
      <c r="Y25" s="26">
        <f>E25</f>
        <v>0</v>
      </c>
      <c r="AA25" s="22" t="s">
        <v>96</v>
      </c>
      <c r="AB25" s="27">
        <f t="shared" si="0"/>
        <v>56100</v>
      </c>
    </row>
    <row r="26" spans="2:34" ht="15" thickBot="1" x14ac:dyDescent="0.35">
      <c r="B26" s="22" t="s">
        <v>97</v>
      </c>
      <c r="C26" t="s">
        <v>97</v>
      </c>
      <c r="D26" s="18">
        <v>0</v>
      </c>
      <c r="E26" s="18">
        <v>0</v>
      </c>
      <c r="F26" s="18">
        <v>0</v>
      </c>
      <c r="G26" s="18">
        <v>0</v>
      </c>
      <c r="H26" s="18">
        <v>0</v>
      </c>
      <c r="I26" s="18">
        <v>0</v>
      </c>
      <c r="J26" s="18">
        <v>0</v>
      </c>
      <c r="K26" s="18">
        <v>0</v>
      </c>
      <c r="L26" s="18">
        <v>0</v>
      </c>
      <c r="M26" s="18">
        <v>0</v>
      </c>
      <c r="N26" s="18">
        <v>0</v>
      </c>
      <c r="O26" s="18">
        <v>0</v>
      </c>
      <c r="P26" s="18">
        <v>0</v>
      </c>
      <c r="Q26" s="18">
        <v>0</v>
      </c>
      <c r="X26" s="22" t="s">
        <v>97</v>
      </c>
      <c r="Y26" s="26">
        <v>0</v>
      </c>
      <c r="AA26" s="22" t="s">
        <v>98</v>
      </c>
      <c r="AB26" s="27">
        <f t="shared" si="0"/>
        <v>0</v>
      </c>
    </row>
    <row r="27" spans="2:34" ht="15" thickBot="1" x14ac:dyDescent="0.35">
      <c r="B27" s="22" t="s">
        <v>99</v>
      </c>
      <c r="C27" t="s">
        <v>99</v>
      </c>
      <c r="D27" s="18">
        <v>0</v>
      </c>
      <c r="E27" s="18">
        <v>0</v>
      </c>
      <c r="F27" s="18">
        <v>0</v>
      </c>
      <c r="G27" s="18">
        <v>0</v>
      </c>
      <c r="H27" s="18">
        <v>0</v>
      </c>
      <c r="I27" s="18">
        <v>0</v>
      </c>
      <c r="J27" s="18">
        <v>0</v>
      </c>
      <c r="K27" s="18">
        <v>0</v>
      </c>
      <c r="L27" s="18">
        <v>0</v>
      </c>
      <c r="M27" s="18">
        <v>0</v>
      </c>
      <c r="N27" s="18">
        <v>0</v>
      </c>
      <c r="O27" s="18">
        <v>0</v>
      </c>
      <c r="P27" s="18">
        <v>0</v>
      </c>
      <c r="Q27" s="18">
        <v>0</v>
      </c>
      <c r="X27" s="22" t="s">
        <v>99</v>
      </c>
      <c r="Y27" s="26">
        <v>0</v>
      </c>
      <c r="AA27" s="22" t="s">
        <v>100</v>
      </c>
      <c r="AB27" s="27">
        <f t="shared" si="0"/>
        <v>0</v>
      </c>
    </row>
    <row r="28" spans="2:34" ht="15" thickBot="1" x14ac:dyDescent="0.35">
      <c r="B28" s="22" t="s">
        <v>101</v>
      </c>
      <c r="C28" t="s">
        <v>101</v>
      </c>
      <c r="D28" s="18">
        <v>0</v>
      </c>
      <c r="E28" s="18">
        <v>0</v>
      </c>
      <c r="F28" s="18">
        <v>0</v>
      </c>
      <c r="G28" s="18">
        <v>0</v>
      </c>
      <c r="H28" s="18">
        <v>0</v>
      </c>
      <c r="I28" s="18">
        <v>0</v>
      </c>
      <c r="J28" s="18">
        <v>0</v>
      </c>
      <c r="K28" s="18">
        <v>0</v>
      </c>
      <c r="L28" s="18">
        <v>0</v>
      </c>
      <c r="M28" s="18">
        <v>0</v>
      </c>
      <c r="N28" s="18">
        <v>0</v>
      </c>
      <c r="O28" s="18">
        <v>0</v>
      </c>
      <c r="P28" s="18">
        <v>0</v>
      </c>
      <c r="Q28" s="18">
        <v>0</v>
      </c>
      <c r="X28" s="22" t="s">
        <v>101</v>
      </c>
      <c r="Y28" s="26">
        <v>0</v>
      </c>
      <c r="AA28" s="22" t="s">
        <v>102</v>
      </c>
      <c r="AB28" s="27">
        <f t="shared" si="0"/>
        <v>0</v>
      </c>
    </row>
    <row r="29" spans="2:34" ht="15" thickBot="1" x14ac:dyDescent="0.35">
      <c r="B29" s="22" t="s">
        <v>103</v>
      </c>
      <c r="C29" t="s">
        <v>103</v>
      </c>
      <c r="D29" s="18">
        <v>0</v>
      </c>
      <c r="E29" s="18">
        <v>0</v>
      </c>
      <c r="F29" s="18">
        <v>0</v>
      </c>
      <c r="G29" s="18">
        <v>0</v>
      </c>
      <c r="H29" s="18">
        <v>0</v>
      </c>
      <c r="I29" s="18">
        <v>0</v>
      </c>
      <c r="J29" s="19">
        <f>J18</f>
        <v>72961.656860342453</v>
      </c>
      <c r="K29" s="18">
        <v>0</v>
      </c>
      <c r="L29" s="18">
        <v>0</v>
      </c>
      <c r="M29" s="18">
        <v>0</v>
      </c>
      <c r="N29" s="18">
        <v>0</v>
      </c>
      <c r="O29" s="18">
        <v>0</v>
      </c>
      <c r="P29" s="18">
        <v>0</v>
      </c>
      <c r="Q29" s="18">
        <v>0</v>
      </c>
      <c r="T29" s="30"/>
      <c r="X29" s="22" t="s">
        <v>103</v>
      </c>
      <c r="Y29" s="26">
        <f>J29</f>
        <v>72961.656860342453</v>
      </c>
      <c r="AA29" s="22" t="s">
        <v>104</v>
      </c>
      <c r="AB29" s="27">
        <f t="shared" si="0"/>
        <v>72961.656860342453</v>
      </c>
    </row>
    <row r="30" spans="2:34" ht="15" thickBot="1" x14ac:dyDescent="0.35">
      <c r="B30" s="22" t="s">
        <v>105</v>
      </c>
      <c r="C30" t="s">
        <v>105</v>
      </c>
      <c r="D30" s="18">
        <v>0</v>
      </c>
      <c r="E30" s="18">
        <v>0</v>
      </c>
      <c r="F30" s="18">
        <v>0</v>
      </c>
      <c r="G30" s="18">
        <v>0</v>
      </c>
      <c r="H30" s="18">
        <v>0</v>
      </c>
      <c r="I30" s="18">
        <v>0</v>
      </c>
      <c r="J30" s="19">
        <v>0</v>
      </c>
      <c r="K30" s="18">
        <v>0</v>
      </c>
      <c r="L30" s="18">
        <v>0</v>
      </c>
      <c r="M30" s="18">
        <v>0</v>
      </c>
      <c r="N30" s="18">
        <v>0</v>
      </c>
      <c r="O30" s="18">
        <v>0</v>
      </c>
      <c r="P30" s="18">
        <v>0</v>
      </c>
      <c r="Q30" s="18">
        <v>0</v>
      </c>
      <c r="X30" s="22" t="s">
        <v>105</v>
      </c>
      <c r="Y30" s="26">
        <f>J30</f>
        <v>0</v>
      </c>
      <c r="AA30" s="22" t="s">
        <v>106</v>
      </c>
      <c r="AB30" s="27">
        <f t="shared" si="0"/>
        <v>0</v>
      </c>
    </row>
    <row r="31" spans="2:34" ht="15" thickBot="1" x14ac:dyDescent="0.35">
      <c r="B31" s="22" t="s">
        <v>107</v>
      </c>
      <c r="C31" t="s">
        <v>107</v>
      </c>
      <c r="D31" s="18">
        <v>0</v>
      </c>
      <c r="E31" s="18">
        <v>0</v>
      </c>
      <c r="F31" s="18">
        <v>0</v>
      </c>
      <c r="G31" s="18">
        <v>0</v>
      </c>
      <c r="H31" s="18">
        <v>0</v>
      </c>
      <c r="I31" s="18">
        <v>0</v>
      </c>
      <c r="J31" s="18">
        <v>0</v>
      </c>
      <c r="K31" s="18">
        <v>0</v>
      </c>
      <c r="L31" s="18">
        <v>0</v>
      </c>
      <c r="M31" s="18">
        <v>0</v>
      </c>
      <c r="N31" s="18">
        <v>0</v>
      </c>
      <c r="O31" s="18">
        <v>0</v>
      </c>
      <c r="P31" s="18">
        <v>0</v>
      </c>
      <c r="Q31" s="18">
        <v>0</v>
      </c>
      <c r="X31" s="22" t="s">
        <v>107</v>
      </c>
      <c r="Y31" s="26">
        <v>0</v>
      </c>
      <c r="AA31" s="22" t="s">
        <v>108</v>
      </c>
      <c r="AB31" s="27">
        <f t="shared" si="0"/>
        <v>0</v>
      </c>
    </row>
    <row r="32" spans="2:34" ht="15" thickBot="1" x14ac:dyDescent="0.35">
      <c r="B32" s="22" t="s">
        <v>109</v>
      </c>
      <c r="C32" t="s">
        <v>109</v>
      </c>
      <c r="D32" s="18">
        <v>0</v>
      </c>
      <c r="E32" s="18">
        <v>0</v>
      </c>
      <c r="F32" s="18">
        <v>0</v>
      </c>
      <c r="G32" s="18">
        <v>0</v>
      </c>
      <c r="H32" s="18">
        <v>0</v>
      </c>
      <c r="I32" s="18">
        <v>0</v>
      </c>
      <c r="J32" s="18">
        <v>0</v>
      </c>
      <c r="K32" s="18">
        <v>0</v>
      </c>
      <c r="L32" s="18">
        <v>0</v>
      </c>
      <c r="M32" s="18">
        <v>0</v>
      </c>
      <c r="N32" s="18">
        <v>0</v>
      </c>
      <c r="O32" s="18">
        <v>0</v>
      </c>
      <c r="P32" s="18">
        <v>0</v>
      </c>
      <c r="Q32" s="18">
        <v>0</v>
      </c>
      <c r="X32" s="22" t="s">
        <v>109</v>
      </c>
      <c r="Y32" s="26">
        <v>0</v>
      </c>
      <c r="AA32" s="22" t="s">
        <v>110</v>
      </c>
      <c r="AB32" s="27">
        <f t="shared" si="0"/>
        <v>0</v>
      </c>
    </row>
    <row r="33" spans="2:28" ht="15" thickBot="1" x14ac:dyDescent="0.35">
      <c r="B33" s="22" t="s">
        <v>111</v>
      </c>
      <c r="C33" t="s">
        <v>111</v>
      </c>
      <c r="D33" s="18">
        <v>0</v>
      </c>
      <c r="E33" s="18">
        <v>0</v>
      </c>
      <c r="F33" s="18">
        <v>0</v>
      </c>
      <c r="G33" s="18">
        <v>0</v>
      </c>
      <c r="H33" s="18">
        <v>0</v>
      </c>
      <c r="I33" s="18">
        <v>0</v>
      </c>
      <c r="J33" s="18">
        <v>0</v>
      </c>
      <c r="K33" s="18">
        <v>0</v>
      </c>
      <c r="L33" s="18">
        <v>0</v>
      </c>
      <c r="M33" s="18">
        <v>0</v>
      </c>
      <c r="N33" s="18">
        <v>0</v>
      </c>
      <c r="O33" s="18">
        <v>0</v>
      </c>
      <c r="P33" s="18">
        <v>0</v>
      </c>
      <c r="Q33" s="18">
        <v>0</v>
      </c>
      <c r="X33" s="22" t="s">
        <v>111</v>
      </c>
      <c r="Y33" s="26">
        <v>0</v>
      </c>
      <c r="AA33" s="22" t="s">
        <v>112</v>
      </c>
      <c r="AB33" s="27">
        <f t="shared" si="0"/>
        <v>0</v>
      </c>
    </row>
    <row r="34" spans="2:28" ht="15" thickBot="1" x14ac:dyDescent="0.35">
      <c r="B34" s="22" t="s">
        <v>113</v>
      </c>
      <c r="C34" t="s">
        <v>113</v>
      </c>
      <c r="D34" s="18">
        <v>0</v>
      </c>
      <c r="E34" s="18">
        <v>0</v>
      </c>
      <c r="F34" s="18">
        <v>0</v>
      </c>
      <c r="G34" s="18">
        <v>0</v>
      </c>
      <c r="H34" s="18">
        <v>0</v>
      </c>
      <c r="I34" s="18">
        <v>0</v>
      </c>
      <c r="J34" s="18">
        <v>0</v>
      </c>
      <c r="K34" s="18">
        <v>0</v>
      </c>
      <c r="L34" s="18">
        <v>0</v>
      </c>
      <c r="M34" s="18">
        <v>0</v>
      </c>
      <c r="N34" s="18">
        <v>0</v>
      </c>
      <c r="O34" s="18">
        <v>0</v>
      </c>
      <c r="P34" s="18">
        <v>0</v>
      </c>
      <c r="Q34" s="18">
        <v>0</v>
      </c>
      <c r="X34" s="22" t="s">
        <v>113</v>
      </c>
      <c r="Y34" s="26">
        <v>0</v>
      </c>
      <c r="AA34" s="22" t="s">
        <v>114</v>
      </c>
      <c r="AB34" s="27">
        <f t="shared" si="0"/>
        <v>0</v>
      </c>
    </row>
    <row r="35" spans="2:28" ht="15" thickBot="1" x14ac:dyDescent="0.35">
      <c r="B35" s="22" t="s">
        <v>115</v>
      </c>
      <c r="C35" t="s">
        <v>115</v>
      </c>
      <c r="D35" s="18">
        <v>0</v>
      </c>
      <c r="E35" s="18">
        <v>0</v>
      </c>
      <c r="F35" s="18">
        <v>0</v>
      </c>
      <c r="G35" s="18">
        <v>0</v>
      </c>
      <c r="H35" s="18">
        <v>0</v>
      </c>
      <c r="I35" s="18">
        <v>0</v>
      </c>
      <c r="J35" s="18">
        <v>0</v>
      </c>
      <c r="K35" s="18">
        <v>0</v>
      </c>
      <c r="L35" s="18">
        <v>0</v>
      </c>
      <c r="M35" s="18">
        <v>0</v>
      </c>
      <c r="N35" s="18">
        <v>0</v>
      </c>
      <c r="O35" s="18">
        <v>0</v>
      </c>
      <c r="P35" s="18">
        <v>0</v>
      </c>
      <c r="Q35" s="18">
        <v>0</v>
      </c>
      <c r="X35" s="22" t="s">
        <v>115</v>
      </c>
      <c r="Y35" s="26">
        <v>0</v>
      </c>
      <c r="AA35" s="22" t="s">
        <v>116</v>
      </c>
      <c r="AB35" s="27">
        <f t="shared" si="0"/>
        <v>98300</v>
      </c>
    </row>
    <row r="36" spans="2:28" ht="15" thickBot="1" x14ac:dyDescent="0.35">
      <c r="B36" s="22" t="s">
        <v>507</v>
      </c>
      <c r="C36" t="s">
        <v>507</v>
      </c>
      <c r="D36" s="18">
        <v>0</v>
      </c>
      <c r="E36" s="18">
        <v>0</v>
      </c>
      <c r="F36" s="18">
        <v>0</v>
      </c>
      <c r="G36" s="18">
        <v>0</v>
      </c>
      <c r="H36" s="18">
        <v>0</v>
      </c>
      <c r="I36" s="18">
        <v>0</v>
      </c>
      <c r="J36" s="18">
        <v>0</v>
      </c>
      <c r="K36" s="18">
        <v>0</v>
      </c>
      <c r="L36" s="18">
        <v>0</v>
      </c>
      <c r="M36" s="18">
        <v>0</v>
      </c>
      <c r="N36" s="18">
        <v>0</v>
      </c>
      <c r="O36" s="19">
        <v>98300</v>
      </c>
      <c r="P36" s="18">
        <v>0</v>
      </c>
      <c r="Q36" s="18">
        <v>0</v>
      </c>
      <c r="X36" s="22" t="s">
        <v>117</v>
      </c>
      <c r="Y36" s="26">
        <f>O36</f>
        <v>98300</v>
      </c>
      <c r="AA36" s="22" t="s">
        <v>118</v>
      </c>
      <c r="AB36" s="27">
        <f t="shared" si="0"/>
        <v>91700</v>
      </c>
    </row>
    <row r="37" spans="2:28" ht="15" thickBot="1" x14ac:dyDescent="0.35">
      <c r="B37" s="22" t="s">
        <v>508</v>
      </c>
      <c r="C37" t="s">
        <v>508</v>
      </c>
      <c r="D37" s="18">
        <v>0</v>
      </c>
      <c r="E37" s="18">
        <v>0</v>
      </c>
      <c r="F37" s="18">
        <v>0</v>
      </c>
      <c r="G37" s="18">
        <v>0</v>
      </c>
      <c r="H37" s="18">
        <v>0</v>
      </c>
      <c r="I37" s="18">
        <v>0</v>
      </c>
      <c r="J37" s="18">
        <v>0</v>
      </c>
      <c r="K37" s="18">
        <v>0</v>
      </c>
      <c r="L37" s="18">
        <v>0</v>
      </c>
      <c r="M37" s="18">
        <v>0</v>
      </c>
      <c r="N37" s="18">
        <v>0</v>
      </c>
      <c r="O37" s="19">
        <v>0</v>
      </c>
      <c r="P37" s="18">
        <v>0</v>
      </c>
      <c r="Q37" s="18">
        <v>0</v>
      </c>
      <c r="X37" s="22" t="s">
        <v>119</v>
      </c>
      <c r="Y37" s="26">
        <f>O37</f>
        <v>0</v>
      </c>
      <c r="AA37" s="22" t="s">
        <v>120</v>
      </c>
      <c r="AB37" s="27">
        <f t="shared" si="0"/>
        <v>0</v>
      </c>
    </row>
    <row r="38" spans="2:28" ht="15" thickBot="1" x14ac:dyDescent="0.35">
      <c r="B38" s="22" t="s">
        <v>121</v>
      </c>
      <c r="C38" t="s">
        <v>121</v>
      </c>
      <c r="D38" s="18">
        <v>0</v>
      </c>
      <c r="E38" s="18">
        <v>0</v>
      </c>
      <c r="F38" s="18">
        <v>0</v>
      </c>
      <c r="G38" s="18">
        <v>0</v>
      </c>
      <c r="H38" s="18">
        <v>0</v>
      </c>
      <c r="I38" s="18">
        <v>0</v>
      </c>
      <c r="J38" s="18">
        <v>0</v>
      </c>
      <c r="K38" s="18">
        <v>0</v>
      </c>
      <c r="L38" s="18">
        <v>0</v>
      </c>
      <c r="M38" s="18">
        <v>0</v>
      </c>
      <c r="N38" s="18">
        <v>0</v>
      </c>
      <c r="O38" s="18">
        <v>0</v>
      </c>
      <c r="P38" s="19">
        <v>91700</v>
      </c>
      <c r="Q38" s="18">
        <v>0</v>
      </c>
      <c r="X38" s="22" t="s">
        <v>121</v>
      </c>
      <c r="Y38" s="26">
        <f>P38</f>
        <v>91700</v>
      </c>
      <c r="AA38" s="22" t="s">
        <v>122</v>
      </c>
      <c r="AB38" s="27">
        <f t="shared" si="0"/>
        <v>0</v>
      </c>
    </row>
    <row r="39" spans="2:28" ht="15" thickBot="1" x14ac:dyDescent="0.35">
      <c r="B39" s="22" t="s">
        <v>123</v>
      </c>
      <c r="C39" t="s">
        <v>123</v>
      </c>
      <c r="D39" s="18">
        <v>0</v>
      </c>
      <c r="E39" s="18">
        <v>0</v>
      </c>
      <c r="F39" s="18">
        <v>0</v>
      </c>
      <c r="G39" s="18">
        <v>0</v>
      </c>
      <c r="H39" s="18">
        <v>0</v>
      </c>
      <c r="I39" s="18">
        <v>0</v>
      </c>
      <c r="J39" s="18">
        <v>0</v>
      </c>
      <c r="K39" s="18">
        <v>0</v>
      </c>
      <c r="L39" s="18">
        <v>0</v>
      </c>
      <c r="M39" s="18">
        <v>0</v>
      </c>
      <c r="N39" s="18">
        <v>0</v>
      </c>
      <c r="O39" s="18">
        <v>0</v>
      </c>
      <c r="P39" s="19">
        <v>0</v>
      </c>
      <c r="Q39" s="18">
        <v>0</v>
      </c>
      <c r="X39" s="22" t="s">
        <v>123</v>
      </c>
      <c r="Y39" s="26">
        <f>P39</f>
        <v>0</v>
      </c>
      <c r="AA39" s="22" t="s">
        <v>124</v>
      </c>
      <c r="AB39" s="27">
        <f t="shared" si="0"/>
        <v>0</v>
      </c>
    </row>
    <row r="40" spans="2:28" ht="15" thickBot="1" x14ac:dyDescent="0.35">
      <c r="B40" s="22" t="s">
        <v>125</v>
      </c>
      <c r="C40" t="s">
        <v>125</v>
      </c>
      <c r="D40" s="18">
        <v>0</v>
      </c>
      <c r="E40" s="18">
        <v>0</v>
      </c>
      <c r="F40" s="18">
        <v>0</v>
      </c>
      <c r="G40" s="18">
        <v>0</v>
      </c>
      <c r="H40" s="18">
        <v>0</v>
      </c>
      <c r="I40" s="18">
        <v>0</v>
      </c>
      <c r="J40" s="18">
        <v>0</v>
      </c>
      <c r="K40" s="18">
        <v>0</v>
      </c>
      <c r="L40" s="18">
        <v>0</v>
      </c>
      <c r="M40" s="18">
        <v>0</v>
      </c>
      <c r="N40" s="18">
        <v>0</v>
      </c>
      <c r="O40" s="18">
        <v>0</v>
      </c>
      <c r="P40" s="18">
        <v>0</v>
      </c>
      <c r="Q40" s="18">
        <v>0</v>
      </c>
      <c r="X40" s="22" t="s">
        <v>125</v>
      </c>
      <c r="Y40" s="26">
        <v>0</v>
      </c>
      <c r="AA40" s="22" t="s">
        <v>126</v>
      </c>
      <c r="AB40" s="27">
        <f t="shared" si="0"/>
        <v>0</v>
      </c>
    </row>
    <row r="41" spans="2:28" ht="15" thickBot="1" x14ac:dyDescent="0.35">
      <c r="B41" s="22" t="s">
        <v>127</v>
      </c>
      <c r="C41" t="s">
        <v>127</v>
      </c>
      <c r="D41" s="18">
        <v>0</v>
      </c>
      <c r="E41" s="18">
        <v>0</v>
      </c>
      <c r="F41" s="18">
        <v>0</v>
      </c>
      <c r="G41" s="18">
        <v>0</v>
      </c>
      <c r="H41" s="18">
        <v>0</v>
      </c>
      <c r="I41" s="18">
        <v>0</v>
      </c>
      <c r="J41" s="18">
        <v>0</v>
      </c>
      <c r="K41" s="18">
        <v>0</v>
      </c>
      <c r="L41" s="18">
        <v>0</v>
      </c>
      <c r="M41" s="18">
        <v>0</v>
      </c>
      <c r="N41" s="18">
        <v>0</v>
      </c>
      <c r="O41" s="18">
        <v>0</v>
      </c>
      <c r="P41" s="18">
        <v>0</v>
      </c>
      <c r="Q41" s="18">
        <v>0</v>
      </c>
      <c r="X41" s="22" t="s">
        <v>127</v>
      </c>
      <c r="Y41" s="26">
        <v>0</v>
      </c>
      <c r="AA41" s="22" t="s">
        <v>128</v>
      </c>
      <c r="AB41" s="27">
        <f t="shared" si="0"/>
        <v>0</v>
      </c>
    </row>
    <row r="42" spans="2:28" ht="15" thickBot="1" x14ac:dyDescent="0.35">
      <c r="B42" s="22" t="s">
        <v>129</v>
      </c>
      <c r="C42" t="s">
        <v>129</v>
      </c>
      <c r="D42" s="18">
        <v>0</v>
      </c>
      <c r="E42" s="18">
        <v>0</v>
      </c>
      <c r="F42" s="18">
        <v>0</v>
      </c>
      <c r="G42" s="18">
        <v>0</v>
      </c>
      <c r="H42" s="18">
        <v>0</v>
      </c>
      <c r="I42" s="18">
        <v>0</v>
      </c>
      <c r="J42" s="18">
        <v>0</v>
      </c>
      <c r="K42" s="18">
        <v>0</v>
      </c>
      <c r="L42" s="18">
        <v>0</v>
      </c>
      <c r="M42" s="18">
        <v>0</v>
      </c>
      <c r="N42" s="18">
        <v>0</v>
      </c>
      <c r="O42" s="18">
        <v>0</v>
      </c>
      <c r="P42" s="18">
        <v>0</v>
      </c>
      <c r="Q42" s="18">
        <v>0</v>
      </c>
      <c r="X42" s="22" t="s">
        <v>129</v>
      </c>
      <c r="Y42" s="26">
        <v>0</v>
      </c>
      <c r="AA42" s="22" t="s">
        <v>130</v>
      </c>
      <c r="AB42" s="27">
        <f t="shared" si="0"/>
        <v>0</v>
      </c>
    </row>
    <row r="43" spans="2:28" ht="15" thickBot="1" x14ac:dyDescent="0.35">
      <c r="B43" s="22" t="s">
        <v>509</v>
      </c>
      <c r="C43" t="s">
        <v>509</v>
      </c>
      <c r="D43" s="18">
        <v>0</v>
      </c>
      <c r="E43" s="18">
        <v>0</v>
      </c>
      <c r="F43" s="18">
        <v>0</v>
      </c>
      <c r="G43" s="18">
        <v>0</v>
      </c>
      <c r="H43" s="18">
        <v>0</v>
      </c>
      <c r="I43" s="18">
        <v>0</v>
      </c>
      <c r="J43" s="18">
        <v>0</v>
      </c>
      <c r="K43" s="18">
        <v>0</v>
      </c>
      <c r="L43" s="18">
        <v>0</v>
      </c>
      <c r="M43" s="18">
        <v>0</v>
      </c>
      <c r="N43" s="18">
        <v>0</v>
      </c>
      <c r="O43" s="18">
        <v>0</v>
      </c>
      <c r="P43" s="18">
        <v>0</v>
      </c>
      <c r="Q43" s="18">
        <v>0</v>
      </c>
      <c r="X43" s="22" t="s">
        <v>131</v>
      </c>
      <c r="Y43" s="26">
        <v>0</v>
      </c>
    </row>
    <row r="44" spans="2:28" ht="15" thickBot="1" x14ac:dyDescent="0.35">
      <c r="B44" s="22" t="s">
        <v>132</v>
      </c>
      <c r="C44" t="s">
        <v>132</v>
      </c>
      <c r="D44" s="18">
        <v>0</v>
      </c>
      <c r="E44" s="18">
        <v>0</v>
      </c>
      <c r="F44" s="18">
        <v>0</v>
      </c>
      <c r="G44" s="18">
        <v>0</v>
      </c>
      <c r="H44" s="18">
        <v>0</v>
      </c>
      <c r="I44" s="18">
        <v>0</v>
      </c>
      <c r="J44" s="18">
        <v>0</v>
      </c>
      <c r="K44" s="18">
        <v>0</v>
      </c>
      <c r="L44" s="18">
        <v>0</v>
      </c>
      <c r="M44" s="18">
        <v>0</v>
      </c>
      <c r="N44" s="18">
        <v>0</v>
      </c>
      <c r="O44" s="18">
        <v>0</v>
      </c>
      <c r="P44" s="18">
        <v>0</v>
      </c>
      <c r="Q44" s="18">
        <v>0</v>
      </c>
      <c r="X44" s="22" t="s">
        <v>132</v>
      </c>
      <c r="Y44" s="26">
        <v>0</v>
      </c>
    </row>
    <row r="45" spans="2:28" ht="15" thickBot="1" x14ac:dyDescent="0.35">
      <c r="B45" s="22" t="s">
        <v>133</v>
      </c>
      <c r="C45" t="s">
        <v>133</v>
      </c>
      <c r="D45" s="18">
        <v>0</v>
      </c>
      <c r="E45" s="18">
        <v>0</v>
      </c>
      <c r="F45" s="18">
        <v>0</v>
      </c>
      <c r="G45" s="18">
        <v>0</v>
      </c>
      <c r="H45" s="18">
        <v>0</v>
      </c>
      <c r="I45" s="18">
        <v>0</v>
      </c>
      <c r="J45" s="18">
        <v>0</v>
      </c>
      <c r="K45" s="18">
        <v>0</v>
      </c>
      <c r="L45" s="18">
        <v>0</v>
      </c>
      <c r="M45" s="18">
        <v>0</v>
      </c>
      <c r="N45" s="18">
        <v>0</v>
      </c>
      <c r="O45" s="18">
        <v>0</v>
      </c>
      <c r="P45" s="18">
        <v>0</v>
      </c>
      <c r="Q45" s="18">
        <v>0</v>
      </c>
      <c r="T45" s="31"/>
      <c r="X45" s="22" t="s">
        <v>133</v>
      </c>
      <c r="Y45" s="26">
        <v>0</v>
      </c>
    </row>
    <row r="46" spans="2:28" ht="15" thickBot="1" x14ac:dyDescent="0.35">
      <c r="B46" s="22" t="s">
        <v>134</v>
      </c>
      <c r="C46" t="s">
        <v>134</v>
      </c>
      <c r="D46" s="18">
        <v>0</v>
      </c>
      <c r="E46" s="18">
        <v>0</v>
      </c>
      <c r="F46" s="18">
        <v>0</v>
      </c>
      <c r="G46" s="18">
        <v>0</v>
      </c>
      <c r="H46" s="18">
        <v>0</v>
      </c>
      <c r="I46" s="18">
        <v>0</v>
      </c>
      <c r="J46" s="18">
        <v>0</v>
      </c>
      <c r="K46" s="18">
        <v>0</v>
      </c>
      <c r="L46" s="18">
        <v>0</v>
      </c>
      <c r="M46" s="18">
        <v>0</v>
      </c>
      <c r="N46" s="18">
        <v>0</v>
      </c>
      <c r="O46" s="18">
        <v>0</v>
      </c>
      <c r="P46" s="18">
        <v>0</v>
      </c>
      <c r="Q46" s="18">
        <v>0</v>
      </c>
      <c r="T46" s="31"/>
      <c r="X46" s="22" t="s">
        <v>134</v>
      </c>
      <c r="Y46" s="26">
        <v>0</v>
      </c>
    </row>
    <row r="47" spans="2:28" x14ac:dyDescent="0.3">
      <c r="B47" s="11" t="s">
        <v>135</v>
      </c>
      <c r="C47" s="11"/>
    </row>
    <row r="48" spans="2:28" x14ac:dyDescent="0.3">
      <c r="B48" s="32" t="s">
        <v>136</v>
      </c>
      <c r="C48" s="32"/>
    </row>
    <row r="51" spans="2:65" ht="41.25" customHeight="1" x14ac:dyDescent="0.3">
      <c r="B51" s="12" t="s">
        <v>137</v>
      </c>
      <c r="C51" s="171"/>
      <c r="I51" s="374" t="s">
        <v>138</v>
      </c>
      <c r="J51" s="374"/>
      <c r="K51" s="374"/>
      <c r="S51" s="12" t="s">
        <v>137</v>
      </c>
      <c r="Y51" s="372" t="s">
        <v>139</v>
      </c>
      <c r="Z51" s="372"/>
      <c r="AA51" s="372"/>
      <c r="AI51" s="12" t="s">
        <v>137</v>
      </c>
      <c r="AO51" s="372" t="s">
        <v>140</v>
      </c>
      <c r="AP51" s="372"/>
      <c r="AQ51" s="372"/>
      <c r="AY51" s="12" t="s">
        <v>137</v>
      </c>
      <c r="BE51" s="372" t="s">
        <v>141</v>
      </c>
      <c r="BF51" s="372"/>
      <c r="BG51" s="372"/>
    </row>
    <row r="52" spans="2:65" ht="15" thickBot="1" x14ac:dyDescent="0.35">
      <c r="B52" s="13" t="s">
        <v>142</v>
      </c>
      <c r="C52" s="172"/>
      <c r="S52" s="13" t="s">
        <v>142</v>
      </c>
      <c r="AI52" s="13" t="s">
        <v>142</v>
      </c>
      <c r="AY52" s="13" t="s">
        <v>142</v>
      </c>
    </row>
    <row r="53" spans="2:65" ht="15" thickBot="1" x14ac:dyDescent="0.35">
      <c r="B53" s="14" t="s">
        <v>27</v>
      </c>
      <c r="C53" s="173"/>
      <c r="D53" s="15" t="s">
        <v>28</v>
      </c>
      <c r="E53" s="15" t="s">
        <v>29</v>
      </c>
      <c r="F53" s="15" t="s">
        <v>30</v>
      </c>
      <c r="G53" s="15" t="s">
        <v>31</v>
      </c>
      <c r="H53" s="15" t="s">
        <v>32</v>
      </c>
      <c r="I53" s="15" t="s">
        <v>33</v>
      </c>
      <c r="J53" s="15" t="s">
        <v>34</v>
      </c>
      <c r="K53" s="15" t="s">
        <v>35</v>
      </c>
      <c r="L53" s="15" t="s">
        <v>36</v>
      </c>
      <c r="M53" s="15" t="s">
        <v>37</v>
      </c>
      <c r="N53" s="15" t="s">
        <v>38</v>
      </c>
      <c r="O53" s="15" t="s">
        <v>39</v>
      </c>
      <c r="P53" s="15" t="s">
        <v>40</v>
      </c>
      <c r="Q53" s="15" t="s">
        <v>41</v>
      </c>
      <c r="S53" s="14" t="s">
        <v>27</v>
      </c>
      <c r="T53" s="15" t="s">
        <v>28</v>
      </c>
      <c r="U53" s="15" t="s">
        <v>29</v>
      </c>
      <c r="V53" s="15" t="s">
        <v>30</v>
      </c>
      <c r="W53" s="15" t="s">
        <v>96</v>
      </c>
      <c r="X53" s="15" t="s">
        <v>32</v>
      </c>
      <c r="Y53" s="15" t="s">
        <v>33</v>
      </c>
      <c r="Z53" s="15" t="s">
        <v>34</v>
      </c>
      <c r="AA53" s="15" t="s">
        <v>35</v>
      </c>
      <c r="AB53" s="15" t="s">
        <v>36</v>
      </c>
      <c r="AC53" s="15" t="s">
        <v>37</v>
      </c>
      <c r="AD53" s="15" t="s">
        <v>38</v>
      </c>
      <c r="AE53" s="15" t="s">
        <v>39</v>
      </c>
      <c r="AF53" s="15" t="s">
        <v>40</v>
      </c>
      <c r="AG53" s="15" t="s">
        <v>41</v>
      </c>
      <c r="AI53" s="14" t="s">
        <v>27</v>
      </c>
      <c r="AJ53" s="15" t="s">
        <v>28</v>
      </c>
      <c r="AK53" s="15" t="s">
        <v>29</v>
      </c>
      <c r="AL53" s="15" t="s">
        <v>30</v>
      </c>
      <c r="AM53" s="15" t="s">
        <v>31</v>
      </c>
      <c r="AN53" s="15" t="s">
        <v>32</v>
      </c>
      <c r="AO53" s="15" t="s">
        <v>33</v>
      </c>
      <c r="AP53" s="15" t="s">
        <v>34</v>
      </c>
      <c r="AQ53" s="15" t="s">
        <v>35</v>
      </c>
      <c r="AR53" s="15" t="s">
        <v>36</v>
      </c>
      <c r="AS53" s="15" t="s">
        <v>37</v>
      </c>
      <c r="AT53" s="15" t="s">
        <v>38</v>
      </c>
      <c r="AU53" s="15" t="s">
        <v>39</v>
      </c>
      <c r="AV53" s="15" t="s">
        <v>40</v>
      </c>
      <c r="AW53" s="15" t="s">
        <v>41</v>
      </c>
      <c r="AY53" s="14" t="s">
        <v>27</v>
      </c>
      <c r="AZ53" s="15" t="s">
        <v>28</v>
      </c>
      <c r="BA53" s="15" t="s">
        <v>29</v>
      </c>
      <c r="BB53" s="15" t="s">
        <v>30</v>
      </c>
      <c r="BC53" s="15" t="s">
        <v>31</v>
      </c>
      <c r="BD53" s="15" t="s">
        <v>32</v>
      </c>
      <c r="BE53" s="15" t="s">
        <v>33</v>
      </c>
      <c r="BF53" s="15" t="s">
        <v>34</v>
      </c>
      <c r="BG53" s="15" t="s">
        <v>35</v>
      </c>
      <c r="BH53" s="15" t="s">
        <v>36</v>
      </c>
      <c r="BI53" s="15" t="s">
        <v>37</v>
      </c>
      <c r="BJ53" s="15" t="s">
        <v>38</v>
      </c>
      <c r="BK53" s="15" t="s">
        <v>39</v>
      </c>
      <c r="BL53" s="15" t="s">
        <v>40</v>
      </c>
      <c r="BM53" s="15" t="s">
        <v>41</v>
      </c>
    </row>
    <row r="54" spans="2:65" ht="15" thickBot="1" x14ac:dyDescent="0.35">
      <c r="B54" s="22" t="s">
        <v>44</v>
      </c>
      <c r="C54" t="s">
        <v>44</v>
      </c>
      <c r="D54" s="19">
        <v>434</v>
      </c>
      <c r="E54" s="19">
        <v>20</v>
      </c>
      <c r="F54" s="18">
        <f t="shared" ref="F54:Q54" si="1">F5</f>
        <v>0</v>
      </c>
      <c r="G54" s="18">
        <f t="shared" si="1"/>
        <v>0</v>
      </c>
      <c r="H54" s="18">
        <f t="shared" si="1"/>
        <v>0</v>
      </c>
      <c r="I54" s="18">
        <f t="shared" si="1"/>
        <v>0</v>
      </c>
      <c r="J54" s="18">
        <f t="shared" si="1"/>
        <v>0</v>
      </c>
      <c r="K54" s="18">
        <f t="shared" si="1"/>
        <v>0</v>
      </c>
      <c r="L54" s="18">
        <f t="shared" si="1"/>
        <v>0</v>
      </c>
      <c r="M54" s="18">
        <f t="shared" si="1"/>
        <v>0</v>
      </c>
      <c r="N54" s="18">
        <f t="shared" si="1"/>
        <v>0</v>
      </c>
      <c r="O54" s="18">
        <f t="shared" si="1"/>
        <v>0</v>
      </c>
      <c r="P54" s="18">
        <f t="shared" si="1"/>
        <v>0</v>
      </c>
      <c r="Q54" s="18">
        <f t="shared" si="1"/>
        <v>0</v>
      </c>
      <c r="S54" s="22" t="s">
        <v>44</v>
      </c>
      <c r="T54" s="33" t="s">
        <v>143</v>
      </c>
      <c r="U54" s="27">
        <v>1</v>
      </c>
      <c r="V54" s="33" t="s">
        <v>143</v>
      </c>
      <c r="W54" s="33" t="s">
        <v>143</v>
      </c>
      <c r="X54" s="33" t="s">
        <v>143</v>
      </c>
      <c r="Y54" s="33" t="s">
        <v>143</v>
      </c>
      <c r="Z54" s="33" t="s">
        <v>143</v>
      </c>
      <c r="AA54" s="33" t="s">
        <v>143</v>
      </c>
      <c r="AB54" s="33" t="s">
        <v>143</v>
      </c>
      <c r="AC54" s="33" t="s">
        <v>143</v>
      </c>
      <c r="AD54" s="33" t="s">
        <v>143</v>
      </c>
      <c r="AE54" s="33" t="s">
        <v>143</v>
      </c>
      <c r="AF54" s="33" t="s">
        <v>143</v>
      </c>
      <c r="AG54" s="33" t="s">
        <v>143</v>
      </c>
      <c r="AI54" s="22" t="s">
        <v>44</v>
      </c>
      <c r="AJ54" s="33" t="s">
        <v>143</v>
      </c>
      <c r="AK54" s="27">
        <v>5</v>
      </c>
      <c r="AL54" s="33" t="s">
        <v>143</v>
      </c>
      <c r="AM54" s="33" t="s">
        <v>143</v>
      </c>
      <c r="AN54" s="33" t="s">
        <v>143</v>
      </c>
      <c r="AO54" s="33" t="s">
        <v>143</v>
      </c>
      <c r="AP54" s="33" t="s">
        <v>143</v>
      </c>
      <c r="AQ54" s="33" t="s">
        <v>143</v>
      </c>
      <c r="AR54" s="33" t="s">
        <v>143</v>
      </c>
      <c r="AS54" s="33" t="s">
        <v>143</v>
      </c>
      <c r="AT54" s="33" t="s">
        <v>143</v>
      </c>
      <c r="AU54" s="33" t="s">
        <v>143</v>
      </c>
      <c r="AV54" s="33" t="s">
        <v>143</v>
      </c>
      <c r="AW54" s="33" t="s">
        <v>143</v>
      </c>
      <c r="AY54" s="22" t="s">
        <v>44</v>
      </c>
      <c r="AZ54" s="33" t="s">
        <v>143</v>
      </c>
      <c r="BA54" s="27">
        <v>5</v>
      </c>
      <c r="BB54" s="33" t="s">
        <v>143</v>
      </c>
      <c r="BC54" s="33" t="s">
        <v>143</v>
      </c>
      <c r="BD54" s="33" t="s">
        <v>143</v>
      </c>
      <c r="BE54" s="33" t="s">
        <v>143</v>
      </c>
      <c r="BF54" s="33" t="s">
        <v>143</v>
      </c>
      <c r="BG54" s="33" t="s">
        <v>143</v>
      </c>
      <c r="BH54" s="33" t="s">
        <v>143</v>
      </c>
      <c r="BI54" s="33" t="s">
        <v>143</v>
      </c>
      <c r="BJ54" s="33" t="s">
        <v>143</v>
      </c>
      <c r="BK54" s="33" t="s">
        <v>143</v>
      </c>
      <c r="BL54" s="33" t="s">
        <v>143</v>
      </c>
      <c r="BM54" s="33" t="s">
        <v>143</v>
      </c>
    </row>
    <row r="55" spans="2:65" ht="15" thickBot="1" x14ac:dyDescent="0.35">
      <c r="B55" s="22" t="s">
        <v>47</v>
      </c>
      <c r="C55" t="s">
        <v>47</v>
      </c>
      <c r="D55" s="18">
        <f t="shared" ref="D55:Q55" si="2">D6</f>
        <v>0</v>
      </c>
      <c r="E55" s="19">
        <v>0</v>
      </c>
      <c r="F55" s="18">
        <f t="shared" si="2"/>
        <v>0</v>
      </c>
      <c r="G55" s="18">
        <f t="shared" si="2"/>
        <v>0</v>
      </c>
      <c r="H55" s="18">
        <f t="shared" si="2"/>
        <v>0</v>
      </c>
      <c r="I55" s="18">
        <f t="shared" si="2"/>
        <v>0</v>
      </c>
      <c r="J55" s="18">
        <f t="shared" si="2"/>
        <v>0</v>
      </c>
      <c r="K55" s="18">
        <f t="shared" si="2"/>
        <v>0</v>
      </c>
      <c r="L55" s="18">
        <f t="shared" si="2"/>
        <v>0</v>
      </c>
      <c r="M55" s="18">
        <f t="shared" si="2"/>
        <v>0</v>
      </c>
      <c r="N55" s="18">
        <f t="shared" si="2"/>
        <v>0</v>
      </c>
      <c r="O55" s="18">
        <f t="shared" si="2"/>
        <v>0</v>
      </c>
      <c r="P55" s="18">
        <f t="shared" si="2"/>
        <v>0</v>
      </c>
      <c r="Q55" s="18">
        <f t="shared" si="2"/>
        <v>0</v>
      </c>
      <c r="S55" s="22" t="s">
        <v>47</v>
      </c>
      <c r="T55" s="33" t="s">
        <v>143</v>
      </c>
      <c r="U55" s="27" t="s">
        <v>144</v>
      </c>
      <c r="V55" s="33" t="s">
        <v>143</v>
      </c>
      <c r="W55" s="33" t="s">
        <v>143</v>
      </c>
      <c r="X55" s="33" t="s">
        <v>143</v>
      </c>
      <c r="Y55" s="33" t="s">
        <v>143</v>
      </c>
      <c r="Z55" s="33" t="s">
        <v>143</v>
      </c>
      <c r="AA55" s="33" t="s">
        <v>143</v>
      </c>
      <c r="AB55" s="33" t="s">
        <v>143</v>
      </c>
      <c r="AC55" s="33" t="s">
        <v>143</v>
      </c>
      <c r="AD55" s="33" t="s">
        <v>143</v>
      </c>
      <c r="AE55" s="33" t="s">
        <v>143</v>
      </c>
      <c r="AF55" s="33" t="s">
        <v>143</v>
      </c>
      <c r="AG55" s="33" t="s">
        <v>143</v>
      </c>
      <c r="AI55" s="22" t="s">
        <v>47</v>
      </c>
      <c r="AJ55" s="33" t="s">
        <v>143</v>
      </c>
      <c r="AK55" s="27" t="s">
        <v>144</v>
      </c>
      <c r="AL55" s="33" t="s">
        <v>143</v>
      </c>
      <c r="AM55" s="33" t="s">
        <v>143</v>
      </c>
      <c r="AN55" s="33" t="s">
        <v>143</v>
      </c>
      <c r="AO55" s="33" t="s">
        <v>143</v>
      </c>
      <c r="AP55" s="33" t="s">
        <v>143</v>
      </c>
      <c r="AQ55" s="33" t="s">
        <v>143</v>
      </c>
      <c r="AR55" s="33" t="s">
        <v>143</v>
      </c>
      <c r="AS55" s="33" t="s">
        <v>143</v>
      </c>
      <c r="AT55" s="33" t="s">
        <v>143</v>
      </c>
      <c r="AU55" s="33" t="s">
        <v>143</v>
      </c>
      <c r="AV55" s="33" t="s">
        <v>143</v>
      </c>
      <c r="AW55" s="33" t="s">
        <v>143</v>
      </c>
      <c r="AY55" s="22" t="s">
        <v>47</v>
      </c>
      <c r="AZ55" s="33" t="s">
        <v>143</v>
      </c>
      <c r="BA55" s="27" t="s">
        <v>144</v>
      </c>
      <c r="BB55" s="33" t="s">
        <v>143</v>
      </c>
      <c r="BC55" s="33" t="s">
        <v>143</v>
      </c>
      <c r="BD55" s="33" t="s">
        <v>143</v>
      </c>
      <c r="BE55" s="33" t="s">
        <v>143</v>
      </c>
      <c r="BF55" s="33" t="s">
        <v>143</v>
      </c>
      <c r="BG55" s="33" t="s">
        <v>143</v>
      </c>
      <c r="BH55" s="33" t="s">
        <v>143</v>
      </c>
      <c r="BI55" s="33" t="s">
        <v>143</v>
      </c>
      <c r="BJ55" s="33" t="s">
        <v>143</v>
      </c>
      <c r="BK55" s="33" t="s">
        <v>143</v>
      </c>
      <c r="BL55" s="33" t="s">
        <v>143</v>
      </c>
      <c r="BM55" s="33" t="s">
        <v>143</v>
      </c>
    </row>
    <row r="56" spans="2:65" ht="15" thickBot="1" x14ac:dyDescent="0.35">
      <c r="B56" s="22" t="s">
        <v>50</v>
      </c>
      <c r="C56" t="s">
        <v>50</v>
      </c>
      <c r="D56" s="18">
        <f t="shared" ref="D56:Q56" si="3">D7</f>
        <v>0</v>
      </c>
      <c r="E56" s="18">
        <f t="shared" si="3"/>
        <v>0</v>
      </c>
      <c r="F56" s="18">
        <f t="shared" si="3"/>
        <v>0</v>
      </c>
      <c r="G56" s="18">
        <f t="shared" si="3"/>
        <v>0</v>
      </c>
      <c r="H56" s="18">
        <f t="shared" si="3"/>
        <v>0</v>
      </c>
      <c r="I56" s="18">
        <f t="shared" si="3"/>
        <v>0</v>
      </c>
      <c r="J56" s="18">
        <f t="shared" si="3"/>
        <v>0</v>
      </c>
      <c r="K56" s="18">
        <f t="shared" si="3"/>
        <v>0</v>
      </c>
      <c r="L56" s="18">
        <f t="shared" si="3"/>
        <v>0</v>
      </c>
      <c r="M56" s="18">
        <f t="shared" si="3"/>
        <v>0</v>
      </c>
      <c r="N56" s="18">
        <f t="shared" si="3"/>
        <v>0</v>
      </c>
      <c r="O56" s="18">
        <f t="shared" si="3"/>
        <v>0</v>
      </c>
      <c r="P56" s="18">
        <f t="shared" si="3"/>
        <v>0</v>
      </c>
      <c r="Q56" s="18">
        <f t="shared" si="3"/>
        <v>0</v>
      </c>
      <c r="S56" s="22" t="s">
        <v>50</v>
      </c>
      <c r="T56" s="33" t="s">
        <v>143</v>
      </c>
      <c r="U56" s="33" t="s">
        <v>143</v>
      </c>
      <c r="V56" s="33" t="s">
        <v>143</v>
      </c>
      <c r="W56" s="33" t="s">
        <v>143</v>
      </c>
      <c r="X56" s="33" t="s">
        <v>143</v>
      </c>
      <c r="Y56" s="33" t="s">
        <v>143</v>
      </c>
      <c r="Z56" s="33" t="s">
        <v>143</v>
      </c>
      <c r="AA56" s="33" t="s">
        <v>143</v>
      </c>
      <c r="AB56" s="33" t="s">
        <v>143</v>
      </c>
      <c r="AC56" s="33" t="s">
        <v>143</v>
      </c>
      <c r="AD56" s="33" t="s">
        <v>143</v>
      </c>
      <c r="AE56" s="33" t="s">
        <v>143</v>
      </c>
      <c r="AF56" s="33" t="s">
        <v>143</v>
      </c>
      <c r="AG56" s="33" t="s">
        <v>143</v>
      </c>
      <c r="AI56" s="22" t="s">
        <v>50</v>
      </c>
      <c r="AJ56" s="33" t="s">
        <v>143</v>
      </c>
      <c r="AK56" s="33" t="s">
        <v>143</v>
      </c>
      <c r="AL56" s="33" t="s">
        <v>143</v>
      </c>
      <c r="AM56" s="33" t="s">
        <v>143</v>
      </c>
      <c r="AN56" s="33" t="s">
        <v>143</v>
      </c>
      <c r="AO56" s="33" t="s">
        <v>143</v>
      </c>
      <c r="AP56" s="33" t="s">
        <v>143</v>
      </c>
      <c r="AQ56" s="33" t="s">
        <v>143</v>
      </c>
      <c r="AR56" s="33" t="s">
        <v>143</v>
      </c>
      <c r="AS56" s="33" t="s">
        <v>143</v>
      </c>
      <c r="AT56" s="33" t="s">
        <v>143</v>
      </c>
      <c r="AU56" s="33" t="s">
        <v>143</v>
      </c>
      <c r="AV56" s="33" t="s">
        <v>143</v>
      </c>
      <c r="AW56" s="33" t="s">
        <v>143</v>
      </c>
      <c r="AY56" s="22" t="s">
        <v>50</v>
      </c>
      <c r="AZ56" s="33" t="s">
        <v>143</v>
      </c>
      <c r="BA56" s="33" t="s">
        <v>143</v>
      </c>
      <c r="BB56" s="33" t="s">
        <v>143</v>
      </c>
      <c r="BC56" s="33" t="s">
        <v>143</v>
      </c>
      <c r="BD56" s="33" t="s">
        <v>143</v>
      </c>
      <c r="BE56" s="33" t="s">
        <v>143</v>
      </c>
      <c r="BF56" s="33" t="s">
        <v>143</v>
      </c>
      <c r="BG56" s="33" t="s">
        <v>143</v>
      </c>
      <c r="BH56" s="33" t="s">
        <v>143</v>
      </c>
      <c r="BI56" s="33" t="s">
        <v>143</v>
      </c>
      <c r="BJ56" s="33" t="s">
        <v>143</v>
      </c>
      <c r="BK56" s="33" t="s">
        <v>143</v>
      </c>
      <c r="BL56" s="33" t="s">
        <v>143</v>
      </c>
      <c r="BM56" s="33" t="s">
        <v>143</v>
      </c>
    </row>
    <row r="57" spans="2:65" ht="15" thickBot="1" x14ac:dyDescent="0.35">
      <c r="B57" s="22" t="s">
        <v>53</v>
      </c>
      <c r="C57" t="s">
        <v>53</v>
      </c>
      <c r="D57" s="18">
        <f t="shared" ref="D57:Q57" si="4">D8</f>
        <v>0</v>
      </c>
      <c r="E57" s="18">
        <f t="shared" si="4"/>
        <v>0</v>
      </c>
      <c r="F57" s="18">
        <f t="shared" si="4"/>
        <v>0</v>
      </c>
      <c r="G57" s="18">
        <f t="shared" si="4"/>
        <v>0</v>
      </c>
      <c r="H57" s="18">
        <f t="shared" si="4"/>
        <v>0</v>
      </c>
      <c r="I57" s="19">
        <v>10</v>
      </c>
      <c r="J57" s="19">
        <v>3</v>
      </c>
      <c r="K57" s="18">
        <f t="shared" si="4"/>
        <v>0</v>
      </c>
      <c r="L57" s="18">
        <f t="shared" si="4"/>
        <v>0</v>
      </c>
      <c r="M57" s="18">
        <f t="shared" si="4"/>
        <v>0</v>
      </c>
      <c r="N57" s="18">
        <f t="shared" si="4"/>
        <v>0</v>
      </c>
      <c r="O57" s="18">
        <f t="shared" si="4"/>
        <v>0</v>
      </c>
      <c r="P57" s="18">
        <f t="shared" si="4"/>
        <v>0</v>
      </c>
      <c r="Q57" s="18">
        <f t="shared" si="4"/>
        <v>0</v>
      </c>
      <c r="S57" s="22" t="s">
        <v>53</v>
      </c>
      <c r="T57" s="33" t="s">
        <v>143</v>
      </c>
      <c r="U57" s="33" t="s">
        <v>143</v>
      </c>
      <c r="V57" s="33" t="s">
        <v>143</v>
      </c>
      <c r="W57" s="33" t="s">
        <v>143</v>
      </c>
      <c r="X57" s="33" t="s">
        <v>143</v>
      </c>
      <c r="Y57" s="33" t="s">
        <v>143</v>
      </c>
      <c r="Z57" s="27">
        <v>3</v>
      </c>
      <c r="AA57" s="33" t="s">
        <v>143</v>
      </c>
      <c r="AB57" s="33" t="s">
        <v>143</v>
      </c>
      <c r="AC57" s="33" t="s">
        <v>143</v>
      </c>
      <c r="AD57" s="33" t="s">
        <v>143</v>
      </c>
      <c r="AE57" s="33" t="s">
        <v>143</v>
      </c>
      <c r="AF57" s="33" t="s">
        <v>143</v>
      </c>
      <c r="AG57" s="33" t="s">
        <v>143</v>
      </c>
      <c r="AI57" s="22" t="s">
        <v>53</v>
      </c>
      <c r="AJ57" s="33" t="s">
        <v>143</v>
      </c>
      <c r="AK57" s="33" t="s">
        <v>143</v>
      </c>
      <c r="AL57" s="33" t="s">
        <v>143</v>
      </c>
      <c r="AM57" s="33" t="s">
        <v>143</v>
      </c>
      <c r="AN57" s="33" t="s">
        <v>143</v>
      </c>
      <c r="AO57" s="33" t="s">
        <v>143</v>
      </c>
      <c r="AP57" s="27">
        <v>3</v>
      </c>
      <c r="AQ57" s="33" t="s">
        <v>143</v>
      </c>
      <c r="AR57" s="33" t="s">
        <v>143</v>
      </c>
      <c r="AS57" s="33" t="s">
        <v>143</v>
      </c>
      <c r="AT57" s="33" t="s">
        <v>143</v>
      </c>
      <c r="AU57" s="33" t="s">
        <v>143</v>
      </c>
      <c r="AV57" s="33" t="s">
        <v>143</v>
      </c>
      <c r="AW57" s="33" t="s">
        <v>143</v>
      </c>
      <c r="AY57" s="22" t="s">
        <v>53</v>
      </c>
      <c r="AZ57" s="33" t="s">
        <v>143</v>
      </c>
      <c r="BA57" s="33" t="s">
        <v>143</v>
      </c>
      <c r="BB57" s="33" t="s">
        <v>143</v>
      </c>
      <c r="BC57" s="33" t="s">
        <v>143</v>
      </c>
      <c r="BD57" s="33" t="s">
        <v>143</v>
      </c>
      <c r="BE57" s="33" t="s">
        <v>143</v>
      </c>
      <c r="BF57" s="27">
        <v>3</v>
      </c>
      <c r="BG57" s="33" t="s">
        <v>143</v>
      </c>
      <c r="BH57" s="33" t="s">
        <v>143</v>
      </c>
      <c r="BI57" s="33" t="s">
        <v>143</v>
      </c>
      <c r="BJ57" s="33" t="s">
        <v>143</v>
      </c>
      <c r="BK57" s="33" t="s">
        <v>143</v>
      </c>
      <c r="BL57" s="33" t="s">
        <v>143</v>
      </c>
      <c r="BM57" s="33" t="s">
        <v>143</v>
      </c>
    </row>
    <row r="58" spans="2:65" ht="15" thickBot="1" x14ac:dyDescent="0.35">
      <c r="B58" s="22" t="s">
        <v>499</v>
      </c>
      <c r="C58" t="s">
        <v>499</v>
      </c>
      <c r="D58" s="18">
        <f t="shared" ref="D58:Q58" si="5">D9</f>
        <v>0</v>
      </c>
      <c r="E58" s="18">
        <f t="shared" si="5"/>
        <v>0</v>
      </c>
      <c r="F58" s="18">
        <f t="shared" si="5"/>
        <v>0</v>
      </c>
      <c r="G58" s="18">
        <f t="shared" si="5"/>
        <v>0</v>
      </c>
      <c r="H58" s="18">
        <f t="shared" si="5"/>
        <v>0</v>
      </c>
      <c r="I58" s="18">
        <f t="shared" si="5"/>
        <v>0</v>
      </c>
      <c r="J58" s="19">
        <v>0</v>
      </c>
      <c r="K58" s="18">
        <f t="shared" si="5"/>
        <v>0</v>
      </c>
      <c r="L58" s="18">
        <f t="shared" si="5"/>
        <v>0</v>
      </c>
      <c r="M58" s="18">
        <f t="shared" si="5"/>
        <v>0</v>
      </c>
      <c r="N58" s="18">
        <f t="shared" si="5"/>
        <v>0</v>
      </c>
      <c r="O58" s="18">
        <f t="shared" si="5"/>
        <v>0</v>
      </c>
      <c r="P58" s="18">
        <f t="shared" si="5"/>
        <v>0</v>
      </c>
      <c r="Q58" s="18">
        <f t="shared" si="5"/>
        <v>0</v>
      </c>
      <c r="S58" s="22" t="s">
        <v>499</v>
      </c>
      <c r="T58" s="33" t="s">
        <v>143</v>
      </c>
      <c r="U58" s="33" t="s">
        <v>143</v>
      </c>
      <c r="V58" s="33" t="s">
        <v>143</v>
      </c>
      <c r="W58" s="33" t="s">
        <v>143</v>
      </c>
      <c r="X58" s="33" t="s">
        <v>143</v>
      </c>
      <c r="Y58" s="33" t="s">
        <v>143</v>
      </c>
      <c r="Z58" s="27">
        <v>0</v>
      </c>
      <c r="AA58" s="33" t="s">
        <v>143</v>
      </c>
      <c r="AB58" s="33" t="s">
        <v>143</v>
      </c>
      <c r="AC58" s="33" t="s">
        <v>143</v>
      </c>
      <c r="AD58" s="33" t="s">
        <v>143</v>
      </c>
      <c r="AE58" s="33" t="s">
        <v>143</v>
      </c>
      <c r="AF58" s="33" t="s">
        <v>143</v>
      </c>
      <c r="AG58" s="33" t="s">
        <v>143</v>
      </c>
      <c r="AI58" s="22" t="s">
        <v>499</v>
      </c>
      <c r="AJ58" s="33" t="s">
        <v>143</v>
      </c>
      <c r="AK58" s="33" t="s">
        <v>143</v>
      </c>
      <c r="AL58" s="33" t="s">
        <v>143</v>
      </c>
      <c r="AM58" s="33" t="s">
        <v>143</v>
      </c>
      <c r="AN58" s="33" t="s">
        <v>143</v>
      </c>
      <c r="AO58" s="33" t="s">
        <v>143</v>
      </c>
      <c r="AP58" s="27">
        <v>0</v>
      </c>
      <c r="AQ58" s="33" t="s">
        <v>143</v>
      </c>
      <c r="AR58" s="33" t="s">
        <v>143</v>
      </c>
      <c r="AS58" s="33" t="s">
        <v>143</v>
      </c>
      <c r="AT58" s="33" t="s">
        <v>143</v>
      </c>
      <c r="AU58" s="33" t="s">
        <v>143</v>
      </c>
      <c r="AV58" s="33" t="s">
        <v>143</v>
      </c>
      <c r="AW58" s="33" t="s">
        <v>143</v>
      </c>
      <c r="AY58" s="22" t="s">
        <v>499</v>
      </c>
      <c r="AZ58" s="33" t="s">
        <v>143</v>
      </c>
      <c r="BA58" s="33" t="s">
        <v>143</v>
      </c>
      <c r="BB58" s="33" t="s">
        <v>143</v>
      </c>
      <c r="BC58" s="33" t="s">
        <v>143</v>
      </c>
      <c r="BD58" s="33" t="s">
        <v>143</v>
      </c>
      <c r="BE58" s="33" t="s">
        <v>143</v>
      </c>
      <c r="BF58" s="27">
        <v>0</v>
      </c>
      <c r="BG58" s="33" t="s">
        <v>143</v>
      </c>
      <c r="BH58" s="33" t="s">
        <v>143</v>
      </c>
      <c r="BI58" s="33" t="s">
        <v>143</v>
      </c>
      <c r="BJ58" s="33" t="s">
        <v>143</v>
      </c>
      <c r="BK58" s="33" t="s">
        <v>143</v>
      </c>
      <c r="BL58" s="33" t="s">
        <v>143</v>
      </c>
      <c r="BM58" s="33" t="s">
        <v>143</v>
      </c>
    </row>
    <row r="59" spans="2:65" ht="15" thickBot="1" x14ac:dyDescent="0.35">
      <c r="B59" s="22" t="s">
        <v>500</v>
      </c>
      <c r="C59" t="s">
        <v>500</v>
      </c>
      <c r="D59" s="18">
        <f t="shared" ref="D59:Q59" si="6">D10</f>
        <v>0</v>
      </c>
      <c r="E59" s="18">
        <f t="shared" si="6"/>
        <v>0</v>
      </c>
      <c r="F59" s="18">
        <f t="shared" si="6"/>
        <v>0</v>
      </c>
      <c r="G59" s="18">
        <f t="shared" si="6"/>
        <v>0</v>
      </c>
      <c r="H59" s="18">
        <f t="shared" si="6"/>
        <v>0</v>
      </c>
      <c r="I59" s="18">
        <f t="shared" si="6"/>
        <v>0</v>
      </c>
      <c r="J59" s="18">
        <f t="shared" si="6"/>
        <v>0</v>
      </c>
      <c r="K59" s="18">
        <f t="shared" si="6"/>
        <v>0</v>
      </c>
      <c r="L59" s="18">
        <f t="shared" si="6"/>
        <v>0</v>
      </c>
      <c r="M59" s="18">
        <f t="shared" si="6"/>
        <v>0</v>
      </c>
      <c r="N59" s="18">
        <f t="shared" si="6"/>
        <v>0</v>
      </c>
      <c r="O59" s="19">
        <v>1</v>
      </c>
      <c r="P59" s="18">
        <f t="shared" si="6"/>
        <v>0</v>
      </c>
      <c r="Q59" s="18">
        <f t="shared" si="6"/>
        <v>0</v>
      </c>
      <c r="S59" s="22" t="s">
        <v>500</v>
      </c>
      <c r="T59" s="33" t="s">
        <v>143</v>
      </c>
      <c r="U59" s="33" t="s">
        <v>143</v>
      </c>
      <c r="V59" s="33" t="s">
        <v>143</v>
      </c>
      <c r="W59" s="33" t="s">
        <v>143</v>
      </c>
      <c r="X59" s="33" t="s">
        <v>143</v>
      </c>
      <c r="Y59" s="33" t="s">
        <v>143</v>
      </c>
      <c r="Z59" s="33" t="s">
        <v>143</v>
      </c>
      <c r="AA59" s="33" t="s">
        <v>143</v>
      </c>
      <c r="AB59" s="33" t="s">
        <v>143</v>
      </c>
      <c r="AC59" s="33" t="s">
        <v>143</v>
      </c>
      <c r="AD59" s="33" t="s">
        <v>143</v>
      </c>
      <c r="AE59" s="27">
        <v>10</v>
      </c>
      <c r="AF59" s="33" t="s">
        <v>143</v>
      </c>
      <c r="AG59" s="33" t="s">
        <v>143</v>
      </c>
      <c r="AI59" s="22" t="s">
        <v>500</v>
      </c>
      <c r="AJ59" s="33" t="s">
        <v>143</v>
      </c>
      <c r="AK59" s="33" t="s">
        <v>143</v>
      </c>
      <c r="AL59" s="33" t="s">
        <v>143</v>
      </c>
      <c r="AM59" s="33" t="s">
        <v>143</v>
      </c>
      <c r="AN59" s="33" t="s">
        <v>143</v>
      </c>
      <c r="AO59" s="33" t="s">
        <v>143</v>
      </c>
      <c r="AP59" s="33" t="s">
        <v>143</v>
      </c>
      <c r="AQ59" s="33" t="s">
        <v>143</v>
      </c>
      <c r="AR59" s="33" t="s">
        <v>143</v>
      </c>
      <c r="AS59" s="33" t="s">
        <v>143</v>
      </c>
      <c r="AT59" s="33" t="s">
        <v>143</v>
      </c>
      <c r="AU59" s="27">
        <v>10</v>
      </c>
      <c r="AV59" s="33" t="s">
        <v>143</v>
      </c>
      <c r="AW59" s="33" t="s">
        <v>143</v>
      </c>
      <c r="AY59" s="22" t="s">
        <v>500</v>
      </c>
      <c r="AZ59" s="33" t="s">
        <v>143</v>
      </c>
      <c r="BA59" s="33" t="s">
        <v>143</v>
      </c>
      <c r="BB59" s="33" t="s">
        <v>143</v>
      </c>
      <c r="BC59" s="33" t="s">
        <v>143</v>
      </c>
      <c r="BD59" s="33" t="s">
        <v>143</v>
      </c>
      <c r="BE59" s="33" t="s">
        <v>143</v>
      </c>
      <c r="BF59" s="33" t="s">
        <v>143</v>
      </c>
      <c r="BG59" s="33" t="s">
        <v>143</v>
      </c>
      <c r="BH59" s="33" t="s">
        <v>143</v>
      </c>
      <c r="BI59" s="33" t="s">
        <v>143</v>
      </c>
      <c r="BJ59" s="33" t="s">
        <v>143</v>
      </c>
      <c r="BK59" s="27">
        <v>300</v>
      </c>
      <c r="BL59" s="33" t="s">
        <v>143</v>
      </c>
      <c r="BM59" s="33" t="s">
        <v>143</v>
      </c>
    </row>
    <row r="60" spans="2:65" ht="15" thickBot="1" x14ac:dyDescent="0.35">
      <c r="B60" s="22" t="s">
        <v>501</v>
      </c>
      <c r="C60" t="s">
        <v>501</v>
      </c>
      <c r="D60" s="18">
        <f t="shared" ref="D60:Q60" si="7">D11</f>
        <v>0</v>
      </c>
      <c r="E60" s="18">
        <f t="shared" si="7"/>
        <v>0</v>
      </c>
      <c r="F60" s="18">
        <f t="shared" si="7"/>
        <v>0</v>
      </c>
      <c r="G60" s="18">
        <f t="shared" si="7"/>
        <v>0</v>
      </c>
      <c r="H60" s="18">
        <f t="shared" si="7"/>
        <v>0</v>
      </c>
      <c r="I60" s="18">
        <f t="shared" si="7"/>
        <v>0</v>
      </c>
      <c r="J60" s="18">
        <f t="shared" si="7"/>
        <v>0</v>
      </c>
      <c r="K60" s="18">
        <f t="shared" si="7"/>
        <v>0</v>
      </c>
      <c r="L60" s="18">
        <f t="shared" si="7"/>
        <v>0</v>
      </c>
      <c r="M60" s="18">
        <f t="shared" si="7"/>
        <v>0</v>
      </c>
      <c r="N60" s="18">
        <f t="shared" si="7"/>
        <v>0</v>
      </c>
      <c r="O60" s="19">
        <v>0</v>
      </c>
      <c r="P60" s="18">
        <f t="shared" si="7"/>
        <v>0</v>
      </c>
      <c r="Q60" s="18">
        <f t="shared" si="7"/>
        <v>0</v>
      </c>
      <c r="S60" s="22" t="s">
        <v>501</v>
      </c>
      <c r="T60" s="33" t="s">
        <v>143</v>
      </c>
      <c r="U60" s="33" t="s">
        <v>143</v>
      </c>
      <c r="V60" s="33" t="s">
        <v>143</v>
      </c>
      <c r="W60" s="33" t="s">
        <v>143</v>
      </c>
      <c r="X60" s="33" t="s">
        <v>143</v>
      </c>
      <c r="Y60" s="33" t="s">
        <v>143</v>
      </c>
      <c r="Z60" s="33" t="s">
        <v>143</v>
      </c>
      <c r="AA60" s="33" t="s">
        <v>143</v>
      </c>
      <c r="AB60" s="33" t="s">
        <v>143</v>
      </c>
      <c r="AC60" s="33" t="s">
        <v>143</v>
      </c>
      <c r="AD60" s="33" t="s">
        <v>143</v>
      </c>
      <c r="AE60" s="27">
        <v>0</v>
      </c>
      <c r="AF60" s="33" t="s">
        <v>143</v>
      </c>
      <c r="AG60" s="33" t="s">
        <v>143</v>
      </c>
      <c r="AI60" s="22" t="s">
        <v>501</v>
      </c>
      <c r="AJ60" s="33" t="s">
        <v>143</v>
      </c>
      <c r="AK60" s="33" t="s">
        <v>143</v>
      </c>
      <c r="AL60" s="33" t="s">
        <v>143</v>
      </c>
      <c r="AM60" s="33" t="s">
        <v>143</v>
      </c>
      <c r="AN60" s="33" t="s">
        <v>143</v>
      </c>
      <c r="AO60" s="33" t="s">
        <v>143</v>
      </c>
      <c r="AP60" s="33" t="s">
        <v>143</v>
      </c>
      <c r="AQ60" s="33" t="s">
        <v>143</v>
      </c>
      <c r="AR60" s="33" t="s">
        <v>143</v>
      </c>
      <c r="AS60" s="33" t="s">
        <v>143</v>
      </c>
      <c r="AT60" s="33" t="s">
        <v>143</v>
      </c>
      <c r="AU60" s="27">
        <v>0</v>
      </c>
      <c r="AV60" s="33" t="s">
        <v>143</v>
      </c>
      <c r="AW60" s="33" t="s">
        <v>143</v>
      </c>
      <c r="AY60" s="22" t="s">
        <v>501</v>
      </c>
      <c r="AZ60" s="33" t="s">
        <v>143</v>
      </c>
      <c r="BA60" s="33" t="s">
        <v>143</v>
      </c>
      <c r="BB60" s="33" t="s">
        <v>143</v>
      </c>
      <c r="BC60" s="33" t="s">
        <v>143</v>
      </c>
      <c r="BD60" s="33" t="s">
        <v>143</v>
      </c>
      <c r="BE60" s="33" t="s">
        <v>143</v>
      </c>
      <c r="BF60" s="33" t="s">
        <v>143</v>
      </c>
      <c r="BG60" s="33" t="s">
        <v>143</v>
      </c>
      <c r="BH60" s="33" t="s">
        <v>143</v>
      </c>
      <c r="BI60" s="33" t="s">
        <v>143</v>
      </c>
      <c r="BJ60" s="33" t="s">
        <v>143</v>
      </c>
      <c r="BK60" s="27">
        <v>0</v>
      </c>
      <c r="BL60" s="33" t="s">
        <v>143</v>
      </c>
      <c r="BM60" s="33" t="s">
        <v>143</v>
      </c>
    </row>
    <row r="61" spans="2:65" ht="15" thickBot="1" x14ac:dyDescent="0.35">
      <c r="B61" s="22" t="s">
        <v>65</v>
      </c>
      <c r="C61" t="s">
        <v>65</v>
      </c>
      <c r="D61" s="18">
        <f t="shared" ref="D61:Q61" si="8">D12</f>
        <v>0</v>
      </c>
      <c r="E61" s="18">
        <f t="shared" si="8"/>
        <v>0</v>
      </c>
      <c r="F61" s="18">
        <f t="shared" si="8"/>
        <v>0</v>
      </c>
      <c r="G61" s="18">
        <f t="shared" si="8"/>
        <v>0</v>
      </c>
      <c r="H61" s="18">
        <f t="shared" si="8"/>
        <v>0</v>
      </c>
      <c r="I61" s="18">
        <f t="shared" si="8"/>
        <v>0</v>
      </c>
      <c r="J61" s="18">
        <f t="shared" si="8"/>
        <v>0</v>
      </c>
      <c r="K61" s="18">
        <f t="shared" si="8"/>
        <v>0</v>
      </c>
      <c r="L61" s="18">
        <f t="shared" si="8"/>
        <v>0</v>
      </c>
      <c r="M61" s="18">
        <f t="shared" si="8"/>
        <v>0</v>
      </c>
      <c r="N61" s="18">
        <f t="shared" si="8"/>
        <v>0</v>
      </c>
      <c r="O61" s="18">
        <f t="shared" si="8"/>
        <v>0</v>
      </c>
      <c r="P61" s="19">
        <v>30</v>
      </c>
      <c r="Q61" s="18">
        <f t="shared" si="8"/>
        <v>0</v>
      </c>
      <c r="S61" s="22" t="s">
        <v>65</v>
      </c>
      <c r="T61" s="33" t="s">
        <v>143</v>
      </c>
      <c r="U61" s="33" t="s">
        <v>143</v>
      </c>
      <c r="V61" s="33" t="s">
        <v>143</v>
      </c>
      <c r="W61" s="33" t="s">
        <v>143</v>
      </c>
      <c r="X61" s="33" t="s">
        <v>143</v>
      </c>
      <c r="Y61" s="33" t="s">
        <v>143</v>
      </c>
      <c r="Z61" s="33" t="s">
        <v>143</v>
      </c>
      <c r="AA61" s="33" t="s">
        <v>143</v>
      </c>
      <c r="AB61" s="33" t="s">
        <v>143</v>
      </c>
      <c r="AC61" s="33" t="s">
        <v>143</v>
      </c>
      <c r="AD61" s="33" t="s">
        <v>143</v>
      </c>
      <c r="AE61" s="33" t="s">
        <v>143</v>
      </c>
      <c r="AF61" s="27">
        <v>30</v>
      </c>
      <c r="AG61" s="33" t="s">
        <v>143</v>
      </c>
      <c r="AI61" s="22" t="s">
        <v>65</v>
      </c>
      <c r="AJ61" s="33" t="s">
        <v>143</v>
      </c>
      <c r="AK61" s="33" t="s">
        <v>143</v>
      </c>
      <c r="AL61" s="33" t="s">
        <v>143</v>
      </c>
      <c r="AM61" s="33" t="s">
        <v>143</v>
      </c>
      <c r="AN61" s="33" t="s">
        <v>143</v>
      </c>
      <c r="AO61" s="33" t="s">
        <v>143</v>
      </c>
      <c r="AP61" s="33" t="s">
        <v>143</v>
      </c>
      <c r="AQ61" s="33" t="s">
        <v>143</v>
      </c>
      <c r="AR61" s="33" t="s">
        <v>143</v>
      </c>
      <c r="AS61" s="33" t="s">
        <v>143</v>
      </c>
      <c r="AT61" s="33" t="s">
        <v>143</v>
      </c>
      <c r="AU61" s="33" t="s">
        <v>143</v>
      </c>
      <c r="AV61" s="27">
        <v>300</v>
      </c>
      <c r="AW61" s="33" t="s">
        <v>143</v>
      </c>
      <c r="AY61" s="22" t="s">
        <v>65</v>
      </c>
      <c r="AZ61" s="33" t="s">
        <v>143</v>
      </c>
      <c r="BA61" s="33" t="s">
        <v>143</v>
      </c>
      <c r="BB61" s="33" t="s">
        <v>143</v>
      </c>
      <c r="BC61" s="33" t="s">
        <v>143</v>
      </c>
      <c r="BD61" s="33" t="s">
        <v>143</v>
      </c>
      <c r="BE61" s="33" t="s">
        <v>143</v>
      </c>
      <c r="BF61" s="33" t="s">
        <v>143</v>
      </c>
      <c r="BG61" s="33" t="s">
        <v>143</v>
      </c>
      <c r="BH61" s="33" t="s">
        <v>143</v>
      </c>
      <c r="BI61" s="33" t="s">
        <v>143</v>
      </c>
      <c r="BJ61" s="33" t="s">
        <v>143</v>
      </c>
      <c r="BK61" s="33" t="s">
        <v>143</v>
      </c>
      <c r="BL61" s="27">
        <v>300</v>
      </c>
      <c r="BM61" s="33" t="s">
        <v>143</v>
      </c>
    </row>
    <row r="62" spans="2:65" ht="15" thickBot="1" x14ac:dyDescent="0.35">
      <c r="B62" s="22" t="s">
        <v>498</v>
      </c>
      <c r="C62" t="s">
        <v>498</v>
      </c>
      <c r="D62" s="18">
        <f t="shared" ref="D62:Q63" si="9">D13</f>
        <v>0</v>
      </c>
      <c r="E62" s="18">
        <f t="shared" si="9"/>
        <v>0</v>
      </c>
      <c r="F62" s="18">
        <f t="shared" si="9"/>
        <v>0</v>
      </c>
      <c r="G62" s="18">
        <f t="shared" si="9"/>
        <v>0</v>
      </c>
      <c r="H62" s="18">
        <f t="shared" si="9"/>
        <v>0</v>
      </c>
      <c r="I62" s="18">
        <f t="shared" si="9"/>
        <v>0</v>
      </c>
      <c r="J62" s="18">
        <f t="shared" si="9"/>
        <v>0</v>
      </c>
      <c r="K62" s="18">
        <f t="shared" si="9"/>
        <v>0</v>
      </c>
      <c r="L62" s="18">
        <f t="shared" si="9"/>
        <v>0</v>
      </c>
      <c r="M62" s="18">
        <f t="shared" si="9"/>
        <v>0</v>
      </c>
      <c r="N62" s="19">
        <v>30</v>
      </c>
      <c r="O62" s="18">
        <f t="shared" si="9"/>
        <v>0</v>
      </c>
      <c r="P62" s="18">
        <f t="shared" ref="D62:Q63" si="10">P13</f>
        <v>0</v>
      </c>
      <c r="Q62" s="18">
        <f t="shared" si="9"/>
        <v>0</v>
      </c>
      <c r="S62" s="22" t="s">
        <v>498</v>
      </c>
      <c r="T62" s="33" t="s">
        <v>143</v>
      </c>
      <c r="U62" s="33" t="s">
        <v>143</v>
      </c>
      <c r="V62" s="33" t="s">
        <v>143</v>
      </c>
      <c r="W62" s="33" t="s">
        <v>143</v>
      </c>
      <c r="X62" s="33" t="s">
        <v>143</v>
      </c>
      <c r="Y62" s="33" t="s">
        <v>143</v>
      </c>
      <c r="Z62" s="33" t="s">
        <v>143</v>
      </c>
      <c r="AA62" s="33" t="s">
        <v>143</v>
      </c>
      <c r="AB62" s="33" t="s">
        <v>143</v>
      </c>
      <c r="AC62" s="33" t="s">
        <v>143</v>
      </c>
      <c r="AD62" s="33" t="s">
        <v>143</v>
      </c>
      <c r="AE62" s="33" t="s">
        <v>143</v>
      </c>
      <c r="AF62" s="33" t="s">
        <v>143</v>
      </c>
      <c r="AG62" s="33" t="s">
        <v>143</v>
      </c>
      <c r="AI62" s="22" t="s">
        <v>498</v>
      </c>
      <c r="AJ62" s="33" t="s">
        <v>143</v>
      </c>
      <c r="AK62" s="33" t="s">
        <v>143</v>
      </c>
      <c r="AL62" s="33" t="s">
        <v>143</v>
      </c>
      <c r="AM62" s="33" t="s">
        <v>143</v>
      </c>
      <c r="AN62" s="33" t="s">
        <v>143</v>
      </c>
      <c r="AO62" s="33" t="s">
        <v>143</v>
      </c>
      <c r="AP62" s="33" t="s">
        <v>143</v>
      </c>
      <c r="AQ62" s="33" t="s">
        <v>143</v>
      </c>
      <c r="AR62" s="33" t="s">
        <v>143</v>
      </c>
      <c r="AS62" s="33" t="s">
        <v>143</v>
      </c>
      <c r="AT62" s="33" t="s">
        <v>143</v>
      </c>
      <c r="AU62" s="33" t="s">
        <v>143</v>
      </c>
      <c r="AV62" s="33" t="s">
        <v>143</v>
      </c>
      <c r="AW62" s="33" t="s">
        <v>143</v>
      </c>
      <c r="AY62" s="22" t="s">
        <v>498</v>
      </c>
      <c r="AZ62" s="33" t="s">
        <v>143</v>
      </c>
      <c r="BA62" s="33" t="s">
        <v>143</v>
      </c>
      <c r="BB62" s="33" t="s">
        <v>143</v>
      </c>
      <c r="BC62" s="33" t="s">
        <v>143</v>
      </c>
      <c r="BD62" s="33" t="s">
        <v>143</v>
      </c>
      <c r="BE62" s="33" t="s">
        <v>143</v>
      </c>
      <c r="BF62" s="33" t="s">
        <v>143</v>
      </c>
      <c r="BG62" s="33" t="s">
        <v>143</v>
      </c>
      <c r="BH62" s="33" t="s">
        <v>143</v>
      </c>
      <c r="BI62" s="33" t="s">
        <v>143</v>
      </c>
      <c r="BJ62" s="33" t="s">
        <v>143</v>
      </c>
      <c r="BK62" s="33" t="s">
        <v>143</v>
      </c>
      <c r="BL62" s="33" t="s">
        <v>143</v>
      </c>
      <c r="BM62" s="33" t="s">
        <v>143</v>
      </c>
    </row>
    <row r="63" spans="2:65" ht="15" thickBot="1" x14ac:dyDescent="0.35">
      <c r="B63" s="22" t="s">
        <v>502</v>
      </c>
      <c r="C63" t="s">
        <v>502</v>
      </c>
      <c r="D63" s="18">
        <f t="shared" si="10"/>
        <v>0</v>
      </c>
      <c r="E63" s="18">
        <f t="shared" si="9"/>
        <v>0</v>
      </c>
      <c r="F63" s="18">
        <f t="shared" si="10"/>
        <v>0</v>
      </c>
      <c r="G63" s="18">
        <f t="shared" si="10"/>
        <v>0</v>
      </c>
      <c r="H63" s="18">
        <f t="shared" si="10"/>
        <v>0</v>
      </c>
      <c r="I63" s="18">
        <f t="shared" si="10"/>
        <v>0</v>
      </c>
      <c r="J63" s="18">
        <f t="shared" si="10"/>
        <v>0</v>
      </c>
      <c r="K63" s="18">
        <f t="shared" si="10"/>
        <v>0</v>
      </c>
      <c r="L63" s="18">
        <f t="shared" si="10"/>
        <v>0</v>
      </c>
      <c r="M63" s="18">
        <f t="shared" si="10"/>
        <v>0</v>
      </c>
      <c r="N63" s="19">
        <v>0</v>
      </c>
      <c r="O63" s="18">
        <f t="shared" si="10"/>
        <v>0</v>
      </c>
      <c r="P63" s="18">
        <f t="shared" si="10"/>
        <v>0</v>
      </c>
      <c r="Q63" s="18">
        <f t="shared" si="10"/>
        <v>0</v>
      </c>
      <c r="S63" s="22" t="s">
        <v>502</v>
      </c>
      <c r="T63" s="33" t="s">
        <v>143</v>
      </c>
      <c r="U63" s="33" t="s">
        <v>143</v>
      </c>
      <c r="V63" s="33" t="s">
        <v>143</v>
      </c>
      <c r="W63" s="33" t="s">
        <v>143</v>
      </c>
      <c r="X63" s="33" t="s">
        <v>143</v>
      </c>
      <c r="Y63" s="33" t="s">
        <v>143</v>
      </c>
      <c r="Z63" s="33" t="s">
        <v>143</v>
      </c>
      <c r="AA63" s="33" t="s">
        <v>143</v>
      </c>
      <c r="AB63" s="33" t="s">
        <v>143</v>
      </c>
      <c r="AC63" s="33" t="s">
        <v>143</v>
      </c>
      <c r="AD63" s="33" t="s">
        <v>143</v>
      </c>
      <c r="AE63" s="33" t="s">
        <v>143</v>
      </c>
      <c r="AF63" s="33" t="s">
        <v>143</v>
      </c>
      <c r="AG63" s="33" t="s">
        <v>143</v>
      </c>
      <c r="AI63" s="22" t="s">
        <v>502</v>
      </c>
      <c r="AJ63" s="33" t="s">
        <v>143</v>
      </c>
      <c r="AK63" s="33" t="s">
        <v>143</v>
      </c>
      <c r="AL63" s="33" t="s">
        <v>143</v>
      </c>
      <c r="AM63" s="33" t="s">
        <v>143</v>
      </c>
      <c r="AN63" s="33" t="s">
        <v>143</v>
      </c>
      <c r="AO63" s="33" t="s">
        <v>143</v>
      </c>
      <c r="AP63" s="33" t="s">
        <v>143</v>
      </c>
      <c r="AQ63" s="33" t="s">
        <v>143</v>
      </c>
      <c r="AR63" s="33" t="s">
        <v>143</v>
      </c>
      <c r="AS63" s="33" t="s">
        <v>143</v>
      </c>
      <c r="AT63" s="33" t="s">
        <v>143</v>
      </c>
      <c r="AU63" s="33" t="s">
        <v>143</v>
      </c>
      <c r="AV63" s="33" t="s">
        <v>143</v>
      </c>
      <c r="AW63" s="33" t="s">
        <v>143</v>
      </c>
      <c r="AY63" s="22" t="s">
        <v>502</v>
      </c>
      <c r="AZ63" s="33" t="s">
        <v>143</v>
      </c>
      <c r="BA63" s="33" t="s">
        <v>143</v>
      </c>
      <c r="BB63" s="33" t="s">
        <v>143</v>
      </c>
      <c r="BC63" s="33" t="s">
        <v>143</v>
      </c>
      <c r="BD63" s="33" t="s">
        <v>143</v>
      </c>
      <c r="BE63" s="33" t="s">
        <v>143</v>
      </c>
      <c r="BF63" s="33" t="s">
        <v>143</v>
      </c>
      <c r="BG63" s="33" t="s">
        <v>143</v>
      </c>
      <c r="BH63" s="33" t="s">
        <v>143</v>
      </c>
      <c r="BI63" s="33" t="s">
        <v>143</v>
      </c>
      <c r="BJ63" s="33" t="s">
        <v>143</v>
      </c>
      <c r="BK63" s="33" t="s">
        <v>143</v>
      </c>
      <c r="BL63" s="33" t="s">
        <v>143</v>
      </c>
      <c r="BM63" s="33" t="s">
        <v>143</v>
      </c>
    </row>
    <row r="64" spans="2:65" ht="15" thickBot="1" x14ac:dyDescent="0.35">
      <c r="B64" s="22" t="s">
        <v>71</v>
      </c>
      <c r="C64" t="s">
        <v>71</v>
      </c>
      <c r="D64" s="19">
        <v>434</v>
      </c>
      <c r="E64" s="19">
        <v>20</v>
      </c>
      <c r="F64" s="18">
        <f t="shared" ref="F64:Q64" si="11">F15</f>
        <v>0</v>
      </c>
      <c r="G64" s="18">
        <f t="shared" si="11"/>
        <v>0</v>
      </c>
      <c r="H64" s="18">
        <f t="shared" si="11"/>
        <v>0</v>
      </c>
      <c r="I64" s="18">
        <f t="shared" si="11"/>
        <v>0</v>
      </c>
      <c r="J64" s="18">
        <f t="shared" si="11"/>
        <v>0</v>
      </c>
      <c r="K64" s="18">
        <f t="shared" si="11"/>
        <v>0</v>
      </c>
      <c r="L64" s="18">
        <f t="shared" si="11"/>
        <v>0</v>
      </c>
      <c r="M64" s="18">
        <f t="shared" si="11"/>
        <v>0</v>
      </c>
      <c r="N64" s="18">
        <f t="shared" si="11"/>
        <v>0</v>
      </c>
      <c r="O64" s="18">
        <f t="shared" si="11"/>
        <v>0</v>
      </c>
      <c r="P64" s="18">
        <f t="shared" si="11"/>
        <v>0</v>
      </c>
      <c r="Q64" s="18">
        <f t="shared" si="11"/>
        <v>0</v>
      </c>
      <c r="S64" s="22" t="s">
        <v>71</v>
      </c>
      <c r="T64" s="33" t="s">
        <v>143</v>
      </c>
      <c r="U64" s="27">
        <v>1</v>
      </c>
      <c r="V64" s="33" t="s">
        <v>143</v>
      </c>
      <c r="W64" s="33" t="s">
        <v>143</v>
      </c>
      <c r="X64" s="33" t="s">
        <v>143</v>
      </c>
      <c r="Y64" s="33" t="s">
        <v>143</v>
      </c>
      <c r="Z64" s="33" t="s">
        <v>143</v>
      </c>
      <c r="AA64" s="33" t="s">
        <v>143</v>
      </c>
      <c r="AB64" s="33" t="s">
        <v>143</v>
      </c>
      <c r="AC64" s="33" t="s">
        <v>143</v>
      </c>
      <c r="AD64" s="33" t="s">
        <v>143</v>
      </c>
      <c r="AE64" s="33" t="s">
        <v>143</v>
      </c>
      <c r="AF64" s="33" t="s">
        <v>143</v>
      </c>
      <c r="AG64" s="33" t="s">
        <v>143</v>
      </c>
      <c r="AI64" s="22" t="s">
        <v>71</v>
      </c>
      <c r="AJ64" s="33" t="s">
        <v>143</v>
      </c>
      <c r="AK64" s="27">
        <v>5</v>
      </c>
      <c r="AL64" s="33" t="s">
        <v>143</v>
      </c>
      <c r="AM64" s="33" t="s">
        <v>143</v>
      </c>
      <c r="AN64" s="33" t="s">
        <v>143</v>
      </c>
      <c r="AO64" s="33" t="s">
        <v>143</v>
      </c>
      <c r="AP64" s="33" t="s">
        <v>143</v>
      </c>
      <c r="AQ64" s="33" t="s">
        <v>143</v>
      </c>
      <c r="AR64" s="33" t="s">
        <v>143</v>
      </c>
      <c r="AS64" s="33" t="s">
        <v>143</v>
      </c>
      <c r="AT64" s="33" t="s">
        <v>143</v>
      </c>
      <c r="AU64" s="33" t="s">
        <v>143</v>
      </c>
      <c r="AV64" s="33" t="s">
        <v>143</v>
      </c>
      <c r="AW64" s="33" t="s">
        <v>143</v>
      </c>
      <c r="AY64" s="22" t="s">
        <v>71</v>
      </c>
      <c r="AZ64" s="33" t="s">
        <v>143</v>
      </c>
      <c r="BA64" s="27">
        <v>5</v>
      </c>
      <c r="BB64" s="33" t="s">
        <v>143</v>
      </c>
      <c r="BC64" s="33" t="s">
        <v>143</v>
      </c>
      <c r="BD64" s="33" t="s">
        <v>143</v>
      </c>
      <c r="BE64" s="33" t="s">
        <v>143</v>
      </c>
      <c r="BF64" s="33" t="s">
        <v>143</v>
      </c>
      <c r="BG64" s="33" t="s">
        <v>143</v>
      </c>
      <c r="BH64" s="33" t="s">
        <v>143</v>
      </c>
      <c r="BI64" s="33" t="s">
        <v>143</v>
      </c>
      <c r="BJ64" s="33" t="s">
        <v>143</v>
      </c>
      <c r="BK64" s="33" t="s">
        <v>143</v>
      </c>
      <c r="BL64" s="33" t="s">
        <v>143</v>
      </c>
      <c r="BM64" s="33" t="s">
        <v>143</v>
      </c>
    </row>
    <row r="65" spans="2:65" ht="15" thickBot="1" x14ac:dyDescent="0.35">
      <c r="B65" s="22" t="s">
        <v>503</v>
      </c>
      <c r="C65" t="s">
        <v>503</v>
      </c>
      <c r="D65" s="18">
        <f t="shared" ref="D65:Q66" si="12">D16</f>
        <v>0</v>
      </c>
      <c r="E65" s="18">
        <f t="shared" si="12"/>
        <v>0</v>
      </c>
      <c r="F65" s="18">
        <f t="shared" si="12"/>
        <v>0</v>
      </c>
      <c r="G65" s="18">
        <f t="shared" si="12"/>
        <v>0</v>
      </c>
      <c r="H65" s="18">
        <f t="shared" si="12"/>
        <v>0</v>
      </c>
      <c r="I65" s="18">
        <f t="shared" si="12"/>
        <v>0</v>
      </c>
      <c r="J65" s="18">
        <f t="shared" si="12"/>
        <v>0</v>
      </c>
      <c r="K65" s="18">
        <f t="shared" si="12"/>
        <v>0</v>
      </c>
      <c r="L65" s="18">
        <f t="shared" si="12"/>
        <v>0</v>
      </c>
      <c r="M65" s="18">
        <f t="shared" si="12"/>
        <v>0</v>
      </c>
      <c r="N65" s="19">
        <v>30</v>
      </c>
      <c r="O65" s="18">
        <f t="shared" si="12"/>
        <v>0</v>
      </c>
      <c r="P65" s="18">
        <f t="shared" si="12"/>
        <v>0</v>
      </c>
      <c r="Q65" s="18">
        <f t="shared" si="12"/>
        <v>0</v>
      </c>
      <c r="S65" s="22" t="s">
        <v>503</v>
      </c>
      <c r="T65" s="33" t="s">
        <v>143</v>
      </c>
      <c r="U65" s="33" t="s">
        <v>143</v>
      </c>
      <c r="V65" s="33" t="s">
        <v>143</v>
      </c>
      <c r="W65" s="33" t="s">
        <v>143</v>
      </c>
      <c r="X65" s="33" t="s">
        <v>143</v>
      </c>
      <c r="Y65" s="33" t="s">
        <v>143</v>
      </c>
      <c r="Z65" s="33" t="s">
        <v>143</v>
      </c>
      <c r="AA65" s="33" t="s">
        <v>143</v>
      </c>
      <c r="AB65" s="33" t="s">
        <v>143</v>
      </c>
      <c r="AC65" s="33" t="s">
        <v>143</v>
      </c>
      <c r="AD65" s="33" t="s">
        <v>143</v>
      </c>
      <c r="AE65" s="33" t="s">
        <v>143</v>
      </c>
      <c r="AF65" s="33" t="s">
        <v>143</v>
      </c>
      <c r="AG65" s="33" t="s">
        <v>143</v>
      </c>
      <c r="AI65" s="22" t="s">
        <v>503</v>
      </c>
      <c r="AJ65" s="33" t="s">
        <v>143</v>
      </c>
      <c r="AK65" s="33" t="s">
        <v>143</v>
      </c>
      <c r="AL65" s="33" t="s">
        <v>143</v>
      </c>
      <c r="AM65" s="33" t="s">
        <v>143</v>
      </c>
      <c r="AN65" s="33" t="s">
        <v>143</v>
      </c>
      <c r="AO65" s="33" t="s">
        <v>143</v>
      </c>
      <c r="AP65" s="33" t="s">
        <v>143</v>
      </c>
      <c r="AQ65" s="33" t="s">
        <v>143</v>
      </c>
      <c r="AR65" s="33" t="s">
        <v>143</v>
      </c>
      <c r="AS65" s="33" t="s">
        <v>143</v>
      </c>
      <c r="AT65" s="33" t="s">
        <v>143</v>
      </c>
      <c r="AU65" s="33" t="s">
        <v>143</v>
      </c>
      <c r="AV65" s="33" t="s">
        <v>143</v>
      </c>
      <c r="AW65" s="33" t="s">
        <v>143</v>
      </c>
      <c r="AY65" s="22" t="s">
        <v>503</v>
      </c>
      <c r="AZ65" s="33" t="s">
        <v>143</v>
      </c>
      <c r="BA65" s="33" t="s">
        <v>143</v>
      </c>
      <c r="BB65" s="33" t="s">
        <v>143</v>
      </c>
      <c r="BC65" s="33" t="s">
        <v>143</v>
      </c>
      <c r="BD65" s="33" t="s">
        <v>143</v>
      </c>
      <c r="BE65" s="33" t="s">
        <v>143</v>
      </c>
      <c r="BF65" s="33" t="s">
        <v>143</v>
      </c>
      <c r="BG65" s="33" t="s">
        <v>143</v>
      </c>
      <c r="BH65" s="33" t="s">
        <v>143</v>
      </c>
      <c r="BI65" s="33" t="s">
        <v>143</v>
      </c>
      <c r="BJ65" s="33" t="s">
        <v>143</v>
      </c>
      <c r="BK65" s="33" t="s">
        <v>143</v>
      </c>
      <c r="BL65" s="33" t="s">
        <v>143</v>
      </c>
      <c r="BM65" s="33" t="s">
        <v>143</v>
      </c>
    </row>
    <row r="66" spans="2:65" ht="15" thickBot="1" x14ac:dyDescent="0.35">
      <c r="B66" s="22" t="s">
        <v>75</v>
      </c>
      <c r="C66" t="s">
        <v>75</v>
      </c>
      <c r="D66" s="18">
        <f t="shared" ref="D66:Q66" si="13">D17</f>
        <v>0</v>
      </c>
      <c r="E66" s="18">
        <f t="shared" si="13"/>
        <v>0</v>
      </c>
      <c r="F66" s="18">
        <f t="shared" si="13"/>
        <v>0</v>
      </c>
      <c r="G66" s="18">
        <f t="shared" si="13"/>
        <v>0</v>
      </c>
      <c r="H66" s="18">
        <f t="shared" si="13"/>
        <v>0</v>
      </c>
      <c r="I66" s="18">
        <f t="shared" si="13"/>
        <v>0</v>
      </c>
      <c r="J66" s="18">
        <f t="shared" si="12"/>
        <v>0</v>
      </c>
      <c r="K66" s="18">
        <f t="shared" si="13"/>
        <v>0</v>
      </c>
      <c r="L66" s="18">
        <f t="shared" si="13"/>
        <v>0</v>
      </c>
      <c r="M66" s="18">
        <f t="shared" si="13"/>
        <v>0</v>
      </c>
      <c r="N66" s="18">
        <f t="shared" si="13"/>
        <v>0</v>
      </c>
      <c r="O66" s="18">
        <f t="shared" si="13"/>
        <v>0</v>
      </c>
      <c r="P66" s="18">
        <f t="shared" si="13"/>
        <v>0</v>
      </c>
      <c r="Q66" s="18">
        <f t="shared" si="13"/>
        <v>0</v>
      </c>
      <c r="S66" s="22" t="s">
        <v>75</v>
      </c>
      <c r="T66" s="33" t="s">
        <v>143</v>
      </c>
      <c r="U66" s="33" t="s">
        <v>143</v>
      </c>
      <c r="V66" s="33" t="s">
        <v>143</v>
      </c>
      <c r="W66" s="33" t="s">
        <v>143</v>
      </c>
      <c r="X66" s="33" t="s">
        <v>143</v>
      </c>
      <c r="Y66" s="33" t="s">
        <v>143</v>
      </c>
      <c r="Z66" s="33" t="s">
        <v>143</v>
      </c>
      <c r="AA66" s="33" t="s">
        <v>143</v>
      </c>
      <c r="AB66" s="33" t="s">
        <v>143</v>
      </c>
      <c r="AC66" s="33" t="s">
        <v>143</v>
      </c>
      <c r="AD66" s="33" t="s">
        <v>143</v>
      </c>
      <c r="AE66" s="33" t="s">
        <v>143</v>
      </c>
      <c r="AF66" s="33" t="s">
        <v>143</v>
      </c>
      <c r="AG66" s="33" t="s">
        <v>143</v>
      </c>
      <c r="AI66" s="22" t="s">
        <v>75</v>
      </c>
      <c r="AJ66" s="33" t="s">
        <v>143</v>
      </c>
      <c r="AK66" s="33" t="s">
        <v>143</v>
      </c>
      <c r="AL66" s="33" t="s">
        <v>143</v>
      </c>
      <c r="AM66" s="33" t="s">
        <v>143</v>
      </c>
      <c r="AN66" s="33" t="s">
        <v>143</v>
      </c>
      <c r="AO66" s="33" t="s">
        <v>143</v>
      </c>
      <c r="AP66" s="33" t="s">
        <v>143</v>
      </c>
      <c r="AQ66" s="33" t="s">
        <v>143</v>
      </c>
      <c r="AR66" s="33" t="s">
        <v>143</v>
      </c>
      <c r="AS66" s="33" t="s">
        <v>143</v>
      </c>
      <c r="AT66" s="33" t="s">
        <v>143</v>
      </c>
      <c r="AU66" s="33" t="s">
        <v>143</v>
      </c>
      <c r="AV66" s="33" t="s">
        <v>143</v>
      </c>
      <c r="AW66" s="33" t="s">
        <v>143</v>
      </c>
      <c r="AY66" s="22" t="s">
        <v>75</v>
      </c>
      <c r="AZ66" s="33" t="s">
        <v>143</v>
      </c>
      <c r="BA66" s="33" t="s">
        <v>143</v>
      </c>
      <c r="BB66" s="33" t="s">
        <v>143</v>
      </c>
      <c r="BC66" s="33" t="s">
        <v>143</v>
      </c>
      <c r="BD66" s="33" t="s">
        <v>143</v>
      </c>
      <c r="BE66" s="33" t="s">
        <v>143</v>
      </c>
      <c r="BF66" s="33" t="s">
        <v>143</v>
      </c>
      <c r="BG66" s="33" t="s">
        <v>143</v>
      </c>
      <c r="BH66" s="33" t="s">
        <v>143</v>
      </c>
      <c r="BI66" s="33" t="s">
        <v>143</v>
      </c>
      <c r="BJ66" s="33" t="s">
        <v>143</v>
      </c>
      <c r="BK66" s="33" t="s">
        <v>143</v>
      </c>
      <c r="BL66" s="33" t="s">
        <v>143</v>
      </c>
      <c r="BM66" s="33" t="s">
        <v>143</v>
      </c>
    </row>
    <row r="67" spans="2:65" ht="15" thickBot="1" x14ac:dyDescent="0.35">
      <c r="B67" s="22" t="s">
        <v>77</v>
      </c>
      <c r="C67" t="s">
        <v>77</v>
      </c>
      <c r="D67" s="18">
        <f t="shared" ref="D67:Q67" si="14">D18</f>
        <v>0</v>
      </c>
      <c r="E67" s="18">
        <f t="shared" si="14"/>
        <v>0</v>
      </c>
      <c r="F67" s="18">
        <f t="shared" si="14"/>
        <v>0</v>
      </c>
      <c r="G67" s="18">
        <f t="shared" si="14"/>
        <v>0</v>
      </c>
      <c r="H67" s="18">
        <f t="shared" si="14"/>
        <v>0</v>
      </c>
      <c r="I67" s="19">
        <v>10</v>
      </c>
      <c r="J67" s="19">
        <f>J57</f>
        <v>3</v>
      </c>
      <c r="K67" s="18">
        <f t="shared" si="14"/>
        <v>0</v>
      </c>
      <c r="L67" s="18">
        <f t="shared" si="14"/>
        <v>0</v>
      </c>
      <c r="M67" s="18">
        <f t="shared" si="14"/>
        <v>0</v>
      </c>
      <c r="N67" s="18">
        <f t="shared" si="14"/>
        <v>0</v>
      </c>
      <c r="O67" s="18">
        <f t="shared" si="14"/>
        <v>0</v>
      </c>
      <c r="P67" s="18">
        <f t="shared" si="14"/>
        <v>0</v>
      </c>
      <c r="Q67" s="18">
        <f t="shared" si="14"/>
        <v>0</v>
      </c>
      <c r="S67" s="22" t="s">
        <v>77</v>
      </c>
      <c r="T67" s="33" t="s">
        <v>143</v>
      </c>
      <c r="U67" s="33" t="s">
        <v>143</v>
      </c>
      <c r="V67" s="33" t="s">
        <v>143</v>
      </c>
      <c r="W67" s="33" t="s">
        <v>143</v>
      </c>
      <c r="X67" s="33" t="s">
        <v>143</v>
      </c>
      <c r="Y67" s="33" t="s">
        <v>143</v>
      </c>
      <c r="Z67" s="27">
        <v>3</v>
      </c>
      <c r="AA67" s="33" t="s">
        <v>143</v>
      </c>
      <c r="AB67" s="33" t="s">
        <v>143</v>
      </c>
      <c r="AC67" s="33" t="s">
        <v>143</v>
      </c>
      <c r="AD67" s="33" t="s">
        <v>143</v>
      </c>
      <c r="AE67" s="33" t="s">
        <v>143</v>
      </c>
      <c r="AF67" s="33" t="s">
        <v>143</v>
      </c>
      <c r="AG67" s="33" t="s">
        <v>143</v>
      </c>
      <c r="AI67" s="22" t="s">
        <v>77</v>
      </c>
      <c r="AJ67" s="33" t="s">
        <v>143</v>
      </c>
      <c r="AK67" s="33" t="s">
        <v>143</v>
      </c>
      <c r="AL67" s="33" t="s">
        <v>143</v>
      </c>
      <c r="AM67" s="33" t="s">
        <v>143</v>
      </c>
      <c r="AN67" s="33" t="s">
        <v>143</v>
      </c>
      <c r="AO67" s="33" t="s">
        <v>143</v>
      </c>
      <c r="AP67" s="27">
        <v>3</v>
      </c>
      <c r="AQ67" s="33" t="s">
        <v>143</v>
      </c>
      <c r="AR67" s="33" t="s">
        <v>143</v>
      </c>
      <c r="AS67" s="33" t="s">
        <v>143</v>
      </c>
      <c r="AT67" s="33" t="s">
        <v>143</v>
      </c>
      <c r="AU67" s="33" t="s">
        <v>143</v>
      </c>
      <c r="AV67" s="33" t="s">
        <v>143</v>
      </c>
      <c r="AW67" s="33" t="s">
        <v>143</v>
      </c>
      <c r="AY67" s="22" t="s">
        <v>77</v>
      </c>
      <c r="AZ67" s="33" t="s">
        <v>143</v>
      </c>
      <c r="BA67" s="33" t="s">
        <v>143</v>
      </c>
      <c r="BB67" s="33" t="s">
        <v>143</v>
      </c>
      <c r="BC67" s="33" t="s">
        <v>143</v>
      </c>
      <c r="BD67" s="33" t="s">
        <v>143</v>
      </c>
      <c r="BE67" s="33" t="s">
        <v>143</v>
      </c>
      <c r="BF67" s="27">
        <v>3</v>
      </c>
      <c r="BG67" s="33" t="s">
        <v>143</v>
      </c>
      <c r="BH67" s="33" t="s">
        <v>143</v>
      </c>
      <c r="BI67" s="33" t="s">
        <v>143</v>
      </c>
      <c r="BJ67" s="33" t="s">
        <v>143</v>
      </c>
      <c r="BK67" s="33" t="s">
        <v>143</v>
      </c>
      <c r="BL67" s="33" t="s">
        <v>143</v>
      </c>
      <c r="BM67" s="33" t="s">
        <v>143</v>
      </c>
    </row>
    <row r="68" spans="2:65" ht="15" thickBot="1" x14ac:dyDescent="0.35">
      <c r="B68" s="22" t="s">
        <v>81</v>
      </c>
      <c r="C68" t="s">
        <v>81</v>
      </c>
      <c r="D68" s="18">
        <f t="shared" ref="D68:Q68" si="15">D19</f>
        <v>0</v>
      </c>
      <c r="E68" s="18">
        <f t="shared" si="15"/>
        <v>0</v>
      </c>
      <c r="F68" s="18">
        <f t="shared" si="15"/>
        <v>0</v>
      </c>
      <c r="G68" s="18">
        <f t="shared" si="15"/>
        <v>0</v>
      </c>
      <c r="H68" s="18">
        <f t="shared" si="15"/>
        <v>0</v>
      </c>
      <c r="I68" s="18">
        <f t="shared" si="15"/>
        <v>0</v>
      </c>
      <c r="J68" s="18">
        <f t="shared" si="15"/>
        <v>0</v>
      </c>
      <c r="K68" s="18">
        <f t="shared" si="15"/>
        <v>0</v>
      </c>
      <c r="L68" s="18">
        <f t="shared" si="15"/>
        <v>0</v>
      </c>
      <c r="M68" s="18">
        <f t="shared" si="15"/>
        <v>0</v>
      </c>
      <c r="N68" s="18">
        <f t="shared" si="15"/>
        <v>0</v>
      </c>
      <c r="O68" s="18">
        <f t="shared" si="15"/>
        <v>0</v>
      </c>
      <c r="P68" s="18">
        <f t="shared" si="15"/>
        <v>0</v>
      </c>
      <c r="Q68" s="18">
        <f t="shared" si="15"/>
        <v>0</v>
      </c>
      <c r="S68" s="22" t="s">
        <v>81</v>
      </c>
      <c r="T68" s="33" t="s">
        <v>143</v>
      </c>
      <c r="U68" s="33" t="s">
        <v>143</v>
      </c>
      <c r="V68" s="33" t="s">
        <v>143</v>
      </c>
      <c r="W68" s="33" t="s">
        <v>143</v>
      </c>
      <c r="X68" s="33" t="s">
        <v>143</v>
      </c>
      <c r="Y68" s="33" t="s">
        <v>143</v>
      </c>
      <c r="Z68" s="33" t="s">
        <v>143</v>
      </c>
      <c r="AA68" s="33" t="s">
        <v>143</v>
      </c>
      <c r="AB68" s="33" t="s">
        <v>143</v>
      </c>
      <c r="AC68" s="33" t="s">
        <v>143</v>
      </c>
      <c r="AD68" s="33" t="s">
        <v>143</v>
      </c>
      <c r="AE68" s="33" t="s">
        <v>143</v>
      </c>
      <c r="AF68" s="33" t="s">
        <v>143</v>
      </c>
      <c r="AG68" s="33" t="s">
        <v>143</v>
      </c>
      <c r="AI68" s="22" t="s">
        <v>81</v>
      </c>
      <c r="AJ68" s="33" t="s">
        <v>143</v>
      </c>
      <c r="AK68" s="33" t="s">
        <v>143</v>
      </c>
      <c r="AL68" s="33" t="s">
        <v>143</v>
      </c>
      <c r="AM68" s="33" t="s">
        <v>143</v>
      </c>
      <c r="AN68" s="33" t="s">
        <v>143</v>
      </c>
      <c r="AO68" s="33" t="s">
        <v>143</v>
      </c>
      <c r="AP68" s="33" t="s">
        <v>143</v>
      </c>
      <c r="AQ68" s="33" t="s">
        <v>143</v>
      </c>
      <c r="AR68" s="33" t="s">
        <v>143</v>
      </c>
      <c r="AS68" s="33" t="s">
        <v>143</v>
      </c>
      <c r="AT68" s="33" t="s">
        <v>143</v>
      </c>
      <c r="AU68" s="33" t="s">
        <v>143</v>
      </c>
      <c r="AV68" s="33" t="s">
        <v>143</v>
      </c>
      <c r="AW68" s="33" t="s">
        <v>143</v>
      </c>
      <c r="AY68" s="22" t="s">
        <v>81</v>
      </c>
      <c r="AZ68" s="33" t="s">
        <v>143</v>
      </c>
      <c r="BA68" s="33" t="s">
        <v>143</v>
      </c>
      <c r="BB68" s="33" t="s">
        <v>143</v>
      </c>
      <c r="BC68" s="33" t="s">
        <v>143</v>
      </c>
      <c r="BD68" s="33" t="s">
        <v>143</v>
      </c>
      <c r="BE68" s="33" t="s">
        <v>143</v>
      </c>
      <c r="BF68" s="33" t="s">
        <v>143</v>
      </c>
      <c r="BG68" s="33" t="s">
        <v>143</v>
      </c>
      <c r="BH68" s="33" t="s">
        <v>143</v>
      </c>
      <c r="BI68" s="33" t="s">
        <v>143</v>
      </c>
      <c r="BJ68" s="33" t="s">
        <v>143</v>
      </c>
      <c r="BK68" s="33" t="s">
        <v>143</v>
      </c>
      <c r="BL68" s="33" t="s">
        <v>143</v>
      </c>
      <c r="BM68" s="33" t="s">
        <v>143</v>
      </c>
    </row>
    <row r="69" spans="2:65" ht="15" thickBot="1" x14ac:dyDescent="0.35">
      <c r="B69" s="22" t="s">
        <v>504</v>
      </c>
      <c r="C69" t="s">
        <v>504</v>
      </c>
      <c r="D69" s="18">
        <f t="shared" ref="D69:Q69" si="16">D20</f>
        <v>0</v>
      </c>
      <c r="E69" s="18">
        <f t="shared" si="16"/>
        <v>0</v>
      </c>
      <c r="F69" s="18">
        <f t="shared" si="16"/>
        <v>0</v>
      </c>
      <c r="G69" s="18">
        <f t="shared" si="16"/>
        <v>0</v>
      </c>
      <c r="H69" s="18">
        <f t="shared" si="16"/>
        <v>0</v>
      </c>
      <c r="I69" s="18">
        <f t="shared" si="16"/>
        <v>0</v>
      </c>
      <c r="J69" s="18">
        <f t="shared" si="16"/>
        <v>0</v>
      </c>
      <c r="K69" s="18">
        <f t="shared" si="16"/>
        <v>0</v>
      </c>
      <c r="L69" s="18">
        <f t="shared" si="16"/>
        <v>0</v>
      </c>
      <c r="M69" s="18">
        <f t="shared" si="16"/>
        <v>0</v>
      </c>
      <c r="N69" s="18">
        <f t="shared" si="16"/>
        <v>0</v>
      </c>
      <c r="O69" s="19">
        <v>1</v>
      </c>
      <c r="P69" s="18">
        <f t="shared" si="16"/>
        <v>0</v>
      </c>
      <c r="Q69" s="18">
        <f t="shared" si="16"/>
        <v>0</v>
      </c>
      <c r="S69" s="22" t="s">
        <v>504</v>
      </c>
      <c r="T69" s="33" t="s">
        <v>143</v>
      </c>
      <c r="U69" s="33" t="s">
        <v>143</v>
      </c>
      <c r="V69" s="33" t="s">
        <v>143</v>
      </c>
      <c r="W69" s="33" t="s">
        <v>143</v>
      </c>
      <c r="X69" s="33" t="s">
        <v>143</v>
      </c>
      <c r="Y69" s="33" t="s">
        <v>143</v>
      </c>
      <c r="Z69" s="33" t="s">
        <v>143</v>
      </c>
      <c r="AA69" s="33" t="s">
        <v>143</v>
      </c>
      <c r="AB69" s="33" t="s">
        <v>143</v>
      </c>
      <c r="AC69" s="33" t="s">
        <v>143</v>
      </c>
      <c r="AD69" s="33" t="s">
        <v>143</v>
      </c>
      <c r="AE69" s="27">
        <v>10</v>
      </c>
      <c r="AF69" s="33" t="s">
        <v>143</v>
      </c>
      <c r="AG69" s="33" t="s">
        <v>143</v>
      </c>
      <c r="AI69" s="22" t="s">
        <v>504</v>
      </c>
      <c r="AJ69" s="33" t="s">
        <v>143</v>
      </c>
      <c r="AK69" s="33" t="s">
        <v>143</v>
      </c>
      <c r="AL69" s="33" t="s">
        <v>143</v>
      </c>
      <c r="AM69" s="33" t="s">
        <v>143</v>
      </c>
      <c r="AN69" s="33" t="s">
        <v>143</v>
      </c>
      <c r="AO69" s="33" t="s">
        <v>143</v>
      </c>
      <c r="AP69" s="33" t="s">
        <v>143</v>
      </c>
      <c r="AQ69" s="33" t="s">
        <v>143</v>
      </c>
      <c r="AR69" s="33" t="s">
        <v>143</v>
      </c>
      <c r="AS69" s="33" t="s">
        <v>143</v>
      </c>
      <c r="AT69" s="33" t="s">
        <v>143</v>
      </c>
      <c r="AU69" s="27">
        <v>10</v>
      </c>
      <c r="AV69" s="33" t="s">
        <v>143</v>
      </c>
      <c r="AW69" s="33" t="s">
        <v>143</v>
      </c>
      <c r="AY69" s="22" t="s">
        <v>504</v>
      </c>
      <c r="AZ69" s="33" t="s">
        <v>143</v>
      </c>
      <c r="BA69" s="33" t="s">
        <v>143</v>
      </c>
      <c r="BB69" s="33" t="s">
        <v>143</v>
      </c>
      <c r="BC69" s="33" t="s">
        <v>143</v>
      </c>
      <c r="BD69" s="33" t="s">
        <v>143</v>
      </c>
      <c r="BE69" s="33" t="s">
        <v>143</v>
      </c>
      <c r="BF69" s="33" t="s">
        <v>143</v>
      </c>
      <c r="BG69" s="33" t="s">
        <v>143</v>
      </c>
      <c r="BH69" s="33" t="s">
        <v>143</v>
      </c>
      <c r="BI69" s="33" t="s">
        <v>143</v>
      </c>
      <c r="BJ69" s="33" t="s">
        <v>143</v>
      </c>
      <c r="BK69" s="27">
        <v>300</v>
      </c>
      <c r="BL69" s="33" t="s">
        <v>143</v>
      </c>
      <c r="BM69" s="33" t="s">
        <v>143</v>
      </c>
    </row>
    <row r="70" spans="2:65" ht="15" thickBot="1" x14ac:dyDescent="0.35">
      <c r="B70" s="22" t="s">
        <v>89</v>
      </c>
      <c r="C70" t="s">
        <v>89</v>
      </c>
      <c r="D70" s="18">
        <f t="shared" ref="D70:Q70" si="17">D21</f>
        <v>0</v>
      </c>
      <c r="E70" s="18">
        <f t="shared" si="17"/>
        <v>0</v>
      </c>
      <c r="F70" s="18">
        <f t="shared" si="17"/>
        <v>0</v>
      </c>
      <c r="G70" s="18">
        <f t="shared" si="17"/>
        <v>0</v>
      </c>
      <c r="H70" s="18">
        <f t="shared" si="17"/>
        <v>0</v>
      </c>
      <c r="I70" s="18">
        <f t="shared" si="17"/>
        <v>0</v>
      </c>
      <c r="J70" s="18">
        <f t="shared" si="17"/>
        <v>0</v>
      </c>
      <c r="K70" s="18">
        <f t="shared" si="17"/>
        <v>0</v>
      </c>
      <c r="L70" s="18">
        <f t="shared" si="17"/>
        <v>0</v>
      </c>
      <c r="M70" s="18">
        <f t="shared" si="17"/>
        <v>0</v>
      </c>
      <c r="N70" s="18">
        <f t="shared" si="17"/>
        <v>0</v>
      </c>
      <c r="O70" s="18">
        <f t="shared" ref="D70:Q71" si="18">O21</f>
        <v>0</v>
      </c>
      <c r="P70" s="19">
        <v>30</v>
      </c>
      <c r="Q70" s="18">
        <f t="shared" si="17"/>
        <v>0</v>
      </c>
      <c r="S70" s="22" t="s">
        <v>89</v>
      </c>
      <c r="T70" s="33" t="s">
        <v>143</v>
      </c>
      <c r="U70" s="33" t="s">
        <v>143</v>
      </c>
      <c r="V70" s="33" t="s">
        <v>143</v>
      </c>
      <c r="W70" s="33" t="s">
        <v>143</v>
      </c>
      <c r="X70" s="33" t="s">
        <v>143</v>
      </c>
      <c r="Y70" s="33" t="s">
        <v>143</v>
      </c>
      <c r="Z70" s="33" t="s">
        <v>143</v>
      </c>
      <c r="AA70" s="33" t="s">
        <v>143</v>
      </c>
      <c r="AB70" s="33" t="s">
        <v>143</v>
      </c>
      <c r="AC70" s="33" t="s">
        <v>143</v>
      </c>
      <c r="AD70" s="33" t="s">
        <v>143</v>
      </c>
      <c r="AE70" s="33" t="s">
        <v>143</v>
      </c>
      <c r="AF70" s="27">
        <v>30</v>
      </c>
      <c r="AG70" s="33" t="s">
        <v>143</v>
      </c>
      <c r="AI70" s="22" t="s">
        <v>89</v>
      </c>
      <c r="AJ70" s="33" t="s">
        <v>143</v>
      </c>
      <c r="AK70" s="33" t="s">
        <v>143</v>
      </c>
      <c r="AL70" s="33" t="s">
        <v>143</v>
      </c>
      <c r="AM70" s="33" t="s">
        <v>143</v>
      </c>
      <c r="AN70" s="33" t="s">
        <v>143</v>
      </c>
      <c r="AO70" s="33" t="s">
        <v>143</v>
      </c>
      <c r="AP70" s="33" t="s">
        <v>143</v>
      </c>
      <c r="AQ70" s="33" t="s">
        <v>143</v>
      </c>
      <c r="AR70" s="33" t="s">
        <v>143</v>
      </c>
      <c r="AS70" s="33" t="s">
        <v>143</v>
      </c>
      <c r="AT70" s="33" t="s">
        <v>143</v>
      </c>
      <c r="AU70" s="33" t="s">
        <v>143</v>
      </c>
      <c r="AV70" s="27">
        <v>300</v>
      </c>
      <c r="AW70" s="33" t="s">
        <v>143</v>
      </c>
      <c r="AY70" s="22" t="s">
        <v>89</v>
      </c>
      <c r="AZ70" s="33" t="s">
        <v>143</v>
      </c>
      <c r="BA70" s="33" t="s">
        <v>143</v>
      </c>
      <c r="BB70" s="33" t="s">
        <v>143</v>
      </c>
      <c r="BC70" s="33" t="s">
        <v>143</v>
      </c>
      <c r="BD70" s="33" t="s">
        <v>143</v>
      </c>
      <c r="BE70" s="33" t="s">
        <v>143</v>
      </c>
      <c r="BF70" s="33" t="s">
        <v>143</v>
      </c>
      <c r="BG70" s="33" t="s">
        <v>143</v>
      </c>
      <c r="BH70" s="33" t="s">
        <v>143</v>
      </c>
      <c r="BI70" s="33" t="s">
        <v>143</v>
      </c>
      <c r="BJ70" s="33" t="s">
        <v>143</v>
      </c>
      <c r="BK70" s="33" t="s">
        <v>143</v>
      </c>
      <c r="BL70" s="27">
        <v>300</v>
      </c>
      <c r="BM70" s="33" t="s">
        <v>143</v>
      </c>
    </row>
    <row r="71" spans="2:65" ht="15" thickBot="1" x14ac:dyDescent="0.35">
      <c r="B71" s="22" t="s">
        <v>505</v>
      </c>
      <c r="C71" t="s">
        <v>505</v>
      </c>
      <c r="D71" s="18">
        <f t="shared" si="18"/>
        <v>0</v>
      </c>
      <c r="E71" s="18">
        <f t="shared" si="18"/>
        <v>0</v>
      </c>
      <c r="F71" s="18">
        <f t="shared" si="18"/>
        <v>0</v>
      </c>
      <c r="G71" s="18">
        <f t="shared" si="18"/>
        <v>0</v>
      </c>
      <c r="H71" s="18">
        <f t="shared" si="18"/>
        <v>0</v>
      </c>
      <c r="I71" s="18">
        <f t="shared" si="18"/>
        <v>0</v>
      </c>
      <c r="J71" s="18">
        <f t="shared" si="18"/>
        <v>0</v>
      </c>
      <c r="K71" s="18">
        <f t="shared" si="18"/>
        <v>0</v>
      </c>
      <c r="L71" s="18">
        <f t="shared" si="18"/>
        <v>0</v>
      </c>
      <c r="M71" s="18">
        <f t="shared" si="18"/>
        <v>0</v>
      </c>
      <c r="N71" s="19">
        <v>30</v>
      </c>
      <c r="O71" s="18">
        <f t="shared" si="18"/>
        <v>0</v>
      </c>
      <c r="P71" s="18">
        <f t="shared" si="18"/>
        <v>0</v>
      </c>
      <c r="Q71" s="18">
        <f t="shared" si="18"/>
        <v>0</v>
      </c>
      <c r="S71" s="22" t="s">
        <v>505</v>
      </c>
      <c r="T71" s="33" t="s">
        <v>143</v>
      </c>
      <c r="U71" s="33" t="s">
        <v>143</v>
      </c>
      <c r="V71" s="33" t="s">
        <v>143</v>
      </c>
      <c r="W71" s="33" t="s">
        <v>143</v>
      </c>
      <c r="X71" s="33" t="s">
        <v>143</v>
      </c>
      <c r="Y71" s="33" t="s">
        <v>143</v>
      </c>
      <c r="Z71" s="33" t="s">
        <v>143</v>
      </c>
      <c r="AA71" s="33" t="s">
        <v>143</v>
      </c>
      <c r="AB71" s="33" t="s">
        <v>143</v>
      </c>
      <c r="AC71" s="33" t="s">
        <v>143</v>
      </c>
      <c r="AD71" s="33" t="s">
        <v>143</v>
      </c>
      <c r="AE71" s="33" t="s">
        <v>143</v>
      </c>
      <c r="AF71" s="33" t="s">
        <v>143</v>
      </c>
      <c r="AG71" s="33" t="s">
        <v>143</v>
      </c>
      <c r="AI71" s="22" t="s">
        <v>505</v>
      </c>
      <c r="AJ71" s="33" t="s">
        <v>143</v>
      </c>
      <c r="AK71" s="33" t="s">
        <v>143</v>
      </c>
      <c r="AL71" s="33" t="s">
        <v>143</v>
      </c>
      <c r="AM71" s="33" t="s">
        <v>143</v>
      </c>
      <c r="AN71" s="33" t="s">
        <v>143</v>
      </c>
      <c r="AO71" s="33" t="s">
        <v>143</v>
      </c>
      <c r="AP71" s="33" t="s">
        <v>143</v>
      </c>
      <c r="AQ71" s="33" t="s">
        <v>143</v>
      </c>
      <c r="AR71" s="33" t="s">
        <v>143</v>
      </c>
      <c r="AS71" s="33" t="s">
        <v>143</v>
      </c>
      <c r="AT71" s="33" t="s">
        <v>143</v>
      </c>
      <c r="AU71" s="33" t="s">
        <v>143</v>
      </c>
      <c r="AV71" s="33" t="s">
        <v>143</v>
      </c>
      <c r="AW71" s="33" t="s">
        <v>143</v>
      </c>
      <c r="AY71" s="22" t="s">
        <v>505</v>
      </c>
      <c r="AZ71" s="33" t="s">
        <v>143</v>
      </c>
      <c r="BA71" s="33" t="s">
        <v>143</v>
      </c>
      <c r="BB71" s="33" t="s">
        <v>143</v>
      </c>
      <c r="BC71" s="33" t="s">
        <v>143</v>
      </c>
      <c r="BD71" s="33" t="s">
        <v>143</v>
      </c>
      <c r="BE71" s="33" t="s">
        <v>143</v>
      </c>
      <c r="BF71" s="33" t="s">
        <v>143</v>
      </c>
      <c r="BG71" s="33" t="s">
        <v>143</v>
      </c>
      <c r="BH71" s="33" t="s">
        <v>143</v>
      </c>
      <c r="BI71" s="33" t="s">
        <v>143</v>
      </c>
      <c r="BJ71" s="33" t="s">
        <v>143</v>
      </c>
      <c r="BK71" s="33" t="s">
        <v>143</v>
      </c>
      <c r="BL71" s="33" t="s">
        <v>143</v>
      </c>
      <c r="BM71" s="33" t="s">
        <v>143</v>
      </c>
    </row>
    <row r="72" spans="2:65" ht="15" thickBot="1" x14ac:dyDescent="0.35">
      <c r="B72" s="22" t="s">
        <v>506</v>
      </c>
      <c r="C72" t="s">
        <v>506</v>
      </c>
      <c r="D72" s="18">
        <f t="shared" ref="D72:Q72" si="19">D23</f>
        <v>0</v>
      </c>
      <c r="E72" s="18">
        <f t="shared" si="19"/>
        <v>0</v>
      </c>
      <c r="F72" s="18">
        <f t="shared" si="19"/>
        <v>0</v>
      </c>
      <c r="G72" s="18">
        <f t="shared" si="19"/>
        <v>0</v>
      </c>
      <c r="H72" s="18">
        <f t="shared" si="19"/>
        <v>0</v>
      </c>
      <c r="I72" s="18">
        <f t="shared" si="19"/>
        <v>0</v>
      </c>
      <c r="J72" s="18">
        <f t="shared" si="19"/>
        <v>0</v>
      </c>
      <c r="K72" s="18">
        <f t="shared" si="19"/>
        <v>0</v>
      </c>
      <c r="L72" s="18">
        <f t="shared" si="19"/>
        <v>0</v>
      </c>
      <c r="M72" s="18">
        <f t="shared" si="19"/>
        <v>0</v>
      </c>
      <c r="N72" s="19">
        <v>0</v>
      </c>
      <c r="O72" s="18">
        <f t="shared" si="19"/>
        <v>0</v>
      </c>
      <c r="P72" s="18">
        <f t="shared" si="19"/>
        <v>0</v>
      </c>
      <c r="Q72" s="18">
        <f t="shared" si="19"/>
        <v>0</v>
      </c>
      <c r="S72" s="22" t="s">
        <v>506</v>
      </c>
      <c r="T72" s="33" t="s">
        <v>143</v>
      </c>
      <c r="U72" s="33" t="s">
        <v>143</v>
      </c>
      <c r="V72" s="33" t="s">
        <v>143</v>
      </c>
      <c r="W72" s="33" t="s">
        <v>143</v>
      </c>
      <c r="X72" s="33" t="s">
        <v>143</v>
      </c>
      <c r="Y72" s="33" t="s">
        <v>143</v>
      </c>
      <c r="Z72" s="33" t="s">
        <v>143</v>
      </c>
      <c r="AA72" s="33" t="s">
        <v>143</v>
      </c>
      <c r="AB72" s="33" t="s">
        <v>143</v>
      </c>
      <c r="AC72" s="33" t="s">
        <v>143</v>
      </c>
      <c r="AD72" s="33" t="s">
        <v>143</v>
      </c>
      <c r="AE72" s="33" t="s">
        <v>143</v>
      </c>
      <c r="AF72" s="33" t="s">
        <v>143</v>
      </c>
      <c r="AG72" s="33" t="s">
        <v>143</v>
      </c>
      <c r="AI72" s="22" t="s">
        <v>506</v>
      </c>
      <c r="AJ72" s="33" t="s">
        <v>143</v>
      </c>
      <c r="AK72" s="33" t="s">
        <v>143</v>
      </c>
      <c r="AL72" s="33" t="s">
        <v>143</v>
      </c>
      <c r="AM72" s="33" t="s">
        <v>143</v>
      </c>
      <c r="AN72" s="33" t="s">
        <v>143</v>
      </c>
      <c r="AO72" s="33" t="s">
        <v>143</v>
      </c>
      <c r="AP72" s="33" t="s">
        <v>143</v>
      </c>
      <c r="AQ72" s="33" t="s">
        <v>143</v>
      </c>
      <c r="AR72" s="33" t="s">
        <v>143</v>
      </c>
      <c r="AS72" s="33" t="s">
        <v>143</v>
      </c>
      <c r="AT72" s="33" t="s">
        <v>143</v>
      </c>
      <c r="AU72" s="33" t="s">
        <v>143</v>
      </c>
      <c r="AV72" s="33" t="s">
        <v>143</v>
      </c>
      <c r="AW72" s="33" t="s">
        <v>143</v>
      </c>
      <c r="AY72" s="22" t="s">
        <v>506</v>
      </c>
      <c r="AZ72" s="33" t="s">
        <v>143</v>
      </c>
      <c r="BA72" s="33" t="s">
        <v>143</v>
      </c>
      <c r="BB72" s="33" t="s">
        <v>143</v>
      </c>
      <c r="BC72" s="33" t="s">
        <v>143</v>
      </c>
      <c r="BD72" s="33" t="s">
        <v>143</v>
      </c>
      <c r="BE72" s="33" t="s">
        <v>143</v>
      </c>
      <c r="BF72" s="33" t="s">
        <v>143</v>
      </c>
      <c r="BG72" s="33" t="s">
        <v>143</v>
      </c>
      <c r="BH72" s="33" t="s">
        <v>143</v>
      </c>
      <c r="BI72" s="33" t="s">
        <v>143</v>
      </c>
      <c r="BJ72" s="33" t="s">
        <v>143</v>
      </c>
      <c r="BK72" s="33" t="s">
        <v>143</v>
      </c>
      <c r="BL72" s="33" t="s">
        <v>143</v>
      </c>
      <c r="BM72" s="33" t="s">
        <v>143</v>
      </c>
    </row>
    <row r="73" spans="2:65" ht="15" thickBot="1" x14ac:dyDescent="0.35">
      <c r="B73" s="22" t="s">
        <v>93</v>
      </c>
      <c r="C73" t="s">
        <v>93</v>
      </c>
      <c r="D73" s="19">
        <v>434</v>
      </c>
      <c r="E73" s="19">
        <v>20</v>
      </c>
      <c r="F73" s="18">
        <f t="shared" ref="F73:Q73" si="20">F24</f>
        <v>0</v>
      </c>
      <c r="G73" s="18">
        <f t="shared" si="20"/>
        <v>0</v>
      </c>
      <c r="H73" s="18">
        <f t="shared" si="20"/>
        <v>0</v>
      </c>
      <c r="I73" s="18">
        <f t="shared" si="20"/>
        <v>0</v>
      </c>
      <c r="J73" s="18">
        <f t="shared" si="20"/>
        <v>0</v>
      </c>
      <c r="K73" s="18">
        <f t="shared" si="20"/>
        <v>0</v>
      </c>
      <c r="L73" s="18">
        <f t="shared" si="20"/>
        <v>0</v>
      </c>
      <c r="M73" s="18">
        <f t="shared" si="20"/>
        <v>0</v>
      </c>
      <c r="N73" s="18">
        <f t="shared" si="20"/>
        <v>0</v>
      </c>
      <c r="O73" s="18">
        <f t="shared" si="20"/>
        <v>0</v>
      </c>
      <c r="P73" s="18">
        <f t="shared" si="20"/>
        <v>0</v>
      </c>
      <c r="Q73" s="18">
        <f t="shared" si="20"/>
        <v>0</v>
      </c>
      <c r="S73" s="22" t="s">
        <v>93</v>
      </c>
      <c r="T73" s="33" t="s">
        <v>143</v>
      </c>
      <c r="U73" s="27">
        <v>1</v>
      </c>
      <c r="V73" s="33" t="s">
        <v>143</v>
      </c>
      <c r="W73" s="33" t="s">
        <v>143</v>
      </c>
      <c r="X73" s="33" t="s">
        <v>143</v>
      </c>
      <c r="Y73" s="33" t="s">
        <v>143</v>
      </c>
      <c r="Z73" s="33" t="s">
        <v>143</v>
      </c>
      <c r="AA73" s="33" t="s">
        <v>143</v>
      </c>
      <c r="AB73" s="33" t="s">
        <v>143</v>
      </c>
      <c r="AC73" s="33" t="s">
        <v>143</v>
      </c>
      <c r="AD73" s="33" t="s">
        <v>143</v>
      </c>
      <c r="AE73" s="33" t="s">
        <v>143</v>
      </c>
      <c r="AF73" s="33" t="s">
        <v>143</v>
      </c>
      <c r="AG73" s="33" t="s">
        <v>143</v>
      </c>
      <c r="AI73" s="22" t="s">
        <v>93</v>
      </c>
      <c r="AJ73" s="33" t="s">
        <v>143</v>
      </c>
      <c r="AK73" s="27">
        <v>5</v>
      </c>
      <c r="AL73" s="33" t="s">
        <v>143</v>
      </c>
      <c r="AM73" s="33" t="s">
        <v>143</v>
      </c>
      <c r="AN73" s="33" t="s">
        <v>143</v>
      </c>
      <c r="AO73" s="33" t="s">
        <v>143</v>
      </c>
      <c r="AP73" s="33" t="s">
        <v>143</v>
      </c>
      <c r="AQ73" s="33" t="s">
        <v>143</v>
      </c>
      <c r="AR73" s="33" t="s">
        <v>143</v>
      </c>
      <c r="AS73" s="33" t="s">
        <v>143</v>
      </c>
      <c r="AT73" s="33" t="s">
        <v>143</v>
      </c>
      <c r="AU73" s="33" t="s">
        <v>143</v>
      </c>
      <c r="AV73" s="33" t="s">
        <v>143</v>
      </c>
      <c r="AW73" s="33" t="s">
        <v>143</v>
      </c>
      <c r="AY73" s="22" t="s">
        <v>93</v>
      </c>
      <c r="AZ73" s="33" t="s">
        <v>143</v>
      </c>
      <c r="BA73" s="27">
        <v>5</v>
      </c>
      <c r="BB73" s="33" t="s">
        <v>143</v>
      </c>
      <c r="BC73" s="33" t="s">
        <v>143</v>
      </c>
      <c r="BD73" s="33" t="s">
        <v>143</v>
      </c>
      <c r="BE73" s="33" t="s">
        <v>143</v>
      </c>
      <c r="BF73" s="33" t="s">
        <v>143</v>
      </c>
      <c r="BG73" s="33" t="s">
        <v>143</v>
      </c>
      <c r="BH73" s="33" t="s">
        <v>143</v>
      </c>
      <c r="BI73" s="33" t="s">
        <v>143</v>
      </c>
      <c r="BJ73" s="33" t="s">
        <v>143</v>
      </c>
      <c r="BK73" s="33" t="s">
        <v>143</v>
      </c>
      <c r="BL73" s="33" t="s">
        <v>143</v>
      </c>
      <c r="BM73" s="33" t="s">
        <v>143</v>
      </c>
    </row>
    <row r="74" spans="2:65" ht="15" thickBot="1" x14ac:dyDescent="0.35">
      <c r="B74" s="22" t="s">
        <v>95</v>
      </c>
      <c r="C74" t="s">
        <v>95</v>
      </c>
      <c r="D74" s="18">
        <f t="shared" ref="D74:Q74" si="21">D25</f>
        <v>0</v>
      </c>
      <c r="E74" s="19">
        <v>0</v>
      </c>
      <c r="F74" s="18">
        <f t="shared" si="21"/>
        <v>0</v>
      </c>
      <c r="G74" s="18">
        <f t="shared" si="21"/>
        <v>0</v>
      </c>
      <c r="H74" s="18">
        <f t="shared" si="21"/>
        <v>0</v>
      </c>
      <c r="I74" s="18">
        <f t="shared" si="21"/>
        <v>0</v>
      </c>
      <c r="J74" s="18">
        <f t="shared" si="21"/>
        <v>0</v>
      </c>
      <c r="K74" s="18">
        <f t="shared" si="21"/>
        <v>0</v>
      </c>
      <c r="L74" s="18">
        <f t="shared" si="21"/>
        <v>0</v>
      </c>
      <c r="M74" s="18">
        <f t="shared" si="21"/>
        <v>0</v>
      </c>
      <c r="N74" s="18">
        <f t="shared" si="21"/>
        <v>0</v>
      </c>
      <c r="O74" s="18">
        <f t="shared" si="21"/>
        <v>0</v>
      </c>
      <c r="P74" s="18">
        <f t="shared" si="21"/>
        <v>0</v>
      </c>
      <c r="Q74" s="18">
        <f t="shared" si="21"/>
        <v>0</v>
      </c>
      <c r="S74" s="22" t="s">
        <v>95</v>
      </c>
      <c r="T74" s="33" t="s">
        <v>143</v>
      </c>
      <c r="U74" s="27">
        <v>0</v>
      </c>
      <c r="V74" s="33" t="s">
        <v>143</v>
      </c>
      <c r="W74" s="33" t="s">
        <v>143</v>
      </c>
      <c r="X74" s="33" t="s">
        <v>143</v>
      </c>
      <c r="Y74" s="33" t="s">
        <v>143</v>
      </c>
      <c r="Z74" s="33" t="s">
        <v>143</v>
      </c>
      <c r="AA74" s="33" t="s">
        <v>143</v>
      </c>
      <c r="AB74" s="33" t="s">
        <v>143</v>
      </c>
      <c r="AC74" s="33" t="s">
        <v>143</v>
      </c>
      <c r="AD74" s="33" t="s">
        <v>143</v>
      </c>
      <c r="AE74" s="33" t="s">
        <v>143</v>
      </c>
      <c r="AF74" s="33" t="s">
        <v>143</v>
      </c>
      <c r="AG74" s="33" t="s">
        <v>143</v>
      </c>
      <c r="AI74" s="22" t="s">
        <v>95</v>
      </c>
      <c r="AJ74" s="33" t="s">
        <v>143</v>
      </c>
      <c r="AK74" s="27">
        <v>0</v>
      </c>
      <c r="AL74" s="33" t="s">
        <v>143</v>
      </c>
      <c r="AM74" s="33" t="s">
        <v>143</v>
      </c>
      <c r="AN74" s="33" t="s">
        <v>143</v>
      </c>
      <c r="AO74" s="33" t="s">
        <v>143</v>
      </c>
      <c r="AP74" s="33" t="s">
        <v>143</v>
      </c>
      <c r="AQ74" s="33" t="s">
        <v>143</v>
      </c>
      <c r="AR74" s="33" t="s">
        <v>143</v>
      </c>
      <c r="AS74" s="33" t="s">
        <v>143</v>
      </c>
      <c r="AT74" s="33" t="s">
        <v>143</v>
      </c>
      <c r="AU74" s="33" t="s">
        <v>143</v>
      </c>
      <c r="AV74" s="33" t="s">
        <v>143</v>
      </c>
      <c r="AW74" s="33" t="s">
        <v>143</v>
      </c>
      <c r="AY74" s="22" t="s">
        <v>95</v>
      </c>
      <c r="AZ74" s="33" t="s">
        <v>143</v>
      </c>
      <c r="BA74" s="27">
        <v>0</v>
      </c>
      <c r="BB74" s="33" t="s">
        <v>143</v>
      </c>
      <c r="BC74" s="33" t="s">
        <v>143</v>
      </c>
      <c r="BD74" s="33" t="s">
        <v>143</v>
      </c>
      <c r="BE74" s="33" t="s">
        <v>143</v>
      </c>
      <c r="BF74" s="33" t="s">
        <v>143</v>
      </c>
      <c r="BG74" s="33" t="s">
        <v>143</v>
      </c>
      <c r="BH74" s="33" t="s">
        <v>143</v>
      </c>
      <c r="BI74" s="33" t="s">
        <v>143</v>
      </c>
      <c r="BJ74" s="33" t="s">
        <v>143</v>
      </c>
      <c r="BK74" s="33" t="s">
        <v>143</v>
      </c>
      <c r="BL74" s="33" t="s">
        <v>143</v>
      </c>
      <c r="BM74" s="33" t="s">
        <v>143</v>
      </c>
    </row>
    <row r="75" spans="2:65" ht="15" thickBot="1" x14ac:dyDescent="0.35">
      <c r="B75" s="22" t="s">
        <v>97</v>
      </c>
      <c r="C75" t="s">
        <v>97</v>
      </c>
      <c r="D75" s="18">
        <f t="shared" ref="D75:Q75" si="22">D26</f>
        <v>0</v>
      </c>
      <c r="E75" s="18">
        <f t="shared" si="22"/>
        <v>0</v>
      </c>
      <c r="F75" s="18">
        <f t="shared" si="22"/>
        <v>0</v>
      </c>
      <c r="G75" s="18">
        <f t="shared" si="22"/>
        <v>0</v>
      </c>
      <c r="H75" s="18">
        <f t="shared" si="22"/>
        <v>0</v>
      </c>
      <c r="I75" s="18">
        <f t="shared" si="22"/>
        <v>0</v>
      </c>
      <c r="J75" s="18">
        <f t="shared" si="22"/>
        <v>0</v>
      </c>
      <c r="K75" s="18">
        <f t="shared" si="22"/>
        <v>0</v>
      </c>
      <c r="L75" s="18">
        <f t="shared" si="22"/>
        <v>0</v>
      </c>
      <c r="M75" s="18">
        <f t="shared" si="22"/>
        <v>0</v>
      </c>
      <c r="N75" s="18">
        <f t="shared" si="22"/>
        <v>0</v>
      </c>
      <c r="O75" s="18">
        <f t="shared" si="22"/>
        <v>0</v>
      </c>
      <c r="P75" s="18">
        <f t="shared" si="22"/>
        <v>0</v>
      </c>
      <c r="Q75" s="18">
        <f t="shared" si="22"/>
        <v>0</v>
      </c>
      <c r="S75" s="22" t="s">
        <v>97</v>
      </c>
      <c r="T75" s="33" t="s">
        <v>143</v>
      </c>
      <c r="U75" s="33" t="s">
        <v>143</v>
      </c>
      <c r="V75" s="33" t="s">
        <v>143</v>
      </c>
      <c r="W75" s="33" t="s">
        <v>143</v>
      </c>
      <c r="X75" s="33" t="s">
        <v>143</v>
      </c>
      <c r="Y75" s="33" t="s">
        <v>143</v>
      </c>
      <c r="Z75" s="33" t="s">
        <v>143</v>
      </c>
      <c r="AA75" s="33" t="s">
        <v>143</v>
      </c>
      <c r="AB75" s="33" t="s">
        <v>143</v>
      </c>
      <c r="AC75" s="33" t="s">
        <v>143</v>
      </c>
      <c r="AD75" s="33" t="s">
        <v>143</v>
      </c>
      <c r="AE75" s="33" t="s">
        <v>143</v>
      </c>
      <c r="AF75" s="33" t="s">
        <v>143</v>
      </c>
      <c r="AG75" s="33" t="s">
        <v>143</v>
      </c>
      <c r="AI75" s="22" t="s">
        <v>97</v>
      </c>
      <c r="AJ75" s="33" t="s">
        <v>143</v>
      </c>
      <c r="AK75" s="33" t="s">
        <v>143</v>
      </c>
      <c r="AL75" s="33" t="s">
        <v>143</v>
      </c>
      <c r="AM75" s="33" t="s">
        <v>143</v>
      </c>
      <c r="AN75" s="33" t="s">
        <v>143</v>
      </c>
      <c r="AO75" s="33" t="s">
        <v>143</v>
      </c>
      <c r="AP75" s="33" t="s">
        <v>143</v>
      </c>
      <c r="AQ75" s="33" t="s">
        <v>143</v>
      </c>
      <c r="AR75" s="33" t="s">
        <v>143</v>
      </c>
      <c r="AS75" s="33" t="s">
        <v>143</v>
      </c>
      <c r="AT75" s="33" t="s">
        <v>143</v>
      </c>
      <c r="AU75" s="33" t="s">
        <v>143</v>
      </c>
      <c r="AV75" s="33" t="s">
        <v>143</v>
      </c>
      <c r="AW75" s="33" t="s">
        <v>143</v>
      </c>
      <c r="AY75" s="22" t="s">
        <v>97</v>
      </c>
      <c r="AZ75" s="33" t="s">
        <v>143</v>
      </c>
      <c r="BA75" s="33" t="s">
        <v>143</v>
      </c>
      <c r="BB75" s="33" t="s">
        <v>143</v>
      </c>
      <c r="BC75" s="33" t="s">
        <v>143</v>
      </c>
      <c r="BD75" s="33" t="s">
        <v>143</v>
      </c>
      <c r="BE75" s="33" t="s">
        <v>143</v>
      </c>
      <c r="BF75" s="33" t="s">
        <v>143</v>
      </c>
      <c r="BG75" s="33" t="s">
        <v>143</v>
      </c>
      <c r="BH75" s="33" t="s">
        <v>143</v>
      </c>
      <c r="BI75" s="33" t="s">
        <v>143</v>
      </c>
      <c r="BJ75" s="33" t="s">
        <v>143</v>
      </c>
      <c r="BK75" s="33" t="s">
        <v>143</v>
      </c>
      <c r="BL75" s="33" t="s">
        <v>143</v>
      </c>
      <c r="BM75" s="33" t="s">
        <v>143</v>
      </c>
    </row>
    <row r="76" spans="2:65" ht="15" thickBot="1" x14ac:dyDescent="0.35">
      <c r="B76" s="22" t="s">
        <v>99</v>
      </c>
      <c r="C76" t="s">
        <v>99</v>
      </c>
      <c r="D76" s="18">
        <f t="shared" ref="D76:Q76" si="23">D27</f>
        <v>0</v>
      </c>
      <c r="E76" s="18">
        <f t="shared" si="23"/>
        <v>0</v>
      </c>
      <c r="F76" s="18">
        <f t="shared" si="23"/>
        <v>0</v>
      </c>
      <c r="G76" s="18">
        <f t="shared" si="23"/>
        <v>0</v>
      </c>
      <c r="H76" s="18">
        <f t="shared" si="23"/>
        <v>0</v>
      </c>
      <c r="I76" s="18">
        <f t="shared" si="23"/>
        <v>0</v>
      </c>
      <c r="J76" s="18">
        <f t="shared" si="23"/>
        <v>0</v>
      </c>
      <c r="K76" s="18">
        <f t="shared" si="23"/>
        <v>0</v>
      </c>
      <c r="L76" s="18">
        <f t="shared" si="23"/>
        <v>0</v>
      </c>
      <c r="M76" s="18">
        <f t="shared" si="23"/>
        <v>0</v>
      </c>
      <c r="N76" s="18">
        <f t="shared" si="23"/>
        <v>0</v>
      </c>
      <c r="O76" s="18">
        <f t="shared" si="23"/>
        <v>0</v>
      </c>
      <c r="P76" s="18">
        <f t="shared" si="23"/>
        <v>0</v>
      </c>
      <c r="Q76" s="18">
        <f t="shared" si="23"/>
        <v>0</v>
      </c>
      <c r="S76" s="22" t="s">
        <v>99</v>
      </c>
      <c r="T76" s="33" t="s">
        <v>143</v>
      </c>
      <c r="U76" s="33" t="s">
        <v>143</v>
      </c>
      <c r="V76" s="33" t="s">
        <v>143</v>
      </c>
      <c r="W76" s="33" t="s">
        <v>143</v>
      </c>
      <c r="X76" s="33" t="s">
        <v>143</v>
      </c>
      <c r="Y76" s="33" t="s">
        <v>143</v>
      </c>
      <c r="Z76" s="33" t="s">
        <v>143</v>
      </c>
      <c r="AA76" s="33" t="s">
        <v>143</v>
      </c>
      <c r="AB76" s="33" t="s">
        <v>143</v>
      </c>
      <c r="AC76" s="33" t="s">
        <v>143</v>
      </c>
      <c r="AD76" s="33" t="s">
        <v>143</v>
      </c>
      <c r="AE76" s="33" t="s">
        <v>143</v>
      </c>
      <c r="AF76" s="33" t="s">
        <v>143</v>
      </c>
      <c r="AG76" s="33" t="s">
        <v>143</v>
      </c>
      <c r="AI76" s="22" t="s">
        <v>99</v>
      </c>
      <c r="AJ76" s="33" t="s">
        <v>143</v>
      </c>
      <c r="AK76" s="33" t="s">
        <v>143</v>
      </c>
      <c r="AL76" s="33" t="s">
        <v>143</v>
      </c>
      <c r="AM76" s="33" t="s">
        <v>143</v>
      </c>
      <c r="AN76" s="33" t="s">
        <v>143</v>
      </c>
      <c r="AO76" s="33" t="s">
        <v>143</v>
      </c>
      <c r="AP76" s="33" t="s">
        <v>143</v>
      </c>
      <c r="AQ76" s="33" t="s">
        <v>143</v>
      </c>
      <c r="AR76" s="33" t="s">
        <v>143</v>
      </c>
      <c r="AS76" s="33" t="s">
        <v>143</v>
      </c>
      <c r="AT76" s="33" t="s">
        <v>143</v>
      </c>
      <c r="AU76" s="33" t="s">
        <v>143</v>
      </c>
      <c r="AV76" s="33" t="s">
        <v>143</v>
      </c>
      <c r="AW76" s="33" t="s">
        <v>143</v>
      </c>
      <c r="AY76" s="22" t="s">
        <v>99</v>
      </c>
      <c r="AZ76" s="33" t="s">
        <v>143</v>
      </c>
      <c r="BA76" s="33" t="s">
        <v>143</v>
      </c>
      <c r="BB76" s="33" t="s">
        <v>143</v>
      </c>
      <c r="BC76" s="33" t="s">
        <v>143</v>
      </c>
      <c r="BD76" s="33" t="s">
        <v>143</v>
      </c>
      <c r="BE76" s="33" t="s">
        <v>143</v>
      </c>
      <c r="BF76" s="33" t="s">
        <v>143</v>
      </c>
      <c r="BG76" s="33" t="s">
        <v>143</v>
      </c>
      <c r="BH76" s="33" t="s">
        <v>143</v>
      </c>
      <c r="BI76" s="33" t="s">
        <v>143</v>
      </c>
      <c r="BJ76" s="33" t="s">
        <v>143</v>
      </c>
      <c r="BK76" s="33" t="s">
        <v>143</v>
      </c>
      <c r="BL76" s="33" t="s">
        <v>143</v>
      </c>
      <c r="BM76" s="33" t="s">
        <v>143</v>
      </c>
    </row>
    <row r="77" spans="2:65" ht="15" thickBot="1" x14ac:dyDescent="0.35">
      <c r="B77" s="22" t="s">
        <v>101</v>
      </c>
      <c r="C77" t="s">
        <v>101</v>
      </c>
      <c r="D77" s="18">
        <f t="shared" ref="D77:Q77" si="24">D28</f>
        <v>0</v>
      </c>
      <c r="E77" s="18">
        <f t="shared" si="24"/>
        <v>0</v>
      </c>
      <c r="F77" s="18">
        <f t="shared" si="24"/>
        <v>0</v>
      </c>
      <c r="G77" s="18">
        <f t="shared" si="24"/>
        <v>0</v>
      </c>
      <c r="H77" s="18">
        <f t="shared" si="24"/>
        <v>0</v>
      </c>
      <c r="I77" s="18">
        <f t="shared" si="24"/>
        <v>0</v>
      </c>
      <c r="J77" s="18">
        <f t="shared" si="24"/>
        <v>0</v>
      </c>
      <c r="K77" s="18">
        <f t="shared" si="24"/>
        <v>0</v>
      </c>
      <c r="L77" s="18">
        <f t="shared" si="24"/>
        <v>0</v>
      </c>
      <c r="M77" s="18">
        <f t="shared" si="24"/>
        <v>0</v>
      </c>
      <c r="N77" s="18">
        <f t="shared" si="24"/>
        <v>0</v>
      </c>
      <c r="O77" s="18">
        <f t="shared" si="24"/>
        <v>0</v>
      </c>
      <c r="P77" s="18">
        <f t="shared" si="24"/>
        <v>0</v>
      </c>
      <c r="Q77" s="18">
        <f t="shared" si="24"/>
        <v>0</v>
      </c>
      <c r="S77" s="22" t="s">
        <v>101</v>
      </c>
      <c r="T77" s="33" t="s">
        <v>143</v>
      </c>
      <c r="U77" s="33" t="s">
        <v>143</v>
      </c>
      <c r="V77" s="33" t="s">
        <v>143</v>
      </c>
      <c r="W77" s="33" t="s">
        <v>143</v>
      </c>
      <c r="X77" s="33" t="s">
        <v>143</v>
      </c>
      <c r="Y77" s="33" t="s">
        <v>143</v>
      </c>
      <c r="Z77" s="33" t="s">
        <v>143</v>
      </c>
      <c r="AA77" s="33" t="s">
        <v>143</v>
      </c>
      <c r="AB77" s="33" t="s">
        <v>143</v>
      </c>
      <c r="AC77" s="33" t="s">
        <v>143</v>
      </c>
      <c r="AD77" s="33" t="s">
        <v>143</v>
      </c>
      <c r="AE77" s="33" t="s">
        <v>143</v>
      </c>
      <c r="AF77" s="33" t="s">
        <v>143</v>
      </c>
      <c r="AG77" s="33" t="s">
        <v>143</v>
      </c>
      <c r="AI77" s="22" t="s">
        <v>101</v>
      </c>
      <c r="AJ77" s="33" t="s">
        <v>143</v>
      </c>
      <c r="AK77" s="33" t="s">
        <v>143</v>
      </c>
      <c r="AL77" s="33" t="s">
        <v>143</v>
      </c>
      <c r="AM77" s="33" t="s">
        <v>143</v>
      </c>
      <c r="AN77" s="33" t="s">
        <v>143</v>
      </c>
      <c r="AO77" s="33" t="s">
        <v>143</v>
      </c>
      <c r="AP77" s="33" t="s">
        <v>143</v>
      </c>
      <c r="AQ77" s="33" t="s">
        <v>143</v>
      </c>
      <c r="AR77" s="33" t="s">
        <v>143</v>
      </c>
      <c r="AS77" s="33" t="s">
        <v>143</v>
      </c>
      <c r="AT77" s="33" t="s">
        <v>143</v>
      </c>
      <c r="AU77" s="33" t="s">
        <v>143</v>
      </c>
      <c r="AV77" s="33" t="s">
        <v>143</v>
      </c>
      <c r="AW77" s="33" t="s">
        <v>143</v>
      </c>
      <c r="AY77" s="22" t="s">
        <v>101</v>
      </c>
      <c r="AZ77" s="33" t="s">
        <v>143</v>
      </c>
      <c r="BA77" s="33" t="s">
        <v>143</v>
      </c>
      <c r="BB77" s="33" t="s">
        <v>143</v>
      </c>
      <c r="BC77" s="33" t="s">
        <v>143</v>
      </c>
      <c r="BD77" s="33" t="s">
        <v>143</v>
      </c>
      <c r="BE77" s="33" t="s">
        <v>143</v>
      </c>
      <c r="BF77" s="33" t="s">
        <v>143</v>
      </c>
      <c r="BG77" s="33" t="s">
        <v>143</v>
      </c>
      <c r="BH77" s="33" t="s">
        <v>143</v>
      </c>
      <c r="BI77" s="33" t="s">
        <v>143</v>
      </c>
      <c r="BJ77" s="33" t="s">
        <v>143</v>
      </c>
      <c r="BK77" s="33" t="s">
        <v>143</v>
      </c>
      <c r="BL77" s="33" t="s">
        <v>143</v>
      </c>
      <c r="BM77" s="33" t="s">
        <v>143</v>
      </c>
    </row>
    <row r="78" spans="2:65" ht="15" thickBot="1" x14ac:dyDescent="0.35">
      <c r="B78" s="22" t="s">
        <v>103</v>
      </c>
      <c r="C78" t="s">
        <v>103</v>
      </c>
      <c r="D78" s="18">
        <f t="shared" ref="D78:Q78" si="25">D29</f>
        <v>0</v>
      </c>
      <c r="E78" s="18">
        <f t="shared" si="25"/>
        <v>0</v>
      </c>
      <c r="F78" s="18">
        <f t="shared" si="25"/>
        <v>0</v>
      </c>
      <c r="G78" s="18">
        <f t="shared" si="25"/>
        <v>0</v>
      </c>
      <c r="H78" s="18">
        <f t="shared" si="25"/>
        <v>0</v>
      </c>
      <c r="I78" s="19">
        <v>10</v>
      </c>
      <c r="J78" s="19">
        <v>3</v>
      </c>
      <c r="K78" s="18">
        <f t="shared" si="25"/>
        <v>0</v>
      </c>
      <c r="L78" s="18">
        <f t="shared" si="25"/>
        <v>0</v>
      </c>
      <c r="M78" s="18">
        <f t="shared" si="25"/>
        <v>0</v>
      </c>
      <c r="N78" s="18">
        <f t="shared" si="25"/>
        <v>0</v>
      </c>
      <c r="O78" s="18">
        <f t="shared" si="25"/>
        <v>0</v>
      </c>
      <c r="P78" s="18">
        <f t="shared" si="25"/>
        <v>0</v>
      </c>
      <c r="Q78" s="18">
        <f t="shared" si="25"/>
        <v>0</v>
      </c>
      <c r="S78" s="22" t="s">
        <v>103</v>
      </c>
      <c r="T78" s="33" t="s">
        <v>143</v>
      </c>
      <c r="U78" s="33" t="s">
        <v>143</v>
      </c>
      <c r="V78" s="33" t="s">
        <v>143</v>
      </c>
      <c r="W78" s="33" t="s">
        <v>143</v>
      </c>
      <c r="X78" s="33" t="s">
        <v>143</v>
      </c>
      <c r="Y78" s="33" t="s">
        <v>143</v>
      </c>
      <c r="Z78" s="27">
        <v>3</v>
      </c>
      <c r="AA78" s="33" t="s">
        <v>143</v>
      </c>
      <c r="AB78" s="33" t="s">
        <v>143</v>
      </c>
      <c r="AC78" s="33" t="s">
        <v>143</v>
      </c>
      <c r="AD78" s="33" t="s">
        <v>143</v>
      </c>
      <c r="AE78" s="33" t="s">
        <v>143</v>
      </c>
      <c r="AF78" s="33" t="s">
        <v>143</v>
      </c>
      <c r="AG78" s="33" t="s">
        <v>143</v>
      </c>
      <c r="AI78" s="22" t="s">
        <v>103</v>
      </c>
      <c r="AJ78" s="33" t="s">
        <v>143</v>
      </c>
      <c r="AK78" s="33" t="s">
        <v>143</v>
      </c>
      <c r="AL78" s="33" t="s">
        <v>143</v>
      </c>
      <c r="AM78" s="33" t="s">
        <v>143</v>
      </c>
      <c r="AN78" s="33" t="s">
        <v>143</v>
      </c>
      <c r="AO78" s="33" t="s">
        <v>143</v>
      </c>
      <c r="AP78" s="27">
        <v>3</v>
      </c>
      <c r="AQ78" s="33" t="s">
        <v>143</v>
      </c>
      <c r="AR78" s="33" t="s">
        <v>143</v>
      </c>
      <c r="AS78" s="33" t="s">
        <v>143</v>
      </c>
      <c r="AT78" s="33" t="s">
        <v>143</v>
      </c>
      <c r="AU78" s="33" t="s">
        <v>143</v>
      </c>
      <c r="AV78" s="33" t="s">
        <v>143</v>
      </c>
      <c r="AW78" s="33" t="s">
        <v>143</v>
      </c>
      <c r="AY78" s="22" t="s">
        <v>103</v>
      </c>
      <c r="AZ78" s="33" t="s">
        <v>143</v>
      </c>
      <c r="BA78" s="33" t="s">
        <v>143</v>
      </c>
      <c r="BB78" s="33" t="s">
        <v>143</v>
      </c>
      <c r="BC78" s="33" t="s">
        <v>143</v>
      </c>
      <c r="BD78" s="33" t="s">
        <v>143</v>
      </c>
      <c r="BE78" s="33" t="s">
        <v>143</v>
      </c>
      <c r="BF78" s="27">
        <v>3</v>
      </c>
      <c r="BG78" s="33" t="s">
        <v>143</v>
      </c>
      <c r="BH78" s="33" t="s">
        <v>143</v>
      </c>
      <c r="BI78" s="33" t="s">
        <v>143</v>
      </c>
      <c r="BJ78" s="33" t="s">
        <v>143</v>
      </c>
      <c r="BK78" s="33" t="s">
        <v>143</v>
      </c>
      <c r="BL78" s="33" t="s">
        <v>143</v>
      </c>
      <c r="BM78" s="33" t="s">
        <v>143</v>
      </c>
    </row>
    <row r="79" spans="2:65" ht="15" thickBot="1" x14ac:dyDescent="0.35">
      <c r="B79" s="22" t="s">
        <v>105</v>
      </c>
      <c r="C79" t="s">
        <v>105</v>
      </c>
      <c r="D79" s="18">
        <f t="shared" ref="D79:Q79" si="26">D30</f>
        <v>0</v>
      </c>
      <c r="E79" s="18">
        <f t="shared" si="26"/>
        <v>0</v>
      </c>
      <c r="F79" s="18">
        <f t="shared" si="26"/>
        <v>0</v>
      </c>
      <c r="G79" s="18">
        <f t="shared" si="26"/>
        <v>0</v>
      </c>
      <c r="H79" s="18">
        <f t="shared" si="26"/>
        <v>0</v>
      </c>
      <c r="I79" s="18">
        <f t="shared" si="26"/>
        <v>0</v>
      </c>
      <c r="J79" s="19">
        <v>0</v>
      </c>
      <c r="K79" s="18">
        <f t="shared" si="26"/>
        <v>0</v>
      </c>
      <c r="L79" s="18">
        <f t="shared" si="26"/>
        <v>0</v>
      </c>
      <c r="M79" s="18">
        <f t="shared" si="26"/>
        <v>0</v>
      </c>
      <c r="N79" s="18">
        <f t="shared" si="26"/>
        <v>0</v>
      </c>
      <c r="O79" s="18">
        <f t="shared" si="26"/>
        <v>0</v>
      </c>
      <c r="P79" s="18">
        <f t="shared" si="26"/>
        <v>0</v>
      </c>
      <c r="Q79" s="18">
        <f t="shared" si="26"/>
        <v>0</v>
      </c>
      <c r="S79" s="22" t="s">
        <v>105</v>
      </c>
      <c r="T79" s="33" t="s">
        <v>143</v>
      </c>
      <c r="U79" s="33" t="s">
        <v>143</v>
      </c>
      <c r="V79" s="33" t="s">
        <v>143</v>
      </c>
      <c r="W79" s="33" t="s">
        <v>143</v>
      </c>
      <c r="X79" s="33" t="s">
        <v>143</v>
      </c>
      <c r="Y79" s="33" t="s">
        <v>143</v>
      </c>
      <c r="Z79" s="27">
        <v>0</v>
      </c>
      <c r="AA79" s="33" t="s">
        <v>143</v>
      </c>
      <c r="AB79" s="33" t="s">
        <v>143</v>
      </c>
      <c r="AC79" s="33" t="s">
        <v>143</v>
      </c>
      <c r="AD79" s="33" t="s">
        <v>143</v>
      </c>
      <c r="AE79" s="33" t="s">
        <v>143</v>
      </c>
      <c r="AF79" s="33" t="s">
        <v>143</v>
      </c>
      <c r="AG79" s="33" t="s">
        <v>143</v>
      </c>
      <c r="AI79" s="22" t="s">
        <v>105</v>
      </c>
      <c r="AJ79" s="33" t="s">
        <v>143</v>
      </c>
      <c r="AK79" s="33" t="s">
        <v>143</v>
      </c>
      <c r="AL79" s="33" t="s">
        <v>143</v>
      </c>
      <c r="AM79" s="33" t="s">
        <v>143</v>
      </c>
      <c r="AN79" s="33" t="s">
        <v>143</v>
      </c>
      <c r="AO79" s="33" t="s">
        <v>143</v>
      </c>
      <c r="AP79" s="27">
        <v>0</v>
      </c>
      <c r="AQ79" s="33" t="s">
        <v>143</v>
      </c>
      <c r="AR79" s="33" t="s">
        <v>143</v>
      </c>
      <c r="AS79" s="33" t="s">
        <v>143</v>
      </c>
      <c r="AT79" s="33" t="s">
        <v>143</v>
      </c>
      <c r="AU79" s="33" t="s">
        <v>143</v>
      </c>
      <c r="AV79" s="33" t="s">
        <v>143</v>
      </c>
      <c r="AW79" s="33" t="s">
        <v>143</v>
      </c>
      <c r="AY79" s="22" t="s">
        <v>105</v>
      </c>
      <c r="AZ79" s="33" t="s">
        <v>143</v>
      </c>
      <c r="BA79" s="33" t="s">
        <v>143</v>
      </c>
      <c r="BB79" s="33" t="s">
        <v>143</v>
      </c>
      <c r="BC79" s="33" t="s">
        <v>143</v>
      </c>
      <c r="BD79" s="33" t="s">
        <v>143</v>
      </c>
      <c r="BE79" s="33" t="s">
        <v>143</v>
      </c>
      <c r="BF79" s="27">
        <v>0</v>
      </c>
      <c r="BG79" s="33" t="s">
        <v>143</v>
      </c>
      <c r="BH79" s="33" t="s">
        <v>143</v>
      </c>
      <c r="BI79" s="33" t="s">
        <v>143</v>
      </c>
      <c r="BJ79" s="33" t="s">
        <v>143</v>
      </c>
      <c r="BK79" s="33" t="s">
        <v>143</v>
      </c>
      <c r="BL79" s="33" t="s">
        <v>143</v>
      </c>
      <c r="BM79" s="33" t="s">
        <v>143</v>
      </c>
    </row>
    <row r="80" spans="2:65" ht="15" thickBot="1" x14ac:dyDescent="0.35">
      <c r="B80" s="22" t="s">
        <v>107</v>
      </c>
      <c r="C80" t="s">
        <v>107</v>
      </c>
      <c r="D80" s="18">
        <f t="shared" ref="D80:Q80" si="27">D31</f>
        <v>0</v>
      </c>
      <c r="E80" s="18">
        <f t="shared" si="27"/>
        <v>0</v>
      </c>
      <c r="F80" s="18">
        <f t="shared" si="27"/>
        <v>0</v>
      </c>
      <c r="G80" s="18">
        <f t="shared" si="27"/>
        <v>0</v>
      </c>
      <c r="H80" s="18">
        <f t="shared" si="27"/>
        <v>0</v>
      </c>
      <c r="I80" s="18">
        <f t="shared" si="27"/>
        <v>0</v>
      </c>
      <c r="J80" s="18">
        <f t="shared" si="27"/>
        <v>0</v>
      </c>
      <c r="K80" s="18">
        <f t="shared" si="27"/>
        <v>0</v>
      </c>
      <c r="L80" s="18">
        <f t="shared" si="27"/>
        <v>0</v>
      </c>
      <c r="M80" s="18">
        <f t="shared" si="27"/>
        <v>0</v>
      </c>
      <c r="N80" s="18">
        <f t="shared" si="27"/>
        <v>0</v>
      </c>
      <c r="O80" s="18">
        <f t="shared" si="27"/>
        <v>0</v>
      </c>
      <c r="P80" s="18">
        <f t="shared" si="27"/>
        <v>0</v>
      </c>
      <c r="Q80" s="18">
        <f t="shared" si="27"/>
        <v>0</v>
      </c>
      <c r="S80" s="22" t="s">
        <v>107</v>
      </c>
      <c r="T80" s="33" t="s">
        <v>143</v>
      </c>
      <c r="U80" s="33" t="s">
        <v>143</v>
      </c>
      <c r="V80" s="33" t="s">
        <v>143</v>
      </c>
      <c r="W80" s="33" t="s">
        <v>143</v>
      </c>
      <c r="X80" s="33" t="s">
        <v>143</v>
      </c>
      <c r="Y80" s="33" t="s">
        <v>143</v>
      </c>
      <c r="Z80" s="33" t="s">
        <v>143</v>
      </c>
      <c r="AA80" s="33" t="s">
        <v>143</v>
      </c>
      <c r="AB80" s="33" t="s">
        <v>143</v>
      </c>
      <c r="AC80" s="33" t="s">
        <v>143</v>
      </c>
      <c r="AD80" s="33" t="s">
        <v>143</v>
      </c>
      <c r="AE80" s="33" t="s">
        <v>143</v>
      </c>
      <c r="AF80" s="33" t="s">
        <v>143</v>
      </c>
      <c r="AG80" s="33" t="s">
        <v>143</v>
      </c>
      <c r="AI80" s="22" t="s">
        <v>107</v>
      </c>
      <c r="AJ80" s="33" t="s">
        <v>143</v>
      </c>
      <c r="AK80" s="33" t="s">
        <v>143</v>
      </c>
      <c r="AL80" s="33" t="s">
        <v>143</v>
      </c>
      <c r="AM80" s="33" t="s">
        <v>143</v>
      </c>
      <c r="AN80" s="33" t="s">
        <v>143</v>
      </c>
      <c r="AO80" s="33" t="s">
        <v>143</v>
      </c>
      <c r="AP80" s="33" t="s">
        <v>143</v>
      </c>
      <c r="AQ80" s="33" t="s">
        <v>143</v>
      </c>
      <c r="AR80" s="33" t="s">
        <v>143</v>
      </c>
      <c r="AS80" s="33" t="s">
        <v>143</v>
      </c>
      <c r="AT80" s="33" t="s">
        <v>143</v>
      </c>
      <c r="AU80" s="33" t="s">
        <v>143</v>
      </c>
      <c r="AV80" s="33" t="s">
        <v>143</v>
      </c>
      <c r="AW80" s="33" t="s">
        <v>143</v>
      </c>
      <c r="AY80" s="22" t="s">
        <v>107</v>
      </c>
      <c r="AZ80" s="33" t="s">
        <v>143</v>
      </c>
      <c r="BA80" s="33" t="s">
        <v>143</v>
      </c>
      <c r="BB80" s="33" t="s">
        <v>143</v>
      </c>
      <c r="BC80" s="33" t="s">
        <v>143</v>
      </c>
      <c r="BD80" s="33" t="s">
        <v>143</v>
      </c>
      <c r="BE80" s="33" t="s">
        <v>143</v>
      </c>
      <c r="BF80" s="33" t="s">
        <v>143</v>
      </c>
      <c r="BG80" s="33" t="s">
        <v>143</v>
      </c>
      <c r="BH80" s="33" t="s">
        <v>143</v>
      </c>
      <c r="BI80" s="33" t="s">
        <v>143</v>
      </c>
      <c r="BJ80" s="33" t="s">
        <v>143</v>
      </c>
      <c r="BK80" s="33" t="s">
        <v>143</v>
      </c>
      <c r="BL80" s="33" t="s">
        <v>143</v>
      </c>
      <c r="BM80" s="33" t="s">
        <v>143</v>
      </c>
    </row>
    <row r="81" spans="2:65" ht="15" thickBot="1" x14ac:dyDescent="0.35">
      <c r="B81" s="22" t="s">
        <v>109</v>
      </c>
      <c r="C81" t="s">
        <v>109</v>
      </c>
      <c r="D81" s="18">
        <f t="shared" ref="D81:Q81" si="28">D32</f>
        <v>0</v>
      </c>
      <c r="E81" s="18">
        <f t="shared" si="28"/>
        <v>0</v>
      </c>
      <c r="F81" s="18">
        <f t="shared" si="28"/>
        <v>0</v>
      </c>
      <c r="G81" s="18">
        <f t="shared" si="28"/>
        <v>0</v>
      </c>
      <c r="H81" s="18">
        <f t="shared" si="28"/>
        <v>0</v>
      </c>
      <c r="I81" s="18">
        <f t="shared" si="28"/>
        <v>0</v>
      </c>
      <c r="J81" s="18">
        <f t="shared" si="28"/>
        <v>0</v>
      </c>
      <c r="K81" s="18">
        <f t="shared" si="28"/>
        <v>0</v>
      </c>
      <c r="L81" s="18">
        <f t="shared" si="28"/>
        <v>0</v>
      </c>
      <c r="M81" s="18">
        <f t="shared" si="28"/>
        <v>0</v>
      </c>
      <c r="N81" s="18">
        <f t="shared" si="28"/>
        <v>0</v>
      </c>
      <c r="O81" s="18">
        <f t="shared" si="28"/>
        <v>0</v>
      </c>
      <c r="P81" s="18">
        <f t="shared" si="28"/>
        <v>0</v>
      </c>
      <c r="Q81" s="18">
        <f t="shared" si="28"/>
        <v>0</v>
      </c>
      <c r="S81" s="22" t="s">
        <v>109</v>
      </c>
      <c r="T81" s="33" t="s">
        <v>143</v>
      </c>
      <c r="U81" s="33" t="s">
        <v>143</v>
      </c>
      <c r="V81" s="33" t="s">
        <v>143</v>
      </c>
      <c r="W81" s="33" t="s">
        <v>143</v>
      </c>
      <c r="X81" s="33" t="s">
        <v>143</v>
      </c>
      <c r="Y81" s="33" t="s">
        <v>143</v>
      </c>
      <c r="Z81" s="33" t="s">
        <v>143</v>
      </c>
      <c r="AA81" s="33" t="s">
        <v>143</v>
      </c>
      <c r="AB81" s="33" t="s">
        <v>143</v>
      </c>
      <c r="AC81" s="33" t="s">
        <v>143</v>
      </c>
      <c r="AD81" s="33" t="s">
        <v>143</v>
      </c>
      <c r="AE81" s="33" t="s">
        <v>143</v>
      </c>
      <c r="AF81" s="33" t="s">
        <v>143</v>
      </c>
      <c r="AG81" s="33" t="s">
        <v>143</v>
      </c>
      <c r="AI81" s="22" t="s">
        <v>109</v>
      </c>
      <c r="AJ81" s="33" t="s">
        <v>143</v>
      </c>
      <c r="AK81" s="33" t="s">
        <v>143</v>
      </c>
      <c r="AL81" s="33" t="s">
        <v>143</v>
      </c>
      <c r="AM81" s="33" t="s">
        <v>143</v>
      </c>
      <c r="AN81" s="33" t="s">
        <v>143</v>
      </c>
      <c r="AO81" s="33" t="s">
        <v>143</v>
      </c>
      <c r="AP81" s="33" t="s">
        <v>143</v>
      </c>
      <c r="AQ81" s="33" t="s">
        <v>143</v>
      </c>
      <c r="AR81" s="33" t="s">
        <v>143</v>
      </c>
      <c r="AS81" s="33" t="s">
        <v>143</v>
      </c>
      <c r="AT81" s="33" t="s">
        <v>143</v>
      </c>
      <c r="AU81" s="33" t="s">
        <v>143</v>
      </c>
      <c r="AV81" s="33" t="s">
        <v>143</v>
      </c>
      <c r="AW81" s="33" t="s">
        <v>143</v>
      </c>
      <c r="AY81" s="22" t="s">
        <v>109</v>
      </c>
      <c r="AZ81" s="33" t="s">
        <v>143</v>
      </c>
      <c r="BA81" s="33" t="s">
        <v>143</v>
      </c>
      <c r="BB81" s="33" t="s">
        <v>143</v>
      </c>
      <c r="BC81" s="33" t="s">
        <v>143</v>
      </c>
      <c r="BD81" s="33" t="s">
        <v>143</v>
      </c>
      <c r="BE81" s="33" t="s">
        <v>143</v>
      </c>
      <c r="BF81" s="33" t="s">
        <v>143</v>
      </c>
      <c r="BG81" s="33" t="s">
        <v>143</v>
      </c>
      <c r="BH81" s="33" t="s">
        <v>143</v>
      </c>
      <c r="BI81" s="33" t="s">
        <v>143</v>
      </c>
      <c r="BJ81" s="33" t="s">
        <v>143</v>
      </c>
      <c r="BK81" s="33" t="s">
        <v>143</v>
      </c>
      <c r="BL81" s="33" t="s">
        <v>143</v>
      </c>
      <c r="BM81" s="33" t="s">
        <v>143</v>
      </c>
    </row>
    <row r="82" spans="2:65" ht="15" thickBot="1" x14ac:dyDescent="0.35">
      <c r="B82" s="22" t="s">
        <v>111</v>
      </c>
      <c r="C82" t="s">
        <v>111</v>
      </c>
      <c r="D82" s="18">
        <f t="shared" ref="D82:Q82" si="29">D33</f>
        <v>0</v>
      </c>
      <c r="E82" s="18">
        <f t="shared" si="29"/>
        <v>0</v>
      </c>
      <c r="F82" s="18">
        <f t="shared" si="29"/>
        <v>0</v>
      </c>
      <c r="G82" s="18">
        <f t="shared" si="29"/>
        <v>0</v>
      </c>
      <c r="H82" s="18">
        <f t="shared" si="29"/>
        <v>0</v>
      </c>
      <c r="I82" s="18">
        <f t="shared" si="29"/>
        <v>0</v>
      </c>
      <c r="J82" s="18">
        <f t="shared" si="29"/>
        <v>0</v>
      </c>
      <c r="K82" s="18">
        <f t="shared" si="29"/>
        <v>0</v>
      </c>
      <c r="L82" s="18">
        <f t="shared" si="29"/>
        <v>0</v>
      </c>
      <c r="M82" s="18">
        <f t="shared" si="29"/>
        <v>0</v>
      </c>
      <c r="N82" s="18">
        <f t="shared" si="29"/>
        <v>0</v>
      </c>
      <c r="O82" s="18">
        <f t="shared" si="29"/>
        <v>0</v>
      </c>
      <c r="P82" s="18">
        <f t="shared" si="29"/>
        <v>0</v>
      </c>
      <c r="Q82" s="18">
        <f t="shared" si="29"/>
        <v>0</v>
      </c>
      <c r="S82" s="22" t="s">
        <v>111</v>
      </c>
      <c r="T82" s="33" t="s">
        <v>143</v>
      </c>
      <c r="U82" s="33" t="s">
        <v>143</v>
      </c>
      <c r="V82" s="33" t="s">
        <v>143</v>
      </c>
      <c r="W82" s="33" t="s">
        <v>143</v>
      </c>
      <c r="X82" s="33" t="s">
        <v>143</v>
      </c>
      <c r="Y82" s="33" t="s">
        <v>143</v>
      </c>
      <c r="Z82" s="33" t="s">
        <v>143</v>
      </c>
      <c r="AA82" s="33" t="s">
        <v>143</v>
      </c>
      <c r="AB82" s="33" t="s">
        <v>143</v>
      </c>
      <c r="AC82" s="33" t="s">
        <v>143</v>
      </c>
      <c r="AD82" s="33" t="s">
        <v>143</v>
      </c>
      <c r="AE82" s="33" t="s">
        <v>143</v>
      </c>
      <c r="AF82" s="33" t="s">
        <v>143</v>
      </c>
      <c r="AG82" s="33" t="s">
        <v>143</v>
      </c>
      <c r="AI82" s="22" t="s">
        <v>111</v>
      </c>
      <c r="AJ82" s="33" t="s">
        <v>143</v>
      </c>
      <c r="AK82" s="33" t="s">
        <v>143</v>
      </c>
      <c r="AL82" s="33" t="s">
        <v>143</v>
      </c>
      <c r="AM82" s="33" t="s">
        <v>143</v>
      </c>
      <c r="AN82" s="33" t="s">
        <v>143</v>
      </c>
      <c r="AO82" s="33" t="s">
        <v>143</v>
      </c>
      <c r="AP82" s="33" t="s">
        <v>143</v>
      </c>
      <c r="AQ82" s="33" t="s">
        <v>143</v>
      </c>
      <c r="AR82" s="33" t="s">
        <v>143</v>
      </c>
      <c r="AS82" s="33" t="s">
        <v>143</v>
      </c>
      <c r="AT82" s="33" t="s">
        <v>143</v>
      </c>
      <c r="AU82" s="33" t="s">
        <v>143</v>
      </c>
      <c r="AV82" s="33" t="s">
        <v>143</v>
      </c>
      <c r="AW82" s="33" t="s">
        <v>143</v>
      </c>
      <c r="AY82" s="22" t="s">
        <v>111</v>
      </c>
      <c r="AZ82" s="33" t="s">
        <v>143</v>
      </c>
      <c r="BA82" s="33" t="s">
        <v>143</v>
      </c>
      <c r="BB82" s="33" t="s">
        <v>143</v>
      </c>
      <c r="BC82" s="33" t="s">
        <v>143</v>
      </c>
      <c r="BD82" s="33" t="s">
        <v>143</v>
      </c>
      <c r="BE82" s="33" t="s">
        <v>143</v>
      </c>
      <c r="BF82" s="33" t="s">
        <v>143</v>
      </c>
      <c r="BG82" s="33" t="s">
        <v>143</v>
      </c>
      <c r="BH82" s="33" t="s">
        <v>143</v>
      </c>
      <c r="BI82" s="33" t="s">
        <v>143</v>
      </c>
      <c r="BJ82" s="33" t="s">
        <v>143</v>
      </c>
      <c r="BK82" s="33" t="s">
        <v>143</v>
      </c>
      <c r="BL82" s="33" t="s">
        <v>143</v>
      </c>
      <c r="BM82" s="33" t="s">
        <v>143</v>
      </c>
    </row>
    <row r="83" spans="2:65" ht="15" thickBot="1" x14ac:dyDescent="0.35">
      <c r="B83" s="22" t="s">
        <v>113</v>
      </c>
      <c r="C83" t="s">
        <v>113</v>
      </c>
      <c r="D83" s="18">
        <f t="shared" ref="D83:Q83" si="30">D34</f>
        <v>0</v>
      </c>
      <c r="E83" s="18">
        <f t="shared" si="30"/>
        <v>0</v>
      </c>
      <c r="F83" s="18">
        <f t="shared" si="30"/>
        <v>0</v>
      </c>
      <c r="G83" s="18">
        <f t="shared" si="30"/>
        <v>0</v>
      </c>
      <c r="H83" s="18">
        <f t="shared" si="30"/>
        <v>0</v>
      </c>
      <c r="I83" s="18">
        <f t="shared" si="30"/>
        <v>0</v>
      </c>
      <c r="J83" s="18">
        <f t="shared" si="30"/>
        <v>0</v>
      </c>
      <c r="K83" s="18">
        <f t="shared" si="30"/>
        <v>0</v>
      </c>
      <c r="L83" s="18">
        <f t="shared" si="30"/>
        <v>0</v>
      </c>
      <c r="M83" s="18">
        <f t="shared" si="30"/>
        <v>0</v>
      </c>
      <c r="N83" s="18">
        <f t="shared" si="30"/>
        <v>0</v>
      </c>
      <c r="O83" s="18">
        <f t="shared" si="30"/>
        <v>0</v>
      </c>
      <c r="P83" s="18">
        <f t="shared" si="30"/>
        <v>0</v>
      </c>
      <c r="Q83" s="18">
        <f t="shared" si="30"/>
        <v>0</v>
      </c>
      <c r="S83" s="22" t="s">
        <v>113</v>
      </c>
      <c r="T83" s="33" t="s">
        <v>143</v>
      </c>
      <c r="U83" s="33" t="s">
        <v>143</v>
      </c>
      <c r="V83" s="33" t="s">
        <v>143</v>
      </c>
      <c r="W83" s="33" t="s">
        <v>143</v>
      </c>
      <c r="X83" s="33" t="s">
        <v>143</v>
      </c>
      <c r="Y83" s="33" t="s">
        <v>143</v>
      </c>
      <c r="Z83" s="33" t="s">
        <v>143</v>
      </c>
      <c r="AA83" s="33" t="s">
        <v>143</v>
      </c>
      <c r="AB83" s="33" t="s">
        <v>143</v>
      </c>
      <c r="AC83" s="33" t="s">
        <v>143</v>
      </c>
      <c r="AD83" s="33" t="s">
        <v>143</v>
      </c>
      <c r="AE83" s="33" t="s">
        <v>143</v>
      </c>
      <c r="AF83" s="33" t="s">
        <v>143</v>
      </c>
      <c r="AG83" s="33" t="s">
        <v>143</v>
      </c>
      <c r="AI83" s="22" t="s">
        <v>113</v>
      </c>
      <c r="AJ83" s="33" t="s">
        <v>143</v>
      </c>
      <c r="AK83" s="33" t="s">
        <v>143</v>
      </c>
      <c r="AL83" s="33" t="s">
        <v>143</v>
      </c>
      <c r="AM83" s="33" t="s">
        <v>143</v>
      </c>
      <c r="AN83" s="33" t="s">
        <v>143</v>
      </c>
      <c r="AO83" s="33" t="s">
        <v>143</v>
      </c>
      <c r="AP83" s="33" t="s">
        <v>143</v>
      </c>
      <c r="AQ83" s="33" t="s">
        <v>143</v>
      </c>
      <c r="AR83" s="33" t="s">
        <v>143</v>
      </c>
      <c r="AS83" s="33" t="s">
        <v>143</v>
      </c>
      <c r="AT83" s="33" t="s">
        <v>143</v>
      </c>
      <c r="AU83" s="33" t="s">
        <v>143</v>
      </c>
      <c r="AV83" s="33" t="s">
        <v>143</v>
      </c>
      <c r="AW83" s="33" t="s">
        <v>143</v>
      </c>
      <c r="AY83" s="22" t="s">
        <v>113</v>
      </c>
      <c r="AZ83" s="33" t="s">
        <v>143</v>
      </c>
      <c r="BA83" s="33" t="s">
        <v>143</v>
      </c>
      <c r="BB83" s="33" t="s">
        <v>143</v>
      </c>
      <c r="BC83" s="33" t="s">
        <v>143</v>
      </c>
      <c r="BD83" s="33" t="s">
        <v>143</v>
      </c>
      <c r="BE83" s="33" t="s">
        <v>143</v>
      </c>
      <c r="BF83" s="33" t="s">
        <v>143</v>
      </c>
      <c r="BG83" s="33" t="s">
        <v>143</v>
      </c>
      <c r="BH83" s="33" t="s">
        <v>143</v>
      </c>
      <c r="BI83" s="33" t="s">
        <v>143</v>
      </c>
      <c r="BJ83" s="33" t="s">
        <v>143</v>
      </c>
      <c r="BK83" s="33" t="s">
        <v>143</v>
      </c>
      <c r="BL83" s="33" t="s">
        <v>143</v>
      </c>
      <c r="BM83" s="33" t="s">
        <v>143</v>
      </c>
    </row>
    <row r="84" spans="2:65" ht="15" thickBot="1" x14ac:dyDescent="0.35">
      <c r="B84" s="22" t="s">
        <v>115</v>
      </c>
      <c r="C84" t="s">
        <v>115</v>
      </c>
      <c r="D84" s="18">
        <f t="shared" ref="D84:Q84" si="31">D35</f>
        <v>0</v>
      </c>
      <c r="E84" s="18">
        <f t="shared" si="31"/>
        <v>0</v>
      </c>
      <c r="F84" s="18">
        <f t="shared" si="31"/>
        <v>0</v>
      </c>
      <c r="G84" s="18">
        <f t="shared" si="31"/>
        <v>0</v>
      </c>
      <c r="H84" s="18">
        <f t="shared" si="31"/>
        <v>0</v>
      </c>
      <c r="I84" s="18">
        <f t="shared" si="31"/>
        <v>0</v>
      </c>
      <c r="J84" s="18">
        <f t="shared" si="31"/>
        <v>0</v>
      </c>
      <c r="K84" s="18">
        <f t="shared" si="31"/>
        <v>0</v>
      </c>
      <c r="L84" s="18">
        <f t="shared" si="31"/>
        <v>0</v>
      </c>
      <c r="M84" s="18">
        <f t="shared" si="31"/>
        <v>0</v>
      </c>
      <c r="N84" s="18">
        <f t="shared" si="31"/>
        <v>0</v>
      </c>
      <c r="O84" s="18">
        <f t="shared" si="31"/>
        <v>0</v>
      </c>
      <c r="P84" s="18">
        <f t="shared" si="31"/>
        <v>0</v>
      </c>
      <c r="Q84" s="18">
        <f t="shared" si="31"/>
        <v>0</v>
      </c>
      <c r="S84" s="22" t="s">
        <v>115</v>
      </c>
      <c r="T84" s="33" t="s">
        <v>143</v>
      </c>
      <c r="U84" s="33" t="s">
        <v>143</v>
      </c>
      <c r="V84" s="33" t="s">
        <v>143</v>
      </c>
      <c r="W84" s="33" t="s">
        <v>143</v>
      </c>
      <c r="X84" s="33" t="s">
        <v>143</v>
      </c>
      <c r="Y84" s="33" t="s">
        <v>143</v>
      </c>
      <c r="Z84" s="33" t="s">
        <v>143</v>
      </c>
      <c r="AA84" s="33" t="s">
        <v>143</v>
      </c>
      <c r="AB84" s="33" t="s">
        <v>143</v>
      </c>
      <c r="AC84" s="33" t="s">
        <v>143</v>
      </c>
      <c r="AD84" s="33" t="s">
        <v>143</v>
      </c>
      <c r="AE84" s="33" t="s">
        <v>143</v>
      </c>
      <c r="AF84" s="33" t="s">
        <v>143</v>
      </c>
      <c r="AG84" s="33" t="s">
        <v>143</v>
      </c>
      <c r="AI84" s="22" t="s">
        <v>115</v>
      </c>
      <c r="AJ84" s="33" t="s">
        <v>143</v>
      </c>
      <c r="AK84" s="33" t="s">
        <v>143</v>
      </c>
      <c r="AL84" s="33" t="s">
        <v>143</v>
      </c>
      <c r="AM84" s="33" t="s">
        <v>143</v>
      </c>
      <c r="AN84" s="33" t="s">
        <v>143</v>
      </c>
      <c r="AO84" s="33" t="s">
        <v>143</v>
      </c>
      <c r="AP84" s="33" t="s">
        <v>143</v>
      </c>
      <c r="AQ84" s="33" t="s">
        <v>143</v>
      </c>
      <c r="AR84" s="33" t="s">
        <v>143</v>
      </c>
      <c r="AS84" s="33" t="s">
        <v>143</v>
      </c>
      <c r="AT84" s="33" t="s">
        <v>143</v>
      </c>
      <c r="AU84" s="33" t="s">
        <v>143</v>
      </c>
      <c r="AV84" s="33" t="s">
        <v>143</v>
      </c>
      <c r="AW84" s="33" t="s">
        <v>143</v>
      </c>
      <c r="AY84" s="22" t="s">
        <v>115</v>
      </c>
      <c r="AZ84" s="33" t="s">
        <v>143</v>
      </c>
      <c r="BA84" s="33" t="s">
        <v>143</v>
      </c>
      <c r="BB84" s="33" t="s">
        <v>143</v>
      </c>
      <c r="BC84" s="33" t="s">
        <v>143</v>
      </c>
      <c r="BD84" s="33" t="s">
        <v>143</v>
      </c>
      <c r="BE84" s="33" t="s">
        <v>143</v>
      </c>
      <c r="BF84" s="33" t="s">
        <v>143</v>
      </c>
      <c r="BG84" s="33" t="s">
        <v>143</v>
      </c>
      <c r="BH84" s="33" t="s">
        <v>143</v>
      </c>
      <c r="BI84" s="33" t="s">
        <v>143</v>
      </c>
      <c r="BJ84" s="33" t="s">
        <v>143</v>
      </c>
      <c r="BK84" s="33" t="s">
        <v>143</v>
      </c>
      <c r="BL84" s="33" t="s">
        <v>143</v>
      </c>
      <c r="BM84" s="33" t="s">
        <v>143</v>
      </c>
    </row>
    <row r="85" spans="2:65" ht="15" thickBot="1" x14ac:dyDescent="0.35">
      <c r="B85" s="22" t="s">
        <v>507</v>
      </c>
      <c r="C85" t="s">
        <v>507</v>
      </c>
      <c r="D85" s="18">
        <f t="shared" ref="D85:Q85" si="32">D36</f>
        <v>0</v>
      </c>
      <c r="E85" s="18">
        <f t="shared" si="32"/>
        <v>0</v>
      </c>
      <c r="F85" s="18">
        <f t="shared" si="32"/>
        <v>0</v>
      </c>
      <c r="G85" s="18">
        <f t="shared" si="32"/>
        <v>0</v>
      </c>
      <c r="H85" s="18">
        <f t="shared" si="32"/>
        <v>0</v>
      </c>
      <c r="I85" s="18">
        <f t="shared" si="32"/>
        <v>0</v>
      </c>
      <c r="J85" s="18">
        <f t="shared" si="32"/>
        <v>0</v>
      </c>
      <c r="K85" s="18">
        <f t="shared" si="32"/>
        <v>0</v>
      </c>
      <c r="L85" s="18">
        <f t="shared" si="32"/>
        <v>0</v>
      </c>
      <c r="M85" s="18">
        <f t="shared" si="32"/>
        <v>0</v>
      </c>
      <c r="N85" s="18">
        <f t="shared" si="32"/>
        <v>0</v>
      </c>
      <c r="O85" s="19">
        <v>1</v>
      </c>
      <c r="P85" s="18">
        <f t="shared" si="32"/>
        <v>0</v>
      </c>
      <c r="Q85" s="18">
        <f t="shared" si="32"/>
        <v>0</v>
      </c>
      <c r="S85" s="22" t="s">
        <v>507</v>
      </c>
      <c r="T85" s="33" t="s">
        <v>143</v>
      </c>
      <c r="U85" s="33" t="s">
        <v>143</v>
      </c>
      <c r="V85" s="33" t="s">
        <v>143</v>
      </c>
      <c r="W85" s="33" t="s">
        <v>143</v>
      </c>
      <c r="X85" s="33" t="s">
        <v>143</v>
      </c>
      <c r="Y85" s="33" t="s">
        <v>143</v>
      </c>
      <c r="Z85" s="33" t="s">
        <v>143</v>
      </c>
      <c r="AA85" s="33" t="s">
        <v>143</v>
      </c>
      <c r="AB85" s="33" t="s">
        <v>143</v>
      </c>
      <c r="AC85" s="33" t="s">
        <v>143</v>
      </c>
      <c r="AD85" s="33" t="s">
        <v>143</v>
      </c>
      <c r="AE85" s="27">
        <v>10</v>
      </c>
      <c r="AF85" s="33" t="s">
        <v>143</v>
      </c>
      <c r="AG85" s="33" t="s">
        <v>143</v>
      </c>
      <c r="AI85" s="22" t="s">
        <v>507</v>
      </c>
      <c r="AJ85" s="33" t="s">
        <v>143</v>
      </c>
      <c r="AK85" s="33" t="s">
        <v>143</v>
      </c>
      <c r="AL85" s="33" t="s">
        <v>143</v>
      </c>
      <c r="AM85" s="33" t="s">
        <v>143</v>
      </c>
      <c r="AN85" s="33" t="s">
        <v>143</v>
      </c>
      <c r="AO85" s="33" t="s">
        <v>143</v>
      </c>
      <c r="AP85" s="33" t="s">
        <v>143</v>
      </c>
      <c r="AQ85" s="33" t="s">
        <v>143</v>
      </c>
      <c r="AR85" s="33" t="s">
        <v>143</v>
      </c>
      <c r="AS85" s="33" t="s">
        <v>143</v>
      </c>
      <c r="AT85" s="33" t="s">
        <v>143</v>
      </c>
      <c r="AU85" s="27">
        <v>10</v>
      </c>
      <c r="AV85" s="33" t="s">
        <v>143</v>
      </c>
      <c r="AW85" s="33" t="s">
        <v>143</v>
      </c>
      <c r="AY85" s="22" t="s">
        <v>507</v>
      </c>
      <c r="AZ85" s="33" t="s">
        <v>143</v>
      </c>
      <c r="BA85" s="33" t="s">
        <v>143</v>
      </c>
      <c r="BB85" s="33" t="s">
        <v>143</v>
      </c>
      <c r="BC85" s="33" t="s">
        <v>143</v>
      </c>
      <c r="BD85" s="33" t="s">
        <v>143</v>
      </c>
      <c r="BE85" s="33" t="s">
        <v>143</v>
      </c>
      <c r="BF85" s="33" t="s">
        <v>143</v>
      </c>
      <c r="BG85" s="33" t="s">
        <v>143</v>
      </c>
      <c r="BH85" s="33" t="s">
        <v>143</v>
      </c>
      <c r="BI85" s="33" t="s">
        <v>143</v>
      </c>
      <c r="BJ85" s="33" t="s">
        <v>143</v>
      </c>
      <c r="BK85" s="27">
        <v>300</v>
      </c>
      <c r="BL85" s="33" t="s">
        <v>143</v>
      </c>
      <c r="BM85" s="33" t="s">
        <v>143</v>
      </c>
    </row>
    <row r="86" spans="2:65" ht="15" thickBot="1" x14ac:dyDescent="0.35">
      <c r="B86" s="22" t="s">
        <v>508</v>
      </c>
      <c r="C86" t="s">
        <v>508</v>
      </c>
      <c r="D86" s="18">
        <f t="shared" ref="D86:Q86" si="33">D37</f>
        <v>0</v>
      </c>
      <c r="E86" s="18">
        <f t="shared" si="33"/>
        <v>0</v>
      </c>
      <c r="F86" s="18">
        <f t="shared" si="33"/>
        <v>0</v>
      </c>
      <c r="G86" s="18">
        <f t="shared" si="33"/>
        <v>0</v>
      </c>
      <c r="H86" s="18">
        <f t="shared" si="33"/>
        <v>0</v>
      </c>
      <c r="I86" s="18">
        <f t="shared" si="33"/>
        <v>0</v>
      </c>
      <c r="J86" s="18">
        <f t="shared" si="33"/>
        <v>0</v>
      </c>
      <c r="K86" s="18">
        <f t="shared" si="33"/>
        <v>0</v>
      </c>
      <c r="L86" s="18">
        <f t="shared" si="33"/>
        <v>0</v>
      </c>
      <c r="M86" s="18">
        <f t="shared" si="33"/>
        <v>0</v>
      </c>
      <c r="N86" s="18">
        <f t="shared" si="33"/>
        <v>0</v>
      </c>
      <c r="O86" s="19">
        <v>0</v>
      </c>
      <c r="P86" s="18">
        <f t="shared" si="33"/>
        <v>0</v>
      </c>
      <c r="Q86" s="18">
        <f t="shared" si="33"/>
        <v>0</v>
      </c>
      <c r="S86" s="22" t="s">
        <v>508</v>
      </c>
      <c r="T86" s="33" t="s">
        <v>143</v>
      </c>
      <c r="U86" s="33" t="s">
        <v>143</v>
      </c>
      <c r="V86" s="33" t="s">
        <v>143</v>
      </c>
      <c r="W86" s="33" t="s">
        <v>143</v>
      </c>
      <c r="X86" s="33" t="s">
        <v>143</v>
      </c>
      <c r="Y86" s="33" t="s">
        <v>143</v>
      </c>
      <c r="Z86" s="33" t="s">
        <v>143</v>
      </c>
      <c r="AA86" s="33" t="s">
        <v>143</v>
      </c>
      <c r="AB86" s="33" t="s">
        <v>143</v>
      </c>
      <c r="AC86" s="33" t="s">
        <v>143</v>
      </c>
      <c r="AD86" s="33" t="s">
        <v>143</v>
      </c>
      <c r="AE86" s="27">
        <v>0</v>
      </c>
      <c r="AF86" s="33" t="s">
        <v>143</v>
      </c>
      <c r="AG86" s="33" t="s">
        <v>143</v>
      </c>
      <c r="AI86" s="22" t="s">
        <v>508</v>
      </c>
      <c r="AJ86" s="33" t="s">
        <v>143</v>
      </c>
      <c r="AK86" s="33" t="s">
        <v>143</v>
      </c>
      <c r="AL86" s="33" t="s">
        <v>143</v>
      </c>
      <c r="AM86" s="33" t="s">
        <v>143</v>
      </c>
      <c r="AN86" s="33" t="s">
        <v>143</v>
      </c>
      <c r="AO86" s="33" t="s">
        <v>143</v>
      </c>
      <c r="AP86" s="33" t="s">
        <v>143</v>
      </c>
      <c r="AQ86" s="33" t="s">
        <v>143</v>
      </c>
      <c r="AR86" s="33" t="s">
        <v>143</v>
      </c>
      <c r="AS86" s="33" t="s">
        <v>143</v>
      </c>
      <c r="AT86" s="33" t="s">
        <v>143</v>
      </c>
      <c r="AU86" s="27">
        <v>0</v>
      </c>
      <c r="AV86" s="33" t="s">
        <v>143</v>
      </c>
      <c r="AW86" s="33" t="s">
        <v>143</v>
      </c>
      <c r="AY86" s="22" t="s">
        <v>508</v>
      </c>
      <c r="AZ86" s="33" t="s">
        <v>143</v>
      </c>
      <c r="BA86" s="33" t="s">
        <v>143</v>
      </c>
      <c r="BB86" s="33" t="s">
        <v>143</v>
      </c>
      <c r="BC86" s="33" t="s">
        <v>143</v>
      </c>
      <c r="BD86" s="33" t="s">
        <v>143</v>
      </c>
      <c r="BE86" s="33" t="s">
        <v>143</v>
      </c>
      <c r="BF86" s="33" t="s">
        <v>143</v>
      </c>
      <c r="BG86" s="33" t="s">
        <v>143</v>
      </c>
      <c r="BH86" s="33" t="s">
        <v>143</v>
      </c>
      <c r="BI86" s="33" t="s">
        <v>143</v>
      </c>
      <c r="BJ86" s="33" t="s">
        <v>143</v>
      </c>
      <c r="BK86" s="27">
        <v>0</v>
      </c>
      <c r="BL86" s="33" t="s">
        <v>143</v>
      </c>
      <c r="BM86" s="33" t="s">
        <v>143</v>
      </c>
    </row>
    <row r="87" spans="2:65" ht="15" thickBot="1" x14ac:dyDescent="0.35">
      <c r="B87" s="22" t="s">
        <v>121</v>
      </c>
      <c r="C87" t="s">
        <v>121</v>
      </c>
      <c r="D87" s="18">
        <f t="shared" ref="D87:Q87" si="34">D38</f>
        <v>0</v>
      </c>
      <c r="E87" s="18">
        <f t="shared" si="34"/>
        <v>0</v>
      </c>
      <c r="F87" s="18">
        <f t="shared" si="34"/>
        <v>0</v>
      </c>
      <c r="G87" s="18">
        <f t="shared" si="34"/>
        <v>0</v>
      </c>
      <c r="H87" s="18">
        <f t="shared" si="34"/>
        <v>0</v>
      </c>
      <c r="I87" s="18">
        <f t="shared" si="34"/>
        <v>0</v>
      </c>
      <c r="J87" s="18">
        <f t="shared" si="34"/>
        <v>0</v>
      </c>
      <c r="K87" s="18">
        <f t="shared" si="34"/>
        <v>0</v>
      </c>
      <c r="L87" s="18">
        <f t="shared" si="34"/>
        <v>0</v>
      </c>
      <c r="M87" s="18">
        <f t="shared" si="34"/>
        <v>0</v>
      </c>
      <c r="N87" s="18">
        <f t="shared" si="34"/>
        <v>0</v>
      </c>
      <c r="O87" s="18">
        <f t="shared" si="34"/>
        <v>0</v>
      </c>
      <c r="P87" s="19">
        <v>30</v>
      </c>
      <c r="Q87" s="18">
        <f t="shared" si="34"/>
        <v>0</v>
      </c>
      <c r="S87" s="22" t="s">
        <v>121</v>
      </c>
      <c r="T87" s="33" t="s">
        <v>143</v>
      </c>
      <c r="U87" s="33" t="s">
        <v>143</v>
      </c>
      <c r="V87" s="33" t="s">
        <v>143</v>
      </c>
      <c r="W87" s="33" t="s">
        <v>143</v>
      </c>
      <c r="X87" s="33" t="s">
        <v>143</v>
      </c>
      <c r="Y87" s="33" t="s">
        <v>143</v>
      </c>
      <c r="Z87" s="33" t="s">
        <v>143</v>
      </c>
      <c r="AA87" s="33" t="s">
        <v>143</v>
      </c>
      <c r="AB87" s="33" t="s">
        <v>143</v>
      </c>
      <c r="AC87" s="33" t="s">
        <v>143</v>
      </c>
      <c r="AD87" s="33" t="s">
        <v>143</v>
      </c>
      <c r="AE87" s="33" t="s">
        <v>143</v>
      </c>
      <c r="AF87" s="27">
        <v>30</v>
      </c>
      <c r="AG87" s="33" t="s">
        <v>143</v>
      </c>
      <c r="AI87" s="22" t="s">
        <v>121</v>
      </c>
      <c r="AJ87" s="33" t="s">
        <v>143</v>
      </c>
      <c r="AK87" s="33" t="s">
        <v>143</v>
      </c>
      <c r="AL87" s="33" t="s">
        <v>143</v>
      </c>
      <c r="AM87" s="33" t="s">
        <v>143</v>
      </c>
      <c r="AN87" s="33" t="s">
        <v>143</v>
      </c>
      <c r="AO87" s="33" t="s">
        <v>143</v>
      </c>
      <c r="AP87" s="33" t="s">
        <v>143</v>
      </c>
      <c r="AQ87" s="33" t="s">
        <v>143</v>
      </c>
      <c r="AR87" s="33" t="s">
        <v>143</v>
      </c>
      <c r="AS87" s="33" t="s">
        <v>143</v>
      </c>
      <c r="AT87" s="33" t="s">
        <v>143</v>
      </c>
      <c r="AU87" s="33" t="s">
        <v>143</v>
      </c>
      <c r="AV87" s="27">
        <v>300</v>
      </c>
      <c r="AW87" s="33" t="s">
        <v>143</v>
      </c>
      <c r="AY87" s="22" t="s">
        <v>121</v>
      </c>
      <c r="AZ87" s="33" t="s">
        <v>143</v>
      </c>
      <c r="BA87" s="33" t="s">
        <v>143</v>
      </c>
      <c r="BB87" s="33" t="s">
        <v>143</v>
      </c>
      <c r="BC87" s="33" t="s">
        <v>143</v>
      </c>
      <c r="BD87" s="33" t="s">
        <v>143</v>
      </c>
      <c r="BE87" s="33" t="s">
        <v>143</v>
      </c>
      <c r="BF87" s="33" t="s">
        <v>143</v>
      </c>
      <c r="BG87" s="33" t="s">
        <v>143</v>
      </c>
      <c r="BH87" s="33" t="s">
        <v>143</v>
      </c>
      <c r="BI87" s="33" t="s">
        <v>143</v>
      </c>
      <c r="BJ87" s="33" t="s">
        <v>143</v>
      </c>
      <c r="BK87" s="33" t="s">
        <v>143</v>
      </c>
      <c r="BL87" s="27">
        <v>300</v>
      </c>
      <c r="BM87" s="33" t="s">
        <v>143</v>
      </c>
    </row>
    <row r="88" spans="2:65" ht="15" thickBot="1" x14ac:dyDescent="0.35">
      <c r="B88" s="22" t="s">
        <v>123</v>
      </c>
      <c r="C88" t="s">
        <v>123</v>
      </c>
      <c r="D88" s="18">
        <f t="shared" ref="D88:Q88" si="35">D39</f>
        <v>0</v>
      </c>
      <c r="E88" s="18">
        <f t="shared" si="35"/>
        <v>0</v>
      </c>
      <c r="F88" s="18">
        <f t="shared" si="35"/>
        <v>0</v>
      </c>
      <c r="G88" s="18">
        <f t="shared" si="35"/>
        <v>0</v>
      </c>
      <c r="H88" s="18">
        <f t="shared" si="35"/>
        <v>0</v>
      </c>
      <c r="I88" s="18">
        <f t="shared" si="35"/>
        <v>0</v>
      </c>
      <c r="J88" s="18">
        <f t="shared" si="35"/>
        <v>0</v>
      </c>
      <c r="K88" s="18">
        <f t="shared" si="35"/>
        <v>0</v>
      </c>
      <c r="L88" s="18">
        <f t="shared" si="35"/>
        <v>0</v>
      </c>
      <c r="M88" s="18">
        <f t="shared" si="35"/>
        <v>0</v>
      </c>
      <c r="N88" s="18">
        <f t="shared" si="35"/>
        <v>0</v>
      </c>
      <c r="O88" s="18">
        <f t="shared" si="35"/>
        <v>0</v>
      </c>
      <c r="P88" s="19">
        <v>0</v>
      </c>
      <c r="Q88" s="18">
        <f t="shared" si="35"/>
        <v>0</v>
      </c>
      <c r="S88" s="22" t="s">
        <v>123</v>
      </c>
      <c r="T88" s="33" t="s">
        <v>143</v>
      </c>
      <c r="U88" s="33" t="s">
        <v>143</v>
      </c>
      <c r="V88" s="33" t="s">
        <v>143</v>
      </c>
      <c r="W88" s="33" t="s">
        <v>143</v>
      </c>
      <c r="X88" s="33" t="s">
        <v>143</v>
      </c>
      <c r="Y88" s="33" t="s">
        <v>143</v>
      </c>
      <c r="Z88" s="33" t="s">
        <v>143</v>
      </c>
      <c r="AA88" s="33" t="s">
        <v>143</v>
      </c>
      <c r="AB88" s="33" t="s">
        <v>143</v>
      </c>
      <c r="AC88" s="33" t="s">
        <v>143</v>
      </c>
      <c r="AD88" s="33" t="s">
        <v>143</v>
      </c>
      <c r="AE88" s="33" t="s">
        <v>143</v>
      </c>
      <c r="AF88" s="27">
        <v>0</v>
      </c>
      <c r="AG88" s="33" t="s">
        <v>143</v>
      </c>
      <c r="AI88" s="22" t="s">
        <v>123</v>
      </c>
      <c r="AJ88" s="33" t="s">
        <v>143</v>
      </c>
      <c r="AK88" s="33" t="s">
        <v>143</v>
      </c>
      <c r="AL88" s="33" t="s">
        <v>143</v>
      </c>
      <c r="AM88" s="33" t="s">
        <v>143</v>
      </c>
      <c r="AN88" s="33" t="s">
        <v>143</v>
      </c>
      <c r="AO88" s="33" t="s">
        <v>143</v>
      </c>
      <c r="AP88" s="33" t="s">
        <v>143</v>
      </c>
      <c r="AQ88" s="33" t="s">
        <v>143</v>
      </c>
      <c r="AR88" s="33" t="s">
        <v>143</v>
      </c>
      <c r="AS88" s="33" t="s">
        <v>143</v>
      </c>
      <c r="AT88" s="33" t="s">
        <v>143</v>
      </c>
      <c r="AU88" s="33" t="s">
        <v>143</v>
      </c>
      <c r="AV88" s="27">
        <v>0</v>
      </c>
      <c r="AW88" s="33" t="s">
        <v>143</v>
      </c>
      <c r="AY88" s="22" t="s">
        <v>123</v>
      </c>
      <c r="AZ88" s="33" t="s">
        <v>143</v>
      </c>
      <c r="BA88" s="33" t="s">
        <v>143</v>
      </c>
      <c r="BB88" s="33" t="s">
        <v>143</v>
      </c>
      <c r="BC88" s="33" t="s">
        <v>143</v>
      </c>
      <c r="BD88" s="33" t="s">
        <v>143</v>
      </c>
      <c r="BE88" s="33" t="s">
        <v>143</v>
      </c>
      <c r="BF88" s="33" t="s">
        <v>143</v>
      </c>
      <c r="BG88" s="33" t="s">
        <v>143</v>
      </c>
      <c r="BH88" s="33" t="s">
        <v>143</v>
      </c>
      <c r="BI88" s="33" t="s">
        <v>143</v>
      </c>
      <c r="BJ88" s="33" t="s">
        <v>143</v>
      </c>
      <c r="BK88" s="33" t="s">
        <v>143</v>
      </c>
      <c r="BL88" s="27">
        <v>0</v>
      </c>
      <c r="BM88" s="33" t="s">
        <v>143</v>
      </c>
    </row>
    <row r="89" spans="2:65" ht="15" thickBot="1" x14ac:dyDescent="0.35">
      <c r="B89" s="22" t="s">
        <v>125</v>
      </c>
      <c r="C89" t="s">
        <v>125</v>
      </c>
      <c r="D89" s="18">
        <f t="shared" ref="D89:Q89" si="36">D40</f>
        <v>0</v>
      </c>
      <c r="E89" s="18">
        <f t="shared" si="36"/>
        <v>0</v>
      </c>
      <c r="F89" s="18">
        <f t="shared" si="36"/>
        <v>0</v>
      </c>
      <c r="G89" s="18">
        <f t="shared" si="36"/>
        <v>0</v>
      </c>
      <c r="H89" s="18">
        <f t="shared" si="36"/>
        <v>0</v>
      </c>
      <c r="I89" s="18">
        <f t="shared" si="36"/>
        <v>0</v>
      </c>
      <c r="J89" s="18">
        <f t="shared" si="36"/>
        <v>0</v>
      </c>
      <c r="K89" s="18">
        <f t="shared" si="36"/>
        <v>0</v>
      </c>
      <c r="L89" s="18">
        <f t="shared" si="36"/>
        <v>0</v>
      </c>
      <c r="M89" s="18">
        <f t="shared" si="36"/>
        <v>0</v>
      </c>
      <c r="N89" s="18">
        <f t="shared" si="36"/>
        <v>0</v>
      </c>
      <c r="O89" s="18">
        <f t="shared" si="36"/>
        <v>0</v>
      </c>
      <c r="P89" s="18">
        <f t="shared" si="36"/>
        <v>0</v>
      </c>
      <c r="Q89" s="18">
        <f t="shared" si="36"/>
        <v>0</v>
      </c>
      <c r="S89" s="22" t="s">
        <v>125</v>
      </c>
      <c r="T89" s="33" t="s">
        <v>143</v>
      </c>
      <c r="U89" s="33" t="s">
        <v>143</v>
      </c>
      <c r="V89" s="33" t="s">
        <v>143</v>
      </c>
      <c r="W89" s="33" t="s">
        <v>143</v>
      </c>
      <c r="X89" s="33" t="s">
        <v>143</v>
      </c>
      <c r="Y89" s="33" t="s">
        <v>143</v>
      </c>
      <c r="Z89" s="33" t="s">
        <v>143</v>
      </c>
      <c r="AA89" s="33" t="s">
        <v>143</v>
      </c>
      <c r="AB89" s="33" t="s">
        <v>143</v>
      </c>
      <c r="AC89" s="33" t="s">
        <v>143</v>
      </c>
      <c r="AD89" s="33" t="s">
        <v>143</v>
      </c>
      <c r="AE89" s="33" t="s">
        <v>143</v>
      </c>
      <c r="AF89" s="33" t="s">
        <v>143</v>
      </c>
      <c r="AG89" s="33" t="s">
        <v>143</v>
      </c>
      <c r="AI89" s="22" t="s">
        <v>125</v>
      </c>
      <c r="AJ89" s="33" t="s">
        <v>143</v>
      </c>
      <c r="AK89" s="33" t="s">
        <v>143</v>
      </c>
      <c r="AL89" s="33" t="s">
        <v>143</v>
      </c>
      <c r="AM89" s="33" t="s">
        <v>143</v>
      </c>
      <c r="AN89" s="33" t="s">
        <v>143</v>
      </c>
      <c r="AO89" s="33" t="s">
        <v>143</v>
      </c>
      <c r="AP89" s="33" t="s">
        <v>143</v>
      </c>
      <c r="AQ89" s="33" t="s">
        <v>143</v>
      </c>
      <c r="AR89" s="33" t="s">
        <v>143</v>
      </c>
      <c r="AS89" s="33" t="s">
        <v>143</v>
      </c>
      <c r="AT89" s="33" t="s">
        <v>143</v>
      </c>
      <c r="AU89" s="33" t="s">
        <v>143</v>
      </c>
      <c r="AV89" s="33" t="s">
        <v>143</v>
      </c>
      <c r="AW89" s="33" t="s">
        <v>143</v>
      </c>
      <c r="AY89" s="22" t="s">
        <v>125</v>
      </c>
      <c r="AZ89" s="33" t="s">
        <v>143</v>
      </c>
      <c r="BA89" s="33" t="s">
        <v>143</v>
      </c>
      <c r="BB89" s="33" t="s">
        <v>143</v>
      </c>
      <c r="BC89" s="33" t="s">
        <v>143</v>
      </c>
      <c r="BD89" s="33" t="s">
        <v>143</v>
      </c>
      <c r="BE89" s="33" t="s">
        <v>143</v>
      </c>
      <c r="BF89" s="33" t="s">
        <v>143</v>
      </c>
      <c r="BG89" s="33" t="s">
        <v>143</v>
      </c>
      <c r="BH89" s="33" t="s">
        <v>143</v>
      </c>
      <c r="BI89" s="33" t="s">
        <v>143</v>
      </c>
      <c r="BJ89" s="33" t="s">
        <v>143</v>
      </c>
      <c r="BK89" s="33" t="s">
        <v>143</v>
      </c>
      <c r="BL89" s="33" t="s">
        <v>143</v>
      </c>
      <c r="BM89" s="33" t="s">
        <v>143</v>
      </c>
    </row>
    <row r="90" spans="2:65" ht="15" thickBot="1" x14ac:dyDescent="0.35">
      <c r="B90" s="22" t="s">
        <v>127</v>
      </c>
      <c r="C90" t="s">
        <v>127</v>
      </c>
      <c r="D90" s="18">
        <f t="shared" ref="D90:Q90" si="37">D41</f>
        <v>0</v>
      </c>
      <c r="E90" s="18">
        <f t="shared" si="37"/>
        <v>0</v>
      </c>
      <c r="F90" s="18">
        <f t="shared" si="37"/>
        <v>0</v>
      </c>
      <c r="G90" s="18">
        <f t="shared" si="37"/>
        <v>0</v>
      </c>
      <c r="H90" s="18">
        <f t="shared" si="37"/>
        <v>0</v>
      </c>
      <c r="I90" s="18">
        <f t="shared" si="37"/>
        <v>0</v>
      </c>
      <c r="J90" s="18">
        <f t="shared" si="37"/>
        <v>0</v>
      </c>
      <c r="K90" s="18">
        <f t="shared" si="37"/>
        <v>0</v>
      </c>
      <c r="L90" s="18">
        <f t="shared" si="37"/>
        <v>0</v>
      </c>
      <c r="M90" s="18">
        <f t="shared" si="37"/>
        <v>0</v>
      </c>
      <c r="N90" s="18">
        <f t="shared" si="37"/>
        <v>0</v>
      </c>
      <c r="O90" s="18">
        <f t="shared" si="37"/>
        <v>0</v>
      </c>
      <c r="P90" s="18">
        <f t="shared" si="37"/>
        <v>0</v>
      </c>
      <c r="Q90" s="18">
        <f t="shared" si="37"/>
        <v>0</v>
      </c>
      <c r="S90" s="22" t="s">
        <v>127</v>
      </c>
      <c r="T90" s="33" t="s">
        <v>143</v>
      </c>
      <c r="U90" s="33" t="s">
        <v>143</v>
      </c>
      <c r="V90" s="33" t="s">
        <v>143</v>
      </c>
      <c r="W90" s="33" t="s">
        <v>143</v>
      </c>
      <c r="X90" s="33" t="s">
        <v>143</v>
      </c>
      <c r="Y90" s="33" t="s">
        <v>143</v>
      </c>
      <c r="Z90" s="33" t="s">
        <v>143</v>
      </c>
      <c r="AA90" s="33" t="s">
        <v>143</v>
      </c>
      <c r="AB90" s="33" t="s">
        <v>143</v>
      </c>
      <c r="AC90" s="33" t="s">
        <v>143</v>
      </c>
      <c r="AD90" s="33" t="s">
        <v>143</v>
      </c>
      <c r="AE90" s="33" t="s">
        <v>143</v>
      </c>
      <c r="AF90" s="33" t="s">
        <v>143</v>
      </c>
      <c r="AG90" s="33" t="s">
        <v>143</v>
      </c>
      <c r="AI90" s="22" t="s">
        <v>127</v>
      </c>
      <c r="AJ90" s="33" t="s">
        <v>143</v>
      </c>
      <c r="AK90" s="33" t="s">
        <v>143</v>
      </c>
      <c r="AL90" s="33" t="s">
        <v>143</v>
      </c>
      <c r="AM90" s="33" t="s">
        <v>143</v>
      </c>
      <c r="AN90" s="33" t="s">
        <v>143</v>
      </c>
      <c r="AO90" s="33" t="s">
        <v>143</v>
      </c>
      <c r="AP90" s="33" t="s">
        <v>143</v>
      </c>
      <c r="AQ90" s="33" t="s">
        <v>143</v>
      </c>
      <c r="AR90" s="33" t="s">
        <v>143</v>
      </c>
      <c r="AS90" s="33" t="s">
        <v>143</v>
      </c>
      <c r="AT90" s="33" t="s">
        <v>143</v>
      </c>
      <c r="AU90" s="33" t="s">
        <v>143</v>
      </c>
      <c r="AV90" s="33" t="s">
        <v>143</v>
      </c>
      <c r="AW90" s="33" t="s">
        <v>143</v>
      </c>
      <c r="AY90" s="22" t="s">
        <v>127</v>
      </c>
      <c r="AZ90" s="33" t="s">
        <v>143</v>
      </c>
      <c r="BA90" s="33" t="s">
        <v>143</v>
      </c>
      <c r="BB90" s="33" t="s">
        <v>143</v>
      </c>
      <c r="BC90" s="33" t="s">
        <v>143</v>
      </c>
      <c r="BD90" s="33" t="s">
        <v>143</v>
      </c>
      <c r="BE90" s="33" t="s">
        <v>143</v>
      </c>
      <c r="BF90" s="33" t="s">
        <v>143</v>
      </c>
      <c r="BG90" s="33" t="s">
        <v>143</v>
      </c>
      <c r="BH90" s="33" t="s">
        <v>143</v>
      </c>
      <c r="BI90" s="33" t="s">
        <v>143</v>
      </c>
      <c r="BJ90" s="33" t="s">
        <v>143</v>
      </c>
      <c r="BK90" s="33" t="s">
        <v>143</v>
      </c>
      <c r="BL90" s="33" t="s">
        <v>143</v>
      </c>
      <c r="BM90" s="33" t="s">
        <v>143</v>
      </c>
    </row>
    <row r="91" spans="2:65" ht="15" thickBot="1" x14ac:dyDescent="0.35">
      <c r="B91" s="22" t="s">
        <v>129</v>
      </c>
      <c r="C91" t="s">
        <v>129</v>
      </c>
      <c r="D91" s="18">
        <f t="shared" ref="D91:Q91" si="38">D42</f>
        <v>0</v>
      </c>
      <c r="E91" s="18">
        <f t="shared" si="38"/>
        <v>0</v>
      </c>
      <c r="F91" s="18">
        <f t="shared" si="38"/>
        <v>0</v>
      </c>
      <c r="G91" s="18">
        <f t="shared" si="38"/>
        <v>0</v>
      </c>
      <c r="H91" s="18">
        <f t="shared" si="38"/>
        <v>0</v>
      </c>
      <c r="I91" s="18">
        <f t="shared" si="38"/>
        <v>0</v>
      </c>
      <c r="J91" s="18">
        <f t="shared" si="38"/>
        <v>0</v>
      </c>
      <c r="K91" s="18">
        <f t="shared" si="38"/>
        <v>0</v>
      </c>
      <c r="L91" s="18">
        <f t="shared" si="38"/>
        <v>0</v>
      </c>
      <c r="M91" s="18">
        <f t="shared" si="38"/>
        <v>0</v>
      </c>
      <c r="N91" s="18">
        <f t="shared" si="38"/>
        <v>0</v>
      </c>
      <c r="O91" s="18">
        <f t="shared" si="38"/>
        <v>0</v>
      </c>
      <c r="P91" s="18">
        <f t="shared" si="38"/>
        <v>0</v>
      </c>
      <c r="Q91" s="18">
        <f t="shared" si="38"/>
        <v>0</v>
      </c>
      <c r="S91" s="22" t="s">
        <v>129</v>
      </c>
      <c r="T91" s="33" t="s">
        <v>143</v>
      </c>
      <c r="U91" s="33" t="s">
        <v>143</v>
      </c>
      <c r="V91" s="33" t="s">
        <v>143</v>
      </c>
      <c r="W91" s="33" t="s">
        <v>143</v>
      </c>
      <c r="X91" s="33" t="s">
        <v>143</v>
      </c>
      <c r="Y91" s="33" t="s">
        <v>143</v>
      </c>
      <c r="Z91" s="33" t="s">
        <v>143</v>
      </c>
      <c r="AA91" s="33" t="s">
        <v>143</v>
      </c>
      <c r="AB91" s="33" t="s">
        <v>143</v>
      </c>
      <c r="AC91" s="33" t="s">
        <v>143</v>
      </c>
      <c r="AD91" s="33" t="s">
        <v>143</v>
      </c>
      <c r="AE91" s="33" t="s">
        <v>143</v>
      </c>
      <c r="AF91" s="33" t="s">
        <v>143</v>
      </c>
      <c r="AG91" s="33" t="s">
        <v>143</v>
      </c>
      <c r="AI91" s="22" t="s">
        <v>129</v>
      </c>
      <c r="AJ91" s="33" t="s">
        <v>143</v>
      </c>
      <c r="AK91" s="33" t="s">
        <v>143</v>
      </c>
      <c r="AL91" s="33" t="s">
        <v>143</v>
      </c>
      <c r="AM91" s="33" t="s">
        <v>143</v>
      </c>
      <c r="AN91" s="33" t="s">
        <v>143</v>
      </c>
      <c r="AO91" s="33" t="s">
        <v>143</v>
      </c>
      <c r="AP91" s="33" t="s">
        <v>143</v>
      </c>
      <c r="AQ91" s="33" t="s">
        <v>143</v>
      </c>
      <c r="AR91" s="33" t="s">
        <v>143</v>
      </c>
      <c r="AS91" s="33" t="s">
        <v>143</v>
      </c>
      <c r="AT91" s="33" t="s">
        <v>143</v>
      </c>
      <c r="AU91" s="33" t="s">
        <v>143</v>
      </c>
      <c r="AV91" s="33" t="s">
        <v>143</v>
      </c>
      <c r="AW91" s="33" t="s">
        <v>143</v>
      </c>
      <c r="AY91" s="22" t="s">
        <v>129</v>
      </c>
      <c r="AZ91" s="33" t="s">
        <v>143</v>
      </c>
      <c r="BA91" s="33" t="s">
        <v>143</v>
      </c>
      <c r="BB91" s="33" t="s">
        <v>143</v>
      </c>
      <c r="BC91" s="33" t="s">
        <v>143</v>
      </c>
      <c r="BD91" s="33" t="s">
        <v>143</v>
      </c>
      <c r="BE91" s="33" t="s">
        <v>143</v>
      </c>
      <c r="BF91" s="33" t="s">
        <v>143</v>
      </c>
      <c r="BG91" s="33" t="s">
        <v>143</v>
      </c>
      <c r="BH91" s="33" t="s">
        <v>143</v>
      </c>
      <c r="BI91" s="33" t="s">
        <v>143</v>
      </c>
      <c r="BJ91" s="33" t="s">
        <v>143</v>
      </c>
      <c r="BK91" s="33" t="s">
        <v>143</v>
      </c>
      <c r="BL91" s="33" t="s">
        <v>143</v>
      </c>
      <c r="BM91" s="33" t="s">
        <v>143</v>
      </c>
    </row>
    <row r="92" spans="2:65" ht="15" thickBot="1" x14ac:dyDescent="0.35">
      <c r="B92" s="22" t="s">
        <v>509</v>
      </c>
      <c r="C92" t="s">
        <v>509</v>
      </c>
      <c r="D92" s="18">
        <f t="shared" ref="D92:Q92" si="39">D43</f>
        <v>0</v>
      </c>
      <c r="E92" s="18">
        <f t="shared" si="39"/>
        <v>0</v>
      </c>
      <c r="F92" s="18">
        <f t="shared" si="39"/>
        <v>0</v>
      </c>
      <c r="G92" s="18">
        <f t="shared" si="39"/>
        <v>0</v>
      </c>
      <c r="H92" s="18">
        <f t="shared" si="39"/>
        <v>0</v>
      </c>
      <c r="I92" s="18">
        <f t="shared" si="39"/>
        <v>0</v>
      </c>
      <c r="J92" s="18">
        <f t="shared" si="39"/>
        <v>0</v>
      </c>
      <c r="K92" s="18">
        <f t="shared" si="39"/>
        <v>0</v>
      </c>
      <c r="L92" s="18">
        <f t="shared" si="39"/>
        <v>0</v>
      </c>
      <c r="M92" s="18">
        <f t="shared" si="39"/>
        <v>0</v>
      </c>
      <c r="N92" s="18">
        <f t="shared" si="39"/>
        <v>0</v>
      </c>
      <c r="O92" s="18">
        <f t="shared" si="39"/>
        <v>0</v>
      </c>
      <c r="P92" s="18">
        <f t="shared" si="39"/>
        <v>0</v>
      </c>
      <c r="Q92" s="18">
        <f t="shared" si="39"/>
        <v>0</v>
      </c>
      <c r="S92" s="22" t="s">
        <v>509</v>
      </c>
      <c r="T92" s="33" t="s">
        <v>143</v>
      </c>
      <c r="U92" s="33" t="s">
        <v>143</v>
      </c>
      <c r="V92" s="33" t="s">
        <v>143</v>
      </c>
      <c r="W92" s="33" t="s">
        <v>143</v>
      </c>
      <c r="X92" s="33" t="s">
        <v>143</v>
      </c>
      <c r="Y92" s="33" t="s">
        <v>143</v>
      </c>
      <c r="Z92" s="33" t="s">
        <v>143</v>
      </c>
      <c r="AA92" s="33" t="s">
        <v>143</v>
      </c>
      <c r="AB92" s="33" t="s">
        <v>143</v>
      </c>
      <c r="AC92" s="33" t="s">
        <v>143</v>
      </c>
      <c r="AD92" s="33" t="s">
        <v>143</v>
      </c>
      <c r="AE92" s="33" t="s">
        <v>143</v>
      </c>
      <c r="AF92" s="33" t="s">
        <v>143</v>
      </c>
      <c r="AG92" s="33" t="s">
        <v>143</v>
      </c>
      <c r="AI92" s="22" t="s">
        <v>509</v>
      </c>
      <c r="AJ92" s="33" t="s">
        <v>143</v>
      </c>
      <c r="AK92" s="33" t="s">
        <v>143</v>
      </c>
      <c r="AL92" s="33" t="s">
        <v>143</v>
      </c>
      <c r="AM92" s="33" t="s">
        <v>143</v>
      </c>
      <c r="AN92" s="33" t="s">
        <v>143</v>
      </c>
      <c r="AO92" s="33" t="s">
        <v>143</v>
      </c>
      <c r="AP92" s="33" t="s">
        <v>143</v>
      </c>
      <c r="AQ92" s="33" t="s">
        <v>143</v>
      </c>
      <c r="AR92" s="33" t="s">
        <v>143</v>
      </c>
      <c r="AS92" s="33" t="s">
        <v>143</v>
      </c>
      <c r="AT92" s="33" t="s">
        <v>143</v>
      </c>
      <c r="AU92" s="33" t="s">
        <v>143</v>
      </c>
      <c r="AV92" s="33" t="s">
        <v>143</v>
      </c>
      <c r="AW92" s="33" t="s">
        <v>143</v>
      </c>
      <c r="AY92" s="22" t="s">
        <v>509</v>
      </c>
      <c r="AZ92" s="33" t="s">
        <v>143</v>
      </c>
      <c r="BA92" s="33" t="s">
        <v>143</v>
      </c>
      <c r="BB92" s="33" t="s">
        <v>143</v>
      </c>
      <c r="BC92" s="33" t="s">
        <v>143</v>
      </c>
      <c r="BD92" s="33" t="s">
        <v>143</v>
      </c>
      <c r="BE92" s="33" t="s">
        <v>143</v>
      </c>
      <c r="BF92" s="33" t="s">
        <v>143</v>
      </c>
      <c r="BG92" s="33" t="s">
        <v>143</v>
      </c>
      <c r="BH92" s="33" t="s">
        <v>143</v>
      </c>
      <c r="BI92" s="33" t="s">
        <v>143</v>
      </c>
      <c r="BJ92" s="33" t="s">
        <v>143</v>
      </c>
      <c r="BK92" s="33" t="s">
        <v>143</v>
      </c>
      <c r="BL92" s="33" t="s">
        <v>143</v>
      </c>
      <c r="BM92" s="33" t="s">
        <v>143</v>
      </c>
    </row>
    <row r="93" spans="2:65" ht="15" thickBot="1" x14ac:dyDescent="0.35">
      <c r="B93" s="22" t="s">
        <v>132</v>
      </c>
      <c r="C93" t="s">
        <v>132</v>
      </c>
      <c r="D93" s="18">
        <f t="shared" ref="D93:Q93" si="40">D44</f>
        <v>0</v>
      </c>
      <c r="E93" s="18">
        <f t="shared" si="40"/>
        <v>0</v>
      </c>
      <c r="F93" s="18">
        <f t="shared" si="40"/>
        <v>0</v>
      </c>
      <c r="G93" s="18">
        <f t="shared" si="40"/>
        <v>0</v>
      </c>
      <c r="H93" s="18">
        <f t="shared" si="40"/>
        <v>0</v>
      </c>
      <c r="I93" s="18">
        <f t="shared" si="40"/>
        <v>0</v>
      </c>
      <c r="J93" s="18">
        <f t="shared" si="40"/>
        <v>0</v>
      </c>
      <c r="K93" s="18">
        <f t="shared" si="40"/>
        <v>0</v>
      </c>
      <c r="L93" s="18">
        <f t="shared" si="40"/>
        <v>0</v>
      </c>
      <c r="M93" s="18">
        <f t="shared" si="40"/>
        <v>0</v>
      </c>
      <c r="N93" s="18">
        <f t="shared" si="40"/>
        <v>0</v>
      </c>
      <c r="O93" s="18">
        <f t="shared" si="40"/>
        <v>0</v>
      </c>
      <c r="P93" s="18">
        <f t="shared" si="40"/>
        <v>0</v>
      </c>
      <c r="Q93" s="18">
        <f t="shared" si="40"/>
        <v>0</v>
      </c>
      <c r="S93" s="22" t="s">
        <v>132</v>
      </c>
      <c r="T93" s="33" t="s">
        <v>143</v>
      </c>
      <c r="U93" s="33" t="s">
        <v>143</v>
      </c>
      <c r="V93" s="33" t="s">
        <v>143</v>
      </c>
      <c r="W93" s="33" t="s">
        <v>143</v>
      </c>
      <c r="X93" s="33" t="s">
        <v>143</v>
      </c>
      <c r="Y93" s="33" t="s">
        <v>143</v>
      </c>
      <c r="Z93" s="33" t="s">
        <v>143</v>
      </c>
      <c r="AA93" s="33" t="s">
        <v>143</v>
      </c>
      <c r="AB93" s="33" t="s">
        <v>143</v>
      </c>
      <c r="AC93" s="33" t="s">
        <v>143</v>
      </c>
      <c r="AD93" s="33" t="s">
        <v>143</v>
      </c>
      <c r="AE93" s="33" t="s">
        <v>143</v>
      </c>
      <c r="AF93" s="33" t="s">
        <v>143</v>
      </c>
      <c r="AG93" s="33" t="s">
        <v>143</v>
      </c>
      <c r="AI93" s="22" t="s">
        <v>132</v>
      </c>
      <c r="AJ93" s="33" t="s">
        <v>143</v>
      </c>
      <c r="AK93" s="33" t="s">
        <v>143</v>
      </c>
      <c r="AL93" s="33" t="s">
        <v>143</v>
      </c>
      <c r="AM93" s="33" t="s">
        <v>143</v>
      </c>
      <c r="AN93" s="33" t="s">
        <v>143</v>
      </c>
      <c r="AO93" s="33" t="s">
        <v>143</v>
      </c>
      <c r="AP93" s="33" t="s">
        <v>143</v>
      </c>
      <c r="AQ93" s="33" t="s">
        <v>143</v>
      </c>
      <c r="AR93" s="33" t="s">
        <v>143</v>
      </c>
      <c r="AS93" s="33" t="s">
        <v>143</v>
      </c>
      <c r="AT93" s="33" t="s">
        <v>143</v>
      </c>
      <c r="AU93" s="33" t="s">
        <v>143</v>
      </c>
      <c r="AV93" s="33" t="s">
        <v>143</v>
      </c>
      <c r="AW93" s="33" t="s">
        <v>143</v>
      </c>
      <c r="AY93" s="22" t="s">
        <v>132</v>
      </c>
      <c r="AZ93" s="33" t="s">
        <v>143</v>
      </c>
      <c r="BA93" s="33" t="s">
        <v>143</v>
      </c>
      <c r="BB93" s="33" t="s">
        <v>143</v>
      </c>
      <c r="BC93" s="33" t="s">
        <v>143</v>
      </c>
      <c r="BD93" s="33" t="s">
        <v>143</v>
      </c>
      <c r="BE93" s="33" t="s">
        <v>143</v>
      </c>
      <c r="BF93" s="33" t="s">
        <v>143</v>
      </c>
      <c r="BG93" s="33" t="s">
        <v>143</v>
      </c>
      <c r="BH93" s="33" t="s">
        <v>143</v>
      </c>
      <c r="BI93" s="33" t="s">
        <v>143</v>
      </c>
      <c r="BJ93" s="33" t="s">
        <v>143</v>
      </c>
      <c r="BK93" s="33" t="s">
        <v>143</v>
      </c>
      <c r="BL93" s="33" t="s">
        <v>143</v>
      </c>
      <c r="BM93" s="33" t="s">
        <v>143</v>
      </c>
    </row>
    <row r="94" spans="2:65" ht="15" thickBot="1" x14ac:dyDescent="0.35">
      <c r="B94" s="22" t="s">
        <v>133</v>
      </c>
      <c r="C94" t="s">
        <v>133</v>
      </c>
      <c r="D94" s="18">
        <f t="shared" ref="D94:Q94" si="41">D45</f>
        <v>0</v>
      </c>
      <c r="E94" s="18">
        <f t="shared" si="41"/>
        <v>0</v>
      </c>
      <c r="F94" s="18">
        <f t="shared" si="41"/>
        <v>0</v>
      </c>
      <c r="G94" s="18">
        <f t="shared" si="41"/>
        <v>0</v>
      </c>
      <c r="H94" s="18">
        <f t="shared" si="41"/>
        <v>0</v>
      </c>
      <c r="I94" s="18">
        <f t="shared" si="41"/>
        <v>0</v>
      </c>
      <c r="J94" s="18">
        <f t="shared" si="41"/>
        <v>0</v>
      </c>
      <c r="K94" s="18">
        <f t="shared" si="41"/>
        <v>0</v>
      </c>
      <c r="L94" s="18">
        <f t="shared" si="41"/>
        <v>0</v>
      </c>
      <c r="M94" s="18">
        <f t="shared" si="41"/>
        <v>0</v>
      </c>
      <c r="N94" s="18">
        <f t="shared" si="41"/>
        <v>0</v>
      </c>
      <c r="O94" s="18">
        <f t="shared" si="41"/>
        <v>0</v>
      </c>
      <c r="P94" s="18">
        <f t="shared" si="41"/>
        <v>0</v>
      </c>
      <c r="Q94" s="18">
        <f t="shared" si="41"/>
        <v>0</v>
      </c>
      <c r="S94" s="22" t="s">
        <v>133</v>
      </c>
      <c r="T94" s="33" t="s">
        <v>143</v>
      </c>
      <c r="U94" s="33" t="s">
        <v>143</v>
      </c>
      <c r="V94" s="33" t="s">
        <v>143</v>
      </c>
      <c r="W94" s="33" t="s">
        <v>143</v>
      </c>
      <c r="X94" s="33" t="s">
        <v>143</v>
      </c>
      <c r="Y94" s="33" t="s">
        <v>143</v>
      </c>
      <c r="Z94" s="33" t="s">
        <v>143</v>
      </c>
      <c r="AA94" s="33" t="s">
        <v>143</v>
      </c>
      <c r="AB94" s="33" t="s">
        <v>143</v>
      </c>
      <c r="AC94" s="33" t="s">
        <v>143</v>
      </c>
      <c r="AD94" s="33" t="s">
        <v>143</v>
      </c>
      <c r="AE94" s="33" t="s">
        <v>143</v>
      </c>
      <c r="AF94" s="33" t="s">
        <v>143</v>
      </c>
      <c r="AG94" s="33" t="s">
        <v>143</v>
      </c>
      <c r="AI94" s="22" t="s">
        <v>133</v>
      </c>
      <c r="AJ94" s="33" t="s">
        <v>143</v>
      </c>
      <c r="AK94" s="33" t="s">
        <v>143</v>
      </c>
      <c r="AL94" s="33" t="s">
        <v>143</v>
      </c>
      <c r="AM94" s="33" t="s">
        <v>143</v>
      </c>
      <c r="AN94" s="33" t="s">
        <v>143</v>
      </c>
      <c r="AO94" s="33" t="s">
        <v>143</v>
      </c>
      <c r="AP94" s="33" t="s">
        <v>143</v>
      </c>
      <c r="AQ94" s="33" t="s">
        <v>143</v>
      </c>
      <c r="AR94" s="33" t="s">
        <v>143</v>
      </c>
      <c r="AS94" s="33" t="s">
        <v>143</v>
      </c>
      <c r="AT94" s="33" t="s">
        <v>143</v>
      </c>
      <c r="AU94" s="33" t="s">
        <v>143</v>
      </c>
      <c r="AV94" s="33" t="s">
        <v>143</v>
      </c>
      <c r="AW94" s="33" t="s">
        <v>143</v>
      </c>
      <c r="AY94" s="22" t="s">
        <v>133</v>
      </c>
      <c r="AZ94" s="33" t="s">
        <v>143</v>
      </c>
      <c r="BA94" s="33" t="s">
        <v>143</v>
      </c>
      <c r="BB94" s="33" t="s">
        <v>143</v>
      </c>
      <c r="BC94" s="33" t="s">
        <v>143</v>
      </c>
      <c r="BD94" s="33" t="s">
        <v>143</v>
      </c>
      <c r="BE94" s="33" t="s">
        <v>143</v>
      </c>
      <c r="BF94" s="33" t="s">
        <v>143</v>
      </c>
      <c r="BG94" s="33" t="s">
        <v>143</v>
      </c>
      <c r="BH94" s="33" t="s">
        <v>143</v>
      </c>
      <c r="BI94" s="33" t="s">
        <v>143</v>
      </c>
      <c r="BJ94" s="33" t="s">
        <v>143</v>
      </c>
      <c r="BK94" s="33" t="s">
        <v>143</v>
      </c>
      <c r="BL94" s="33" t="s">
        <v>143</v>
      </c>
      <c r="BM94" s="33" t="s">
        <v>143</v>
      </c>
    </row>
    <row r="95" spans="2:65" ht="15" thickBot="1" x14ac:dyDescent="0.35">
      <c r="B95" s="22" t="s">
        <v>134</v>
      </c>
      <c r="C95" t="s">
        <v>134</v>
      </c>
      <c r="D95" s="18">
        <f t="shared" ref="D95:Q95" si="42">D46</f>
        <v>0</v>
      </c>
      <c r="E95" s="18">
        <f t="shared" si="42"/>
        <v>0</v>
      </c>
      <c r="F95" s="18">
        <f t="shared" si="42"/>
        <v>0</v>
      </c>
      <c r="G95" s="18">
        <f t="shared" si="42"/>
        <v>0</v>
      </c>
      <c r="H95" s="18">
        <f t="shared" si="42"/>
        <v>0</v>
      </c>
      <c r="I95" s="18">
        <f t="shared" si="42"/>
        <v>0</v>
      </c>
      <c r="J95" s="18">
        <f t="shared" si="42"/>
        <v>0</v>
      </c>
      <c r="K95" s="18">
        <f t="shared" si="42"/>
        <v>0</v>
      </c>
      <c r="L95" s="18">
        <f t="shared" si="42"/>
        <v>0</v>
      </c>
      <c r="M95" s="18">
        <f t="shared" si="42"/>
        <v>0</v>
      </c>
      <c r="N95" s="18">
        <f t="shared" si="42"/>
        <v>0</v>
      </c>
      <c r="O95" s="18">
        <f t="shared" si="42"/>
        <v>0</v>
      </c>
      <c r="P95" s="18">
        <f t="shared" si="42"/>
        <v>0</v>
      </c>
      <c r="Q95" s="18">
        <f t="shared" si="42"/>
        <v>0</v>
      </c>
      <c r="S95" s="22" t="s">
        <v>134</v>
      </c>
      <c r="T95" s="33" t="s">
        <v>143</v>
      </c>
      <c r="U95" s="33" t="s">
        <v>143</v>
      </c>
      <c r="V95" s="33" t="s">
        <v>143</v>
      </c>
      <c r="W95" s="33" t="s">
        <v>143</v>
      </c>
      <c r="X95" s="33" t="s">
        <v>143</v>
      </c>
      <c r="Y95" s="33" t="s">
        <v>143</v>
      </c>
      <c r="Z95" s="33" t="s">
        <v>143</v>
      </c>
      <c r="AA95" s="33" t="s">
        <v>143</v>
      </c>
      <c r="AB95" s="33" t="s">
        <v>143</v>
      </c>
      <c r="AC95" s="33" t="s">
        <v>143</v>
      </c>
      <c r="AD95" s="33" t="s">
        <v>143</v>
      </c>
      <c r="AE95" s="33" t="s">
        <v>143</v>
      </c>
      <c r="AF95" s="33" t="s">
        <v>143</v>
      </c>
      <c r="AG95" s="33" t="s">
        <v>143</v>
      </c>
      <c r="AI95" s="22" t="s">
        <v>134</v>
      </c>
      <c r="AJ95" s="33" t="s">
        <v>143</v>
      </c>
      <c r="AK95" s="33" t="s">
        <v>143</v>
      </c>
      <c r="AL95" s="33" t="s">
        <v>143</v>
      </c>
      <c r="AM95" s="33" t="s">
        <v>143</v>
      </c>
      <c r="AN95" s="33" t="s">
        <v>143</v>
      </c>
      <c r="AO95" s="33" t="s">
        <v>143</v>
      </c>
      <c r="AP95" s="33" t="s">
        <v>143</v>
      </c>
      <c r="AQ95" s="33" t="s">
        <v>143</v>
      </c>
      <c r="AR95" s="33" t="s">
        <v>143</v>
      </c>
      <c r="AS95" s="33" t="s">
        <v>143</v>
      </c>
      <c r="AT95" s="33" t="s">
        <v>143</v>
      </c>
      <c r="AU95" s="33" t="s">
        <v>143</v>
      </c>
      <c r="AV95" s="33" t="s">
        <v>143</v>
      </c>
      <c r="AW95" s="33" t="s">
        <v>143</v>
      </c>
      <c r="AY95" s="22" t="s">
        <v>134</v>
      </c>
      <c r="AZ95" s="33" t="s">
        <v>143</v>
      </c>
      <c r="BA95" s="33" t="s">
        <v>143</v>
      </c>
      <c r="BB95" s="33" t="s">
        <v>143</v>
      </c>
      <c r="BC95" s="33" t="s">
        <v>143</v>
      </c>
      <c r="BD95" s="33" t="s">
        <v>143</v>
      </c>
      <c r="BE95" s="33" t="s">
        <v>143</v>
      </c>
      <c r="BF95" s="33" t="s">
        <v>143</v>
      </c>
      <c r="BG95" s="33" t="s">
        <v>143</v>
      </c>
      <c r="BH95" s="33" t="s">
        <v>143</v>
      </c>
      <c r="BI95" s="33" t="s">
        <v>143</v>
      </c>
      <c r="BJ95" s="33" t="s">
        <v>143</v>
      </c>
      <c r="BK95" s="33" t="s">
        <v>143</v>
      </c>
      <c r="BL95" s="33" t="s">
        <v>143</v>
      </c>
      <c r="BM95" s="33" t="s">
        <v>143</v>
      </c>
    </row>
    <row r="98" spans="2:17" ht="36" customHeight="1" x14ac:dyDescent="0.3">
      <c r="B98" s="12" t="s">
        <v>145</v>
      </c>
      <c r="C98" s="171"/>
    </row>
    <row r="99" spans="2:17" x14ac:dyDescent="0.3">
      <c r="B99" s="13" t="s">
        <v>146</v>
      </c>
      <c r="C99" s="172"/>
    </row>
    <row r="100" spans="2:17" ht="15" thickBot="1" x14ac:dyDescent="0.35">
      <c r="B100" s="14" t="s">
        <v>27</v>
      </c>
      <c r="C100" s="173"/>
      <c r="D100" s="15" t="s">
        <v>28</v>
      </c>
      <c r="E100" s="15" t="s">
        <v>29</v>
      </c>
      <c r="F100" s="15" t="s">
        <v>30</v>
      </c>
      <c r="G100" s="15" t="s">
        <v>31</v>
      </c>
      <c r="H100" s="15" t="s">
        <v>32</v>
      </c>
      <c r="I100" s="15" t="s">
        <v>33</v>
      </c>
      <c r="J100" s="15" t="s">
        <v>34</v>
      </c>
      <c r="K100" s="15" t="s">
        <v>35</v>
      </c>
      <c r="L100" s="15" t="s">
        <v>36</v>
      </c>
      <c r="M100" s="15" t="s">
        <v>37</v>
      </c>
      <c r="N100" s="15" t="s">
        <v>38</v>
      </c>
      <c r="O100" s="15" t="s">
        <v>39</v>
      </c>
      <c r="P100" s="15" t="s">
        <v>40</v>
      </c>
      <c r="Q100" s="15" t="s">
        <v>41</v>
      </c>
    </row>
    <row r="101" spans="2:17" ht="15" thickBot="1" x14ac:dyDescent="0.35">
      <c r="B101" s="22" t="s">
        <v>44</v>
      </c>
      <c r="C101" t="s">
        <v>44</v>
      </c>
      <c r="D101" s="18">
        <f>D5</f>
        <v>0</v>
      </c>
      <c r="E101" s="27">
        <v>0.1</v>
      </c>
      <c r="F101" s="18">
        <f t="shared" ref="F101:Q101" si="43">F5</f>
        <v>0</v>
      </c>
      <c r="G101" s="18">
        <f t="shared" si="43"/>
        <v>0</v>
      </c>
      <c r="H101" s="18">
        <f t="shared" si="43"/>
        <v>0</v>
      </c>
      <c r="I101" s="18">
        <f t="shared" si="43"/>
        <v>0</v>
      </c>
      <c r="J101" s="18">
        <f t="shared" si="43"/>
        <v>0</v>
      </c>
      <c r="K101" s="18">
        <f t="shared" si="43"/>
        <v>0</v>
      </c>
      <c r="L101" s="18">
        <f t="shared" si="43"/>
        <v>0</v>
      </c>
      <c r="M101" s="18">
        <f t="shared" si="43"/>
        <v>0</v>
      </c>
      <c r="N101" s="18">
        <f t="shared" si="43"/>
        <v>0</v>
      </c>
      <c r="O101" s="18">
        <f t="shared" si="43"/>
        <v>0</v>
      </c>
      <c r="P101" s="18">
        <f t="shared" si="43"/>
        <v>0</v>
      </c>
      <c r="Q101" s="18">
        <f t="shared" si="43"/>
        <v>0</v>
      </c>
    </row>
    <row r="102" spans="2:17" ht="15" thickBot="1" x14ac:dyDescent="0.35">
      <c r="B102" s="22" t="s">
        <v>47</v>
      </c>
      <c r="C102" t="s">
        <v>47</v>
      </c>
      <c r="D102" s="18">
        <f t="shared" ref="D102:Q102" si="44">D6</f>
        <v>0</v>
      </c>
      <c r="E102" s="19">
        <v>0</v>
      </c>
      <c r="F102" s="18">
        <f t="shared" si="44"/>
        <v>0</v>
      </c>
      <c r="G102" s="18">
        <f t="shared" si="44"/>
        <v>0</v>
      </c>
      <c r="H102" s="18">
        <f t="shared" si="44"/>
        <v>0</v>
      </c>
      <c r="I102" s="18">
        <f t="shared" si="44"/>
        <v>0</v>
      </c>
      <c r="J102" s="18">
        <f t="shared" si="44"/>
        <v>0</v>
      </c>
      <c r="K102" s="18">
        <f t="shared" si="44"/>
        <v>0</v>
      </c>
      <c r="L102" s="18">
        <f t="shared" si="44"/>
        <v>0</v>
      </c>
      <c r="M102" s="18">
        <f t="shared" si="44"/>
        <v>0</v>
      </c>
      <c r="N102" s="18">
        <f t="shared" si="44"/>
        <v>0</v>
      </c>
      <c r="O102" s="18">
        <f t="shared" si="44"/>
        <v>0</v>
      </c>
      <c r="P102" s="18">
        <f t="shared" si="44"/>
        <v>0</v>
      </c>
      <c r="Q102" s="18">
        <f t="shared" si="44"/>
        <v>0</v>
      </c>
    </row>
    <row r="103" spans="2:17" ht="15" thickBot="1" x14ac:dyDescent="0.35">
      <c r="B103" s="22" t="s">
        <v>50</v>
      </c>
      <c r="C103" t="s">
        <v>50</v>
      </c>
      <c r="D103" s="18">
        <f t="shared" ref="D103:Q103" si="45">D7</f>
        <v>0</v>
      </c>
      <c r="E103" s="18">
        <f t="shared" si="45"/>
        <v>0</v>
      </c>
      <c r="F103" s="18">
        <f t="shared" si="45"/>
        <v>0</v>
      </c>
      <c r="G103" s="18">
        <f t="shared" si="45"/>
        <v>0</v>
      </c>
      <c r="H103" s="18">
        <f t="shared" si="45"/>
        <v>0</v>
      </c>
      <c r="I103" s="18">
        <f t="shared" si="45"/>
        <v>0</v>
      </c>
      <c r="J103" s="18">
        <f t="shared" si="45"/>
        <v>0</v>
      </c>
      <c r="K103" s="18">
        <f t="shared" si="45"/>
        <v>0</v>
      </c>
      <c r="L103" s="18">
        <f t="shared" si="45"/>
        <v>0</v>
      </c>
      <c r="M103" s="18">
        <f t="shared" si="45"/>
        <v>0</v>
      </c>
      <c r="N103" s="18">
        <f t="shared" si="45"/>
        <v>0</v>
      </c>
      <c r="O103" s="18">
        <f t="shared" si="45"/>
        <v>0</v>
      </c>
      <c r="P103" s="18">
        <f t="shared" si="45"/>
        <v>0</v>
      </c>
      <c r="Q103" s="18">
        <f t="shared" si="45"/>
        <v>0</v>
      </c>
    </row>
    <row r="104" spans="2:17" ht="15" thickBot="1" x14ac:dyDescent="0.35">
      <c r="B104" s="22" t="s">
        <v>53</v>
      </c>
      <c r="C104" t="s">
        <v>53</v>
      </c>
      <c r="D104" s="18">
        <f t="shared" ref="D104:Q104" si="46">D8</f>
        <v>0</v>
      </c>
      <c r="E104" s="18">
        <f t="shared" si="46"/>
        <v>0</v>
      </c>
      <c r="F104" s="18">
        <f t="shared" si="46"/>
        <v>0</v>
      </c>
      <c r="G104" s="18">
        <f t="shared" si="46"/>
        <v>0</v>
      </c>
      <c r="H104" s="18">
        <f t="shared" si="46"/>
        <v>0</v>
      </c>
      <c r="I104" s="18">
        <f t="shared" si="46"/>
        <v>0</v>
      </c>
      <c r="J104" s="27">
        <v>0.6</v>
      </c>
      <c r="K104" s="18">
        <f t="shared" si="46"/>
        <v>0</v>
      </c>
      <c r="L104" s="18">
        <f t="shared" si="46"/>
        <v>0</v>
      </c>
      <c r="M104" s="18">
        <f t="shared" si="46"/>
        <v>0</v>
      </c>
      <c r="N104" s="18">
        <f t="shared" si="46"/>
        <v>0</v>
      </c>
      <c r="O104" s="18">
        <f t="shared" si="46"/>
        <v>0</v>
      </c>
      <c r="P104" s="18">
        <f t="shared" si="46"/>
        <v>0</v>
      </c>
      <c r="Q104" s="18">
        <f t="shared" si="46"/>
        <v>0</v>
      </c>
    </row>
    <row r="105" spans="2:17" ht="15" thickBot="1" x14ac:dyDescent="0.35">
      <c r="B105" s="22" t="s">
        <v>499</v>
      </c>
      <c r="C105" t="s">
        <v>499</v>
      </c>
      <c r="D105" s="18">
        <f t="shared" ref="D105:Q105" si="47">D9</f>
        <v>0</v>
      </c>
      <c r="E105" s="18">
        <f t="shared" si="47"/>
        <v>0</v>
      </c>
      <c r="F105" s="18">
        <f t="shared" si="47"/>
        <v>0</v>
      </c>
      <c r="G105" s="18">
        <f t="shared" si="47"/>
        <v>0</v>
      </c>
      <c r="H105" s="18">
        <f t="shared" si="47"/>
        <v>0</v>
      </c>
      <c r="I105" s="18">
        <f t="shared" si="47"/>
        <v>0</v>
      </c>
      <c r="J105" s="19">
        <v>0</v>
      </c>
      <c r="K105" s="18">
        <f t="shared" si="47"/>
        <v>0</v>
      </c>
      <c r="L105" s="18">
        <f t="shared" si="47"/>
        <v>0</v>
      </c>
      <c r="M105" s="18">
        <f t="shared" si="47"/>
        <v>0</v>
      </c>
      <c r="N105" s="18">
        <f t="shared" si="47"/>
        <v>0</v>
      </c>
      <c r="O105" s="18">
        <f t="shared" si="47"/>
        <v>0</v>
      </c>
      <c r="P105" s="18">
        <f t="shared" si="47"/>
        <v>0</v>
      </c>
      <c r="Q105" s="18">
        <f t="shared" si="47"/>
        <v>0</v>
      </c>
    </row>
    <row r="106" spans="2:17" ht="15" thickBot="1" x14ac:dyDescent="0.35">
      <c r="B106" s="22" t="s">
        <v>500</v>
      </c>
      <c r="C106" t="s">
        <v>500</v>
      </c>
      <c r="D106" s="18">
        <f t="shared" ref="D106:Q106" si="48">D10</f>
        <v>0</v>
      </c>
      <c r="E106" s="18">
        <f t="shared" si="48"/>
        <v>0</v>
      </c>
      <c r="F106" s="18">
        <f t="shared" si="48"/>
        <v>0</v>
      </c>
      <c r="G106" s="18">
        <f t="shared" si="48"/>
        <v>0</v>
      </c>
      <c r="H106" s="18">
        <f t="shared" si="48"/>
        <v>0</v>
      </c>
      <c r="I106" s="18">
        <f t="shared" si="48"/>
        <v>0</v>
      </c>
      <c r="J106" s="18">
        <f t="shared" si="48"/>
        <v>0</v>
      </c>
      <c r="K106" s="18">
        <f t="shared" si="48"/>
        <v>0</v>
      </c>
      <c r="L106" s="18">
        <f t="shared" si="48"/>
        <v>0</v>
      </c>
      <c r="M106" s="18">
        <f t="shared" si="48"/>
        <v>0</v>
      </c>
      <c r="N106" s="18">
        <f t="shared" si="48"/>
        <v>0</v>
      </c>
      <c r="O106" s="27">
        <v>1.5</v>
      </c>
      <c r="P106" s="18">
        <f t="shared" si="48"/>
        <v>0</v>
      </c>
      <c r="Q106" s="18">
        <f t="shared" si="48"/>
        <v>0</v>
      </c>
    </row>
    <row r="107" spans="2:17" ht="15" thickBot="1" x14ac:dyDescent="0.35">
      <c r="B107" s="22" t="s">
        <v>501</v>
      </c>
      <c r="C107" t="s">
        <v>501</v>
      </c>
      <c r="D107" s="18">
        <f t="shared" ref="D107:Q107" si="49">D11</f>
        <v>0</v>
      </c>
      <c r="E107" s="18">
        <f t="shared" si="49"/>
        <v>0</v>
      </c>
      <c r="F107" s="18">
        <f t="shared" si="49"/>
        <v>0</v>
      </c>
      <c r="G107" s="18">
        <f t="shared" si="49"/>
        <v>0</v>
      </c>
      <c r="H107" s="18">
        <f t="shared" si="49"/>
        <v>0</v>
      </c>
      <c r="I107" s="18">
        <f t="shared" si="49"/>
        <v>0</v>
      </c>
      <c r="J107" s="18">
        <f t="shared" si="49"/>
        <v>0</v>
      </c>
      <c r="K107" s="18">
        <f t="shared" si="49"/>
        <v>0</v>
      </c>
      <c r="L107" s="18">
        <f t="shared" si="49"/>
        <v>0</v>
      </c>
      <c r="M107" s="18">
        <f t="shared" si="49"/>
        <v>0</v>
      </c>
      <c r="N107" s="18">
        <f t="shared" si="49"/>
        <v>0</v>
      </c>
      <c r="O107" s="19">
        <v>0</v>
      </c>
      <c r="P107" s="18">
        <f t="shared" si="49"/>
        <v>0</v>
      </c>
      <c r="Q107" s="18">
        <f t="shared" si="49"/>
        <v>0</v>
      </c>
    </row>
    <row r="108" spans="2:17" ht="15" thickBot="1" x14ac:dyDescent="0.35">
      <c r="B108" s="22" t="s">
        <v>65</v>
      </c>
      <c r="C108" t="s">
        <v>65</v>
      </c>
      <c r="D108" s="18">
        <f t="shared" ref="D108:Q108" si="50">D12</f>
        <v>0</v>
      </c>
      <c r="E108" s="18">
        <f t="shared" si="50"/>
        <v>0</v>
      </c>
      <c r="F108" s="18">
        <f t="shared" si="50"/>
        <v>0</v>
      </c>
      <c r="G108" s="18">
        <f t="shared" si="50"/>
        <v>0</v>
      </c>
      <c r="H108" s="18">
        <f t="shared" si="50"/>
        <v>0</v>
      </c>
      <c r="I108" s="18">
        <f t="shared" si="50"/>
        <v>0</v>
      </c>
      <c r="J108" s="18">
        <f t="shared" si="50"/>
        <v>0</v>
      </c>
      <c r="K108" s="18">
        <f t="shared" si="50"/>
        <v>0</v>
      </c>
      <c r="L108" s="18">
        <f t="shared" si="50"/>
        <v>0</v>
      </c>
      <c r="M108" s="18">
        <f t="shared" si="50"/>
        <v>0</v>
      </c>
      <c r="N108" s="18">
        <f t="shared" si="50"/>
        <v>0</v>
      </c>
      <c r="O108" s="18">
        <f t="shared" si="50"/>
        <v>0</v>
      </c>
      <c r="P108" s="27">
        <v>4</v>
      </c>
      <c r="Q108" s="18">
        <f t="shared" si="50"/>
        <v>0</v>
      </c>
    </row>
    <row r="109" spans="2:17" ht="15" thickBot="1" x14ac:dyDescent="0.35">
      <c r="B109" s="22" t="s">
        <v>498</v>
      </c>
      <c r="C109" t="s">
        <v>498</v>
      </c>
      <c r="D109" s="18">
        <f t="shared" ref="D109:Q109" si="51">D13</f>
        <v>0</v>
      </c>
      <c r="E109" s="18">
        <f t="shared" si="51"/>
        <v>0</v>
      </c>
      <c r="F109" s="18">
        <f t="shared" si="51"/>
        <v>0</v>
      </c>
      <c r="G109" s="18">
        <f t="shared" si="51"/>
        <v>0</v>
      </c>
      <c r="H109" s="18">
        <f t="shared" si="51"/>
        <v>0</v>
      </c>
      <c r="I109" s="18">
        <f t="shared" si="51"/>
        <v>0</v>
      </c>
      <c r="J109" s="18">
        <f t="shared" si="51"/>
        <v>0</v>
      </c>
      <c r="K109" s="18">
        <f t="shared" si="51"/>
        <v>0</v>
      </c>
      <c r="L109" s="18">
        <f t="shared" si="51"/>
        <v>0</v>
      </c>
      <c r="M109" s="18">
        <f t="shared" si="51"/>
        <v>0</v>
      </c>
      <c r="N109" s="18">
        <f t="shared" si="51"/>
        <v>0</v>
      </c>
      <c r="O109" s="18">
        <f t="shared" si="51"/>
        <v>0</v>
      </c>
      <c r="P109" s="18">
        <f t="shared" ref="D109:Q110" si="52">P13</f>
        <v>0</v>
      </c>
      <c r="Q109" s="18">
        <f t="shared" si="51"/>
        <v>0</v>
      </c>
    </row>
    <row r="110" spans="2:17" ht="15" thickBot="1" x14ac:dyDescent="0.35">
      <c r="B110" s="22" t="s">
        <v>502</v>
      </c>
      <c r="C110" t="s">
        <v>502</v>
      </c>
      <c r="D110" s="18">
        <f t="shared" si="52"/>
        <v>0</v>
      </c>
      <c r="E110" s="27">
        <v>0.1</v>
      </c>
      <c r="F110" s="18">
        <f t="shared" si="52"/>
        <v>0</v>
      </c>
      <c r="G110" s="18">
        <f t="shared" si="52"/>
        <v>0</v>
      </c>
      <c r="H110" s="18">
        <f t="shared" si="52"/>
        <v>0</v>
      </c>
      <c r="I110" s="18">
        <f t="shared" si="52"/>
        <v>0</v>
      </c>
      <c r="J110" s="18">
        <f t="shared" si="52"/>
        <v>0</v>
      </c>
      <c r="K110" s="18">
        <f t="shared" si="52"/>
        <v>0</v>
      </c>
      <c r="L110" s="18">
        <f t="shared" si="52"/>
        <v>0</v>
      </c>
      <c r="M110" s="18">
        <f t="shared" si="52"/>
        <v>0</v>
      </c>
      <c r="N110" s="18">
        <f t="shared" si="52"/>
        <v>0</v>
      </c>
      <c r="O110" s="18">
        <f t="shared" si="52"/>
        <v>0</v>
      </c>
      <c r="P110" s="18">
        <f t="shared" si="52"/>
        <v>0</v>
      </c>
      <c r="Q110" s="18">
        <f t="shared" si="52"/>
        <v>0</v>
      </c>
    </row>
    <row r="111" spans="2:17" ht="15" thickBot="1" x14ac:dyDescent="0.35">
      <c r="B111" s="22" t="s">
        <v>71</v>
      </c>
      <c r="C111" t="s">
        <v>71</v>
      </c>
      <c r="D111" s="18">
        <f t="shared" ref="D111:Q111" si="53">D15</f>
        <v>0</v>
      </c>
      <c r="E111" s="19">
        <v>0</v>
      </c>
      <c r="F111" s="18">
        <f t="shared" si="53"/>
        <v>0</v>
      </c>
      <c r="G111" s="18">
        <f t="shared" si="53"/>
        <v>0</v>
      </c>
      <c r="H111" s="18">
        <f t="shared" si="53"/>
        <v>0</v>
      </c>
      <c r="I111" s="18">
        <f t="shared" si="53"/>
        <v>0</v>
      </c>
      <c r="J111" s="18">
        <f t="shared" si="53"/>
        <v>0</v>
      </c>
      <c r="K111" s="18">
        <f t="shared" si="53"/>
        <v>0</v>
      </c>
      <c r="L111" s="18">
        <f t="shared" si="53"/>
        <v>0</v>
      </c>
      <c r="M111" s="18">
        <f t="shared" si="53"/>
        <v>0</v>
      </c>
      <c r="N111" s="18">
        <f t="shared" si="53"/>
        <v>0</v>
      </c>
      <c r="O111" s="18">
        <f t="shared" si="53"/>
        <v>0</v>
      </c>
      <c r="P111" s="18">
        <f t="shared" si="53"/>
        <v>0</v>
      </c>
      <c r="Q111" s="18">
        <f t="shared" si="53"/>
        <v>0</v>
      </c>
    </row>
    <row r="112" spans="2:17" ht="15" thickBot="1" x14ac:dyDescent="0.35">
      <c r="B112" s="22" t="s">
        <v>503</v>
      </c>
      <c r="C112" t="s">
        <v>503</v>
      </c>
      <c r="D112" s="18">
        <f t="shared" ref="D112:Q112" si="54">D16</f>
        <v>0</v>
      </c>
      <c r="E112" s="18">
        <f t="shared" si="54"/>
        <v>0</v>
      </c>
      <c r="F112" s="18">
        <f t="shared" si="54"/>
        <v>0</v>
      </c>
      <c r="G112" s="18">
        <f t="shared" si="54"/>
        <v>0</v>
      </c>
      <c r="H112" s="18">
        <f t="shared" si="54"/>
        <v>0</v>
      </c>
      <c r="I112" s="18">
        <f t="shared" si="54"/>
        <v>0</v>
      </c>
      <c r="J112" s="18">
        <f t="shared" si="54"/>
        <v>0</v>
      </c>
      <c r="K112" s="18">
        <f t="shared" si="54"/>
        <v>0</v>
      </c>
      <c r="L112" s="18">
        <f t="shared" si="54"/>
        <v>0</v>
      </c>
      <c r="M112" s="18">
        <f t="shared" si="54"/>
        <v>0</v>
      </c>
      <c r="N112" s="18">
        <f t="shared" si="54"/>
        <v>0</v>
      </c>
      <c r="O112" s="18">
        <f t="shared" si="54"/>
        <v>0</v>
      </c>
      <c r="P112" s="18">
        <f t="shared" si="54"/>
        <v>0</v>
      </c>
      <c r="Q112" s="18">
        <f t="shared" si="54"/>
        <v>0</v>
      </c>
    </row>
    <row r="113" spans="2:17" ht="15" thickBot="1" x14ac:dyDescent="0.35">
      <c r="B113" s="22" t="s">
        <v>75</v>
      </c>
      <c r="C113" t="s">
        <v>75</v>
      </c>
      <c r="D113" s="18">
        <f t="shared" ref="D113:Q113" si="55">D17</f>
        <v>0</v>
      </c>
      <c r="E113" s="18">
        <f t="shared" si="55"/>
        <v>0</v>
      </c>
      <c r="F113" s="18">
        <f t="shared" si="55"/>
        <v>0</v>
      </c>
      <c r="G113" s="18">
        <f t="shared" si="55"/>
        <v>0</v>
      </c>
      <c r="H113" s="18">
        <f t="shared" si="55"/>
        <v>0</v>
      </c>
      <c r="I113" s="18">
        <f t="shared" si="55"/>
        <v>0</v>
      </c>
      <c r="J113" s="27">
        <v>0.6</v>
      </c>
      <c r="K113" s="18">
        <f t="shared" si="55"/>
        <v>0</v>
      </c>
      <c r="L113" s="18">
        <f t="shared" si="55"/>
        <v>0</v>
      </c>
      <c r="M113" s="18">
        <f t="shared" si="55"/>
        <v>0</v>
      </c>
      <c r="N113" s="18">
        <f t="shared" si="55"/>
        <v>0</v>
      </c>
      <c r="O113" s="18">
        <f t="shared" si="55"/>
        <v>0</v>
      </c>
      <c r="P113" s="18">
        <f t="shared" si="55"/>
        <v>0</v>
      </c>
      <c r="Q113" s="18">
        <f t="shared" si="55"/>
        <v>0</v>
      </c>
    </row>
    <row r="114" spans="2:17" ht="15" thickBot="1" x14ac:dyDescent="0.35">
      <c r="B114" s="22" t="s">
        <v>77</v>
      </c>
      <c r="C114" t="s">
        <v>77</v>
      </c>
      <c r="D114" s="18">
        <f t="shared" ref="D114:Q114" si="56">D18</f>
        <v>0</v>
      </c>
      <c r="E114" s="18">
        <f t="shared" si="56"/>
        <v>0</v>
      </c>
      <c r="F114" s="18">
        <f t="shared" si="56"/>
        <v>0</v>
      </c>
      <c r="G114" s="18">
        <f t="shared" si="56"/>
        <v>0</v>
      </c>
      <c r="H114" s="18">
        <f t="shared" si="56"/>
        <v>0</v>
      </c>
      <c r="I114" s="18">
        <f t="shared" si="56"/>
        <v>0</v>
      </c>
      <c r="J114" s="19">
        <v>0</v>
      </c>
      <c r="K114" s="18">
        <f t="shared" si="56"/>
        <v>0</v>
      </c>
      <c r="L114" s="18">
        <f t="shared" si="56"/>
        <v>0</v>
      </c>
      <c r="M114" s="18">
        <f t="shared" si="56"/>
        <v>0</v>
      </c>
      <c r="N114" s="18">
        <f t="shared" si="56"/>
        <v>0</v>
      </c>
      <c r="O114" s="18">
        <f t="shared" si="56"/>
        <v>0</v>
      </c>
      <c r="P114" s="18">
        <f t="shared" si="56"/>
        <v>0</v>
      </c>
      <c r="Q114" s="18">
        <f t="shared" si="56"/>
        <v>0</v>
      </c>
    </row>
    <row r="115" spans="2:17" ht="15" thickBot="1" x14ac:dyDescent="0.35">
      <c r="B115" s="22" t="s">
        <v>81</v>
      </c>
      <c r="C115" t="s">
        <v>81</v>
      </c>
      <c r="D115" s="18">
        <f t="shared" ref="D115:Q115" si="57">D19</f>
        <v>0</v>
      </c>
      <c r="E115" s="18">
        <f t="shared" si="57"/>
        <v>0</v>
      </c>
      <c r="F115" s="18">
        <f t="shared" si="57"/>
        <v>0</v>
      </c>
      <c r="G115" s="18">
        <f t="shared" si="57"/>
        <v>0</v>
      </c>
      <c r="H115" s="18">
        <f t="shared" si="57"/>
        <v>0</v>
      </c>
      <c r="I115" s="18">
        <f t="shared" si="57"/>
        <v>0</v>
      </c>
      <c r="J115" s="18">
        <f t="shared" si="57"/>
        <v>0</v>
      </c>
      <c r="K115" s="18">
        <f t="shared" si="57"/>
        <v>0</v>
      </c>
      <c r="L115" s="18">
        <f t="shared" si="57"/>
        <v>0</v>
      </c>
      <c r="M115" s="18">
        <f t="shared" si="57"/>
        <v>0</v>
      </c>
      <c r="N115" s="18">
        <f t="shared" si="57"/>
        <v>0</v>
      </c>
      <c r="O115" s="18">
        <f t="shared" si="57"/>
        <v>0</v>
      </c>
      <c r="P115" s="18">
        <f t="shared" si="57"/>
        <v>0</v>
      </c>
      <c r="Q115" s="18">
        <f t="shared" si="57"/>
        <v>0</v>
      </c>
    </row>
    <row r="116" spans="2:17" ht="15" thickBot="1" x14ac:dyDescent="0.35">
      <c r="B116" s="22" t="s">
        <v>504</v>
      </c>
      <c r="C116" t="s">
        <v>504</v>
      </c>
      <c r="D116" s="18">
        <f t="shared" ref="D116:Q116" si="58">D20</f>
        <v>0</v>
      </c>
      <c r="E116" s="18">
        <f t="shared" si="58"/>
        <v>0</v>
      </c>
      <c r="F116" s="18">
        <f t="shared" si="58"/>
        <v>0</v>
      </c>
      <c r="G116" s="18">
        <f t="shared" si="58"/>
        <v>0</v>
      </c>
      <c r="H116" s="18">
        <f t="shared" si="58"/>
        <v>0</v>
      </c>
      <c r="I116" s="18">
        <f t="shared" si="58"/>
        <v>0</v>
      </c>
      <c r="J116" s="18">
        <f t="shared" si="58"/>
        <v>0</v>
      </c>
      <c r="K116" s="18">
        <f t="shared" si="58"/>
        <v>0</v>
      </c>
      <c r="L116" s="18">
        <f t="shared" si="58"/>
        <v>0</v>
      </c>
      <c r="M116" s="18">
        <f t="shared" si="58"/>
        <v>0</v>
      </c>
      <c r="N116" s="18">
        <f t="shared" si="58"/>
        <v>0</v>
      </c>
      <c r="O116" s="18">
        <f>O115</f>
        <v>0</v>
      </c>
      <c r="P116" s="18">
        <f t="shared" si="58"/>
        <v>0</v>
      </c>
      <c r="Q116" s="18">
        <f t="shared" si="58"/>
        <v>0</v>
      </c>
    </row>
    <row r="117" spans="2:17" ht="15" thickBot="1" x14ac:dyDescent="0.35">
      <c r="B117" s="22" t="s">
        <v>89</v>
      </c>
      <c r="C117" t="s">
        <v>89</v>
      </c>
      <c r="D117" s="18">
        <f t="shared" ref="D117:Q117" si="59">D21</f>
        <v>0</v>
      </c>
      <c r="E117" s="18">
        <f t="shared" si="59"/>
        <v>0</v>
      </c>
      <c r="F117" s="18">
        <f t="shared" si="59"/>
        <v>0</v>
      </c>
      <c r="G117" s="18">
        <f t="shared" si="59"/>
        <v>0</v>
      </c>
      <c r="H117" s="18">
        <f t="shared" si="59"/>
        <v>0</v>
      </c>
      <c r="I117" s="18">
        <f t="shared" si="59"/>
        <v>0</v>
      </c>
      <c r="J117" s="18">
        <f t="shared" si="59"/>
        <v>0</v>
      </c>
      <c r="K117" s="18">
        <f t="shared" si="59"/>
        <v>0</v>
      </c>
      <c r="L117" s="18">
        <f t="shared" si="59"/>
        <v>0</v>
      </c>
      <c r="M117" s="18">
        <f t="shared" si="59"/>
        <v>0</v>
      </c>
      <c r="N117" s="18">
        <f t="shared" si="59"/>
        <v>0</v>
      </c>
      <c r="O117" s="27">
        <v>1.5</v>
      </c>
      <c r="P117" s="18">
        <f>P116</f>
        <v>0</v>
      </c>
      <c r="Q117" s="18">
        <f t="shared" si="59"/>
        <v>0</v>
      </c>
    </row>
    <row r="118" spans="2:17" ht="15" thickBot="1" x14ac:dyDescent="0.35">
      <c r="B118" s="22" t="s">
        <v>505</v>
      </c>
      <c r="C118" t="s">
        <v>505</v>
      </c>
      <c r="D118" s="18">
        <f t="shared" ref="D118:Q119" si="60">D22</f>
        <v>0</v>
      </c>
      <c r="E118" s="18">
        <f t="shared" si="60"/>
        <v>0</v>
      </c>
      <c r="F118" s="18">
        <f t="shared" si="60"/>
        <v>0</v>
      </c>
      <c r="G118" s="18">
        <f t="shared" si="60"/>
        <v>0</v>
      </c>
      <c r="H118" s="18">
        <f t="shared" si="60"/>
        <v>0</v>
      </c>
      <c r="I118" s="18">
        <f t="shared" si="60"/>
        <v>0</v>
      </c>
      <c r="J118" s="18">
        <f t="shared" si="60"/>
        <v>0</v>
      </c>
      <c r="K118" s="18">
        <f t="shared" si="60"/>
        <v>0</v>
      </c>
      <c r="L118" s="18">
        <f t="shared" si="60"/>
        <v>0</v>
      </c>
      <c r="M118" s="18">
        <f t="shared" si="60"/>
        <v>0</v>
      </c>
      <c r="N118" s="18">
        <f t="shared" si="60"/>
        <v>0</v>
      </c>
      <c r="O118" s="18">
        <f t="shared" si="60"/>
        <v>0</v>
      </c>
      <c r="P118" s="27">
        <v>4</v>
      </c>
      <c r="Q118" s="18">
        <f t="shared" si="60"/>
        <v>0</v>
      </c>
    </row>
    <row r="119" spans="2:17" ht="15" thickBot="1" x14ac:dyDescent="0.35">
      <c r="B119" s="22" t="s">
        <v>506</v>
      </c>
      <c r="C119" t="s">
        <v>506</v>
      </c>
      <c r="D119" s="18">
        <f t="shared" ref="D119:Q119" si="61">D23</f>
        <v>0</v>
      </c>
      <c r="E119" s="18">
        <f t="shared" si="61"/>
        <v>0</v>
      </c>
      <c r="F119" s="18">
        <f t="shared" si="61"/>
        <v>0</v>
      </c>
      <c r="G119" s="18">
        <f t="shared" si="61"/>
        <v>0</v>
      </c>
      <c r="H119" s="18">
        <f t="shared" si="61"/>
        <v>0</v>
      </c>
      <c r="I119" s="18">
        <f t="shared" si="61"/>
        <v>0</v>
      </c>
      <c r="J119" s="18">
        <f t="shared" si="61"/>
        <v>0</v>
      </c>
      <c r="K119" s="18">
        <f t="shared" si="61"/>
        <v>0</v>
      </c>
      <c r="L119" s="18">
        <f t="shared" si="61"/>
        <v>0</v>
      </c>
      <c r="M119" s="18">
        <f t="shared" si="61"/>
        <v>0</v>
      </c>
      <c r="N119" s="18">
        <f t="shared" si="61"/>
        <v>0</v>
      </c>
      <c r="O119" s="18">
        <f t="shared" si="61"/>
        <v>0</v>
      </c>
      <c r="P119" s="18">
        <f t="shared" si="60"/>
        <v>0</v>
      </c>
      <c r="Q119" s="18">
        <f t="shared" si="61"/>
        <v>0</v>
      </c>
    </row>
    <row r="120" spans="2:17" ht="15" thickBot="1" x14ac:dyDescent="0.35">
      <c r="B120" s="22" t="s">
        <v>93</v>
      </c>
      <c r="C120" t="s">
        <v>93</v>
      </c>
      <c r="D120" s="18">
        <f t="shared" ref="D120:Q120" si="62">D24</f>
        <v>0</v>
      </c>
      <c r="E120" s="27">
        <v>0.1</v>
      </c>
      <c r="F120" s="18">
        <f t="shared" si="62"/>
        <v>0</v>
      </c>
      <c r="G120" s="18">
        <f t="shared" si="62"/>
        <v>0</v>
      </c>
      <c r="H120" s="18">
        <f t="shared" si="62"/>
        <v>0</v>
      </c>
      <c r="I120" s="18">
        <f t="shared" si="62"/>
        <v>0</v>
      </c>
      <c r="J120" s="18">
        <f t="shared" si="62"/>
        <v>0</v>
      </c>
      <c r="K120" s="18">
        <f t="shared" si="62"/>
        <v>0</v>
      </c>
      <c r="L120" s="18">
        <f t="shared" si="62"/>
        <v>0</v>
      </c>
      <c r="M120" s="18">
        <f t="shared" si="62"/>
        <v>0</v>
      </c>
      <c r="N120" s="18">
        <f t="shared" si="62"/>
        <v>0</v>
      </c>
      <c r="O120" s="18">
        <f t="shared" si="62"/>
        <v>0</v>
      </c>
      <c r="P120" s="18">
        <f t="shared" si="62"/>
        <v>0</v>
      </c>
      <c r="Q120" s="18">
        <f t="shared" si="62"/>
        <v>0</v>
      </c>
    </row>
    <row r="121" spans="2:17" ht="15" thickBot="1" x14ac:dyDescent="0.35">
      <c r="B121" s="22" t="s">
        <v>95</v>
      </c>
      <c r="C121" t="s">
        <v>95</v>
      </c>
      <c r="D121" s="18">
        <f t="shared" ref="D121:Q121" si="63">D25</f>
        <v>0</v>
      </c>
      <c r="E121" s="19">
        <v>0</v>
      </c>
      <c r="F121" s="18">
        <f t="shared" si="63"/>
        <v>0</v>
      </c>
      <c r="G121" s="18">
        <f t="shared" si="63"/>
        <v>0</v>
      </c>
      <c r="H121" s="18">
        <f t="shared" si="63"/>
        <v>0</v>
      </c>
      <c r="I121" s="18">
        <f t="shared" si="63"/>
        <v>0</v>
      </c>
      <c r="J121" s="18">
        <f t="shared" si="63"/>
        <v>0</v>
      </c>
      <c r="K121" s="18">
        <f t="shared" si="63"/>
        <v>0</v>
      </c>
      <c r="L121" s="18">
        <f t="shared" si="63"/>
        <v>0</v>
      </c>
      <c r="M121" s="18">
        <f t="shared" si="63"/>
        <v>0</v>
      </c>
      <c r="N121" s="18">
        <f t="shared" si="63"/>
        <v>0</v>
      </c>
      <c r="O121" s="18">
        <f t="shared" si="63"/>
        <v>0</v>
      </c>
      <c r="P121" s="18">
        <f t="shared" si="63"/>
        <v>0</v>
      </c>
      <c r="Q121" s="18">
        <f t="shared" si="63"/>
        <v>0</v>
      </c>
    </row>
    <row r="122" spans="2:17" ht="15" thickBot="1" x14ac:dyDescent="0.35">
      <c r="B122" s="22" t="s">
        <v>97</v>
      </c>
      <c r="C122" t="s">
        <v>97</v>
      </c>
      <c r="D122" s="18">
        <f t="shared" ref="D122:Q122" si="64">D26</f>
        <v>0</v>
      </c>
      <c r="E122" s="18">
        <f t="shared" si="64"/>
        <v>0</v>
      </c>
      <c r="F122" s="18">
        <f t="shared" si="64"/>
        <v>0</v>
      </c>
      <c r="G122" s="18">
        <f t="shared" si="64"/>
        <v>0</v>
      </c>
      <c r="H122" s="18">
        <f t="shared" si="64"/>
        <v>0</v>
      </c>
      <c r="I122" s="18">
        <f t="shared" si="64"/>
        <v>0</v>
      </c>
      <c r="J122" s="18">
        <f t="shared" si="64"/>
        <v>0</v>
      </c>
      <c r="K122" s="18">
        <f t="shared" si="64"/>
        <v>0</v>
      </c>
      <c r="L122" s="18">
        <f t="shared" si="64"/>
        <v>0</v>
      </c>
      <c r="M122" s="18">
        <f t="shared" si="64"/>
        <v>0</v>
      </c>
      <c r="N122" s="18">
        <f t="shared" si="64"/>
        <v>0</v>
      </c>
      <c r="O122" s="18">
        <f t="shared" si="64"/>
        <v>0</v>
      </c>
      <c r="P122" s="18">
        <f t="shared" si="64"/>
        <v>0</v>
      </c>
      <c r="Q122" s="18">
        <f t="shared" si="64"/>
        <v>0</v>
      </c>
    </row>
    <row r="123" spans="2:17" ht="15" thickBot="1" x14ac:dyDescent="0.35">
      <c r="B123" s="22" t="s">
        <v>99</v>
      </c>
      <c r="C123" t="s">
        <v>99</v>
      </c>
      <c r="D123" s="18">
        <f t="shared" ref="D123:Q123" si="65">D27</f>
        <v>0</v>
      </c>
      <c r="E123" s="18">
        <f t="shared" si="65"/>
        <v>0</v>
      </c>
      <c r="F123" s="18">
        <f t="shared" si="65"/>
        <v>0</v>
      </c>
      <c r="G123" s="18">
        <f t="shared" si="65"/>
        <v>0</v>
      </c>
      <c r="H123" s="18">
        <f t="shared" si="65"/>
        <v>0</v>
      </c>
      <c r="I123" s="18">
        <f t="shared" si="65"/>
        <v>0</v>
      </c>
      <c r="J123" s="18">
        <f t="shared" si="65"/>
        <v>0</v>
      </c>
      <c r="K123" s="18">
        <f t="shared" si="65"/>
        <v>0</v>
      </c>
      <c r="L123" s="18">
        <f t="shared" si="65"/>
        <v>0</v>
      </c>
      <c r="M123" s="18">
        <f t="shared" si="65"/>
        <v>0</v>
      </c>
      <c r="N123" s="18">
        <f t="shared" si="65"/>
        <v>0</v>
      </c>
      <c r="O123" s="18">
        <f t="shared" si="65"/>
        <v>0</v>
      </c>
      <c r="P123" s="18">
        <f t="shared" si="65"/>
        <v>0</v>
      </c>
      <c r="Q123" s="18">
        <f t="shared" si="65"/>
        <v>0</v>
      </c>
    </row>
    <row r="124" spans="2:17" ht="15" thickBot="1" x14ac:dyDescent="0.35">
      <c r="B124" s="22" t="s">
        <v>101</v>
      </c>
      <c r="C124" t="s">
        <v>101</v>
      </c>
      <c r="D124" s="18">
        <f t="shared" ref="D124:Q124" si="66">D28</f>
        <v>0</v>
      </c>
      <c r="E124" s="18">
        <f t="shared" si="66"/>
        <v>0</v>
      </c>
      <c r="F124" s="18">
        <f t="shared" si="66"/>
        <v>0</v>
      </c>
      <c r="G124" s="18">
        <f t="shared" si="66"/>
        <v>0</v>
      </c>
      <c r="H124" s="18">
        <f t="shared" si="66"/>
        <v>0</v>
      </c>
      <c r="I124" s="18">
        <f t="shared" si="66"/>
        <v>0</v>
      </c>
      <c r="J124" s="18">
        <f t="shared" si="66"/>
        <v>0</v>
      </c>
      <c r="K124" s="18">
        <f t="shared" si="66"/>
        <v>0</v>
      </c>
      <c r="L124" s="18">
        <f t="shared" si="66"/>
        <v>0</v>
      </c>
      <c r="M124" s="18">
        <f t="shared" si="66"/>
        <v>0</v>
      </c>
      <c r="N124" s="18">
        <f t="shared" si="66"/>
        <v>0</v>
      </c>
      <c r="O124" s="18">
        <f t="shared" si="66"/>
        <v>0</v>
      </c>
      <c r="P124" s="18">
        <f t="shared" si="66"/>
        <v>0</v>
      </c>
      <c r="Q124" s="18">
        <f t="shared" si="66"/>
        <v>0</v>
      </c>
    </row>
    <row r="125" spans="2:17" ht="15" thickBot="1" x14ac:dyDescent="0.35">
      <c r="B125" s="22" t="s">
        <v>103</v>
      </c>
      <c r="C125" t="s">
        <v>103</v>
      </c>
      <c r="D125" s="18">
        <f t="shared" ref="D125:Q125" si="67">D29</f>
        <v>0</v>
      </c>
      <c r="E125" s="18">
        <f t="shared" si="67"/>
        <v>0</v>
      </c>
      <c r="F125" s="18">
        <f t="shared" si="67"/>
        <v>0</v>
      </c>
      <c r="G125" s="18">
        <f t="shared" si="67"/>
        <v>0</v>
      </c>
      <c r="H125" s="18">
        <f t="shared" si="67"/>
        <v>0</v>
      </c>
      <c r="I125" s="18">
        <f t="shared" si="67"/>
        <v>0</v>
      </c>
      <c r="J125" s="27">
        <v>0.6</v>
      </c>
      <c r="K125" s="18">
        <f t="shared" si="67"/>
        <v>0</v>
      </c>
      <c r="L125" s="18">
        <f t="shared" si="67"/>
        <v>0</v>
      </c>
      <c r="M125" s="18">
        <f t="shared" si="67"/>
        <v>0</v>
      </c>
      <c r="N125" s="18">
        <f t="shared" si="67"/>
        <v>0</v>
      </c>
      <c r="O125" s="18">
        <f t="shared" si="67"/>
        <v>0</v>
      </c>
      <c r="P125" s="18">
        <f t="shared" si="67"/>
        <v>0</v>
      </c>
      <c r="Q125" s="18">
        <f t="shared" si="67"/>
        <v>0</v>
      </c>
    </row>
    <row r="126" spans="2:17" ht="15" thickBot="1" x14ac:dyDescent="0.35">
      <c r="B126" s="22" t="s">
        <v>105</v>
      </c>
      <c r="C126" t="s">
        <v>105</v>
      </c>
      <c r="D126" s="18">
        <f t="shared" ref="D126:Q126" si="68">D30</f>
        <v>0</v>
      </c>
      <c r="E126" s="18">
        <f t="shared" si="68"/>
        <v>0</v>
      </c>
      <c r="F126" s="18">
        <f t="shared" si="68"/>
        <v>0</v>
      </c>
      <c r="G126" s="18">
        <f t="shared" si="68"/>
        <v>0</v>
      </c>
      <c r="H126" s="18">
        <f t="shared" si="68"/>
        <v>0</v>
      </c>
      <c r="I126" s="18">
        <f t="shared" si="68"/>
        <v>0</v>
      </c>
      <c r="J126" s="19">
        <v>0</v>
      </c>
      <c r="K126" s="18">
        <f t="shared" si="68"/>
        <v>0</v>
      </c>
      <c r="L126" s="18">
        <f t="shared" si="68"/>
        <v>0</v>
      </c>
      <c r="M126" s="18">
        <f t="shared" si="68"/>
        <v>0</v>
      </c>
      <c r="N126" s="18">
        <f t="shared" si="68"/>
        <v>0</v>
      </c>
      <c r="O126" s="18">
        <f t="shared" si="68"/>
        <v>0</v>
      </c>
      <c r="P126" s="18">
        <f t="shared" si="68"/>
        <v>0</v>
      </c>
      <c r="Q126" s="18">
        <f t="shared" si="68"/>
        <v>0</v>
      </c>
    </row>
    <row r="127" spans="2:17" ht="15" thickBot="1" x14ac:dyDescent="0.35">
      <c r="B127" s="22" t="s">
        <v>107</v>
      </c>
      <c r="C127" t="s">
        <v>107</v>
      </c>
      <c r="D127" s="18">
        <f t="shared" ref="D127:Q127" si="69">D31</f>
        <v>0</v>
      </c>
      <c r="E127" s="18">
        <f t="shared" si="69"/>
        <v>0</v>
      </c>
      <c r="F127" s="18">
        <f t="shared" si="69"/>
        <v>0</v>
      </c>
      <c r="G127" s="18">
        <f t="shared" si="69"/>
        <v>0</v>
      </c>
      <c r="H127" s="18">
        <f t="shared" si="69"/>
        <v>0</v>
      </c>
      <c r="I127" s="18">
        <f t="shared" si="69"/>
        <v>0</v>
      </c>
      <c r="J127" s="18">
        <f t="shared" si="69"/>
        <v>0</v>
      </c>
      <c r="K127" s="18">
        <f t="shared" si="69"/>
        <v>0</v>
      </c>
      <c r="L127" s="18">
        <f t="shared" si="69"/>
        <v>0</v>
      </c>
      <c r="M127" s="18">
        <f t="shared" si="69"/>
        <v>0</v>
      </c>
      <c r="N127" s="18">
        <f t="shared" si="69"/>
        <v>0</v>
      </c>
      <c r="O127" s="18">
        <f t="shared" si="69"/>
        <v>0</v>
      </c>
      <c r="P127" s="18">
        <f t="shared" si="69"/>
        <v>0</v>
      </c>
      <c r="Q127" s="18">
        <f t="shared" si="69"/>
        <v>0</v>
      </c>
    </row>
    <row r="128" spans="2:17" ht="15" thickBot="1" x14ac:dyDescent="0.35">
      <c r="B128" s="22" t="s">
        <v>109</v>
      </c>
      <c r="C128" t="s">
        <v>109</v>
      </c>
      <c r="D128" s="18">
        <f t="shared" ref="D128:Q128" si="70">D32</f>
        <v>0</v>
      </c>
      <c r="E128" s="18">
        <f t="shared" si="70"/>
        <v>0</v>
      </c>
      <c r="F128" s="18">
        <f t="shared" si="70"/>
        <v>0</v>
      </c>
      <c r="G128" s="18">
        <f t="shared" si="70"/>
        <v>0</v>
      </c>
      <c r="H128" s="18">
        <f t="shared" si="70"/>
        <v>0</v>
      </c>
      <c r="I128" s="18">
        <f t="shared" si="70"/>
        <v>0</v>
      </c>
      <c r="J128" s="18">
        <f t="shared" si="70"/>
        <v>0</v>
      </c>
      <c r="K128" s="18">
        <f t="shared" si="70"/>
        <v>0</v>
      </c>
      <c r="L128" s="18">
        <f t="shared" si="70"/>
        <v>0</v>
      </c>
      <c r="M128" s="18">
        <f t="shared" si="70"/>
        <v>0</v>
      </c>
      <c r="N128" s="18">
        <f t="shared" si="70"/>
        <v>0</v>
      </c>
      <c r="O128" s="18">
        <f t="shared" si="70"/>
        <v>0</v>
      </c>
      <c r="P128" s="18">
        <f t="shared" si="70"/>
        <v>0</v>
      </c>
      <c r="Q128" s="18">
        <f t="shared" si="70"/>
        <v>0</v>
      </c>
    </row>
    <row r="129" spans="2:17" ht="15" thickBot="1" x14ac:dyDescent="0.35">
      <c r="B129" s="22" t="s">
        <v>111</v>
      </c>
      <c r="C129" t="s">
        <v>111</v>
      </c>
      <c r="D129" s="18">
        <f t="shared" ref="D129:Q129" si="71">D33</f>
        <v>0</v>
      </c>
      <c r="E129" s="18">
        <f t="shared" si="71"/>
        <v>0</v>
      </c>
      <c r="F129" s="18">
        <f t="shared" si="71"/>
        <v>0</v>
      </c>
      <c r="G129" s="18">
        <f t="shared" si="71"/>
        <v>0</v>
      </c>
      <c r="H129" s="18">
        <f t="shared" si="71"/>
        <v>0</v>
      </c>
      <c r="I129" s="18">
        <f t="shared" si="71"/>
        <v>0</v>
      </c>
      <c r="J129" s="18">
        <f t="shared" si="71"/>
        <v>0</v>
      </c>
      <c r="K129" s="18">
        <f t="shared" si="71"/>
        <v>0</v>
      </c>
      <c r="L129" s="18">
        <f t="shared" si="71"/>
        <v>0</v>
      </c>
      <c r="M129" s="18">
        <f t="shared" si="71"/>
        <v>0</v>
      </c>
      <c r="N129" s="18">
        <f t="shared" si="71"/>
        <v>0</v>
      </c>
      <c r="O129" s="18">
        <f t="shared" si="71"/>
        <v>0</v>
      </c>
      <c r="P129" s="18">
        <f t="shared" si="71"/>
        <v>0</v>
      </c>
      <c r="Q129" s="18">
        <f t="shared" si="71"/>
        <v>0</v>
      </c>
    </row>
    <row r="130" spans="2:17" ht="15" thickBot="1" x14ac:dyDescent="0.35">
      <c r="B130" s="22" t="s">
        <v>113</v>
      </c>
      <c r="C130" t="s">
        <v>113</v>
      </c>
      <c r="D130" s="18">
        <f t="shared" ref="D130:Q130" si="72">D34</f>
        <v>0</v>
      </c>
      <c r="E130" s="18">
        <f t="shared" si="72"/>
        <v>0</v>
      </c>
      <c r="F130" s="18">
        <f t="shared" si="72"/>
        <v>0</v>
      </c>
      <c r="G130" s="18">
        <f t="shared" si="72"/>
        <v>0</v>
      </c>
      <c r="H130" s="18">
        <f t="shared" si="72"/>
        <v>0</v>
      </c>
      <c r="I130" s="18">
        <f t="shared" si="72"/>
        <v>0</v>
      </c>
      <c r="J130" s="18">
        <f t="shared" si="72"/>
        <v>0</v>
      </c>
      <c r="K130" s="18">
        <f t="shared" si="72"/>
        <v>0</v>
      </c>
      <c r="L130" s="18">
        <f t="shared" si="72"/>
        <v>0</v>
      </c>
      <c r="M130" s="18">
        <f t="shared" si="72"/>
        <v>0</v>
      </c>
      <c r="N130" s="18">
        <f t="shared" si="72"/>
        <v>0</v>
      </c>
      <c r="O130" s="18">
        <f t="shared" si="72"/>
        <v>0</v>
      </c>
      <c r="P130" s="18">
        <f t="shared" si="72"/>
        <v>0</v>
      </c>
      <c r="Q130" s="18">
        <f t="shared" si="72"/>
        <v>0</v>
      </c>
    </row>
    <row r="131" spans="2:17" ht="15" thickBot="1" x14ac:dyDescent="0.35">
      <c r="B131" s="22" t="s">
        <v>115</v>
      </c>
      <c r="C131" t="s">
        <v>115</v>
      </c>
      <c r="D131" s="18">
        <f t="shared" ref="D131:Q131" si="73">D35</f>
        <v>0</v>
      </c>
      <c r="E131" s="18">
        <f t="shared" si="73"/>
        <v>0</v>
      </c>
      <c r="F131" s="18">
        <f t="shared" si="73"/>
        <v>0</v>
      </c>
      <c r="G131" s="18">
        <f t="shared" si="73"/>
        <v>0</v>
      </c>
      <c r="H131" s="18">
        <f t="shared" si="73"/>
        <v>0</v>
      </c>
      <c r="I131" s="18">
        <f t="shared" si="73"/>
        <v>0</v>
      </c>
      <c r="J131" s="18">
        <f t="shared" si="73"/>
        <v>0</v>
      </c>
      <c r="K131" s="18">
        <f t="shared" si="73"/>
        <v>0</v>
      </c>
      <c r="L131" s="18">
        <f t="shared" si="73"/>
        <v>0</v>
      </c>
      <c r="M131" s="18">
        <f t="shared" si="73"/>
        <v>0</v>
      </c>
      <c r="N131" s="18">
        <f t="shared" si="73"/>
        <v>0</v>
      </c>
      <c r="O131" s="18">
        <f t="shared" si="73"/>
        <v>0</v>
      </c>
      <c r="P131" s="18">
        <f t="shared" si="73"/>
        <v>0</v>
      </c>
      <c r="Q131" s="18">
        <f t="shared" si="73"/>
        <v>0</v>
      </c>
    </row>
    <row r="132" spans="2:17" ht="15" thickBot="1" x14ac:dyDescent="0.35">
      <c r="B132" s="22" t="s">
        <v>507</v>
      </c>
      <c r="C132" t="s">
        <v>507</v>
      </c>
      <c r="D132" s="18">
        <f t="shared" ref="D132:Q132" si="74">D36</f>
        <v>0</v>
      </c>
      <c r="E132" s="18">
        <f t="shared" si="74"/>
        <v>0</v>
      </c>
      <c r="F132" s="18">
        <f t="shared" si="74"/>
        <v>0</v>
      </c>
      <c r="G132" s="18">
        <f t="shared" si="74"/>
        <v>0</v>
      </c>
      <c r="H132" s="18">
        <f t="shared" si="74"/>
        <v>0</v>
      </c>
      <c r="I132" s="18">
        <f t="shared" si="74"/>
        <v>0</v>
      </c>
      <c r="J132" s="18">
        <f t="shared" si="74"/>
        <v>0</v>
      </c>
      <c r="K132" s="18">
        <f t="shared" si="74"/>
        <v>0</v>
      </c>
      <c r="L132" s="18">
        <f t="shared" si="74"/>
        <v>0</v>
      </c>
      <c r="M132" s="18">
        <f t="shared" si="74"/>
        <v>0</v>
      </c>
      <c r="N132" s="18">
        <f t="shared" si="74"/>
        <v>0</v>
      </c>
      <c r="O132" s="27">
        <v>1.5</v>
      </c>
      <c r="P132" s="18">
        <f t="shared" si="74"/>
        <v>0</v>
      </c>
      <c r="Q132" s="18">
        <f t="shared" si="74"/>
        <v>0</v>
      </c>
    </row>
    <row r="133" spans="2:17" ht="15" thickBot="1" x14ac:dyDescent="0.35">
      <c r="B133" s="22" t="s">
        <v>508</v>
      </c>
      <c r="C133" t="s">
        <v>508</v>
      </c>
      <c r="D133" s="18">
        <f t="shared" ref="D133:Q133" si="75">D37</f>
        <v>0</v>
      </c>
      <c r="E133" s="18">
        <f t="shared" si="75"/>
        <v>0</v>
      </c>
      <c r="F133" s="18">
        <f t="shared" si="75"/>
        <v>0</v>
      </c>
      <c r="G133" s="18">
        <f t="shared" si="75"/>
        <v>0</v>
      </c>
      <c r="H133" s="18">
        <f t="shared" si="75"/>
        <v>0</v>
      </c>
      <c r="I133" s="18">
        <f t="shared" si="75"/>
        <v>0</v>
      </c>
      <c r="J133" s="18">
        <f t="shared" si="75"/>
        <v>0</v>
      </c>
      <c r="K133" s="18">
        <f t="shared" si="75"/>
        <v>0</v>
      </c>
      <c r="L133" s="18">
        <f t="shared" si="75"/>
        <v>0</v>
      </c>
      <c r="M133" s="18">
        <f t="shared" si="75"/>
        <v>0</v>
      </c>
      <c r="N133" s="18">
        <f t="shared" si="75"/>
        <v>0</v>
      </c>
      <c r="O133" s="19">
        <v>0</v>
      </c>
      <c r="P133" s="18">
        <f t="shared" si="75"/>
        <v>0</v>
      </c>
      <c r="Q133" s="18">
        <f t="shared" si="75"/>
        <v>0</v>
      </c>
    </row>
    <row r="134" spans="2:17" ht="15" thickBot="1" x14ac:dyDescent="0.35">
      <c r="B134" s="22" t="s">
        <v>121</v>
      </c>
      <c r="C134" t="s">
        <v>121</v>
      </c>
      <c r="D134" s="18">
        <f t="shared" ref="D134:Q134" si="76">D38</f>
        <v>0</v>
      </c>
      <c r="E134" s="18">
        <f t="shared" si="76"/>
        <v>0</v>
      </c>
      <c r="F134" s="18">
        <f t="shared" si="76"/>
        <v>0</v>
      </c>
      <c r="G134" s="18">
        <f t="shared" si="76"/>
        <v>0</v>
      </c>
      <c r="H134" s="18">
        <f t="shared" si="76"/>
        <v>0</v>
      </c>
      <c r="I134" s="18">
        <f t="shared" si="76"/>
        <v>0</v>
      </c>
      <c r="J134" s="18">
        <f t="shared" si="76"/>
        <v>0</v>
      </c>
      <c r="K134" s="18">
        <f t="shared" si="76"/>
        <v>0</v>
      </c>
      <c r="L134" s="18">
        <f t="shared" si="76"/>
        <v>0</v>
      </c>
      <c r="M134" s="18">
        <f t="shared" si="76"/>
        <v>0</v>
      </c>
      <c r="N134" s="18">
        <f t="shared" si="76"/>
        <v>0</v>
      </c>
      <c r="O134" s="18">
        <f t="shared" si="76"/>
        <v>0</v>
      </c>
      <c r="P134" s="27">
        <v>4</v>
      </c>
      <c r="Q134" s="18">
        <f t="shared" si="76"/>
        <v>0</v>
      </c>
    </row>
    <row r="135" spans="2:17" ht="15" thickBot="1" x14ac:dyDescent="0.35">
      <c r="B135" s="22" t="s">
        <v>123</v>
      </c>
      <c r="C135" t="s">
        <v>123</v>
      </c>
      <c r="D135" s="18">
        <f t="shared" ref="D135:Q135" si="77">D39</f>
        <v>0</v>
      </c>
      <c r="E135" s="18">
        <f t="shared" si="77"/>
        <v>0</v>
      </c>
      <c r="F135" s="18">
        <f t="shared" si="77"/>
        <v>0</v>
      </c>
      <c r="G135" s="18">
        <f t="shared" si="77"/>
        <v>0</v>
      </c>
      <c r="H135" s="18">
        <f t="shared" si="77"/>
        <v>0</v>
      </c>
      <c r="I135" s="18">
        <f t="shared" si="77"/>
        <v>0</v>
      </c>
      <c r="J135" s="18">
        <f t="shared" si="77"/>
        <v>0</v>
      </c>
      <c r="K135" s="18">
        <f t="shared" si="77"/>
        <v>0</v>
      </c>
      <c r="L135" s="18">
        <f t="shared" si="77"/>
        <v>0</v>
      </c>
      <c r="M135" s="18">
        <f t="shared" si="77"/>
        <v>0</v>
      </c>
      <c r="N135" s="18">
        <f t="shared" si="77"/>
        <v>0</v>
      </c>
      <c r="O135" s="18">
        <f t="shared" si="77"/>
        <v>0</v>
      </c>
      <c r="P135" s="19">
        <v>0</v>
      </c>
      <c r="Q135" s="18">
        <f t="shared" si="77"/>
        <v>0</v>
      </c>
    </row>
    <row r="136" spans="2:17" ht="15" thickBot="1" x14ac:dyDescent="0.35">
      <c r="B136" s="22" t="s">
        <v>125</v>
      </c>
      <c r="C136" t="s">
        <v>125</v>
      </c>
      <c r="D136" s="18">
        <f t="shared" ref="D136:Q136" si="78">D40</f>
        <v>0</v>
      </c>
      <c r="E136" s="18">
        <f t="shared" si="78"/>
        <v>0</v>
      </c>
      <c r="F136" s="18">
        <f t="shared" si="78"/>
        <v>0</v>
      </c>
      <c r="G136" s="18">
        <f t="shared" si="78"/>
        <v>0</v>
      </c>
      <c r="H136" s="18">
        <f t="shared" si="78"/>
        <v>0</v>
      </c>
      <c r="I136" s="18">
        <f t="shared" si="78"/>
        <v>0</v>
      </c>
      <c r="J136" s="18">
        <f t="shared" si="78"/>
        <v>0</v>
      </c>
      <c r="K136" s="18">
        <f t="shared" si="78"/>
        <v>0</v>
      </c>
      <c r="L136" s="18">
        <f t="shared" si="78"/>
        <v>0</v>
      </c>
      <c r="M136" s="18">
        <f t="shared" si="78"/>
        <v>0</v>
      </c>
      <c r="N136" s="18">
        <f t="shared" si="78"/>
        <v>0</v>
      </c>
      <c r="O136" s="18">
        <f t="shared" si="78"/>
        <v>0</v>
      </c>
      <c r="P136" s="18">
        <f t="shared" si="78"/>
        <v>0</v>
      </c>
      <c r="Q136" s="18">
        <f t="shared" si="78"/>
        <v>0</v>
      </c>
    </row>
    <row r="137" spans="2:17" ht="15" thickBot="1" x14ac:dyDescent="0.35">
      <c r="B137" s="22" t="s">
        <v>127</v>
      </c>
      <c r="C137" t="s">
        <v>127</v>
      </c>
      <c r="D137" s="18">
        <f t="shared" ref="D137:Q137" si="79">D41</f>
        <v>0</v>
      </c>
      <c r="E137" s="18">
        <f t="shared" si="79"/>
        <v>0</v>
      </c>
      <c r="F137" s="18">
        <f t="shared" si="79"/>
        <v>0</v>
      </c>
      <c r="G137" s="18">
        <f t="shared" si="79"/>
        <v>0</v>
      </c>
      <c r="H137" s="18">
        <f t="shared" si="79"/>
        <v>0</v>
      </c>
      <c r="I137" s="18">
        <f t="shared" si="79"/>
        <v>0</v>
      </c>
      <c r="J137" s="18">
        <f t="shared" si="79"/>
        <v>0</v>
      </c>
      <c r="K137" s="18">
        <f t="shared" si="79"/>
        <v>0</v>
      </c>
      <c r="L137" s="18">
        <f t="shared" si="79"/>
        <v>0</v>
      </c>
      <c r="M137" s="18">
        <f t="shared" si="79"/>
        <v>0</v>
      </c>
      <c r="N137" s="18">
        <f t="shared" si="79"/>
        <v>0</v>
      </c>
      <c r="O137" s="18">
        <f t="shared" si="79"/>
        <v>0</v>
      </c>
      <c r="P137" s="18">
        <f t="shared" si="79"/>
        <v>0</v>
      </c>
      <c r="Q137" s="18">
        <f t="shared" si="79"/>
        <v>0</v>
      </c>
    </row>
    <row r="138" spans="2:17" ht="15" thickBot="1" x14ac:dyDescent="0.35">
      <c r="B138" s="22" t="s">
        <v>129</v>
      </c>
      <c r="C138" t="s">
        <v>129</v>
      </c>
      <c r="D138" s="18">
        <f t="shared" ref="D138:Q138" si="80">D42</f>
        <v>0</v>
      </c>
      <c r="E138" s="18">
        <f t="shared" si="80"/>
        <v>0</v>
      </c>
      <c r="F138" s="18">
        <f t="shared" si="80"/>
        <v>0</v>
      </c>
      <c r="G138" s="18">
        <f t="shared" si="80"/>
        <v>0</v>
      </c>
      <c r="H138" s="18">
        <f t="shared" si="80"/>
        <v>0</v>
      </c>
      <c r="I138" s="18">
        <f t="shared" si="80"/>
        <v>0</v>
      </c>
      <c r="J138" s="18">
        <f t="shared" si="80"/>
        <v>0</v>
      </c>
      <c r="K138" s="18">
        <f t="shared" si="80"/>
        <v>0</v>
      </c>
      <c r="L138" s="18">
        <f t="shared" si="80"/>
        <v>0</v>
      </c>
      <c r="M138" s="18">
        <f t="shared" si="80"/>
        <v>0</v>
      </c>
      <c r="N138" s="18">
        <f t="shared" si="80"/>
        <v>0</v>
      </c>
      <c r="O138" s="18">
        <f t="shared" si="80"/>
        <v>0</v>
      </c>
      <c r="P138" s="18">
        <f t="shared" si="80"/>
        <v>0</v>
      </c>
      <c r="Q138" s="18">
        <f t="shared" si="80"/>
        <v>0</v>
      </c>
    </row>
    <row r="139" spans="2:17" ht="15" thickBot="1" x14ac:dyDescent="0.35">
      <c r="B139" s="22" t="s">
        <v>509</v>
      </c>
      <c r="C139" t="s">
        <v>509</v>
      </c>
      <c r="D139" s="18">
        <f t="shared" ref="D139:Q139" si="81">D43</f>
        <v>0</v>
      </c>
      <c r="E139" s="18">
        <f t="shared" si="81"/>
        <v>0</v>
      </c>
      <c r="F139" s="18">
        <f t="shared" si="81"/>
        <v>0</v>
      </c>
      <c r="G139" s="18">
        <f t="shared" si="81"/>
        <v>0</v>
      </c>
      <c r="H139" s="18">
        <f t="shared" si="81"/>
        <v>0</v>
      </c>
      <c r="I139" s="18">
        <f t="shared" si="81"/>
        <v>0</v>
      </c>
      <c r="J139" s="18">
        <f t="shared" si="81"/>
        <v>0</v>
      </c>
      <c r="K139" s="18">
        <f t="shared" si="81"/>
        <v>0</v>
      </c>
      <c r="L139" s="18">
        <f t="shared" si="81"/>
        <v>0</v>
      </c>
      <c r="M139" s="18">
        <f t="shared" si="81"/>
        <v>0</v>
      </c>
      <c r="N139" s="18">
        <f t="shared" si="81"/>
        <v>0</v>
      </c>
      <c r="O139" s="18">
        <f t="shared" si="81"/>
        <v>0</v>
      </c>
      <c r="P139" s="18">
        <f t="shared" si="81"/>
        <v>0</v>
      </c>
      <c r="Q139" s="18">
        <f t="shared" si="81"/>
        <v>0</v>
      </c>
    </row>
    <row r="140" spans="2:17" ht="15" thickBot="1" x14ac:dyDescent="0.35">
      <c r="B140" s="22" t="s">
        <v>132</v>
      </c>
      <c r="C140" t="s">
        <v>132</v>
      </c>
      <c r="D140" s="18">
        <f t="shared" ref="D140:Q140" si="82">D44</f>
        <v>0</v>
      </c>
      <c r="E140" s="18">
        <f t="shared" si="82"/>
        <v>0</v>
      </c>
      <c r="F140" s="18">
        <f t="shared" si="82"/>
        <v>0</v>
      </c>
      <c r="G140" s="18">
        <f t="shared" si="82"/>
        <v>0</v>
      </c>
      <c r="H140" s="18">
        <f t="shared" si="82"/>
        <v>0</v>
      </c>
      <c r="I140" s="18">
        <f t="shared" si="82"/>
        <v>0</v>
      </c>
      <c r="J140" s="18">
        <f t="shared" si="82"/>
        <v>0</v>
      </c>
      <c r="K140" s="18">
        <f t="shared" si="82"/>
        <v>0</v>
      </c>
      <c r="L140" s="18">
        <f t="shared" si="82"/>
        <v>0</v>
      </c>
      <c r="M140" s="18">
        <f t="shared" si="82"/>
        <v>0</v>
      </c>
      <c r="N140" s="18">
        <f t="shared" si="82"/>
        <v>0</v>
      </c>
      <c r="O140" s="18">
        <f t="shared" si="82"/>
        <v>0</v>
      </c>
      <c r="P140" s="18">
        <f t="shared" si="82"/>
        <v>0</v>
      </c>
      <c r="Q140" s="18">
        <f t="shared" si="82"/>
        <v>0</v>
      </c>
    </row>
    <row r="141" spans="2:17" ht="15" thickBot="1" x14ac:dyDescent="0.35">
      <c r="B141" s="22" t="s">
        <v>133</v>
      </c>
      <c r="C141" t="s">
        <v>133</v>
      </c>
      <c r="D141" s="18">
        <f t="shared" ref="D141:Q141" si="83">D45</f>
        <v>0</v>
      </c>
      <c r="E141" s="18">
        <f t="shared" si="83"/>
        <v>0</v>
      </c>
      <c r="F141" s="18">
        <f t="shared" si="83"/>
        <v>0</v>
      </c>
      <c r="G141" s="18">
        <f t="shared" si="83"/>
        <v>0</v>
      </c>
      <c r="H141" s="18">
        <f t="shared" si="83"/>
        <v>0</v>
      </c>
      <c r="I141" s="18">
        <f t="shared" si="83"/>
        <v>0</v>
      </c>
      <c r="J141" s="18">
        <f t="shared" si="83"/>
        <v>0</v>
      </c>
      <c r="K141" s="18">
        <f t="shared" si="83"/>
        <v>0</v>
      </c>
      <c r="L141" s="18">
        <f t="shared" si="83"/>
        <v>0</v>
      </c>
      <c r="M141" s="18">
        <f t="shared" si="83"/>
        <v>0</v>
      </c>
      <c r="N141" s="18">
        <f t="shared" si="83"/>
        <v>0</v>
      </c>
      <c r="O141" s="18">
        <f t="shared" si="83"/>
        <v>0</v>
      </c>
      <c r="P141" s="18">
        <f t="shared" si="83"/>
        <v>0</v>
      </c>
      <c r="Q141" s="18">
        <f t="shared" si="83"/>
        <v>0</v>
      </c>
    </row>
    <row r="142" spans="2:17" ht="15" thickBot="1" x14ac:dyDescent="0.35">
      <c r="B142" s="22" t="s">
        <v>134</v>
      </c>
      <c r="C142" t="s">
        <v>134</v>
      </c>
      <c r="D142" s="18">
        <f t="shared" ref="D142:Q142" si="84">D46</f>
        <v>0</v>
      </c>
      <c r="E142" s="18">
        <f t="shared" si="84"/>
        <v>0</v>
      </c>
      <c r="F142" s="18">
        <f t="shared" si="84"/>
        <v>0</v>
      </c>
      <c r="G142" s="18">
        <f t="shared" si="84"/>
        <v>0</v>
      </c>
      <c r="H142" s="18">
        <f t="shared" si="84"/>
        <v>0</v>
      </c>
      <c r="I142" s="18">
        <f t="shared" si="84"/>
        <v>0</v>
      </c>
      <c r="J142" s="18">
        <f t="shared" si="84"/>
        <v>0</v>
      </c>
      <c r="K142" s="18">
        <f t="shared" si="84"/>
        <v>0</v>
      </c>
      <c r="L142" s="18">
        <f t="shared" si="84"/>
        <v>0</v>
      </c>
      <c r="M142" s="18">
        <f t="shared" si="84"/>
        <v>0</v>
      </c>
      <c r="N142" s="18">
        <f t="shared" si="84"/>
        <v>0</v>
      </c>
      <c r="O142" s="18">
        <f t="shared" si="84"/>
        <v>0</v>
      </c>
      <c r="P142" s="18">
        <f t="shared" si="84"/>
        <v>0</v>
      </c>
      <c r="Q142" s="18">
        <f t="shared" si="84"/>
        <v>0</v>
      </c>
    </row>
  </sheetData>
  <mergeCells count="6">
    <mergeCell ref="BE51:BG51"/>
    <mergeCell ref="S4:T4"/>
    <mergeCell ref="V5:V14"/>
    <mergeCell ref="I51:K51"/>
    <mergeCell ref="Y51:AA51"/>
    <mergeCell ref="AO51:AQ51"/>
  </mergeCells>
  <hyperlinks>
    <hyperlink ref="AI2" r:id="rId1"/>
  </hyperlinks>
  <pageMargins left="0.7" right="0.7" top="0.75" bottom="0.75" header="0.511811023622047" footer="0.511811023622047"/>
  <pageSetup paperSize="9"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72"/>
  <sheetViews>
    <sheetView tabSelected="1" topLeftCell="N19" zoomScaleNormal="100" workbookViewId="0">
      <selection activeCell="AC30" sqref="AC30"/>
    </sheetView>
  </sheetViews>
  <sheetFormatPr baseColWidth="10" defaultColWidth="10.5546875" defaultRowHeight="14.4" x14ac:dyDescent="0.3"/>
  <cols>
    <col min="1" max="1" width="60.109375" customWidth="1"/>
    <col min="2" max="2" width="27.44140625" customWidth="1"/>
    <col min="3" max="3" width="15" customWidth="1"/>
    <col min="5" max="5" width="54.109375" customWidth="1"/>
    <col min="6" max="6" width="53.5546875" customWidth="1"/>
    <col min="9" max="9" width="12.88671875" customWidth="1"/>
    <col min="10" max="10" width="19.6640625" style="144" customWidth="1"/>
    <col min="11" max="12" width="10.5546875" style="144"/>
    <col min="13" max="13" width="23.88671875" style="144" customWidth="1"/>
    <col min="14" max="17" width="10.5546875" style="144"/>
    <col min="20" max="20" width="21.88671875" customWidth="1"/>
    <col min="21" max="25" width="10.5546875" style="144"/>
    <col min="26" max="26" width="15.44140625" style="144" customWidth="1"/>
    <col min="27" max="27" width="14.44140625" style="144" customWidth="1"/>
    <col min="28" max="28" width="19.44140625" style="144" customWidth="1"/>
    <col min="29" max="29" width="10.5546875" style="144"/>
    <col min="31" max="31" width="21.6640625" customWidth="1"/>
  </cols>
  <sheetData>
    <row r="2" spans="1:29" x14ac:dyDescent="0.3">
      <c r="A2" s="46"/>
    </row>
    <row r="3" spans="1:29" ht="15" thickBot="1" x14ac:dyDescent="0.35">
      <c r="J3"/>
      <c r="K3"/>
      <c r="L3"/>
      <c r="M3"/>
      <c r="N3"/>
      <c r="O3"/>
      <c r="P3"/>
      <c r="Q3"/>
    </row>
    <row r="4" spans="1:29" ht="15.75" customHeight="1" thickBot="1" x14ac:dyDescent="0.35">
      <c r="A4" s="377" t="s">
        <v>263</v>
      </c>
      <c r="B4" s="377"/>
      <c r="C4" s="377"/>
      <c r="D4" s="377"/>
      <c r="E4" s="377"/>
      <c r="F4" s="377"/>
      <c r="G4" s="377"/>
      <c r="J4"/>
      <c r="K4"/>
      <c r="L4"/>
      <c r="M4"/>
      <c r="N4"/>
      <c r="O4"/>
      <c r="P4"/>
      <c r="Q4"/>
    </row>
    <row r="5" spans="1:29" x14ac:dyDescent="0.3">
      <c r="J5"/>
      <c r="K5"/>
      <c r="L5"/>
      <c r="M5"/>
      <c r="N5"/>
      <c r="O5"/>
      <c r="P5"/>
      <c r="Q5"/>
    </row>
    <row r="6" spans="1:29" ht="15" thickBot="1" x14ac:dyDescent="0.35">
      <c r="J6"/>
      <c r="K6"/>
      <c r="L6"/>
      <c r="M6"/>
      <c r="N6"/>
      <c r="O6"/>
      <c r="P6"/>
      <c r="Q6"/>
    </row>
    <row r="7" spans="1:29" ht="36.75" customHeight="1" thickBot="1" x14ac:dyDescent="0.35">
      <c r="B7" s="377" t="s">
        <v>3</v>
      </c>
      <c r="C7" s="377"/>
      <c r="F7" s="136" t="s">
        <v>3</v>
      </c>
      <c r="G7" s="153" t="s">
        <v>397</v>
      </c>
      <c r="H7" s="153" t="s">
        <v>396</v>
      </c>
      <c r="J7"/>
      <c r="K7"/>
      <c r="L7"/>
      <c r="M7"/>
      <c r="N7"/>
      <c r="O7"/>
      <c r="P7"/>
      <c r="Q7"/>
      <c r="U7" s="378" t="s">
        <v>398</v>
      </c>
      <c r="V7" s="378"/>
      <c r="W7" s="378"/>
      <c r="X7" s="378"/>
      <c r="Y7" s="378"/>
      <c r="Z7" s="378"/>
      <c r="AA7" s="378"/>
      <c r="AB7" s="378"/>
      <c r="AC7" s="378"/>
    </row>
    <row r="8" spans="1:29" s="140" customFormat="1" ht="15" thickBot="1" x14ac:dyDescent="0.35">
      <c r="B8" s="136" t="s">
        <v>264</v>
      </c>
      <c r="C8" s="153" t="s">
        <v>265</v>
      </c>
      <c r="E8" s="136" t="s">
        <v>264</v>
      </c>
      <c r="F8" s="154" t="s">
        <v>265</v>
      </c>
      <c r="G8" s="154" t="s">
        <v>282</v>
      </c>
      <c r="H8" s="154" t="s">
        <v>282</v>
      </c>
      <c r="J8"/>
      <c r="K8"/>
      <c r="L8"/>
      <c r="M8"/>
      <c r="N8"/>
      <c r="O8"/>
      <c r="P8"/>
      <c r="Q8"/>
      <c r="R8"/>
      <c r="T8" s="145" t="s">
        <v>380</v>
      </c>
      <c r="U8" s="145" t="s">
        <v>376</v>
      </c>
      <c r="V8" s="146" t="s">
        <v>381</v>
      </c>
      <c r="W8" s="147" t="s">
        <v>379</v>
      </c>
      <c r="X8" s="146" t="s">
        <v>382</v>
      </c>
      <c r="Y8" s="146" t="s">
        <v>377</v>
      </c>
      <c r="Z8" s="146" t="s">
        <v>512</v>
      </c>
      <c r="AA8" s="146" t="s">
        <v>513</v>
      </c>
      <c r="AB8" s="146" t="s">
        <v>514</v>
      </c>
      <c r="AC8" s="147" t="s">
        <v>378</v>
      </c>
    </row>
    <row r="9" spans="1:29" ht="26.25" customHeight="1" thickBot="1" x14ac:dyDescent="0.35">
      <c r="A9" s="20" t="s">
        <v>464</v>
      </c>
      <c r="B9" s="47" t="s">
        <v>267</v>
      </c>
      <c r="C9" s="47">
        <v>69300</v>
      </c>
      <c r="E9" s="20" t="str">
        <f>A9</f>
        <v>EF_Road_tranportation_Motor_Gasoline</v>
      </c>
      <c r="F9" s="20">
        <f>VLOOKUP(E9,$A$9:$C$15,3,FALSE())</f>
        <v>69300</v>
      </c>
      <c r="G9" s="155">
        <v>33</v>
      </c>
      <c r="H9" s="155">
        <v>3.2</v>
      </c>
      <c r="J9"/>
      <c r="K9"/>
      <c r="L9"/>
      <c r="M9"/>
      <c r="N9"/>
      <c r="O9"/>
      <c r="P9"/>
      <c r="Q9"/>
      <c r="T9" s="141" t="s">
        <v>383</v>
      </c>
      <c r="U9" s="379" t="s">
        <v>401</v>
      </c>
      <c r="V9" s="380"/>
      <c r="W9" s="380"/>
      <c r="X9" s="380"/>
      <c r="Y9" s="380"/>
      <c r="Z9" s="380"/>
      <c r="AA9" s="380"/>
      <c r="AB9" s="380"/>
      <c r="AC9" s="381"/>
    </row>
    <row r="10" spans="1:29" ht="24" customHeight="1" thickBot="1" x14ac:dyDescent="0.35">
      <c r="A10" s="20" t="s">
        <v>465</v>
      </c>
      <c r="B10" s="47" t="s">
        <v>268</v>
      </c>
      <c r="C10" s="47">
        <v>74100</v>
      </c>
      <c r="E10" s="20" t="str">
        <f>A10</f>
        <v>EF_Road_tranportation_Gas_or_Diesel_Oil</v>
      </c>
      <c r="F10" s="20">
        <f>VLOOKUP(E10,$A$9:$C$15,3,FALSE())</f>
        <v>74100</v>
      </c>
      <c r="G10" s="20">
        <v>3.9</v>
      </c>
      <c r="H10" s="20">
        <v>3.9</v>
      </c>
      <c r="J10"/>
      <c r="K10"/>
      <c r="L10"/>
      <c r="M10"/>
      <c r="N10"/>
      <c r="O10"/>
      <c r="P10"/>
      <c r="Q10"/>
      <c r="T10" s="142" t="s">
        <v>384</v>
      </c>
      <c r="U10" s="145">
        <f>F9</f>
        <v>69300</v>
      </c>
      <c r="V10" s="146">
        <f>F9</f>
        <v>69300</v>
      </c>
      <c r="W10" s="147">
        <v>0</v>
      </c>
      <c r="X10" s="146">
        <f>F9</f>
        <v>69300</v>
      </c>
      <c r="Y10" s="146">
        <f>F9</f>
        <v>69300</v>
      </c>
      <c r="Z10" s="146">
        <f>C64</f>
        <v>71500</v>
      </c>
      <c r="AA10" s="146">
        <v>71500</v>
      </c>
      <c r="AB10" s="146">
        <v>71500</v>
      </c>
      <c r="AC10" s="147">
        <f>D48</f>
        <v>69300</v>
      </c>
    </row>
    <row r="11" spans="1:29" ht="15" thickBot="1" x14ac:dyDescent="0.35">
      <c r="A11" s="20" t="s">
        <v>466</v>
      </c>
      <c r="B11" s="47" t="s">
        <v>269</v>
      </c>
      <c r="C11" s="47">
        <v>63100</v>
      </c>
      <c r="E11" s="20" t="str">
        <f>A14</f>
        <v>EF_Road_tranportation_Compressed_Natural_Gas</v>
      </c>
      <c r="F11" s="20">
        <f>VLOOKUP(E11,$A$9:$C$15,3,FALSE())</f>
        <v>56100</v>
      </c>
      <c r="G11" s="20">
        <v>92</v>
      </c>
      <c r="H11" s="20">
        <v>3</v>
      </c>
      <c r="J11"/>
      <c r="K11"/>
      <c r="L11"/>
      <c r="M11"/>
      <c r="N11"/>
      <c r="O11"/>
      <c r="P11"/>
      <c r="Q11"/>
      <c r="T11" s="143" t="s">
        <v>385</v>
      </c>
      <c r="U11" s="148">
        <f>F10</f>
        <v>74100</v>
      </c>
      <c r="V11" s="144">
        <f>F10</f>
        <v>74100</v>
      </c>
      <c r="W11" s="149">
        <v>0</v>
      </c>
      <c r="X11" s="144">
        <f>F10</f>
        <v>74100</v>
      </c>
      <c r="Y11" s="144">
        <f>C40</f>
        <v>74100</v>
      </c>
      <c r="Z11" s="144">
        <v>0</v>
      </c>
      <c r="AA11" s="144">
        <v>0</v>
      </c>
      <c r="AB11" s="144">
        <v>0</v>
      </c>
      <c r="AC11" s="149">
        <f>G49</f>
        <v>74466.666666666672</v>
      </c>
    </row>
    <row r="12" spans="1:29" ht="15" thickBot="1" x14ac:dyDescent="0.35">
      <c r="A12" s="46" t="s">
        <v>467</v>
      </c>
      <c r="B12" s="48" t="s">
        <v>270</v>
      </c>
      <c r="C12" s="48">
        <v>71900</v>
      </c>
      <c r="E12" s="20" t="str">
        <f>A11</f>
        <v>EF_Road_tranportation_Liquefied_Petroleum_Gases</v>
      </c>
      <c r="F12" s="20">
        <f>VLOOKUP(E12,$A$9:$C$15,3,FALSE())</f>
        <v>63100</v>
      </c>
      <c r="G12" s="20">
        <v>62</v>
      </c>
      <c r="H12" s="20">
        <v>0.2</v>
      </c>
      <c r="J12"/>
      <c r="K12"/>
      <c r="L12"/>
      <c r="M12"/>
      <c r="N12"/>
      <c r="O12"/>
      <c r="P12"/>
      <c r="Q12"/>
      <c r="T12" s="143" t="s">
        <v>386</v>
      </c>
      <c r="U12" s="148">
        <f>F12</f>
        <v>63100</v>
      </c>
      <c r="V12" s="144">
        <f>F12</f>
        <v>63100</v>
      </c>
      <c r="W12" s="149">
        <v>0</v>
      </c>
      <c r="X12" s="144">
        <f>F12</f>
        <v>63100</v>
      </c>
      <c r="Y12" s="144">
        <v>0</v>
      </c>
      <c r="Z12" s="144">
        <v>0</v>
      </c>
      <c r="AA12" s="144">
        <v>0</v>
      </c>
      <c r="AB12" s="144">
        <v>0</v>
      </c>
      <c r="AC12" s="149">
        <f>G51</f>
        <v>63100</v>
      </c>
    </row>
    <row r="13" spans="1:29" ht="15" thickBot="1" x14ac:dyDescent="0.35">
      <c r="A13" s="46" t="s">
        <v>468</v>
      </c>
      <c r="B13" s="48" t="s">
        <v>271</v>
      </c>
      <c r="C13" s="48">
        <v>73300</v>
      </c>
      <c r="E13" s="201" t="s">
        <v>516</v>
      </c>
      <c r="F13" s="201"/>
      <c r="G13" s="201">
        <v>260</v>
      </c>
      <c r="H13" s="201">
        <v>41</v>
      </c>
      <c r="J13" t="s">
        <v>518</v>
      </c>
      <c r="K13"/>
      <c r="L13"/>
      <c r="M13"/>
      <c r="N13"/>
      <c r="O13"/>
      <c r="P13"/>
      <c r="Q13"/>
      <c r="T13" s="143" t="s">
        <v>387</v>
      </c>
      <c r="U13" s="148">
        <f>F11</f>
        <v>56100</v>
      </c>
      <c r="V13" s="144">
        <f>F11</f>
        <v>56100</v>
      </c>
      <c r="W13" s="149">
        <v>0</v>
      </c>
      <c r="X13" s="144">
        <f>F11</f>
        <v>56100</v>
      </c>
      <c r="Y13" s="144">
        <v>0</v>
      </c>
      <c r="Z13" s="144">
        <v>0</v>
      </c>
      <c r="AA13" s="144">
        <v>0</v>
      </c>
      <c r="AB13" s="144">
        <v>0</v>
      </c>
      <c r="AC13" s="149">
        <f>G50</f>
        <v>56850</v>
      </c>
    </row>
    <row r="14" spans="1:29" ht="21" customHeight="1" thickBot="1" x14ac:dyDescent="0.35">
      <c r="A14" s="20" t="s">
        <v>469</v>
      </c>
      <c r="B14" s="47" t="s">
        <v>272</v>
      </c>
      <c r="C14" s="47">
        <v>56100</v>
      </c>
      <c r="E14" s="201" t="s">
        <v>515</v>
      </c>
      <c r="F14" s="201"/>
      <c r="G14" s="201">
        <v>18</v>
      </c>
      <c r="H14" s="201">
        <v>0</v>
      </c>
      <c r="J14"/>
      <c r="K14"/>
      <c r="L14"/>
      <c r="M14"/>
      <c r="N14"/>
      <c r="O14"/>
      <c r="P14"/>
      <c r="Q14"/>
      <c r="T14" s="143" t="s">
        <v>388</v>
      </c>
      <c r="U14" s="148">
        <v>0</v>
      </c>
      <c r="V14" s="144">
        <v>0</v>
      </c>
      <c r="W14" s="149">
        <v>0</v>
      </c>
      <c r="X14" s="144">
        <v>0</v>
      </c>
      <c r="Y14" s="144">
        <v>0</v>
      </c>
      <c r="Z14" s="144">
        <v>0</v>
      </c>
      <c r="AA14" s="144">
        <v>0</v>
      </c>
      <c r="AB14" s="144">
        <v>0</v>
      </c>
      <c r="AC14" s="149">
        <v>0</v>
      </c>
    </row>
    <row r="15" spans="1:29" ht="15" thickBot="1" x14ac:dyDescent="0.35">
      <c r="A15" s="46" t="s">
        <v>470</v>
      </c>
      <c r="B15" s="48" t="s">
        <v>273</v>
      </c>
      <c r="C15" s="48">
        <v>56100</v>
      </c>
      <c r="S15" t="s">
        <v>394</v>
      </c>
      <c r="T15" s="143" t="s">
        <v>389</v>
      </c>
      <c r="U15" s="148">
        <f>F9</f>
        <v>69300</v>
      </c>
      <c r="V15" s="144">
        <v>0</v>
      </c>
      <c r="W15" s="149">
        <v>0</v>
      </c>
      <c r="X15" s="144">
        <f>F9</f>
        <v>69300</v>
      </c>
      <c r="Y15" s="144">
        <v>0</v>
      </c>
      <c r="Z15" s="144">
        <v>0</v>
      </c>
      <c r="AA15" s="144">
        <v>0</v>
      </c>
      <c r="AB15" s="144">
        <v>0</v>
      </c>
      <c r="AC15" s="149">
        <v>0</v>
      </c>
    </row>
    <row r="16" spans="1:29" ht="15" thickBot="1" x14ac:dyDescent="0.35">
      <c r="C16" s="49"/>
      <c r="D16" s="49"/>
      <c r="T16" s="143" t="s">
        <v>390</v>
      </c>
      <c r="U16" s="148">
        <f>F9</f>
        <v>69300</v>
      </c>
      <c r="V16" s="144">
        <v>0</v>
      </c>
      <c r="W16" s="149">
        <v>0</v>
      </c>
      <c r="X16" s="144">
        <f>F9</f>
        <v>69300</v>
      </c>
      <c r="Y16" s="144">
        <v>0</v>
      </c>
      <c r="Z16" s="144">
        <v>0</v>
      </c>
      <c r="AA16" s="144">
        <v>0</v>
      </c>
      <c r="AB16" s="144">
        <v>0</v>
      </c>
      <c r="AC16" s="149">
        <v>0</v>
      </c>
    </row>
    <row r="17" spans="1:29" ht="15.75" customHeight="1" thickBot="1" x14ac:dyDescent="0.35">
      <c r="A17" s="377" t="s">
        <v>517</v>
      </c>
      <c r="B17" s="377"/>
      <c r="C17" s="377"/>
      <c r="D17" s="377"/>
      <c r="E17" s="377"/>
      <c r="F17" s="377"/>
      <c r="G17" s="377"/>
      <c r="T17" s="143" t="s">
        <v>391</v>
      </c>
      <c r="U17" s="148">
        <v>0</v>
      </c>
      <c r="V17" s="144">
        <v>0</v>
      </c>
      <c r="W17" s="149">
        <v>0</v>
      </c>
      <c r="X17" s="144">
        <v>0</v>
      </c>
      <c r="Y17" s="144">
        <v>0</v>
      </c>
      <c r="Z17" s="144">
        <v>0</v>
      </c>
      <c r="AA17" s="144">
        <v>0</v>
      </c>
      <c r="AB17" s="144">
        <v>0</v>
      </c>
      <c r="AC17" s="149">
        <v>0</v>
      </c>
    </row>
    <row r="18" spans="1:29" x14ac:dyDescent="0.3">
      <c r="C18" s="49"/>
      <c r="D18" s="49"/>
      <c r="T18" s="143" t="s">
        <v>392</v>
      </c>
      <c r="U18" s="148">
        <v>0</v>
      </c>
      <c r="V18" s="144">
        <v>0</v>
      </c>
      <c r="W18" s="149">
        <v>0</v>
      </c>
      <c r="X18" s="144">
        <v>0</v>
      </c>
      <c r="Y18" s="144">
        <v>0</v>
      </c>
      <c r="Z18" s="144">
        <v>0</v>
      </c>
      <c r="AA18" s="144">
        <v>0</v>
      </c>
      <c r="AB18" s="144">
        <v>0</v>
      </c>
      <c r="AC18" s="149">
        <v>0</v>
      </c>
    </row>
    <row r="19" spans="1:29" ht="15" thickBot="1" x14ac:dyDescent="0.35">
      <c r="T19" s="141" t="s">
        <v>393</v>
      </c>
      <c r="U19" s="150">
        <v>0</v>
      </c>
      <c r="V19" s="151">
        <v>0</v>
      </c>
      <c r="W19" s="152">
        <v>0</v>
      </c>
      <c r="X19" s="151">
        <v>0</v>
      </c>
      <c r="Y19" s="151">
        <v>0</v>
      </c>
      <c r="Z19" s="151">
        <v>0</v>
      </c>
      <c r="AA19" s="151">
        <v>0</v>
      </c>
      <c r="AB19" s="151">
        <v>0</v>
      </c>
      <c r="AC19" s="152">
        <v>0</v>
      </c>
    </row>
    <row r="20" spans="1:29" ht="14.25" customHeight="1" thickBot="1" x14ac:dyDescent="0.35">
      <c r="C20" s="377" t="s">
        <v>3</v>
      </c>
      <c r="D20" s="377"/>
      <c r="E20" s="153" t="s">
        <v>397</v>
      </c>
      <c r="F20" s="153" t="s">
        <v>396</v>
      </c>
    </row>
    <row r="21" spans="1:29" ht="28.5" customHeight="1" thickBot="1" x14ac:dyDescent="0.35">
      <c r="C21" s="383" t="s">
        <v>265</v>
      </c>
      <c r="D21" s="383"/>
      <c r="E21" s="154" t="s">
        <v>282</v>
      </c>
      <c r="F21" s="154" t="s">
        <v>282</v>
      </c>
      <c r="I21" t="s">
        <v>266</v>
      </c>
    </row>
    <row r="22" spans="1:29" ht="15.6" x14ac:dyDescent="0.3">
      <c r="A22" s="189" t="s">
        <v>471</v>
      </c>
      <c r="B22" s="190" t="s">
        <v>274</v>
      </c>
      <c r="C22" s="191" t="s">
        <v>275</v>
      </c>
      <c r="D22" s="192">
        <v>74100</v>
      </c>
      <c r="E22" s="195">
        <v>415</v>
      </c>
      <c r="F22" s="196">
        <v>28.6</v>
      </c>
      <c r="T22" s="144" t="s">
        <v>395</v>
      </c>
    </row>
    <row r="23" spans="1:29" ht="15.6" x14ac:dyDescent="0.3">
      <c r="A23" s="95" t="s">
        <v>472</v>
      </c>
      <c r="B23" s="20" t="s">
        <v>274</v>
      </c>
      <c r="C23" s="50" t="s">
        <v>276</v>
      </c>
      <c r="D23" s="51">
        <v>74100</v>
      </c>
      <c r="E23" s="197">
        <v>415</v>
      </c>
      <c r="F23" s="198">
        <v>28.6</v>
      </c>
    </row>
    <row r="24" spans="1:29" ht="15.6" x14ac:dyDescent="0.3">
      <c r="A24" s="95" t="s">
        <v>473</v>
      </c>
      <c r="B24" s="20" t="s">
        <v>274</v>
      </c>
      <c r="C24" s="50" t="s">
        <v>277</v>
      </c>
      <c r="D24" s="51">
        <v>74100</v>
      </c>
      <c r="E24" s="197">
        <v>415</v>
      </c>
      <c r="F24" s="198">
        <v>28.6</v>
      </c>
    </row>
    <row r="25" spans="1:29" ht="21" customHeight="1" thickBot="1" x14ac:dyDescent="0.35">
      <c r="A25" s="97" t="s">
        <v>474</v>
      </c>
      <c r="B25" s="98" t="s">
        <v>274</v>
      </c>
      <c r="C25" s="193" t="s">
        <v>278</v>
      </c>
      <c r="D25" s="194">
        <v>74100</v>
      </c>
      <c r="E25" s="199">
        <v>415</v>
      </c>
      <c r="F25" s="200">
        <v>28.6</v>
      </c>
    </row>
    <row r="26" spans="1:29" ht="15" customHeight="1" x14ac:dyDescent="0.3">
      <c r="A26" s="189" t="s">
        <v>475</v>
      </c>
      <c r="B26" s="190" t="s">
        <v>279</v>
      </c>
      <c r="C26" s="191" t="s">
        <v>275</v>
      </c>
      <c r="D26" s="192">
        <v>69300</v>
      </c>
      <c r="E26" s="195">
        <v>80</v>
      </c>
      <c r="F26" s="196">
        <v>2</v>
      </c>
    </row>
    <row r="27" spans="1:29" ht="20.25" customHeight="1" thickBot="1" x14ac:dyDescent="0.35">
      <c r="A27" s="95" t="s">
        <v>476</v>
      </c>
      <c r="B27" s="20" t="s">
        <v>279</v>
      </c>
      <c r="C27" s="50" t="s">
        <v>276</v>
      </c>
      <c r="D27" s="51">
        <v>69300</v>
      </c>
      <c r="E27" s="197">
        <v>0</v>
      </c>
      <c r="F27" s="198">
        <v>0</v>
      </c>
      <c r="U27" s="378" t="s">
        <v>399</v>
      </c>
      <c r="V27" s="378"/>
      <c r="W27" s="378"/>
      <c r="X27" s="378"/>
      <c r="Y27" s="378"/>
      <c r="Z27" s="378"/>
      <c r="AA27" s="378"/>
      <c r="AB27" s="378"/>
      <c r="AC27" s="378"/>
    </row>
    <row r="28" spans="1:29" ht="16.2" thickBot="1" x14ac:dyDescent="0.35">
      <c r="A28" s="95" t="s">
        <v>477</v>
      </c>
      <c r="B28" s="20" t="s">
        <v>279</v>
      </c>
      <c r="C28" s="50" t="s">
        <v>277</v>
      </c>
      <c r="D28" s="51">
        <v>69300</v>
      </c>
      <c r="E28" s="197">
        <v>50</v>
      </c>
      <c r="F28" s="198">
        <v>2</v>
      </c>
      <c r="T28" s="145" t="s">
        <v>380</v>
      </c>
      <c r="U28" s="145" t="s">
        <v>376</v>
      </c>
      <c r="V28" s="146" t="s">
        <v>381</v>
      </c>
      <c r="W28" s="147" t="s">
        <v>379</v>
      </c>
      <c r="X28" s="146" t="s">
        <v>382</v>
      </c>
      <c r="Y28" s="146" t="s">
        <v>377</v>
      </c>
      <c r="Z28" s="146" t="s">
        <v>512</v>
      </c>
      <c r="AA28" s="146" t="s">
        <v>513</v>
      </c>
      <c r="AB28" s="146" t="s">
        <v>514</v>
      </c>
      <c r="AC28" s="147" t="s">
        <v>378</v>
      </c>
    </row>
    <row r="29" spans="1:29" ht="16.2" thickBot="1" x14ac:dyDescent="0.35">
      <c r="A29" s="97" t="s">
        <v>478</v>
      </c>
      <c r="B29" s="98" t="s">
        <v>279</v>
      </c>
      <c r="C29" s="193" t="s">
        <v>278</v>
      </c>
      <c r="D29" s="194">
        <v>69300</v>
      </c>
      <c r="E29" s="199">
        <v>120</v>
      </c>
      <c r="F29" s="200">
        <v>2</v>
      </c>
      <c r="T29" s="141" t="s">
        <v>383</v>
      </c>
      <c r="U29" s="379" t="s">
        <v>402</v>
      </c>
      <c r="V29" s="380"/>
      <c r="W29" s="380"/>
      <c r="X29" s="380"/>
      <c r="Y29" s="380"/>
      <c r="Z29" s="380"/>
      <c r="AA29" s="380"/>
      <c r="AB29" s="380"/>
      <c r="AC29" s="381"/>
    </row>
    <row r="30" spans="1:29" ht="15.6" x14ac:dyDescent="0.3">
      <c r="A30" s="189" t="s">
        <v>479</v>
      </c>
      <c r="B30" s="190" t="s">
        <v>280</v>
      </c>
      <c r="C30" s="191" t="s">
        <v>275</v>
      </c>
      <c r="D30" s="192">
        <v>69300</v>
      </c>
      <c r="E30" s="195">
        <v>140</v>
      </c>
      <c r="F30" s="196">
        <v>0.4</v>
      </c>
      <c r="T30" s="142" t="s">
        <v>384</v>
      </c>
      <c r="U30" s="145">
        <v>60</v>
      </c>
      <c r="V30" s="146">
        <v>120</v>
      </c>
      <c r="W30" s="147">
        <v>0</v>
      </c>
      <c r="X30" s="146">
        <v>156</v>
      </c>
      <c r="Y30" s="146">
        <f>G9</f>
        <v>33</v>
      </c>
      <c r="Z30" s="146">
        <v>100</v>
      </c>
      <c r="AA30" s="146">
        <v>100</v>
      </c>
      <c r="AB30" s="146">
        <v>100</v>
      </c>
      <c r="AC30" s="147">
        <f>H48</f>
        <v>7</v>
      </c>
    </row>
    <row r="31" spans="1:29" ht="15" customHeight="1" x14ac:dyDescent="0.3">
      <c r="A31" s="95" t="s">
        <v>480</v>
      </c>
      <c r="B31" s="20" t="s">
        <v>280</v>
      </c>
      <c r="C31" s="50" t="s">
        <v>276</v>
      </c>
      <c r="D31" s="51">
        <v>69300</v>
      </c>
      <c r="E31" s="197">
        <v>170</v>
      </c>
      <c r="F31" s="198">
        <v>0.4</v>
      </c>
      <c r="T31" s="143" t="s">
        <v>385</v>
      </c>
      <c r="U31" s="148">
        <v>18</v>
      </c>
      <c r="V31" s="144">
        <v>18</v>
      </c>
      <c r="W31" s="149">
        <v>0</v>
      </c>
      <c r="X31" s="144">
        <v>3</v>
      </c>
      <c r="Y31" s="144">
        <f>H40</f>
        <v>4.1500000000000004</v>
      </c>
      <c r="Z31" s="144">
        <v>0</v>
      </c>
      <c r="AA31" s="144">
        <v>0</v>
      </c>
      <c r="AB31" s="144">
        <v>0</v>
      </c>
      <c r="AC31" s="149">
        <f>H49</f>
        <v>7</v>
      </c>
    </row>
    <row r="32" spans="1:29" ht="21.75" customHeight="1" x14ac:dyDescent="0.3">
      <c r="A32" s="95" t="s">
        <v>481</v>
      </c>
      <c r="B32" s="20" t="s">
        <v>280</v>
      </c>
      <c r="C32" s="50" t="s">
        <v>277</v>
      </c>
      <c r="D32" s="51">
        <v>69300</v>
      </c>
      <c r="E32" s="197">
        <v>130</v>
      </c>
      <c r="F32" s="198">
        <v>0.4</v>
      </c>
      <c r="T32" s="143" t="s">
        <v>386</v>
      </c>
      <c r="U32" s="148">
        <v>62</v>
      </c>
      <c r="V32" s="144">
        <v>62</v>
      </c>
      <c r="W32" s="149">
        <v>0</v>
      </c>
      <c r="X32" s="144">
        <v>111</v>
      </c>
      <c r="Y32" s="144">
        <v>0</v>
      </c>
      <c r="Z32" s="144">
        <v>0</v>
      </c>
      <c r="AA32" s="144">
        <v>0</v>
      </c>
      <c r="AB32" s="144">
        <v>0</v>
      </c>
      <c r="AC32" s="149">
        <f>H51</f>
        <v>7</v>
      </c>
    </row>
    <row r="33" spans="1:29" ht="16.2" thickBot="1" x14ac:dyDescent="0.35">
      <c r="A33" s="97" t="s">
        <v>482</v>
      </c>
      <c r="B33" s="98" t="s">
        <v>280</v>
      </c>
      <c r="C33" s="193" t="s">
        <v>278</v>
      </c>
      <c r="D33" s="194">
        <v>69300</v>
      </c>
      <c r="E33" s="199">
        <v>72</v>
      </c>
      <c r="F33" s="200">
        <v>0.4</v>
      </c>
      <c r="T33" s="143" t="s">
        <v>387</v>
      </c>
      <c r="U33" s="148">
        <v>100</v>
      </c>
      <c r="V33" s="144">
        <v>100</v>
      </c>
      <c r="W33" s="149">
        <v>0</v>
      </c>
      <c r="X33" s="144">
        <v>3000</v>
      </c>
      <c r="Y33" s="144">
        <v>0</v>
      </c>
      <c r="Z33" s="144">
        <v>0</v>
      </c>
      <c r="AA33" s="144">
        <v>0</v>
      </c>
      <c r="AB33" s="144">
        <v>0</v>
      </c>
      <c r="AC33" s="149">
        <f>H52</f>
        <v>7</v>
      </c>
    </row>
    <row r="34" spans="1:29" ht="15" thickBot="1" x14ac:dyDescent="0.35">
      <c r="C34" s="49"/>
      <c r="T34" s="143" t="s">
        <v>388</v>
      </c>
      <c r="U34" s="148">
        <v>0</v>
      </c>
      <c r="V34" s="144">
        <v>0</v>
      </c>
      <c r="W34" s="149">
        <v>0</v>
      </c>
      <c r="X34" s="144">
        <v>0</v>
      </c>
      <c r="Y34" s="144">
        <v>0</v>
      </c>
      <c r="Z34" s="144">
        <v>0</v>
      </c>
      <c r="AA34" s="144">
        <v>0</v>
      </c>
      <c r="AB34" s="144">
        <v>0</v>
      </c>
      <c r="AC34" s="149">
        <v>0</v>
      </c>
    </row>
    <row r="35" spans="1:29" ht="15.75" customHeight="1" thickBot="1" x14ac:dyDescent="0.35">
      <c r="A35" s="375" t="s">
        <v>281</v>
      </c>
      <c r="B35" s="376"/>
      <c r="C35" s="376"/>
      <c r="D35" s="376"/>
      <c r="E35" s="376"/>
      <c r="F35" s="376"/>
      <c r="G35" s="376"/>
      <c r="H35" s="376"/>
      <c r="I35" s="376"/>
      <c r="J35" s="376"/>
      <c r="K35" s="376"/>
      <c r="L35" s="376"/>
      <c r="M35" s="376"/>
      <c r="T35" s="143" t="s">
        <v>389</v>
      </c>
      <c r="U35" s="148">
        <v>60</v>
      </c>
      <c r="V35" s="146">
        <v>120</v>
      </c>
      <c r="W35" s="149">
        <v>0</v>
      </c>
      <c r="X35" s="144">
        <v>156</v>
      </c>
      <c r="Y35" s="144">
        <v>0</v>
      </c>
      <c r="Z35" s="144">
        <v>0</v>
      </c>
      <c r="AA35" s="144">
        <v>0</v>
      </c>
      <c r="AB35" s="144">
        <v>0</v>
      </c>
      <c r="AC35" s="149">
        <v>0</v>
      </c>
    </row>
    <row r="36" spans="1:29" x14ac:dyDescent="0.3">
      <c r="T36" s="143" t="s">
        <v>390</v>
      </c>
      <c r="U36" s="148">
        <v>60</v>
      </c>
      <c r="V36" s="146">
        <v>120</v>
      </c>
      <c r="W36" s="149">
        <v>0</v>
      </c>
      <c r="X36" s="144">
        <v>156</v>
      </c>
      <c r="Y36" s="144">
        <v>0</v>
      </c>
      <c r="Z36" s="144">
        <v>0</v>
      </c>
      <c r="AA36" s="144">
        <v>0</v>
      </c>
      <c r="AB36" s="144">
        <v>0</v>
      </c>
      <c r="AC36" s="149">
        <v>0</v>
      </c>
    </row>
    <row r="37" spans="1:29" ht="15" thickBot="1" x14ac:dyDescent="0.35">
      <c r="T37" s="143" t="s">
        <v>391</v>
      </c>
      <c r="U37" s="148">
        <v>0</v>
      </c>
      <c r="V37" s="144">
        <v>0</v>
      </c>
      <c r="W37" s="149">
        <v>0</v>
      </c>
      <c r="X37" s="144">
        <v>0</v>
      </c>
      <c r="Y37" s="144">
        <v>0</v>
      </c>
      <c r="Z37" s="144">
        <v>0</v>
      </c>
      <c r="AA37" s="144">
        <v>0</v>
      </c>
      <c r="AB37" s="144">
        <v>0</v>
      </c>
      <c r="AC37" s="149">
        <v>0</v>
      </c>
    </row>
    <row r="38" spans="1:29" ht="15" thickBot="1" x14ac:dyDescent="0.35">
      <c r="C38" s="52" t="s">
        <v>3</v>
      </c>
      <c r="G38" s="52" t="s">
        <v>3</v>
      </c>
      <c r="H38" s="57" t="s">
        <v>4</v>
      </c>
      <c r="I38" s="57" t="s">
        <v>5</v>
      </c>
      <c r="T38" s="143" t="s">
        <v>392</v>
      </c>
      <c r="U38" s="148">
        <v>0</v>
      </c>
      <c r="V38" s="144">
        <v>0</v>
      </c>
      <c r="W38" s="149">
        <v>0</v>
      </c>
      <c r="X38" s="144">
        <v>0</v>
      </c>
      <c r="Y38" s="144">
        <v>0</v>
      </c>
      <c r="Z38" s="144">
        <v>0</v>
      </c>
      <c r="AA38" s="144">
        <v>0</v>
      </c>
      <c r="AB38" s="144">
        <v>0</v>
      </c>
      <c r="AC38" s="149">
        <v>0</v>
      </c>
    </row>
    <row r="39" spans="1:29" ht="15" thickBot="1" x14ac:dyDescent="0.35">
      <c r="C39" s="52" t="s">
        <v>282</v>
      </c>
      <c r="G39" s="52" t="s">
        <v>282</v>
      </c>
      <c r="H39" s="58" t="s">
        <v>286</v>
      </c>
      <c r="I39" s="58" t="s">
        <v>286</v>
      </c>
      <c r="T39" s="141" t="s">
        <v>393</v>
      </c>
      <c r="U39" s="150">
        <v>0</v>
      </c>
      <c r="V39" s="151">
        <v>0</v>
      </c>
      <c r="W39" s="152">
        <v>0</v>
      </c>
      <c r="X39" s="151">
        <v>0</v>
      </c>
      <c r="Y39" s="151">
        <v>0</v>
      </c>
      <c r="Z39" s="151">
        <v>0</v>
      </c>
      <c r="AA39" s="151">
        <v>0</v>
      </c>
      <c r="AB39" s="151">
        <v>0</v>
      </c>
      <c r="AC39" s="152">
        <v>0</v>
      </c>
    </row>
    <row r="40" spans="1:29" x14ac:dyDescent="0.3">
      <c r="A40" s="20" t="s">
        <v>483</v>
      </c>
      <c r="B40" s="53" t="s">
        <v>274</v>
      </c>
      <c r="C40" s="54">
        <v>74100</v>
      </c>
      <c r="E40" s="20" t="str">
        <f>A40</f>
        <v>EF_Rail_transport_Diesel</v>
      </c>
      <c r="F40" s="53" t="s">
        <v>274</v>
      </c>
      <c r="G40" s="1">
        <v>74100</v>
      </c>
      <c r="H40" s="1">
        <v>4.1500000000000004</v>
      </c>
      <c r="I40" s="1">
        <v>28.6</v>
      </c>
    </row>
    <row r="41" spans="1:29" ht="15" customHeight="1" x14ac:dyDescent="0.3">
      <c r="A41" s="20" t="s">
        <v>484</v>
      </c>
      <c r="B41" s="55" t="s">
        <v>283</v>
      </c>
      <c r="C41" s="54">
        <v>96100</v>
      </c>
      <c r="E41" s="20" t="str">
        <f>A41</f>
        <v>EF_Rail_transport_Sub_bituminous_Coal</v>
      </c>
      <c r="F41" s="55" t="s">
        <v>283</v>
      </c>
      <c r="G41" s="1">
        <v>96100</v>
      </c>
      <c r="H41" s="1">
        <v>2</v>
      </c>
      <c r="I41" s="1">
        <v>1.5</v>
      </c>
    </row>
    <row r="42" spans="1:29" ht="15" customHeight="1" x14ac:dyDescent="0.3">
      <c r="B42" s="56"/>
    </row>
    <row r="43" spans="1:29" ht="15.75" customHeight="1" x14ac:dyDescent="0.3">
      <c r="A43" s="375" t="s">
        <v>284</v>
      </c>
      <c r="B43" s="376"/>
      <c r="C43" s="376"/>
      <c r="D43" s="376"/>
      <c r="E43" s="376"/>
      <c r="F43" s="376"/>
      <c r="G43" s="376"/>
      <c r="H43" s="376"/>
      <c r="I43" s="376"/>
      <c r="J43" s="376"/>
      <c r="K43" s="376"/>
      <c r="L43" s="376"/>
      <c r="M43" s="376"/>
    </row>
    <row r="45" spans="1:29" ht="15" thickBot="1" x14ac:dyDescent="0.35"/>
    <row r="46" spans="1:29" ht="15" customHeight="1" thickBot="1" x14ac:dyDescent="0.35">
      <c r="B46" s="384" t="s">
        <v>285</v>
      </c>
      <c r="C46" s="384"/>
      <c r="D46" s="384"/>
      <c r="G46" s="57" t="s">
        <v>285</v>
      </c>
      <c r="H46" s="57" t="s">
        <v>4</v>
      </c>
      <c r="I46" s="57" t="s">
        <v>5</v>
      </c>
    </row>
    <row r="47" spans="1:29" ht="15" customHeight="1" x14ac:dyDescent="0.3">
      <c r="B47" s="385" t="s">
        <v>286</v>
      </c>
      <c r="C47" s="385"/>
      <c r="D47" s="385"/>
      <c r="G47" s="58" t="s">
        <v>286</v>
      </c>
      <c r="H47" s="58" t="s">
        <v>286</v>
      </c>
      <c r="I47" s="58" t="s">
        <v>286</v>
      </c>
    </row>
    <row r="48" spans="1:29" ht="15" customHeight="1" x14ac:dyDescent="0.3">
      <c r="A48" s="20" t="s">
        <v>485</v>
      </c>
      <c r="B48" s="382" t="s">
        <v>287</v>
      </c>
      <c r="C48" s="382"/>
      <c r="D48" s="59">
        <v>69300</v>
      </c>
      <c r="F48" s="20" t="str">
        <f>A48</f>
        <v>EF_Water_borne_navigation_Gasoline</v>
      </c>
      <c r="G48" s="20">
        <f>VLOOKUP(F48,$A$48:$D$57,4,FALSE())</f>
        <v>69300</v>
      </c>
      <c r="H48" s="20">
        <v>7</v>
      </c>
      <c r="I48" s="20">
        <v>2</v>
      </c>
    </row>
    <row r="49" spans="1:29" ht="15" customHeight="1" x14ac:dyDescent="0.3">
      <c r="A49" s="20" t="s">
        <v>486</v>
      </c>
      <c r="B49" s="382" t="s">
        <v>288</v>
      </c>
      <c r="C49" s="382"/>
      <c r="D49" s="59">
        <v>71900</v>
      </c>
      <c r="F49" s="20" t="str">
        <f>A50</f>
        <v>EF_Water_borne_navigation_Gas_or_Diesel_Oil</v>
      </c>
      <c r="G49" s="20">
        <f>AVERAGE(D49:D51)</f>
        <v>74466.666666666672</v>
      </c>
      <c r="H49" s="20">
        <v>7</v>
      </c>
      <c r="I49" s="20">
        <v>2</v>
      </c>
    </row>
    <row r="50" spans="1:29" ht="15" customHeight="1" x14ac:dyDescent="0.3">
      <c r="A50" s="20" t="s">
        <v>487</v>
      </c>
      <c r="B50" s="382" t="s">
        <v>268</v>
      </c>
      <c r="C50" s="382"/>
      <c r="D50" s="59">
        <v>74100</v>
      </c>
      <c r="F50" s="20" t="str">
        <f>_xlfn.CONCAT("EF_",A43,"_CNG")</f>
        <v>EF_Water_borne_navigation_CNG</v>
      </c>
      <c r="G50" s="20">
        <f>AVERAGE(D53,D57)</f>
        <v>56850</v>
      </c>
      <c r="H50" s="20">
        <v>7</v>
      </c>
      <c r="I50" s="20">
        <v>2</v>
      </c>
    </row>
    <row r="51" spans="1:29" ht="15" customHeight="1" x14ac:dyDescent="0.3">
      <c r="A51" s="20" t="s">
        <v>488</v>
      </c>
      <c r="B51" s="382" t="s">
        <v>289</v>
      </c>
      <c r="C51" s="382"/>
      <c r="D51" s="59">
        <v>77400</v>
      </c>
      <c r="F51" s="20" t="str">
        <f>A52</f>
        <v>EF_Water_borne_navigation_Liquefied_Petroleum_Gases</v>
      </c>
      <c r="G51" s="20">
        <f>VLOOKUP(F51,$A$48:$D$57,4,FALSE())</f>
        <v>63100</v>
      </c>
      <c r="H51" s="20">
        <v>7</v>
      </c>
      <c r="I51" s="20">
        <v>2</v>
      </c>
    </row>
    <row r="52" spans="1:29" ht="15" customHeight="1" x14ac:dyDescent="0.3">
      <c r="A52" s="20" t="s">
        <v>489</v>
      </c>
      <c r="B52" s="382" t="s">
        <v>269</v>
      </c>
      <c r="C52" s="382"/>
      <c r="D52" s="59">
        <v>63100</v>
      </c>
      <c r="F52" s="20" t="str">
        <f>A57</f>
        <v>EF_Water_borne_navigation_Natural _Gas</v>
      </c>
      <c r="G52">
        <f>D57</f>
        <v>56100</v>
      </c>
      <c r="H52">
        <v>7</v>
      </c>
      <c r="I52">
        <v>2</v>
      </c>
    </row>
    <row r="53" spans="1:29" ht="16.2" thickBot="1" x14ac:dyDescent="0.35">
      <c r="A53" s="20" t="s">
        <v>490</v>
      </c>
      <c r="B53" s="60" t="s">
        <v>290</v>
      </c>
      <c r="C53" s="59" t="s">
        <v>291</v>
      </c>
      <c r="D53" s="59">
        <v>57600</v>
      </c>
      <c r="U53" s="378" t="s">
        <v>400</v>
      </c>
      <c r="V53" s="378"/>
      <c r="W53" s="378"/>
      <c r="X53" s="378"/>
      <c r="Y53" s="378"/>
      <c r="Z53" s="378"/>
      <c r="AA53" s="378"/>
      <c r="AB53" s="378"/>
      <c r="AC53" s="378"/>
    </row>
    <row r="54" spans="1:29" ht="15" thickBot="1" x14ac:dyDescent="0.35">
      <c r="A54" s="46" t="s">
        <v>491</v>
      </c>
      <c r="B54" s="61" t="str">
        <f>B53</f>
        <v>Other_oil</v>
      </c>
      <c r="C54" s="62" t="s">
        <v>292</v>
      </c>
      <c r="D54" s="62">
        <v>73300</v>
      </c>
      <c r="T54" s="145" t="s">
        <v>380</v>
      </c>
      <c r="U54" s="145" t="s">
        <v>376</v>
      </c>
      <c r="V54" s="146" t="s">
        <v>381</v>
      </c>
      <c r="W54" s="147" t="s">
        <v>379</v>
      </c>
      <c r="X54" s="146" t="s">
        <v>382</v>
      </c>
      <c r="Y54" s="146" t="s">
        <v>377</v>
      </c>
      <c r="Z54" s="146" t="s">
        <v>512</v>
      </c>
      <c r="AA54" s="146" t="s">
        <v>513</v>
      </c>
      <c r="AB54" s="146" t="s">
        <v>514</v>
      </c>
      <c r="AC54" s="147" t="s">
        <v>378</v>
      </c>
    </row>
    <row r="55" spans="1:29" ht="28.2" thickBot="1" x14ac:dyDescent="0.35">
      <c r="A55" s="46" t="s">
        <v>492</v>
      </c>
      <c r="B55" s="61" t="str">
        <f>B54</f>
        <v>Other_oil</v>
      </c>
      <c r="C55" s="62" t="s">
        <v>293</v>
      </c>
      <c r="D55" s="62">
        <v>73300</v>
      </c>
      <c r="T55" s="141" t="s">
        <v>383</v>
      </c>
      <c r="U55" s="379" t="s">
        <v>403</v>
      </c>
      <c r="V55" s="380"/>
      <c r="W55" s="380"/>
      <c r="X55" s="380"/>
      <c r="Y55" s="380"/>
      <c r="Z55" s="380"/>
      <c r="AA55" s="380"/>
      <c r="AB55" s="380"/>
      <c r="AC55" s="381"/>
    </row>
    <row r="56" spans="1:29" ht="27.6" x14ac:dyDescent="0.3">
      <c r="A56" s="46" t="s">
        <v>493</v>
      </c>
      <c r="B56" s="61" t="str">
        <f>B55</f>
        <v>Other_oil</v>
      </c>
      <c r="C56" s="62" t="s">
        <v>294</v>
      </c>
      <c r="D56" s="62">
        <v>73300</v>
      </c>
      <c r="T56" s="142" t="s">
        <v>384</v>
      </c>
      <c r="U56" s="145">
        <f>H9</f>
        <v>3.2</v>
      </c>
      <c r="V56" s="146">
        <f>H9</f>
        <v>3.2</v>
      </c>
      <c r="W56" s="147">
        <v>0</v>
      </c>
      <c r="X56" s="146">
        <f>H9</f>
        <v>3.2</v>
      </c>
      <c r="Y56" s="146">
        <f>H9</f>
        <v>3.2</v>
      </c>
      <c r="Z56" s="146">
        <f>I63</f>
        <v>2</v>
      </c>
      <c r="AA56" s="146">
        <v>2</v>
      </c>
      <c r="AB56" s="146">
        <v>2</v>
      </c>
      <c r="AC56" s="147">
        <f>I48</f>
        <v>2</v>
      </c>
    </row>
    <row r="57" spans="1:29" ht="15" customHeight="1" x14ac:dyDescent="0.3">
      <c r="A57" s="20" t="s">
        <v>494</v>
      </c>
      <c r="B57" s="382" t="s">
        <v>295</v>
      </c>
      <c r="C57" s="382"/>
      <c r="D57" s="59">
        <v>56100</v>
      </c>
      <c r="T57" s="143" t="s">
        <v>385</v>
      </c>
      <c r="U57" s="148">
        <f>H10</f>
        <v>3.9</v>
      </c>
      <c r="V57" s="144">
        <f>H10</f>
        <v>3.9</v>
      </c>
      <c r="W57" s="149">
        <v>0</v>
      </c>
      <c r="X57" s="144">
        <f>H10</f>
        <v>3.9</v>
      </c>
      <c r="Y57" s="144">
        <f>I40</f>
        <v>28.6</v>
      </c>
      <c r="Z57" s="144">
        <v>0</v>
      </c>
      <c r="AA57" s="144">
        <v>0</v>
      </c>
      <c r="AB57" s="144">
        <v>0</v>
      </c>
      <c r="AC57" s="149">
        <f>I49</f>
        <v>2</v>
      </c>
    </row>
    <row r="58" spans="1:29" x14ac:dyDescent="0.3">
      <c r="E58" s="63"/>
      <c r="T58" s="143" t="s">
        <v>386</v>
      </c>
      <c r="U58" s="148">
        <f>H12</f>
        <v>0.2</v>
      </c>
      <c r="V58" s="144">
        <f>H12</f>
        <v>0.2</v>
      </c>
      <c r="W58" s="149">
        <v>0</v>
      </c>
      <c r="X58" s="144">
        <f>H12</f>
        <v>0.2</v>
      </c>
      <c r="Y58" s="144">
        <v>0</v>
      </c>
      <c r="Z58" s="144">
        <v>0</v>
      </c>
      <c r="AA58" s="144">
        <v>0</v>
      </c>
      <c r="AB58" s="144">
        <v>0</v>
      </c>
      <c r="AC58" s="149">
        <f>I51</f>
        <v>2</v>
      </c>
    </row>
    <row r="59" spans="1:29" ht="15.75" customHeight="1" x14ac:dyDescent="0.3">
      <c r="A59" s="375" t="s">
        <v>296</v>
      </c>
      <c r="B59" s="376"/>
      <c r="C59" s="376"/>
      <c r="D59" s="376"/>
      <c r="E59" s="376"/>
      <c r="F59" s="376"/>
      <c r="G59" s="376"/>
      <c r="H59" s="376"/>
      <c r="I59" s="376"/>
      <c r="J59" s="376"/>
      <c r="K59" s="376"/>
      <c r="L59" s="376"/>
      <c r="M59" s="376"/>
      <c r="T59" s="143" t="s">
        <v>387</v>
      </c>
      <c r="U59" s="148">
        <f>H11</f>
        <v>3</v>
      </c>
      <c r="V59" s="144">
        <f>H11</f>
        <v>3</v>
      </c>
      <c r="W59" s="149">
        <v>0</v>
      </c>
      <c r="X59" s="144">
        <f>H11</f>
        <v>3</v>
      </c>
      <c r="Y59" s="144">
        <v>0</v>
      </c>
      <c r="Z59" s="144">
        <v>0</v>
      </c>
      <c r="AA59" s="144">
        <v>0</v>
      </c>
      <c r="AB59" s="144">
        <v>0</v>
      </c>
      <c r="AC59" s="149">
        <f>I52</f>
        <v>2</v>
      </c>
    </row>
    <row r="60" spans="1:29" ht="15" thickBot="1" x14ac:dyDescent="0.35">
      <c r="T60" s="143" t="s">
        <v>388</v>
      </c>
      <c r="U60" s="148">
        <v>0</v>
      </c>
      <c r="V60" s="144">
        <v>0</v>
      </c>
      <c r="W60" s="149">
        <v>0</v>
      </c>
      <c r="X60" s="144">
        <v>0</v>
      </c>
      <c r="Y60" s="144">
        <v>0</v>
      </c>
      <c r="Z60" s="144">
        <v>0</v>
      </c>
      <c r="AA60" s="144">
        <v>0</v>
      </c>
      <c r="AB60" s="144">
        <v>0</v>
      </c>
      <c r="AC60" s="149">
        <v>0</v>
      </c>
    </row>
    <row r="61" spans="1:29" ht="15.6" thickBot="1" x14ac:dyDescent="0.35">
      <c r="C61" s="64" t="s">
        <v>285</v>
      </c>
      <c r="G61" s="64" t="s">
        <v>285</v>
      </c>
      <c r="H61" s="64" t="s">
        <v>4</v>
      </c>
      <c r="I61" s="64" t="s">
        <v>5</v>
      </c>
      <c r="T61" s="143" t="s">
        <v>389</v>
      </c>
      <c r="U61" s="148">
        <f>H9</f>
        <v>3.2</v>
      </c>
      <c r="V61" s="144">
        <v>0</v>
      </c>
      <c r="W61" s="149">
        <v>0</v>
      </c>
      <c r="X61" s="144">
        <f>H9</f>
        <v>3.2</v>
      </c>
      <c r="Y61" s="144">
        <v>0</v>
      </c>
      <c r="Z61" s="144">
        <v>0</v>
      </c>
      <c r="AA61" s="144">
        <v>0</v>
      </c>
      <c r="AB61" s="144">
        <v>0</v>
      </c>
      <c r="AC61" s="149">
        <v>0</v>
      </c>
    </row>
    <row r="62" spans="1:29" x14ac:dyDescent="0.3">
      <c r="C62" s="65" t="s">
        <v>286</v>
      </c>
      <c r="G62" s="65" t="s">
        <v>286</v>
      </c>
      <c r="H62" s="65" t="s">
        <v>286</v>
      </c>
      <c r="I62" s="65" t="s">
        <v>286</v>
      </c>
      <c r="T62" s="143" t="s">
        <v>390</v>
      </c>
      <c r="U62" s="148">
        <f>H9</f>
        <v>3.2</v>
      </c>
      <c r="V62" s="144">
        <v>0</v>
      </c>
      <c r="W62" s="149">
        <v>0</v>
      </c>
      <c r="X62" s="144">
        <f>H9</f>
        <v>3.2</v>
      </c>
      <c r="Y62" s="144">
        <v>0</v>
      </c>
      <c r="Z62" s="144">
        <v>0</v>
      </c>
      <c r="AA62" s="144">
        <v>0</v>
      </c>
      <c r="AB62" s="144">
        <v>0</v>
      </c>
      <c r="AC62" s="149">
        <v>0</v>
      </c>
    </row>
    <row r="63" spans="1:29" x14ac:dyDescent="0.3">
      <c r="A63" s="66" t="s">
        <v>495</v>
      </c>
      <c r="B63" s="66" t="s">
        <v>297</v>
      </c>
      <c r="C63" s="66">
        <v>70000</v>
      </c>
      <c r="F63" s="66" t="s">
        <v>297</v>
      </c>
      <c r="G63" s="66">
        <v>70000</v>
      </c>
      <c r="H63" s="66">
        <v>0.5</v>
      </c>
      <c r="I63" s="66">
        <v>2</v>
      </c>
      <c r="T63" s="143" t="s">
        <v>391</v>
      </c>
      <c r="U63" s="148">
        <v>0</v>
      </c>
      <c r="V63" s="144">
        <v>0</v>
      </c>
      <c r="W63" s="149">
        <v>0</v>
      </c>
      <c r="X63" s="144">
        <v>0</v>
      </c>
      <c r="Y63" s="144">
        <v>0</v>
      </c>
      <c r="Z63" s="144">
        <v>0</v>
      </c>
      <c r="AA63" s="144">
        <v>0</v>
      </c>
      <c r="AB63" s="144">
        <v>0</v>
      </c>
      <c r="AC63" s="149">
        <v>0</v>
      </c>
    </row>
    <row r="64" spans="1:29" x14ac:dyDescent="0.3">
      <c r="A64" s="66" t="s">
        <v>496</v>
      </c>
      <c r="B64" s="66" t="s">
        <v>298</v>
      </c>
      <c r="C64" s="66">
        <v>71500</v>
      </c>
      <c r="F64" s="66" t="s">
        <v>298</v>
      </c>
      <c r="G64" s="66">
        <v>71500</v>
      </c>
      <c r="H64" s="66">
        <v>0.5</v>
      </c>
      <c r="I64" s="66">
        <v>2</v>
      </c>
      <c r="T64" s="143" t="s">
        <v>392</v>
      </c>
      <c r="U64" s="148">
        <v>0</v>
      </c>
      <c r="V64" s="144">
        <v>0</v>
      </c>
      <c r="W64" s="149">
        <v>0</v>
      </c>
      <c r="X64" s="144">
        <v>0</v>
      </c>
      <c r="Y64" s="144">
        <v>0</v>
      </c>
      <c r="Z64" s="144">
        <v>0</v>
      </c>
      <c r="AA64" s="144">
        <v>0</v>
      </c>
      <c r="AB64" s="144">
        <v>0</v>
      </c>
      <c r="AC64" s="149">
        <v>0</v>
      </c>
    </row>
    <row r="65" spans="5:29" ht="15" thickBot="1" x14ac:dyDescent="0.35">
      <c r="T65" s="141" t="s">
        <v>393</v>
      </c>
      <c r="U65" s="150">
        <v>0</v>
      </c>
      <c r="V65" s="151">
        <v>0</v>
      </c>
      <c r="W65" s="152">
        <v>0</v>
      </c>
      <c r="X65" s="151">
        <v>0</v>
      </c>
      <c r="Y65" s="151">
        <v>0</v>
      </c>
      <c r="Z65" s="151">
        <v>0</v>
      </c>
      <c r="AA65" s="151">
        <v>0</v>
      </c>
      <c r="AB65" s="151">
        <v>0</v>
      </c>
      <c r="AC65" s="152">
        <v>0</v>
      </c>
    </row>
    <row r="66" spans="5:29" ht="15" customHeight="1" x14ac:dyDescent="0.3"/>
    <row r="67" spans="5:29" ht="15" customHeight="1" x14ac:dyDescent="0.3"/>
    <row r="69" spans="5:29" ht="15" thickBot="1" x14ac:dyDescent="0.35"/>
    <row r="70" spans="5:29" ht="15.6" thickBot="1" x14ac:dyDescent="0.35">
      <c r="F70" s="64" t="s">
        <v>285</v>
      </c>
    </row>
    <row r="71" spans="5:29" x14ac:dyDescent="0.3">
      <c r="F71" s="65" t="s">
        <v>286</v>
      </c>
    </row>
    <row r="72" spans="5:29" x14ac:dyDescent="0.3">
      <c r="E72" s="66" t="str">
        <f>_xlfn.CONCAT("EF_",$A$59,"_gasoline")</f>
        <v>EF_Civil_and_military_aviation_gasoline</v>
      </c>
      <c r="F72" s="66">
        <f>AVERAGE(C63:C64)</f>
        <v>70750</v>
      </c>
    </row>
  </sheetData>
  <mergeCells count="22">
    <mergeCell ref="U7:AC7"/>
    <mergeCell ref="U9:AC9"/>
    <mergeCell ref="B57:C57"/>
    <mergeCell ref="B48:C48"/>
    <mergeCell ref="B49:C49"/>
    <mergeCell ref="B50:C50"/>
    <mergeCell ref="B51:C51"/>
    <mergeCell ref="B52:C52"/>
    <mergeCell ref="C21:D21"/>
    <mergeCell ref="B46:D46"/>
    <mergeCell ref="B47:D47"/>
    <mergeCell ref="A35:M35"/>
    <mergeCell ref="U27:AC27"/>
    <mergeCell ref="U29:AC29"/>
    <mergeCell ref="U53:AC53"/>
    <mergeCell ref="U55:AC55"/>
    <mergeCell ref="A59:M59"/>
    <mergeCell ref="A43:M43"/>
    <mergeCell ref="A4:G4"/>
    <mergeCell ref="B7:C7"/>
    <mergeCell ref="A17:G17"/>
    <mergeCell ref="C20:D20"/>
  </mergeCells>
  <pageMargins left="0.7" right="0.7" top="0.75" bottom="0.75" header="0.511811023622047" footer="0.511811023622047"/>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3:O11"/>
  <sheetViews>
    <sheetView workbookViewId="0">
      <selection activeCell="P18" sqref="P18"/>
    </sheetView>
  </sheetViews>
  <sheetFormatPr baseColWidth="10" defaultRowHeight="14.4" x14ac:dyDescent="0.3"/>
  <sheetData>
    <row r="3" spans="15:15" x14ac:dyDescent="0.3">
      <c r="O3" t="s">
        <v>535</v>
      </c>
    </row>
    <row r="6" spans="15:15" x14ac:dyDescent="0.3">
      <c r="O6" t="s">
        <v>529</v>
      </c>
    </row>
    <row r="7" spans="15:15" x14ac:dyDescent="0.3">
      <c r="O7" t="s">
        <v>530</v>
      </c>
    </row>
    <row r="8" spans="15:15" x14ac:dyDescent="0.3">
      <c r="O8" t="s">
        <v>531</v>
      </c>
    </row>
    <row r="9" spans="15:15" x14ac:dyDescent="0.3">
      <c r="O9" t="s">
        <v>532</v>
      </c>
    </row>
    <row r="10" spans="15:15" x14ac:dyDescent="0.3">
      <c r="O10" t="s">
        <v>533</v>
      </c>
    </row>
    <row r="11" spans="15:15" x14ac:dyDescent="0.3">
      <c r="O11" t="s">
        <v>534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75" zoomScaleNormal="75" workbookViewId="0">
      <selection activeCell="N52" sqref="N52"/>
    </sheetView>
  </sheetViews>
  <sheetFormatPr baseColWidth="10" defaultColWidth="10.5546875" defaultRowHeight="14.4" x14ac:dyDescent="0.3"/>
  <cols>
    <col min="13" max="13" width="15.5546875" customWidth="1"/>
  </cols>
  <sheetData>
    <row r="1" spans="1:14" x14ac:dyDescent="0.3">
      <c r="A1" t="s">
        <v>355</v>
      </c>
    </row>
    <row r="2" spans="1:14" x14ac:dyDescent="0.3">
      <c r="A2" t="s">
        <v>356</v>
      </c>
    </row>
    <row r="3" spans="1:14" x14ac:dyDescent="0.3">
      <c r="A3" t="s">
        <v>357</v>
      </c>
    </row>
    <row r="5" spans="1:14" x14ac:dyDescent="0.3">
      <c r="A5" t="s">
        <v>358</v>
      </c>
    </row>
    <row r="7" spans="1:14" x14ac:dyDescent="0.3">
      <c r="B7" s="16" t="s">
        <v>45</v>
      </c>
      <c r="C7" s="16" t="s">
        <v>48</v>
      </c>
      <c r="D7" s="16" t="s">
        <v>51</v>
      </c>
      <c r="E7" s="16" t="s">
        <v>54</v>
      </c>
      <c r="F7" s="16" t="s">
        <v>57</v>
      </c>
      <c r="G7" s="16" t="s">
        <v>60</v>
      </c>
      <c r="H7" s="16" t="s">
        <v>63</v>
      </c>
      <c r="I7" s="16" t="s">
        <v>66</v>
      </c>
      <c r="J7" s="16" t="s">
        <v>69</v>
      </c>
      <c r="K7" s="16" t="s">
        <v>164</v>
      </c>
    </row>
    <row r="8" spans="1:14" x14ac:dyDescent="0.3">
      <c r="A8" s="16">
        <v>1990</v>
      </c>
      <c r="B8" s="20">
        <v>6064650</v>
      </c>
      <c r="C8" s="20">
        <v>4810322</v>
      </c>
      <c r="D8" s="20">
        <v>30594725</v>
      </c>
      <c r="E8" s="20">
        <v>6752501</v>
      </c>
      <c r="F8" s="20">
        <v>3212852</v>
      </c>
      <c r="G8" s="20">
        <v>32219935</v>
      </c>
      <c r="H8" s="20">
        <v>13374621</v>
      </c>
      <c r="I8" s="20">
        <v>8409209</v>
      </c>
      <c r="J8" s="20">
        <v>443658</v>
      </c>
      <c r="K8" s="20" t="s">
        <v>359</v>
      </c>
    </row>
    <row r="9" spans="1:14" x14ac:dyDescent="0.3">
      <c r="A9" s="16">
        <v>1995</v>
      </c>
      <c r="B9" s="20">
        <v>7654684</v>
      </c>
      <c r="C9" s="20">
        <v>5953111</v>
      </c>
      <c r="D9" s="20">
        <v>32369489</v>
      </c>
      <c r="E9" s="20">
        <v>7497161</v>
      </c>
      <c r="F9" s="20">
        <v>3465923</v>
      </c>
      <c r="G9" s="20">
        <v>34812231</v>
      </c>
      <c r="H9" s="20">
        <v>12708740</v>
      </c>
      <c r="I9" s="20">
        <v>8589203</v>
      </c>
      <c r="J9" s="20">
        <v>448411</v>
      </c>
      <c r="K9" s="20" t="s">
        <v>359</v>
      </c>
    </row>
    <row r="10" spans="1:14" x14ac:dyDescent="0.3">
      <c r="A10" s="16">
        <v>2000</v>
      </c>
      <c r="B10" s="20">
        <v>9080924</v>
      </c>
      <c r="C10" s="20">
        <v>7402507</v>
      </c>
      <c r="D10" s="20">
        <v>34775268</v>
      </c>
      <c r="E10" s="20">
        <v>8957781</v>
      </c>
      <c r="F10" s="20">
        <v>3697770</v>
      </c>
      <c r="G10" s="20">
        <v>39051198</v>
      </c>
      <c r="H10" s="20">
        <v>12865832</v>
      </c>
      <c r="I10" s="20">
        <v>9855856</v>
      </c>
      <c r="J10" s="20">
        <v>551827</v>
      </c>
      <c r="K10" s="20" t="s">
        <v>359</v>
      </c>
    </row>
    <row r="11" spans="1:14" x14ac:dyDescent="0.3">
      <c r="A11" s="16">
        <v>2005</v>
      </c>
      <c r="B11" s="20">
        <v>9739649</v>
      </c>
      <c r="C11" s="20">
        <v>8656019</v>
      </c>
      <c r="D11" s="20">
        <v>37276438</v>
      </c>
      <c r="E11" s="20">
        <v>9779846</v>
      </c>
      <c r="F11" s="20">
        <v>3138157</v>
      </c>
      <c r="G11" s="20">
        <v>44995397</v>
      </c>
      <c r="H11" s="20">
        <v>13275410</v>
      </c>
      <c r="I11" s="20">
        <v>12353777</v>
      </c>
      <c r="J11" s="20">
        <v>505084</v>
      </c>
      <c r="K11" s="20" t="s">
        <v>359</v>
      </c>
    </row>
    <row r="12" spans="1:14" x14ac:dyDescent="0.3">
      <c r="A12" s="16">
        <v>2010</v>
      </c>
      <c r="B12" s="20">
        <v>10954585</v>
      </c>
      <c r="C12" s="20">
        <v>9443641</v>
      </c>
      <c r="D12" s="20">
        <v>38586636</v>
      </c>
      <c r="E12" s="20">
        <v>10066800</v>
      </c>
      <c r="F12" s="20">
        <v>2304432</v>
      </c>
      <c r="G12" s="20">
        <v>47992988</v>
      </c>
      <c r="H12" s="20">
        <v>12631981</v>
      </c>
      <c r="I12" s="20">
        <v>12910120</v>
      </c>
      <c r="J12" s="20">
        <v>866466</v>
      </c>
      <c r="K12" s="20" t="s">
        <v>359</v>
      </c>
    </row>
    <row r="13" spans="1:14" x14ac:dyDescent="0.3">
      <c r="A13" s="16">
        <v>2015</v>
      </c>
      <c r="B13" s="20">
        <v>12553893</v>
      </c>
      <c r="C13" s="20">
        <v>9838826</v>
      </c>
      <c r="D13" s="20">
        <v>41860220</v>
      </c>
      <c r="E13" s="20">
        <v>11693516</v>
      </c>
      <c r="F13" s="20">
        <v>1696424</v>
      </c>
      <c r="G13" s="20">
        <v>52374276</v>
      </c>
      <c r="H13" s="20">
        <v>10634679</v>
      </c>
      <c r="I13" s="20">
        <v>13982208</v>
      </c>
      <c r="J13" s="20">
        <v>520056</v>
      </c>
      <c r="K13" s="20" t="s">
        <v>359</v>
      </c>
    </row>
    <row r="14" spans="1:14" x14ac:dyDescent="0.3">
      <c r="A14" s="16">
        <v>2019</v>
      </c>
      <c r="B14" s="20">
        <v>14515436</v>
      </c>
      <c r="C14" s="20">
        <v>10151000</v>
      </c>
      <c r="D14" s="20">
        <v>44172811</v>
      </c>
      <c r="E14" s="20">
        <v>13822381</v>
      </c>
      <c r="F14" s="20">
        <v>1397019</v>
      </c>
      <c r="G14" s="20">
        <v>53206480</v>
      </c>
      <c r="H14" s="20">
        <v>10065526</v>
      </c>
      <c r="I14" s="20">
        <v>15578945</v>
      </c>
      <c r="J14" s="20">
        <v>562460</v>
      </c>
      <c r="K14" s="20" t="s">
        <v>359</v>
      </c>
    </row>
    <row r="15" spans="1:14" x14ac:dyDescent="0.3">
      <c r="M15" s="373" t="s">
        <v>360</v>
      </c>
      <c r="N15" s="373"/>
    </row>
    <row r="16" spans="1:14" x14ac:dyDescent="0.3">
      <c r="B16" s="16" t="s">
        <v>45</v>
      </c>
      <c r="C16" s="16" t="s">
        <v>48</v>
      </c>
      <c r="D16" s="16" t="s">
        <v>51</v>
      </c>
      <c r="E16" s="16" t="s">
        <v>54</v>
      </c>
      <c r="F16" s="16" t="s">
        <v>57</v>
      </c>
      <c r="G16" s="16" t="s">
        <v>60</v>
      </c>
      <c r="H16" s="16" t="s">
        <v>63</v>
      </c>
      <c r="I16" s="16" t="s">
        <v>66</v>
      </c>
      <c r="J16" s="16" t="s">
        <v>69</v>
      </c>
      <c r="K16" s="16" t="s">
        <v>164</v>
      </c>
      <c r="M16" s="20" t="str">
        <f t="array" ref="M16:M24">TRANSPOSE(B16:J16)</f>
        <v>LPG/Ethane</v>
      </c>
      <c r="N16" s="117">
        <f t="array" ref="N16:N24">TRANSPOSE(B23:J23)</f>
        <v>8.8794599992128312E-2</v>
      </c>
    </row>
    <row r="17" spans="1:14" x14ac:dyDescent="0.3">
      <c r="A17" s="16">
        <v>1990</v>
      </c>
      <c r="B17" s="117">
        <f t="shared" ref="B17:J17" si="0">B8/SUM($B8:$J8)</f>
        <v>5.7277185054036284E-2</v>
      </c>
      <c r="C17" s="117">
        <f t="shared" si="0"/>
        <v>4.5430767375446546E-2</v>
      </c>
      <c r="D17" s="117">
        <f t="shared" si="0"/>
        <v>0.28894985291852787</v>
      </c>
      <c r="E17" s="117">
        <f t="shared" si="0"/>
        <v>6.3773548243437797E-2</v>
      </c>
      <c r="F17" s="117">
        <f t="shared" si="0"/>
        <v>3.0343567815987828E-2</v>
      </c>
      <c r="G17" s="117">
        <f t="shared" si="0"/>
        <v>0.30429904106980954</v>
      </c>
      <c r="H17" s="117">
        <f t="shared" si="0"/>
        <v>0.12631572177200659</v>
      </c>
      <c r="I17" s="117">
        <f t="shared" si="0"/>
        <v>7.9420217168520421E-2</v>
      </c>
      <c r="J17" s="117">
        <f t="shared" si="0"/>
        <v>4.1900985822271074E-3</v>
      </c>
      <c r="K17" s="20" t="s">
        <v>361</v>
      </c>
      <c r="M17" s="20" t="str">
        <v>Naphtha</v>
      </c>
      <c r="N17" s="117">
        <v>6.2096239101608421E-2</v>
      </c>
    </row>
    <row r="18" spans="1:14" x14ac:dyDescent="0.3">
      <c r="A18" s="16">
        <v>1995</v>
      </c>
      <c r="B18" s="117">
        <f t="shared" ref="B18:J18" si="1">B9/SUM($B9:$J9)</f>
        <v>6.7442771917023761E-2</v>
      </c>
      <c r="C18" s="117">
        <f t="shared" si="1"/>
        <v>5.2450801021926605E-2</v>
      </c>
      <c r="D18" s="117">
        <f t="shared" si="1"/>
        <v>0.28519636652507269</v>
      </c>
      <c r="E18" s="117">
        <f t="shared" si="1"/>
        <v>6.6054891272873686E-2</v>
      </c>
      <c r="F18" s="117">
        <f t="shared" si="1"/>
        <v>3.0537048214004228E-2</v>
      </c>
      <c r="G18" s="117">
        <f t="shared" si="1"/>
        <v>0.3067185210069735</v>
      </c>
      <c r="H18" s="117">
        <f t="shared" si="1"/>
        <v>0.11197231044060821</v>
      </c>
      <c r="I18" s="117">
        <f t="shared" si="1"/>
        <v>7.5676495447495454E-2</v>
      </c>
      <c r="J18" s="117">
        <f t="shared" si="1"/>
        <v>3.9507941540218436E-3</v>
      </c>
      <c r="K18" s="20" t="s">
        <v>361</v>
      </c>
      <c r="M18" s="20" t="str">
        <v>Motor gasoline</v>
      </c>
      <c r="N18" s="117">
        <v>0.27021627757325967</v>
      </c>
    </row>
    <row r="19" spans="1:14" x14ac:dyDescent="0.3">
      <c r="A19" s="16">
        <v>2000</v>
      </c>
      <c r="B19" s="117">
        <f t="shared" ref="B19:J19" si="2">B10/SUM($B10:$J10)</f>
        <v>7.1934399524495457E-2</v>
      </c>
      <c r="C19" s="117">
        <f t="shared" si="2"/>
        <v>5.8638845124226818E-2</v>
      </c>
      <c r="D19" s="117">
        <f t="shared" si="2"/>
        <v>0.27547174955801879</v>
      </c>
      <c r="E19" s="117">
        <f t="shared" si="2"/>
        <v>7.0958924147689645E-2</v>
      </c>
      <c r="F19" s="117">
        <f t="shared" si="2"/>
        <v>2.929182807054586E-2</v>
      </c>
      <c r="G19" s="117">
        <f t="shared" si="2"/>
        <v>0.30934346315883471</v>
      </c>
      <c r="H19" s="117">
        <f t="shared" si="2"/>
        <v>0.10191648991920188</v>
      </c>
      <c r="I19" s="117">
        <f t="shared" si="2"/>
        <v>7.8073011420412258E-2</v>
      </c>
      <c r="J19" s="117">
        <f t="shared" si="2"/>
        <v>4.3712890765745596E-3</v>
      </c>
      <c r="K19" s="20" t="s">
        <v>361</v>
      </c>
      <c r="M19" s="20" t="str">
        <v>Jet kerosene</v>
      </c>
      <c r="N19" s="117">
        <v>8.4555006948037567E-2</v>
      </c>
    </row>
    <row r="20" spans="1:14" x14ac:dyDescent="0.3">
      <c r="A20" s="16">
        <v>2005</v>
      </c>
      <c r="B20" s="117">
        <f t="shared" ref="B20:J20" si="3">B11/SUM($B11:$J11)</f>
        <v>6.9708449362898717E-2</v>
      </c>
      <c r="C20" s="117">
        <f t="shared" si="3"/>
        <v>6.1952711247170111E-2</v>
      </c>
      <c r="D20" s="117">
        <f t="shared" si="3"/>
        <v>0.26679428496368129</v>
      </c>
      <c r="E20" s="117">
        <f t="shared" si="3"/>
        <v>6.99961466442936E-2</v>
      </c>
      <c r="F20" s="117">
        <f t="shared" si="3"/>
        <v>2.246036364630041E-2</v>
      </c>
      <c r="G20" s="117">
        <f t="shared" si="3"/>
        <v>0.32204028639410154</v>
      </c>
      <c r="H20" s="117">
        <f t="shared" si="3"/>
        <v>9.5014537562567114E-2</v>
      </c>
      <c r="I20" s="117">
        <f t="shared" si="3"/>
        <v>8.8418241606555092E-2</v>
      </c>
      <c r="J20" s="117">
        <f t="shared" si="3"/>
        <v>3.614978572432162E-3</v>
      </c>
      <c r="K20" s="20" t="s">
        <v>361</v>
      </c>
      <c r="M20" s="20" t="str">
        <v>Other kerosene</v>
      </c>
      <c r="N20" s="117">
        <v>8.5459192053482323E-3</v>
      </c>
    </row>
    <row r="21" spans="1:14" x14ac:dyDescent="0.3">
      <c r="A21" s="16">
        <v>2010</v>
      </c>
      <c r="B21" s="117">
        <f t="shared" ref="B21:J21" si="4">B12/SUM($B12:$J12)</f>
        <v>7.515615870011734E-2</v>
      </c>
      <c r="C21" s="117">
        <f t="shared" si="4"/>
        <v>6.4790020042104268E-2</v>
      </c>
      <c r="D21" s="117">
        <f t="shared" si="4"/>
        <v>0.26473146531061298</v>
      </c>
      <c r="E21" s="117">
        <f t="shared" si="4"/>
        <v>6.9065329120394911E-2</v>
      </c>
      <c r="F21" s="117">
        <f t="shared" si="4"/>
        <v>1.58100244879773E-2</v>
      </c>
      <c r="G21" s="117">
        <f t="shared" si="4"/>
        <v>0.32926565658314094</v>
      </c>
      <c r="H21" s="117">
        <f t="shared" si="4"/>
        <v>8.6664275162670876E-2</v>
      </c>
      <c r="I21" s="117">
        <f t="shared" si="4"/>
        <v>8.8572504349325773E-2</v>
      </c>
      <c r="J21" s="117">
        <f t="shared" si="4"/>
        <v>5.9445662436555906E-3</v>
      </c>
      <c r="K21" s="20" t="s">
        <v>361</v>
      </c>
      <c r="M21" s="20" t="str">
        <v>Gas/Diesel</v>
      </c>
      <c r="N21" s="117">
        <v>0.32547751983400125</v>
      </c>
    </row>
    <row r="22" spans="1:14" x14ac:dyDescent="0.3">
      <c r="A22" s="16">
        <v>2015</v>
      </c>
      <c r="B22" s="117">
        <f t="shared" ref="B22:J22" si="5">B13/SUM($B13:$J13)</f>
        <v>8.091241650607256E-2</v>
      </c>
      <c r="C22" s="117">
        <f t="shared" si="5"/>
        <v>6.3413252545865717E-2</v>
      </c>
      <c r="D22" s="117">
        <f t="shared" si="5"/>
        <v>0.26979770782464285</v>
      </c>
      <c r="E22" s="117">
        <f t="shared" si="5"/>
        <v>7.5367110187447323E-2</v>
      </c>
      <c r="F22" s="117">
        <f t="shared" si="5"/>
        <v>1.093380079461388E-2</v>
      </c>
      <c r="G22" s="117">
        <f t="shared" si="5"/>
        <v>0.33756295628105165</v>
      </c>
      <c r="H22" s="117">
        <f t="shared" si="5"/>
        <v>6.8542688443846325E-2</v>
      </c>
      <c r="I22" s="117">
        <f t="shared" si="5"/>
        <v>9.011819977839064E-2</v>
      </c>
      <c r="J22" s="117">
        <f t="shared" si="5"/>
        <v>3.351867638069089E-3</v>
      </c>
      <c r="K22" s="20" t="s">
        <v>361</v>
      </c>
      <c r="M22" s="20" t="str">
        <v>Fuel oil</v>
      </c>
      <c r="N22" s="117">
        <v>6.1573372985859152E-2</v>
      </c>
    </row>
    <row r="23" spans="1:14" x14ac:dyDescent="0.3">
      <c r="A23" s="16">
        <v>2019</v>
      </c>
      <c r="B23" s="117">
        <f t="shared" ref="B23:J23" si="6">B14/SUM($B14:$J14)</f>
        <v>8.8794599992128312E-2</v>
      </c>
      <c r="C23" s="117">
        <f t="shared" si="6"/>
        <v>6.2096239101608421E-2</v>
      </c>
      <c r="D23" s="117">
        <f t="shared" si="6"/>
        <v>0.27021627757325967</v>
      </c>
      <c r="E23" s="117">
        <f t="shared" si="6"/>
        <v>8.4555006948037567E-2</v>
      </c>
      <c r="F23" s="117">
        <f t="shared" si="6"/>
        <v>8.5459192053482323E-3</v>
      </c>
      <c r="G23" s="117">
        <f t="shared" si="6"/>
        <v>0.32547751983400125</v>
      </c>
      <c r="H23" s="117">
        <f t="shared" si="6"/>
        <v>6.1573372985859152E-2</v>
      </c>
      <c r="I23" s="117">
        <f t="shared" si="6"/>
        <v>9.5300354021358197E-2</v>
      </c>
      <c r="J23" s="117">
        <f t="shared" si="6"/>
        <v>3.4407103383992388E-3</v>
      </c>
      <c r="K23" s="20" t="s">
        <v>361</v>
      </c>
      <c r="M23" s="20" t="str">
        <v>Other oil products</v>
      </c>
      <c r="N23" s="117">
        <v>9.5300354021358197E-2</v>
      </c>
    </row>
    <row r="24" spans="1:14" x14ac:dyDescent="0.3">
      <c r="M24" s="20" t="str">
        <v>Crude oil/NGL</v>
      </c>
      <c r="N24" s="117">
        <v>3.4407103383992388E-3</v>
      </c>
    </row>
  </sheetData>
  <mergeCells count="1">
    <mergeCell ref="M15:N15"/>
  </mergeCell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75" zoomScaleNormal="75" workbookViewId="0">
      <selection activeCell="M16" sqref="M16"/>
    </sheetView>
  </sheetViews>
  <sheetFormatPr baseColWidth="10" defaultColWidth="10.5546875" defaultRowHeight="14.4" x14ac:dyDescent="0.3"/>
  <sheetData>
    <row r="1" spans="1:14" x14ac:dyDescent="0.3">
      <c r="A1" t="s">
        <v>355</v>
      </c>
    </row>
    <row r="2" spans="1:14" x14ac:dyDescent="0.3">
      <c r="A2" t="s">
        <v>356</v>
      </c>
    </row>
    <row r="3" spans="1:14" x14ac:dyDescent="0.3">
      <c r="A3" t="s">
        <v>357</v>
      </c>
    </row>
    <row r="5" spans="1:14" x14ac:dyDescent="0.3">
      <c r="A5" t="s">
        <v>362</v>
      </c>
    </row>
    <row r="7" spans="1:14" x14ac:dyDescent="0.3">
      <c r="B7" s="16" t="s">
        <v>45</v>
      </c>
      <c r="C7" s="16" t="s">
        <v>48</v>
      </c>
      <c r="D7" s="16" t="s">
        <v>51</v>
      </c>
      <c r="E7" s="16" t="s">
        <v>54</v>
      </c>
      <c r="F7" s="16" t="s">
        <v>57</v>
      </c>
      <c r="G7" s="16" t="s">
        <v>60</v>
      </c>
      <c r="H7" s="16" t="s">
        <v>63</v>
      </c>
      <c r="I7" s="16" t="s">
        <v>66</v>
      </c>
      <c r="J7" s="16" t="s">
        <v>69</v>
      </c>
      <c r="K7" s="16" t="s">
        <v>164</v>
      </c>
    </row>
    <row r="8" spans="1:14" x14ac:dyDescent="0.3">
      <c r="A8" s="16">
        <v>1990</v>
      </c>
      <c r="B8" s="20">
        <v>1021881</v>
      </c>
      <c r="C8" s="20">
        <v>1539399</v>
      </c>
      <c r="D8" s="20">
        <v>6603819</v>
      </c>
      <c r="E8" s="20">
        <v>216684</v>
      </c>
      <c r="F8" s="20">
        <v>327366</v>
      </c>
      <c r="G8" s="20">
        <v>10443920</v>
      </c>
      <c r="H8" s="20">
        <v>2656106</v>
      </c>
      <c r="I8" s="20">
        <v>2625793</v>
      </c>
      <c r="J8" s="20">
        <v>81452</v>
      </c>
      <c r="K8" s="20" t="s">
        <v>359</v>
      </c>
    </row>
    <row r="9" spans="1:14" x14ac:dyDescent="0.3">
      <c r="A9" s="16">
        <v>1995</v>
      </c>
      <c r="B9" s="20">
        <v>1227253</v>
      </c>
      <c r="C9" s="20">
        <v>1809387</v>
      </c>
      <c r="D9" s="20">
        <v>6269938</v>
      </c>
      <c r="E9" s="20">
        <v>254725</v>
      </c>
      <c r="F9" s="20">
        <v>214071</v>
      </c>
      <c r="G9" s="20">
        <v>10671821</v>
      </c>
      <c r="H9" s="20">
        <v>2025448</v>
      </c>
      <c r="I9" s="20">
        <v>2192167</v>
      </c>
      <c r="J9" s="20">
        <v>80657</v>
      </c>
      <c r="K9" s="20" t="s">
        <v>359</v>
      </c>
    </row>
    <row r="10" spans="1:14" x14ac:dyDescent="0.3">
      <c r="A10" s="16">
        <v>2000</v>
      </c>
      <c r="B10" s="20">
        <v>1277697</v>
      </c>
      <c r="C10" s="20">
        <v>1909082</v>
      </c>
      <c r="D10" s="20">
        <v>6038728</v>
      </c>
      <c r="E10" s="20">
        <v>334596</v>
      </c>
      <c r="F10" s="20">
        <v>247238</v>
      </c>
      <c r="G10" s="20">
        <v>11523162</v>
      </c>
      <c r="H10" s="20">
        <v>1379696</v>
      </c>
      <c r="I10" s="20">
        <v>2415348</v>
      </c>
      <c r="J10" s="20">
        <v>111586</v>
      </c>
      <c r="K10" s="20" t="s">
        <v>359</v>
      </c>
    </row>
    <row r="11" spans="1:14" x14ac:dyDescent="0.3">
      <c r="A11" s="16">
        <v>2005</v>
      </c>
      <c r="B11" s="20">
        <v>1417625</v>
      </c>
      <c r="C11" s="20">
        <v>1866128</v>
      </c>
      <c r="D11" s="20">
        <v>5382350</v>
      </c>
      <c r="E11" s="20">
        <v>353620</v>
      </c>
      <c r="F11" s="20">
        <v>248820</v>
      </c>
      <c r="G11" s="20">
        <v>12945799</v>
      </c>
      <c r="H11" s="20">
        <v>1061648</v>
      </c>
      <c r="I11" s="20">
        <v>2731368</v>
      </c>
      <c r="J11" s="20">
        <v>135363</v>
      </c>
      <c r="K11" s="20" t="s">
        <v>359</v>
      </c>
    </row>
    <row r="12" spans="1:14" x14ac:dyDescent="0.3">
      <c r="A12" s="16">
        <v>2010</v>
      </c>
      <c r="B12" s="20">
        <v>1406046</v>
      </c>
      <c r="C12" s="20">
        <v>1696553</v>
      </c>
      <c r="D12" s="20">
        <v>4365634</v>
      </c>
      <c r="E12" s="20">
        <v>319266</v>
      </c>
      <c r="F12" s="20">
        <v>264886</v>
      </c>
      <c r="G12" s="20">
        <v>12805537</v>
      </c>
      <c r="H12" s="20">
        <v>599131</v>
      </c>
      <c r="I12" s="20">
        <v>2530375</v>
      </c>
      <c r="J12" s="20">
        <v>112389</v>
      </c>
      <c r="K12" s="20" t="s">
        <v>359</v>
      </c>
    </row>
    <row r="13" spans="1:14" x14ac:dyDescent="0.3">
      <c r="A13" s="16">
        <v>2015</v>
      </c>
      <c r="B13" s="20">
        <v>1510836</v>
      </c>
      <c r="C13" s="20">
        <v>1464985</v>
      </c>
      <c r="D13" s="20">
        <v>3689413</v>
      </c>
      <c r="E13" s="20">
        <v>363024</v>
      </c>
      <c r="F13" s="20">
        <v>201679</v>
      </c>
      <c r="G13" s="20">
        <v>12705689</v>
      </c>
      <c r="H13" s="20">
        <v>369575</v>
      </c>
      <c r="I13" s="20">
        <v>2166034</v>
      </c>
      <c r="J13" s="20">
        <v>87881</v>
      </c>
      <c r="K13" s="20" t="s">
        <v>359</v>
      </c>
    </row>
    <row r="14" spans="1:14" x14ac:dyDescent="0.3">
      <c r="A14" s="16">
        <v>2019</v>
      </c>
      <c r="B14" s="20">
        <v>1633785</v>
      </c>
      <c r="C14" s="20">
        <v>1382978</v>
      </c>
      <c r="D14" s="20">
        <v>3858928</v>
      </c>
      <c r="E14" s="20">
        <v>399162</v>
      </c>
      <c r="F14" s="20">
        <v>209070</v>
      </c>
      <c r="G14" s="20">
        <v>13087529</v>
      </c>
      <c r="H14" s="20">
        <v>255223</v>
      </c>
      <c r="I14" s="20">
        <v>2208148</v>
      </c>
      <c r="J14" s="20">
        <v>59485</v>
      </c>
      <c r="K14" s="20" t="s">
        <v>359</v>
      </c>
    </row>
    <row r="15" spans="1:14" x14ac:dyDescent="0.3">
      <c r="M15" s="373" t="s">
        <v>360</v>
      </c>
      <c r="N15" s="373"/>
    </row>
    <row r="16" spans="1:14" x14ac:dyDescent="0.3">
      <c r="B16" s="16" t="s">
        <v>45</v>
      </c>
      <c r="C16" s="16" t="s">
        <v>48</v>
      </c>
      <c r="D16" s="16" t="s">
        <v>51</v>
      </c>
      <c r="E16" s="16" t="s">
        <v>54</v>
      </c>
      <c r="F16" s="16" t="s">
        <v>57</v>
      </c>
      <c r="G16" s="16" t="s">
        <v>60</v>
      </c>
      <c r="H16" s="16" t="s">
        <v>63</v>
      </c>
      <c r="I16" s="16" t="s">
        <v>66</v>
      </c>
      <c r="J16" s="16" t="s">
        <v>69</v>
      </c>
      <c r="K16" s="16" t="s">
        <v>164</v>
      </c>
      <c r="M16" s="20" t="str">
        <f t="array" ref="M16:M24">TRANSPOSE(B16:J16)</f>
        <v>LPG/Ethane</v>
      </c>
      <c r="N16" s="117">
        <f t="array" ref="N16:N24">TRANSPOSE(B23:J23)</f>
        <v>7.0744055201827222E-2</v>
      </c>
    </row>
    <row r="17" spans="1:14" x14ac:dyDescent="0.3">
      <c r="A17" s="16">
        <v>1990</v>
      </c>
      <c r="B17" s="117">
        <f t="shared" ref="B17:J17" si="0">B8/SUM($B8:$J8)</f>
        <v>4.0047976949744518E-2</v>
      </c>
      <c r="C17" s="117">
        <f t="shared" si="0"/>
        <v>6.0329740614083013E-2</v>
      </c>
      <c r="D17" s="117">
        <f t="shared" si="0"/>
        <v>0.25880664293815514</v>
      </c>
      <c r="E17" s="117">
        <f t="shared" si="0"/>
        <v>8.4919436190500075E-3</v>
      </c>
      <c r="F17" s="117">
        <f t="shared" si="0"/>
        <v>1.2829621083208381E-2</v>
      </c>
      <c r="G17" s="117">
        <f t="shared" si="0"/>
        <v>0.40930193185407671</v>
      </c>
      <c r="H17" s="117">
        <f t="shared" si="0"/>
        <v>0.10409399124171807</v>
      </c>
      <c r="I17" s="117">
        <f t="shared" si="0"/>
        <v>0.10290601110970897</v>
      </c>
      <c r="J17" s="117">
        <f t="shared" si="0"/>
        <v>3.1921405902552162E-3</v>
      </c>
      <c r="K17" s="20" t="s">
        <v>361</v>
      </c>
      <c r="M17" s="20" t="str">
        <v>Naphtha</v>
      </c>
      <c r="N17" s="117">
        <v>5.9883933305124364E-2</v>
      </c>
    </row>
    <row r="18" spans="1:14" x14ac:dyDescent="0.3">
      <c r="A18" s="16">
        <v>1995</v>
      </c>
      <c r="B18" s="117">
        <f t="shared" ref="B18:J18" si="1">B9/SUM($B9:$J9)</f>
        <v>4.9595063208950553E-2</v>
      </c>
      <c r="C18" s="117">
        <f t="shared" si="1"/>
        <v>7.3119937481883043E-2</v>
      </c>
      <c r="D18" s="117">
        <f t="shared" si="1"/>
        <v>0.25337723470726981</v>
      </c>
      <c r="E18" s="117">
        <f t="shared" si="1"/>
        <v>1.0293804517813303E-2</v>
      </c>
      <c r="F18" s="117">
        <f t="shared" si="1"/>
        <v>8.6509177620288993E-3</v>
      </c>
      <c r="G18" s="117">
        <f t="shared" si="1"/>
        <v>0.43126367346391159</v>
      </c>
      <c r="H18" s="117">
        <f t="shared" si="1"/>
        <v>8.1851274013135411E-2</v>
      </c>
      <c r="I18" s="117">
        <f t="shared" si="1"/>
        <v>8.8588629182063935E-2</v>
      </c>
      <c r="J18" s="117">
        <f t="shared" si="1"/>
        <v>3.2594656629434393E-3</v>
      </c>
      <c r="K18" s="20" t="s">
        <v>361</v>
      </c>
      <c r="M18" s="20" t="str">
        <v>Motor gasoline</v>
      </c>
      <c r="N18" s="117">
        <v>0.16709433337426693</v>
      </c>
    </row>
    <row r="19" spans="1:14" x14ac:dyDescent="0.3">
      <c r="A19" s="16">
        <v>2000</v>
      </c>
      <c r="B19" s="117">
        <f t="shared" ref="B19:J19" si="2">B10/SUM($B10:$J10)</f>
        <v>5.0627660439876432E-2</v>
      </c>
      <c r="C19" s="117">
        <f t="shared" si="2"/>
        <v>7.5645755799598952E-2</v>
      </c>
      <c r="D19" s="117">
        <f t="shared" si="2"/>
        <v>0.23927947758566712</v>
      </c>
      <c r="E19" s="117">
        <f t="shared" si="2"/>
        <v>1.3258082841660343E-2</v>
      </c>
      <c r="F19" s="117">
        <f t="shared" si="2"/>
        <v>9.796596150600783E-3</v>
      </c>
      <c r="G19" s="117">
        <f t="shared" si="2"/>
        <v>0.45659552533166109</v>
      </c>
      <c r="H19" s="117">
        <f t="shared" si="2"/>
        <v>5.4669284343827805E-2</v>
      </c>
      <c r="I19" s="117">
        <f t="shared" si="2"/>
        <v>9.5706116855666615E-2</v>
      </c>
      <c r="J19" s="117">
        <f t="shared" si="2"/>
        <v>4.4215006514408744E-3</v>
      </c>
      <c r="K19" s="20" t="s">
        <v>361</v>
      </c>
      <c r="M19" s="20" t="str">
        <v>Jet kerosene</v>
      </c>
      <c r="N19" s="117">
        <v>1.7283999156848518E-2</v>
      </c>
    </row>
    <row r="20" spans="1:14" x14ac:dyDescent="0.3">
      <c r="A20" s="16">
        <v>2005</v>
      </c>
      <c r="B20" s="117">
        <f t="shared" ref="B20:J20" si="3">B11/SUM($B11:$J11)</f>
        <v>5.4226375288172951E-2</v>
      </c>
      <c r="C20" s="117">
        <f t="shared" si="3"/>
        <v>7.1382317089334346E-2</v>
      </c>
      <c r="D20" s="117">
        <f t="shared" si="3"/>
        <v>0.20588331260544762</v>
      </c>
      <c r="E20" s="117">
        <f t="shared" si="3"/>
        <v>1.3526518528809607E-2</v>
      </c>
      <c r="F20" s="117">
        <f t="shared" si="3"/>
        <v>9.5177544831695216E-3</v>
      </c>
      <c r="G20" s="117">
        <f t="shared" si="3"/>
        <v>0.4951970760809481</v>
      </c>
      <c r="H20" s="117">
        <f t="shared" si="3"/>
        <v>4.0609697819901765E-2</v>
      </c>
      <c r="I20" s="117">
        <f t="shared" si="3"/>
        <v>0.10447910146767049</v>
      </c>
      <c r="J20" s="117">
        <f t="shared" si="3"/>
        <v>5.1778466365455991E-3</v>
      </c>
      <c r="K20" s="20" t="s">
        <v>361</v>
      </c>
      <c r="M20" s="20" t="str">
        <v>Other kerosene</v>
      </c>
      <c r="N20" s="117">
        <v>9.0528800429958752E-3</v>
      </c>
    </row>
    <row r="21" spans="1:14" x14ac:dyDescent="0.3">
      <c r="A21" s="16">
        <v>2010</v>
      </c>
      <c r="B21" s="117">
        <f t="shared" ref="B21:J21" si="4">B12/SUM($B12:$J12)</f>
        <v>5.8342600692777045E-2</v>
      </c>
      <c r="C21" s="117">
        <f t="shared" si="4"/>
        <v>7.0396924590755194E-2</v>
      </c>
      <c r="D21" s="117">
        <f t="shared" si="4"/>
        <v>0.18114801452641735</v>
      </c>
      <c r="E21" s="117">
        <f t="shared" si="4"/>
        <v>1.3247652461427404E-2</v>
      </c>
      <c r="F21" s="117">
        <f t="shared" si="4"/>
        <v>1.099120379212838E-2</v>
      </c>
      <c r="G21" s="117">
        <f t="shared" si="4"/>
        <v>0.53135411775118457</v>
      </c>
      <c r="H21" s="117">
        <f t="shared" si="4"/>
        <v>2.4860396242842839E-2</v>
      </c>
      <c r="I21" s="117">
        <f t="shared" si="4"/>
        <v>0.10499561054758216</v>
      </c>
      <c r="J21" s="117">
        <f t="shared" si="4"/>
        <v>4.6634793948850317E-3</v>
      </c>
      <c r="K21" s="20" t="s">
        <v>361</v>
      </c>
      <c r="M21" s="20" t="str">
        <v>Gas/Diesel</v>
      </c>
      <c r="N21" s="117">
        <v>0.5666993356111818</v>
      </c>
    </row>
    <row r="22" spans="1:14" x14ac:dyDescent="0.3">
      <c r="A22" s="16">
        <v>2015</v>
      </c>
      <c r="B22" s="117">
        <f t="shared" ref="B22:J22" si="5">B13/SUM($B13:$J13)</f>
        <v>6.6972305120466605E-2</v>
      </c>
      <c r="C22" s="117">
        <f t="shared" si="5"/>
        <v>6.493982299661033E-2</v>
      </c>
      <c r="D22" s="117">
        <f t="shared" si="5"/>
        <v>0.16354421866530586</v>
      </c>
      <c r="E22" s="117">
        <f t="shared" si="5"/>
        <v>1.6092119921720337E-2</v>
      </c>
      <c r="F22" s="117">
        <f t="shared" si="5"/>
        <v>8.9400222951998651E-3</v>
      </c>
      <c r="G22" s="117">
        <f t="shared" si="5"/>
        <v>0.56321750373551871</v>
      </c>
      <c r="H22" s="117">
        <f t="shared" si="5"/>
        <v>1.6382512506252462E-2</v>
      </c>
      <c r="I22" s="117">
        <f t="shared" si="5"/>
        <v>9.6015907715532825E-2</v>
      </c>
      <c r="J22" s="117">
        <f t="shared" si="5"/>
        <v>3.8955870433930125E-3</v>
      </c>
      <c r="K22" s="20" t="s">
        <v>361</v>
      </c>
      <c r="M22" s="20" t="str">
        <v>Fuel oil</v>
      </c>
      <c r="N22" s="117">
        <v>1.1051337844805742E-2</v>
      </c>
    </row>
    <row r="23" spans="1:14" x14ac:dyDescent="0.3">
      <c r="A23" s="16">
        <v>2019</v>
      </c>
      <c r="B23" s="117">
        <f t="shared" ref="B23:J23" si="6">B14/SUM($B14:$J14)</f>
        <v>7.0744055201827222E-2</v>
      </c>
      <c r="C23" s="117">
        <f t="shared" si="6"/>
        <v>5.9883933305124364E-2</v>
      </c>
      <c r="D23" s="117">
        <f t="shared" si="6"/>
        <v>0.16709433337426693</v>
      </c>
      <c r="E23" s="117">
        <f t="shared" si="6"/>
        <v>1.7283999156848518E-2</v>
      </c>
      <c r="F23" s="117">
        <f t="shared" si="6"/>
        <v>9.0528800429958752E-3</v>
      </c>
      <c r="G23" s="117">
        <f t="shared" si="6"/>
        <v>0.5666993356111818</v>
      </c>
      <c r="H23" s="117">
        <f t="shared" si="6"/>
        <v>1.1051337844805742E-2</v>
      </c>
      <c r="I23" s="117">
        <f t="shared" si="6"/>
        <v>9.5614382556948666E-2</v>
      </c>
      <c r="J23" s="117">
        <f t="shared" si="6"/>
        <v>2.5757429060009073E-3</v>
      </c>
      <c r="K23" s="20" t="s">
        <v>361</v>
      </c>
      <c r="M23" s="20" t="str">
        <v>Other oil products</v>
      </c>
      <c r="N23" s="117">
        <v>9.5614382556948666E-2</v>
      </c>
    </row>
    <row r="24" spans="1:14" x14ac:dyDescent="0.3">
      <c r="M24" s="20" t="str">
        <v>Crude oil/NGL</v>
      </c>
      <c r="N24" s="117">
        <v>2.5757429060009073E-3</v>
      </c>
    </row>
  </sheetData>
  <mergeCells count="1">
    <mergeCell ref="M15:N15"/>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zoomScale="75" zoomScaleNormal="75" workbookViewId="0">
      <selection activeCell="M11" sqref="M11"/>
    </sheetView>
  </sheetViews>
  <sheetFormatPr baseColWidth="10" defaultColWidth="10.5546875" defaultRowHeight="14.4" x14ac:dyDescent="0.3"/>
  <sheetData>
    <row r="1" spans="1:14" x14ac:dyDescent="0.3">
      <c r="A1" t="s">
        <v>355</v>
      </c>
    </row>
    <row r="2" spans="1:14" x14ac:dyDescent="0.3">
      <c r="A2" t="s">
        <v>356</v>
      </c>
    </row>
    <row r="3" spans="1:14" x14ac:dyDescent="0.3">
      <c r="A3" t="s">
        <v>357</v>
      </c>
    </row>
    <row r="5" spans="1:14" x14ac:dyDescent="0.3">
      <c r="A5" t="s">
        <v>363</v>
      </c>
    </row>
    <row r="7" spans="1:14" x14ac:dyDescent="0.3">
      <c r="B7" s="16" t="s">
        <v>45</v>
      </c>
      <c r="C7" s="16" t="s">
        <v>48</v>
      </c>
      <c r="D7" s="16" t="s">
        <v>51</v>
      </c>
      <c r="E7" s="16" t="s">
        <v>54</v>
      </c>
      <c r="F7" s="16" t="s">
        <v>57</v>
      </c>
      <c r="G7" s="16" t="s">
        <v>60</v>
      </c>
      <c r="H7" s="16" t="s">
        <v>63</v>
      </c>
      <c r="I7" s="16" t="s">
        <v>66</v>
      </c>
      <c r="J7" s="16" t="s">
        <v>69</v>
      </c>
      <c r="K7" s="16" t="s">
        <v>164</v>
      </c>
    </row>
    <row r="8" spans="1:14" x14ac:dyDescent="0.3">
      <c r="A8" s="16">
        <v>1990</v>
      </c>
      <c r="B8" s="20">
        <v>824138</v>
      </c>
      <c r="C8" s="20">
        <v>1424052</v>
      </c>
      <c r="D8" s="20">
        <v>5529528</v>
      </c>
      <c r="E8" s="20">
        <v>195331</v>
      </c>
      <c r="F8" s="20">
        <v>158889</v>
      </c>
      <c r="G8" s="20">
        <v>8839748</v>
      </c>
      <c r="H8" s="20">
        <v>1884437</v>
      </c>
      <c r="I8" s="20">
        <v>1839429</v>
      </c>
      <c r="J8" s="20">
        <v>81452</v>
      </c>
      <c r="K8" s="20" t="s">
        <v>359</v>
      </c>
    </row>
    <row r="9" spans="1:14" x14ac:dyDescent="0.3">
      <c r="A9" s="16">
        <v>1995</v>
      </c>
      <c r="B9" s="20">
        <v>951971</v>
      </c>
      <c r="C9" s="20">
        <v>1719454</v>
      </c>
      <c r="D9" s="20">
        <v>5503670</v>
      </c>
      <c r="E9" s="20">
        <v>206660</v>
      </c>
      <c r="F9" s="20">
        <v>185643</v>
      </c>
      <c r="G9" s="20">
        <v>9418628</v>
      </c>
      <c r="H9" s="20">
        <v>1472079</v>
      </c>
      <c r="I9" s="20">
        <v>1872881</v>
      </c>
      <c r="J9" s="20">
        <v>79778</v>
      </c>
      <c r="K9" s="20" t="s">
        <v>359</v>
      </c>
    </row>
    <row r="10" spans="1:14" x14ac:dyDescent="0.3">
      <c r="A10" s="16">
        <v>2000</v>
      </c>
      <c r="B10" s="20">
        <v>989393</v>
      </c>
      <c r="C10" s="20">
        <v>1811111</v>
      </c>
      <c r="D10" s="20">
        <v>5311564</v>
      </c>
      <c r="E10" s="20">
        <v>288751</v>
      </c>
      <c r="F10" s="20">
        <v>221154</v>
      </c>
      <c r="G10" s="20">
        <v>10329631</v>
      </c>
      <c r="H10" s="20">
        <v>1077995</v>
      </c>
      <c r="I10" s="20">
        <v>2064327</v>
      </c>
      <c r="J10" s="20">
        <v>111586</v>
      </c>
      <c r="K10" s="20" t="s">
        <v>359</v>
      </c>
    </row>
    <row r="11" spans="1:14" x14ac:dyDescent="0.3">
      <c r="A11" s="16">
        <v>2005</v>
      </c>
      <c r="B11" s="20">
        <v>1102442</v>
      </c>
      <c r="C11" s="20">
        <v>1799013</v>
      </c>
      <c r="D11" s="20">
        <v>4631741</v>
      </c>
      <c r="E11" s="20">
        <v>300699</v>
      </c>
      <c r="F11" s="20">
        <v>228808</v>
      </c>
      <c r="G11" s="20">
        <v>11544980</v>
      </c>
      <c r="H11" s="20">
        <v>793442</v>
      </c>
      <c r="I11" s="20">
        <v>2314824</v>
      </c>
      <c r="J11" s="20">
        <v>134400</v>
      </c>
      <c r="K11" s="20" t="s">
        <v>359</v>
      </c>
    </row>
    <row r="12" spans="1:14" x14ac:dyDescent="0.3">
      <c r="A12" s="16">
        <v>2010</v>
      </c>
      <c r="B12" s="20">
        <v>1086761</v>
      </c>
      <c r="C12" s="20">
        <v>1610137</v>
      </c>
      <c r="D12" s="20">
        <v>3688880</v>
      </c>
      <c r="E12" s="20">
        <v>284222</v>
      </c>
      <c r="F12" s="20">
        <v>242822</v>
      </c>
      <c r="G12" s="20">
        <v>11095564</v>
      </c>
      <c r="H12" s="20">
        <v>501830</v>
      </c>
      <c r="I12" s="20">
        <v>2022809</v>
      </c>
      <c r="J12" s="20">
        <v>111970</v>
      </c>
      <c r="K12" s="20" t="s">
        <v>359</v>
      </c>
    </row>
    <row r="13" spans="1:14" x14ac:dyDescent="0.3">
      <c r="A13" s="16">
        <v>2015</v>
      </c>
      <c r="B13" s="20">
        <v>1193673</v>
      </c>
      <c r="C13" s="20">
        <v>1405264</v>
      </c>
      <c r="D13" s="20">
        <v>3147555</v>
      </c>
      <c r="E13" s="20">
        <v>290773</v>
      </c>
      <c r="F13" s="20">
        <v>187473</v>
      </c>
      <c r="G13" s="20">
        <v>10819335</v>
      </c>
      <c r="H13" s="20">
        <v>318970</v>
      </c>
      <c r="I13" s="20">
        <v>1631506</v>
      </c>
      <c r="J13" s="20">
        <v>87546</v>
      </c>
      <c r="K13" s="20" t="s">
        <v>359</v>
      </c>
    </row>
    <row r="14" spans="1:14" x14ac:dyDescent="0.3">
      <c r="A14" s="16">
        <v>2019</v>
      </c>
      <c r="B14" s="20">
        <v>1264313</v>
      </c>
      <c r="C14" s="20">
        <v>1297170</v>
      </c>
      <c r="D14" s="20">
        <v>3339753</v>
      </c>
      <c r="E14" s="20">
        <v>329692</v>
      </c>
      <c r="F14" s="20">
        <v>199047</v>
      </c>
      <c r="G14" s="20">
        <v>11019868</v>
      </c>
      <c r="H14" s="20">
        <v>224053</v>
      </c>
      <c r="I14" s="20">
        <v>1624618</v>
      </c>
      <c r="J14" s="20">
        <v>58920</v>
      </c>
      <c r="K14" s="20" t="s">
        <v>359</v>
      </c>
    </row>
    <row r="15" spans="1:14" x14ac:dyDescent="0.3">
      <c r="M15" s="373" t="s">
        <v>360</v>
      </c>
      <c r="N15" s="373"/>
    </row>
    <row r="16" spans="1:14" x14ac:dyDescent="0.3">
      <c r="B16" s="16" t="s">
        <v>45</v>
      </c>
      <c r="C16" s="16" t="s">
        <v>48</v>
      </c>
      <c r="D16" s="16" t="s">
        <v>51</v>
      </c>
      <c r="E16" s="16" t="s">
        <v>54</v>
      </c>
      <c r="F16" s="16" t="s">
        <v>57</v>
      </c>
      <c r="G16" s="16" t="s">
        <v>60</v>
      </c>
      <c r="H16" s="16" t="s">
        <v>63</v>
      </c>
      <c r="I16" s="16" t="s">
        <v>66</v>
      </c>
      <c r="J16" s="16" t="s">
        <v>69</v>
      </c>
      <c r="K16" s="16" t="s">
        <v>164</v>
      </c>
      <c r="M16" s="20" t="str">
        <f t="array" ref="M16:M24">TRANSPOSE(B16:J16)</f>
        <v>LPG/Ethane</v>
      </c>
      <c r="N16" s="117">
        <f t="array" ref="N16:N24">TRANSPOSE(B23:J23)</f>
        <v>6.5314080368296751E-2</v>
      </c>
    </row>
    <row r="17" spans="1:14" x14ac:dyDescent="0.3">
      <c r="A17" s="16">
        <v>1990</v>
      </c>
      <c r="B17" s="117">
        <f t="shared" ref="B17:J17" si="0">B8/SUM($B8:$J8)</f>
        <v>3.966587290448613E-2</v>
      </c>
      <c r="C17" s="117">
        <f t="shared" si="0"/>
        <v>6.853981449876026E-2</v>
      </c>
      <c r="D17" s="117">
        <f t="shared" si="0"/>
        <v>0.26613692715273096</v>
      </c>
      <c r="E17" s="117">
        <f t="shared" si="0"/>
        <v>9.4013073299692301E-3</v>
      </c>
      <c r="F17" s="117">
        <f t="shared" si="0"/>
        <v>7.647348963305778E-3</v>
      </c>
      <c r="G17" s="117">
        <f t="shared" si="0"/>
        <v>0.42545826145097726</v>
      </c>
      <c r="H17" s="117">
        <f t="shared" si="0"/>
        <v>9.0698206536418816E-2</v>
      </c>
      <c r="I17" s="117">
        <f t="shared" si="0"/>
        <v>8.8531965436402668E-2</v>
      </c>
      <c r="J17" s="117">
        <f t="shared" si="0"/>
        <v>3.9202957269488898E-3</v>
      </c>
      <c r="K17" s="20" t="s">
        <v>361</v>
      </c>
      <c r="M17" s="20" t="str">
        <v>Naphtha</v>
      </c>
      <c r="N17" s="117">
        <v>6.7011464432734216E-2</v>
      </c>
    </row>
    <row r="18" spans="1:14" x14ac:dyDescent="0.3">
      <c r="A18" s="16">
        <v>1995</v>
      </c>
      <c r="B18" s="117">
        <f t="shared" ref="B18:J18" si="1">B9/SUM($B9:$J9)</f>
        <v>4.446226206594029E-2</v>
      </c>
      <c r="C18" s="117">
        <f t="shared" si="1"/>
        <v>8.0307923621968841E-2</v>
      </c>
      <c r="D18" s="117">
        <f t="shared" si="1"/>
        <v>0.25705154659590851</v>
      </c>
      <c r="E18" s="117">
        <f t="shared" si="1"/>
        <v>9.6521544023370678E-3</v>
      </c>
      <c r="F18" s="117">
        <f t="shared" si="1"/>
        <v>8.6705453387838013E-3</v>
      </c>
      <c r="G18" s="117">
        <f t="shared" si="1"/>
        <v>0.43990153737624682</v>
      </c>
      <c r="H18" s="117">
        <f t="shared" si="1"/>
        <v>6.8754155620042334E-2</v>
      </c>
      <c r="I18" s="117">
        <f t="shared" si="1"/>
        <v>8.747380523179836E-2</v>
      </c>
      <c r="J18" s="117">
        <f t="shared" si="1"/>
        <v>3.7260697469739985E-3</v>
      </c>
      <c r="K18" s="20" t="s">
        <v>361</v>
      </c>
      <c r="M18" s="20" t="str">
        <v>Motor gasoline</v>
      </c>
      <c r="N18" s="117">
        <v>0.17253077034900391</v>
      </c>
    </row>
    <row r="19" spans="1:14" x14ac:dyDescent="0.3">
      <c r="A19" s="16">
        <v>2000</v>
      </c>
      <c r="B19" s="117">
        <f t="shared" ref="B19:J19" si="2">B10/SUM($B10:$J10)</f>
        <v>4.4556189472235545E-2</v>
      </c>
      <c r="C19" s="117">
        <f t="shared" si="2"/>
        <v>8.1561325854589611E-2</v>
      </c>
      <c r="D19" s="117">
        <f t="shared" si="2"/>
        <v>0.23920024901925252</v>
      </c>
      <c r="E19" s="117">
        <f t="shared" si="2"/>
        <v>1.3003573166878566E-2</v>
      </c>
      <c r="F19" s="117">
        <f t="shared" si="2"/>
        <v>9.959419084774988E-3</v>
      </c>
      <c r="G19" s="117">
        <f t="shared" si="2"/>
        <v>0.46518319415467657</v>
      </c>
      <c r="H19" s="117">
        <f t="shared" si="2"/>
        <v>4.8546279860603982E-2</v>
      </c>
      <c r="I19" s="117">
        <f t="shared" si="2"/>
        <v>9.2964620676163651E-2</v>
      </c>
      <c r="J19" s="117">
        <f t="shared" si="2"/>
        <v>5.025148710824592E-3</v>
      </c>
      <c r="K19" s="20" t="s">
        <v>361</v>
      </c>
      <c r="M19" s="20" t="str">
        <v>Jet kerosene</v>
      </c>
      <c r="N19" s="117">
        <v>1.7031802872219531E-2</v>
      </c>
    </row>
    <row r="20" spans="1:14" x14ac:dyDescent="0.3">
      <c r="A20" s="16">
        <v>2005</v>
      </c>
      <c r="B20" s="117">
        <f t="shared" ref="B20:J20" si="3">B11/SUM($B11:$J11)</f>
        <v>4.8246177771726816E-2</v>
      </c>
      <c r="C20" s="117">
        <f t="shared" si="3"/>
        <v>7.8730219831653334E-2</v>
      </c>
      <c r="D20" s="117">
        <f t="shared" si="3"/>
        <v>0.20269891720253375</v>
      </c>
      <c r="E20" s="117">
        <f t="shared" si="3"/>
        <v>1.3159492662453427E-2</v>
      </c>
      <c r="F20" s="117">
        <f t="shared" si="3"/>
        <v>1.0013326273484925E-2</v>
      </c>
      <c r="G20" s="117">
        <f t="shared" si="3"/>
        <v>0.50524304902301487</v>
      </c>
      <c r="H20" s="117">
        <f t="shared" si="3"/>
        <v>3.4723408382077665E-2</v>
      </c>
      <c r="I20" s="117">
        <f t="shared" si="3"/>
        <v>0.10130366061367378</v>
      </c>
      <c r="J20" s="117">
        <f t="shared" si="3"/>
        <v>5.8817482393813767E-3</v>
      </c>
      <c r="K20" s="20" t="s">
        <v>361</v>
      </c>
      <c r="M20" s="20" t="str">
        <v>Other kerosene</v>
      </c>
      <c r="N20" s="117">
        <v>1.0282716190586004E-2</v>
      </c>
    </row>
    <row r="21" spans="1:14" x14ac:dyDescent="0.3">
      <c r="A21" s="16">
        <v>2010</v>
      </c>
      <c r="B21" s="117">
        <f t="shared" ref="B21:J21" si="4">B12/SUM($B12:$J12)</f>
        <v>5.2640409939551935E-2</v>
      </c>
      <c r="C21" s="117">
        <f t="shared" si="4"/>
        <v>7.7991639135780846E-2</v>
      </c>
      <c r="D21" s="117">
        <f t="shared" si="4"/>
        <v>0.17868156422416184</v>
      </c>
      <c r="E21" s="117">
        <f t="shared" si="4"/>
        <v>1.3767114014801166E-2</v>
      </c>
      <c r="F21" s="117">
        <f t="shared" si="4"/>
        <v>1.1761785362505536E-2</v>
      </c>
      <c r="G21" s="117">
        <f t="shared" si="4"/>
        <v>0.53744571020724397</v>
      </c>
      <c r="H21" s="117">
        <f t="shared" si="4"/>
        <v>2.4307586415012451E-2</v>
      </c>
      <c r="I21" s="117">
        <f t="shared" si="4"/>
        <v>9.7980600140615201E-2</v>
      </c>
      <c r="J21" s="117">
        <f t="shared" si="4"/>
        <v>5.423590560327091E-3</v>
      </c>
      <c r="K21" s="20" t="s">
        <v>361</v>
      </c>
      <c r="M21" s="20" t="str">
        <v>Gas/Diesel</v>
      </c>
      <c r="N21" s="117">
        <v>0.56928351144061762</v>
      </c>
    </row>
    <row r="22" spans="1:14" x14ac:dyDescent="0.3">
      <c r="A22" s="16">
        <v>2015</v>
      </c>
      <c r="B22" s="117">
        <f t="shared" ref="B22:J22" si="5">B13/SUM($B13:$J13)</f>
        <v>6.2554609438848302E-2</v>
      </c>
      <c r="C22" s="117">
        <f t="shared" si="5"/>
        <v>7.3643066969323864E-2</v>
      </c>
      <c r="D22" s="117">
        <f t="shared" si="5"/>
        <v>0.16494808353066054</v>
      </c>
      <c r="E22" s="117">
        <f t="shared" si="5"/>
        <v>1.5238001907023312E-2</v>
      </c>
      <c r="F22" s="117">
        <f t="shared" si="5"/>
        <v>9.8245501869684646E-3</v>
      </c>
      <c r="G22" s="117">
        <f t="shared" si="5"/>
        <v>0.5669888447783118</v>
      </c>
      <c r="H22" s="117">
        <f t="shared" si="5"/>
        <v>1.6715669846523666E-2</v>
      </c>
      <c r="I22" s="117">
        <f t="shared" si="5"/>
        <v>8.5499312313454048E-2</v>
      </c>
      <c r="J22" s="117">
        <f t="shared" si="5"/>
        <v>4.587861028885979E-3</v>
      </c>
      <c r="K22" s="20" t="s">
        <v>361</v>
      </c>
      <c r="M22" s="20" t="str">
        <v>Fuel oil</v>
      </c>
      <c r="N22" s="117">
        <v>1.1574519639328229E-2</v>
      </c>
    </row>
    <row r="23" spans="1:14" x14ac:dyDescent="0.3">
      <c r="A23" s="16">
        <v>2019</v>
      </c>
      <c r="B23" s="117">
        <f t="shared" ref="B23:J23" si="6">B14/SUM($B14:$J14)</f>
        <v>6.5314080368296751E-2</v>
      </c>
      <c r="C23" s="117">
        <f t="shared" si="6"/>
        <v>6.7011464432734216E-2</v>
      </c>
      <c r="D23" s="117">
        <f t="shared" si="6"/>
        <v>0.17253077034900391</v>
      </c>
      <c r="E23" s="117">
        <f t="shared" si="6"/>
        <v>1.7031802872219531E-2</v>
      </c>
      <c r="F23" s="117">
        <f t="shared" si="6"/>
        <v>1.0282716190586004E-2</v>
      </c>
      <c r="G23" s="117">
        <f t="shared" si="6"/>
        <v>0.56928351144061762</v>
      </c>
      <c r="H23" s="117">
        <f t="shared" si="6"/>
        <v>1.1574519639328229E-2</v>
      </c>
      <c r="I23" s="117">
        <f t="shared" si="6"/>
        <v>8.3927342849264008E-2</v>
      </c>
      <c r="J23" s="117">
        <f t="shared" si="6"/>
        <v>3.0437918579497673E-3</v>
      </c>
      <c r="K23" s="20" t="s">
        <v>361</v>
      </c>
      <c r="M23" s="20" t="str">
        <v>Other oil products</v>
      </c>
      <c r="N23" s="117">
        <v>8.3927342849264008E-2</v>
      </c>
    </row>
    <row r="24" spans="1:14" x14ac:dyDescent="0.3">
      <c r="M24" s="20" t="str">
        <v>Crude oil/NGL</v>
      </c>
      <c r="N24" s="117">
        <v>3.0437918579497673E-3</v>
      </c>
    </row>
  </sheetData>
  <mergeCells count="1">
    <mergeCell ref="M15:N15"/>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P27" sqref="P27"/>
    </sheetView>
  </sheetViews>
  <sheetFormatPr baseColWidth="10" defaultColWidth="11.44140625" defaultRowHeight="14.4" x14ac:dyDescent="0.3"/>
  <cols>
    <col min="1" max="1" width="16.5546875" style="156" customWidth="1"/>
    <col min="2" max="2" width="21" style="156" customWidth="1"/>
    <col min="3" max="16384" width="11.44140625" style="156"/>
  </cols>
  <sheetData>
    <row r="1" spans="1:13" x14ac:dyDescent="0.3">
      <c r="A1" s="156" t="s">
        <v>404</v>
      </c>
    </row>
    <row r="2" spans="1:13" x14ac:dyDescent="0.3">
      <c r="A2" s="156" t="s">
        <v>405</v>
      </c>
    </row>
    <row r="3" spans="1:13" x14ac:dyDescent="0.3">
      <c r="A3" s="156" t="s">
        <v>406</v>
      </c>
      <c r="B3" s="156" t="s">
        <v>407</v>
      </c>
      <c r="C3" s="156">
        <v>2005</v>
      </c>
      <c r="D3" s="156">
        <v>2006</v>
      </c>
      <c r="E3" s="156">
        <v>2007</v>
      </c>
      <c r="F3" s="156">
        <v>2008</v>
      </c>
      <c r="G3" s="156">
        <v>2009</v>
      </c>
      <c r="H3" s="156">
        <v>2010</v>
      </c>
      <c r="I3" s="156">
        <v>2011</v>
      </c>
      <c r="J3" s="156">
        <v>2012</v>
      </c>
      <c r="K3" s="156">
        <v>2013</v>
      </c>
      <c r="L3" s="156">
        <v>2014</v>
      </c>
      <c r="M3" s="156">
        <v>2015</v>
      </c>
    </row>
    <row r="4" spans="1:13" x14ac:dyDescent="0.3">
      <c r="A4" s="157" t="s">
        <v>408</v>
      </c>
      <c r="B4" s="278" t="s">
        <v>526</v>
      </c>
      <c r="C4" s="156">
        <v>74.858878124025736</v>
      </c>
      <c r="D4" s="156">
        <v>72.503110648058396</v>
      </c>
      <c r="E4" s="156">
        <v>69.433269396791871</v>
      </c>
      <c r="F4" s="156">
        <v>69.110978396033389</v>
      </c>
      <c r="G4" s="156">
        <v>63.107475614438087</v>
      </c>
      <c r="H4" s="156">
        <v>68.716225170523799</v>
      </c>
      <c r="I4" s="156">
        <v>66.936979775431112</v>
      </c>
      <c r="J4" s="156">
        <v>63.842246923800126</v>
      </c>
      <c r="K4" s="156">
        <v>64.377697718267399</v>
      </c>
      <c r="L4" s="156">
        <v>60.749796109964322</v>
      </c>
      <c r="M4" s="156">
        <v>61.994013305332025</v>
      </c>
    </row>
    <row r="5" spans="1:13" x14ac:dyDescent="0.3">
      <c r="A5" s="158" t="s">
        <v>409</v>
      </c>
      <c r="B5" s="278" t="s">
        <v>526</v>
      </c>
      <c r="C5" s="156">
        <v>107.57100410900192</v>
      </c>
      <c r="D5" s="156">
        <v>105.49091400788501</v>
      </c>
      <c r="E5" s="156">
        <v>101.73077784522067</v>
      </c>
      <c r="F5" s="156">
        <v>103.84603124487644</v>
      </c>
      <c r="G5" s="156">
        <v>96.876765232201976</v>
      </c>
      <c r="H5" s="156">
        <v>104.25560015647777</v>
      </c>
      <c r="I5" s="156">
        <v>93.986766720685253</v>
      </c>
      <c r="J5" s="156">
        <v>92.849825170961239</v>
      </c>
      <c r="K5" s="156">
        <v>94.254059879349555</v>
      </c>
      <c r="L5" s="156">
        <v>87.700550576899289</v>
      </c>
      <c r="M5" s="156">
        <v>92.801549235269519</v>
      </c>
    </row>
    <row r="6" spans="1:13" x14ac:dyDescent="0.3">
      <c r="A6" s="158" t="s">
        <v>410</v>
      </c>
      <c r="B6" s="278" t="s">
        <v>526</v>
      </c>
      <c r="C6" s="156">
        <v>46.798436977992807</v>
      </c>
      <c r="D6" s="156">
        <v>47.842251929715545</v>
      </c>
      <c r="E6" s="156">
        <v>51.369935981845295</v>
      </c>
      <c r="F6" s="156">
        <v>48.335499962909623</v>
      </c>
      <c r="G6" s="156">
        <v>42.052476056875634</v>
      </c>
      <c r="H6" s="156">
        <v>44.113193026579779</v>
      </c>
      <c r="I6" s="156">
        <v>49.086106527904306</v>
      </c>
      <c r="J6" s="156">
        <v>44.424885524787705</v>
      </c>
      <c r="K6" s="156">
        <v>39.204666401302461</v>
      </c>
      <c r="L6" s="156">
        <v>41.647552096431752</v>
      </c>
      <c r="M6" s="156">
        <v>43.852536736461886</v>
      </c>
    </row>
    <row r="7" spans="1:13" x14ac:dyDescent="0.3">
      <c r="A7" s="158" t="s">
        <v>411</v>
      </c>
      <c r="B7" s="278" t="s">
        <v>526</v>
      </c>
      <c r="C7" s="156">
        <v>19.919042808254538</v>
      </c>
      <c r="D7" s="156">
        <v>19.977935308488021</v>
      </c>
      <c r="E7" s="156">
        <v>21.221019254928496</v>
      </c>
      <c r="F7" s="156">
        <v>20.166675293534908</v>
      </c>
      <c r="G7" s="156">
        <v>19.065263028660304</v>
      </c>
      <c r="H7" s="156">
        <v>18.251463330953261</v>
      </c>
      <c r="I7" s="156">
        <v>17.949085009886936</v>
      </c>
      <c r="J7" s="156">
        <v>16.383336295385249</v>
      </c>
      <c r="K7" s="156">
        <v>15.890108150680083</v>
      </c>
      <c r="L7" s="156">
        <v>15.03142182791154</v>
      </c>
      <c r="M7" s="156">
        <v>15.450738170900681</v>
      </c>
    </row>
    <row r="8" spans="1:13" x14ac:dyDescent="0.3">
      <c r="A8" s="158" t="s">
        <v>412</v>
      </c>
      <c r="B8" s="278" t="s">
        <v>526</v>
      </c>
      <c r="C8" s="156">
        <v>7.1120804357100997</v>
      </c>
      <c r="D8" s="156">
        <v>7.1651603223599993</v>
      </c>
      <c r="E8" s="156">
        <v>7.4750329110099001</v>
      </c>
      <c r="F8" s="156">
        <v>7.6305545000000006</v>
      </c>
      <c r="G8" s="156">
        <v>7.5834093509199993</v>
      </c>
      <c r="H8" s="156">
        <v>7.3236621389999996</v>
      </c>
      <c r="I8" s="156">
        <v>7.06269231924</v>
      </c>
      <c r="J8" s="156">
        <v>6.5746958240298996</v>
      </c>
      <c r="K8" s="156">
        <v>5.6498017913199989</v>
      </c>
      <c r="L8" s="156">
        <v>5.8001756119898999</v>
      </c>
      <c r="M8" s="156">
        <v>5.9495778319499992</v>
      </c>
    </row>
    <row r="9" spans="1:13" x14ac:dyDescent="0.3">
      <c r="A9" s="158" t="s">
        <v>413</v>
      </c>
      <c r="B9" s="278" t="s">
        <v>526</v>
      </c>
      <c r="C9" s="156">
        <v>119.93018067346468</v>
      </c>
      <c r="D9" s="156">
        <v>120.91429105239307</v>
      </c>
      <c r="E9" s="156">
        <v>123.26522227253284</v>
      </c>
      <c r="F9" s="156">
        <v>118.08679709572279</v>
      </c>
      <c r="G9" s="156">
        <v>111.24832929673903</v>
      </c>
      <c r="H9" s="156">
        <v>112.71918450921946</v>
      </c>
      <c r="I9" s="156">
        <v>109.47699249960259</v>
      </c>
      <c r="J9" s="156">
        <v>106.45962722039557</v>
      </c>
      <c r="K9" s="156">
        <v>101.57585492041659</v>
      </c>
      <c r="L9" s="156">
        <v>98.013351086403347</v>
      </c>
      <c r="M9" s="156">
        <v>99.666350439284628</v>
      </c>
    </row>
    <row r="10" spans="1:13" x14ac:dyDescent="0.3">
      <c r="A10" s="158" t="s">
        <v>414</v>
      </c>
      <c r="B10" s="278" t="s">
        <v>526</v>
      </c>
      <c r="C10" s="156">
        <v>48.854261790002425</v>
      </c>
      <c r="D10" s="156">
        <v>56.750712533240325</v>
      </c>
      <c r="E10" s="156">
        <v>52.0114367021039</v>
      </c>
      <c r="F10" s="156">
        <v>48.977613985437138</v>
      </c>
      <c r="G10" s="156">
        <v>47.171516310080513</v>
      </c>
      <c r="H10" s="156">
        <v>47.445914779815929</v>
      </c>
      <c r="I10" s="156">
        <v>42.264366198638456</v>
      </c>
      <c r="J10" s="156">
        <v>37.344557321661803</v>
      </c>
      <c r="K10" s="156">
        <v>39.09327859516879</v>
      </c>
      <c r="L10" s="156">
        <v>34.932632940549809</v>
      </c>
      <c r="M10" s="156">
        <v>32.762168649249695</v>
      </c>
    </row>
    <row r="11" spans="1:13" x14ac:dyDescent="0.3">
      <c r="A11" s="158" t="s">
        <v>415</v>
      </c>
      <c r="B11" s="278" t="s">
        <v>526</v>
      </c>
      <c r="C11" s="156">
        <v>18.642951030962386</v>
      </c>
      <c r="D11" s="156">
        <v>17.514420166827943</v>
      </c>
      <c r="E11" s="156">
        <v>21.090907428428622</v>
      </c>
      <c r="F11" s="156">
        <v>19.791541616701657</v>
      </c>
      <c r="G11" s="156">
        <v>17.386443155940945</v>
      </c>
      <c r="H11" s="156">
        <v>21.631247212029724</v>
      </c>
      <c r="I11" s="156">
        <v>20.844427664648876</v>
      </c>
      <c r="J11" s="156">
        <v>19.729778157914744</v>
      </c>
      <c r="K11" s="156">
        <v>22.162187864488466</v>
      </c>
      <c r="L11" s="156">
        <v>21.121880695820398</v>
      </c>
      <c r="M11" s="156">
        <v>19.381214250048867</v>
      </c>
    </row>
    <row r="12" spans="1:13" x14ac:dyDescent="0.3">
      <c r="A12" s="158" t="s">
        <v>416</v>
      </c>
      <c r="B12" s="278" t="s">
        <v>526</v>
      </c>
      <c r="C12" s="156">
        <v>54.37558464164394</v>
      </c>
      <c r="D12" s="156">
        <v>66.04086854416515</v>
      </c>
      <c r="E12" s="156">
        <v>63.944355884081929</v>
      </c>
      <c r="F12" s="156">
        <v>55.529143474562076</v>
      </c>
      <c r="G12" s="156">
        <v>53.358532521230451</v>
      </c>
      <c r="H12" s="156">
        <v>61.752880497515989</v>
      </c>
      <c r="I12" s="156">
        <v>54.313440751227553</v>
      </c>
      <c r="J12" s="156">
        <v>48.590701608120554</v>
      </c>
      <c r="K12" s="156">
        <v>49.420530971396509</v>
      </c>
      <c r="L12" s="156">
        <v>45.375967643898285</v>
      </c>
      <c r="M12" s="156">
        <v>41.992893271171937</v>
      </c>
    </row>
    <row r="13" spans="1:13" x14ac:dyDescent="0.3">
      <c r="A13" s="158" t="s">
        <v>417</v>
      </c>
      <c r="B13" s="278" t="s">
        <v>526</v>
      </c>
      <c r="C13" s="156">
        <v>372.58951121351021</v>
      </c>
      <c r="D13" s="156">
        <v>362.53848533825965</v>
      </c>
      <c r="E13" s="156">
        <v>354.73601565358712</v>
      </c>
      <c r="F13" s="156">
        <v>350.69341700185259</v>
      </c>
      <c r="G13" s="156">
        <v>337.13539508735704</v>
      </c>
      <c r="H13" s="156">
        <v>341.11355863423341</v>
      </c>
      <c r="I13" s="156">
        <v>328.52808259124731</v>
      </c>
      <c r="J13" s="156">
        <v>333.232612280041</v>
      </c>
      <c r="K13" s="156">
        <v>333.10164746742663</v>
      </c>
      <c r="L13" s="156">
        <v>300.96925991197406</v>
      </c>
      <c r="M13" s="156">
        <v>306.73006075661061</v>
      </c>
    </row>
    <row r="14" spans="1:13" x14ac:dyDescent="0.3">
      <c r="A14" s="158" t="s">
        <v>418</v>
      </c>
      <c r="B14" s="278" t="s">
        <v>526</v>
      </c>
      <c r="C14" s="156">
        <v>788.91416134892995</v>
      </c>
      <c r="D14" s="156">
        <v>801.68229889084591</v>
      </c>
      <c r="E14" s="156">
        <v>770.14565668723048</v>
      </c>
      <c r="F14" s="156">
        <v>776.82707334327074</v>
      </c>
      <c r="G14" s="156">
        <v>722.89098781257735</v>
      </c>
      <c r="H14" s="156">
        <v>764.16117310471918</v>
      </c>
      <c r="I14" s="156">
        <v>736.78980602439924</v>
      </c>
      <c r="J14" s="156">
        <v>750.7086067103171</v>
      </c>
      <c r="K14" s="156">
        <v>768.85153724614008</v>
      </c>
      <c r="L14" s="156">
        <v>728.25348601443704</v>
      </c>
      <c r="M14" s="156">
        <v>734.98863092269266</v>
      </c>
    </row>
    <row r="15" spans="1:13" x14ac:dyDescent="0.3">
      <c r="A15" s="158" t="s">
        <v>419</v>
      </c>
      <c r="B15" s="278" t="s">
        <v>526</v>
      </c>
      <c r="C15" s="156">
        <v>95.300211415962806</v>
      </c>
      <c r="D15" s="156">
        <v>94.202764710459618</v>
      </c>
      <c r="E15" s="156">
        <v>97.94219396014806</v>
      </c>
      <c r="F15" s="156">
        <v>94.36379175438806</v>
      </c>
      <c r="G15" s="156">
        <v>90.176645289225661</v>
      </c>
      <c r="H15" s="156">
        <v>83.382621765472166</v>
      </c>
      <c r="I15" s="156">
        <v>81.844192530600338</v>
      </c>
      <c r="J15" s="156">
        <v>75.703405300431641</v>
      </c>
      <c r="K15" s="156">
        <v>68.078869585116351</v>
      </c>
      <c r="L15" s="156">
        <v>65.019758885399469</v>
      </c>
      <c r="M15" s="156">
        <v>63.788775683421555</v>
      </c>
    </row>
    <row r="16" spans="1:13" x14ac:dyDescent="0.3">
      <c r="A16" s="158" t="s">
        <v>420</v>
      </c>
      <c r="B16" s="278" t="s">
        <v>526</v>
      </c>
      <c r="C16" s="156">
        <v>55.132864411707168</v>
      </c>
      <c r="D16" s="156">
        <v>54.819775684136722</v>
      </c>
      <c r="E16" s="156">
        <v>53.256920005147201</v>
      </c>
      <c r="F16" s="156">
        <v>52.429752746995938</v>
      </c>
      <c r="G16" s="156">
        <v>47.319787871485978</v>
      </c>
      <c r="H16" s="156">
        <v>47.926225500159688</v>
      </c>
      <c r="I16" s="156">
        <v>47.020825893139225</v>
      </c>
      <c r="J16" s="156">
        <v>43.352555581718569</v>
      </c>
      <c r="K16" s="156">
        <v>40.873821691000138</v>
      </c>
      <c r="L16" s="156">
        <v>40.747672109971163</v>
      </c>
      <c r="M16" s="156">
        <v>43.253448983636481</v>
      </c>
    </row>
    <row r="17" spans="1:13" x14ac:dyDescent="0.3">
      <c r="A17" s="158" t="s">
        <v>421</v>
      </c>
      <c r="B17" s="278" t="s">
        <v>526</v>
      </c>
      <c r="C17" s="156">
        <v>44.391117046555053</v>
      </c>
      <c r="D17" s="156">
        <v>45.013520710799142</v>
      </c>
      <c r="E17" s="156">
        <v>44.067648500646705</v>
      </c>
      <c r="F17" s="156">
        <v>43.750070212816894</v>
      </c>
      <c r="G17" s="156">
        <v>39.324167684699333</v>
      </c>
      <c r="H17" s="156">
        <v>39.165405442957976</v>
      </c>
      <c r="I17" s="156">
        <v>35.779332457483974</v>
      </c>
      <c r="J17" s="156">
        <v>36.018599156468092</v>
      </c>
      <c r="K17" s="156">
        <v>34.67544020298326</v>
      </c>
      <c r="L17" s="156">
        <v>34.132465326563363</v>
      </c>
      <c r="M17" s="156">
        <v>35.463790757806983</v>
      </c>
    </row>
    <row r="18" spans="1:13" x14ac:dyDescent="0.3">
      <c r="A18" s="158" t="s">
        <v>422</v>
      </c>
      <c r="B18" s="278" t="s">
        <v>526</v>
      </c>
      <c r="C18" s="156">
        <v>457.09292592818315</v>
      </c>
      <c r="D18" s="156">
        <v>451.58329584029309</v>
      </c>
      <c r="E18" s="156">
        <v>444.07041366543757</v>
      </c>
      <c r="F18" s="156">
        <v>431.32975791296224</v>
      </c>
      <c r="G18" s="156">
        <v>385.02829819533576</v>
      </c>
      <c r="H18" s="156">
        <v>393.43844101918933</v>
      </c>
      <c r="I18" s="156">
        <v>385.31966338923348</v>
      </c>
      <c r="J18" s="156">
        <v>367.48190855329443</v>
      </c>
      <c r="K18" s="156">
        <v>338.2235233364907</v>
      </c>
      <c r="L18" s="156">
        <v>320.79013650795645</v>
      </c>
      <c r="M18" s="156">
        <v>331.09598932870546</v>
      </c>
    </row>
    <row r="19" spans="1:13" x14ac:dyDescent="0.3">
      <c r="A19" s="158" t="s">
        <v>423</v>
      </c>
      <c r="B19" s="278" t="s">
        <v>526</v>
      </c>
      <c r="C19" s="156">
        <v>7.58061021404</v>
      </c>
      <c r="D19" s="156">
        <v>8.0276194551700009</v>
      </c>
      <c r="E19" s="156">
        <v>8.3572157918400016</v>
      </c>
      <c r="F19" s="156">
        <v>7.9382144725899995</v>
      </c>
      <c r="G19" s="156">
        <v>7.1859566615500006</v>
      </c>
      <c r="H19" s="156">
        <v>8.0817404247199995</v>
      </c>
      <c r="I19" s="156">
        <v>7.3376085979800001</v>
      </c>
      <c r="J19" s="156">
        <v>6.9929168410199996</v>
      </c>
      <c r="K19" s="156">
        <v>6.9097349232199994</v>
      </c>
      <c r="L19" s="156">
        <v>6.7205700303400002</v>
      </c>
      <c r="M19" s="156">
        <v>6.8424517071800004</v>
      </c>
    </row>
    <row r="20" spans="1:13" x14ac:dyDescent="0.3">
      <c r="A20" s="158" t="s">
        <v>424</v>
      </c>
      <c r="B20" s="278" t="s">
        <v>526</v>
      </c>
      <c r="C20" s="156">
        <v>12.287812336214049</v>
      </c>
      <c r="D20" s="156">
        <v>12.429592079131153</v>
      </c>
      <c r="E20" s="156">
        <v>12.558891860204859</v>
      </c>
      <c r="F20" s="156">
        <v>12.615774556016058</v>
      </c>
      <c r="G20" s="156">
        <v>11.404563057573453</v>
      </c>
      <c r="H20" s="156">
        <v>12.302865046830986</v>
      </c>
      <c r="I20" s="156">
        <v>11.520996910213364</v>
      </c>
      <c r="J20" s="156">
        <v>11.525455325489389</v>
      </c>
      <c r="K20" s="156">
        <v>10.854612211766753</v>
      </c>
      <c r="L20" s="156">
        <v>10.433311035373878</v>
      </c>
      <c r="M20" s="156">
        <v>10.520364369807387</v>
      </c>
    </row>
    <row r="21" spans="1:13" x14ac:dyDescent="0.3">
      <c r="A21" s="158" t="s">
        <v>425</v>
      </c>
      <c r="B21" s="278" t="s">
        <v>526</v>
      </c>
      <c r="C21" s="156">
        <v>11.493299928000098</v>
      </c>
      <c r="D21" s="156">
        <v>11.301788665</v>
      </c>
      <c r="E21" s="156">
        <v>10.704138262000001</v>
      </c>
      <c r="F21" s="156">
        <v>10.640149397</v>
      </c>
      <c r="G21" s="156">
        <v>10.084919898000001</v>
      </c>
      <c r="H21" s="156">
        <v>10.664187188000001</v>
      </c>
      <c r="I21" s="156">
        <v>10.514577961000001</v>
      </c>
      <c r="J21" s="156">
        <v>10.311122915999999</v>
      </c>
      <c r="K21" s="156">
        <v>9.781439430999999</v>
      </c>
      <c r="L21" s="156">
        <v>9.2881671179999987</v>
      </c>
      <c r="M21" s="156">
        <v>8.8046600360000991</v>
      </c>
    </row>
    <row r="22" spans="1:13" x14ac:dyDescent="0.3">
      <c r="A22" s="158" t="s">
        <v>426</v>
      </c>
      <c r="B22" s="278" t="s">
        <v>526</v>
      </c>
      <c r="C22" s="156">
        <v>2.6266412182665477</v>
      </c>
      <c r="D22" s="156">
        <v>2.6508461182665473</v>
      </c>
      <c r="E22" s="156">
        <v>2.7158163182665471</v>
      </c>
      <c r="F22" s="156">
        <v>2.72452570509591</v>
      </c>
      <c r="G22" s="156">
        <v>2.5102548926613957</v>
      </c>
      <c r="H22" s="156">
        <v>2.5869787141717082</v>
      </c>
      <c r="I22" s="156">
        <v>2.5735320666005164</v>
      </c>
      <c r="J22" s="156">
        <v>2.7160223166665638</v>
      </c>
      <c r="K22" s="156">
        <v>2.371934746691561</v>
      </c>
      <c r="L22" s="156">
        <v>2.3567899425280725</v>
      </c>
      <c r="M22" s="156">
        <v>1.6575008995999356</v>
      </c>
    </row>
    <row r="23" spans="1:13" x14ac:dyDescent="0.3">
      <c r="A23" s="158" t="s">
        <v>427</v>
      </c>
      <c r="B23" s="278" t="s">
        <v>526</v>
      </c>
      <c r="C23" s="156">
        <v>167.96029701528354</v>
      </c>
      <c r="D23" s="156">
        <v>163.70977048100977</v>
      </c>
      <c r="E23" s="156">
        <v>164.66204394586705</v>
      </c>
      <c r="F23" s="156">
        <v>165.42362616592322</v>
      </c>
      <c r="G23" s="156">
        <v>160.56204467611357</v>
      </c>
      <c r="H23" s="156">
        <v>171.17911422350443</v>
      </c>
      <c r="I23" s="156">
        <v>159.03274450423569</v>
      </c>
      <c r="J23" s="156">
        <v>157.67605245904201</v>
      </c>
      <c r="K23" s="156">
        <v>157.18871846951171</v>
      </c>
      <c r="L23" s="156">
        <v>150.04146625634263</v>
      </c>
      <c r="M23" s="156">
        <v>158.41853126361892</v>
      </c>
    </row>
    <row r="24" spans="1:13" x14ac:dyDescent="0.3">
      <c r="A24" s="158" t="s">
        <v>428</v>
      </c>
      <c r="B24" s="278" t="s">
        <v>526</v>
      </c>
      <c r="C24" s="156">
        <v>300.4434047564946</v>
      </c>
      <c r="D24" s="156">
        <v>312.68928222968623</v>
      </c>
      <c r="E24" s="156">
        <v>310.82093913288668</v>
      </c>
      <c r="F24" s="156">
        <v>305.83423426258508</v>
      </c>
      <c r="G24" s="156">
        <v>294.90261494657847</v>
      </c>
      <c r="H24" s="156">
        <v>311.57646488785264</v>
      </c>
      <c r="I24" s="156">
        <v>307.27413885036839</v>
      </c>
      <c r="J24" s="156">
        <v>301.09566634435328</v>
      </c>
      <c r="K24" s="156">
        <v>297.0614988222772</v>
      </c>
      <c r="L24" s="156">
        <v>283.82670810869064</v>
      </c>
      <c r="M24" s="156">
        <v>286.96585837369605</v>
      </c>
    </row>
    <row r="25" spans="1:13" x14ac:dyDescent="0.3">
      <c r="A25" s="158" t="s">
        <v>429</v>
      </c>
      <c r="B25" s="278" t="s">
        <v>526</v>
      </c>
      <c r="C25" s="156">
        <v>61.327488572488342</v>
      </c>
      <c r="D25" s="156">
        <v>56.38809424175178</v>
      </c>
      <c r="E25" s="156">
        <v>54.57355427341944</v>
      </c>
      <c r="F25" s="156">
        <v>52.75249767184706</v>
      </c>
      <c r="G25" s="156">
        <v>53.003927558060596</v>
      </c>
      <c r="H25" s="156">
        <v>47.487348085602925</v>
      </c>
      <c r="I25" s="156">
        <v>46.990041842842444</v>
      </c>
      <c r="J25" s="156">
        <v>45.622532086182595</v>
      </c>
      <c r="K25" s="156">
        <v>43.666618620700682</v>
      </c>
      <c r="L25" s="156">
        <v>42.768830707999456</v>
      </c>
      <c r="M25" s="156">
        <v>46.844463767720548</v>
      </c>
    </row>
    <row r="26" spans="1:13" x14ac:dyDescent="0.3">
      <c r="A26" s="158" t="s">
        <v>430</v>
      </c>
      <c r="B26" s="278" t="s">
        <v>526</v>
      </c>
      <c r="C26" s="156">
        <v>91.507338694202176</v>
      </c>
      <c r="D26" s="156">
        <v>96.546819987509664</v>
      </c>
      <c r="E26" s="156">
        <v>93.084697639126531</v>
      </c>
      <c r="F26" s="156">
        <v>91.425501891228578</v>
      </c>
      <c r="G26" s="156">
        <v>77.672440381495008</v>
      </c>
      <c r="H26" s="156">
        <v>74.653519562588784</v>
      </c>
      <c r="I26" s="156">
        <v>80.488637032771464</v>
      </c>
      <c r="J26" s="156">
        <v>78.154948540989238</v>
      </c>
      <c r="K26" s="156">
        <v>69.003776151103651</v>
      </c>
      <c r="L26" s="156">
        <v>68.22511860904757</v>
      </c>
      <c r="M26" s="156">
        <v>69.546185023644355</v>
      </c>
    </row>
    <row r="27" spans="1:13" x14ac:dyDescent="0.3">
      <c r="A27" s="158" t="s">
        <v>431</v>
      </c>
      <c r="B27" s="278" t="s">
        <v>526</v>
      </c>
      <c r="C27" s="156">
        <v>37.59981872561707</v>
      </c>
      <c r="D27" s="156">
        <v>36.681925204863056</v>
      </c>
      <c r="E27" s="156">
        <v>35.843598795179432</v>
      </c>
      <c r="F27" s="156">
        <v>35.982045588463073</v>
      </c>
      <c r="G27" s="156">
        <v>32.988536652930307</v>
      </c>
      <c r="H27" s="156">
        <v>35.016662209803719</v>
      </c>
      <c r="I27" s="156">
        <v>33.027865381641455</v>
      </c>
      <c r="J27" s="156">
        <v>31.587536299091287</v>
      </c>
      <c r="K27" s="156">
        <v>32.209896295270518</v>
      </c>
      <c r="L27" s="156">
        <v>29.757080510456703</v>
      </c>
      <c r="M27" s="156">
        <v>30.0752916710017</v>
      </c>
    </row>
    <row r="28" spans="1:13" x14ac:dyDescent="0.3">
      <c r="A28" s="158" t="s">
        <v>432</v>
      </c>
      <c r="B28" s="278" t="s">
        <v>526</v>
      </c>
      <c r="C28" s="156">
        <v>15.391560856401741</v>
      </c>
      <c r="D28" s="156">
        <v>15.750460662815659</v>
      </c>
      <c r="E28" s="156">
        <v>15.67781096839496</v>
      </c>
      <c r="F28" s="156">
        <v>16.723988381338156</v>
      </c>
      <c r="G28" s="156">
        <v>15.044868999744748</v>
      </c>
      <c r="H28" s="156">
        <v>15.36564928344702</v>
      </c>
      <c r="I28" s="156">
        <v>15.373713409362527</v>
      </c>
      <c r="J28" s="156">
        <v>14.767516011108329</v>
      </c>
      <c r="K28" s="156">
        <v>14.132224534262143</v>
      </c>
      <c r="L28" s="156">
        <v>12.666895415444818</v>
      </c>
      <c r="M28" s="156">
        <v>12.74583251818712</v>
      </c>
    </row>
    <row r="29" spans="1:13" x14ac:dyDescent="0.3">
      <c r="A29" s="158" t="s">
        <v>433</v>
      </c>
      <c r="B29" s="278" t="s">
        <v>526</v>
      </c>
      <c r="C29" s="156">
        <v>337.24931223819476</v>
      </c>
      <c r="D29" s="156">
        <v>325.26372740041427</v>
      </c>
      <c r="E29" s="156">
        <v>340.51964718876519</v>
      </c>
      <c r="F29" s="156">
        <v>312.31413684405231</v>
      </c>
      <c r="G29" s="156">
        <v>277.6833305706046</v>
      </c>
      <c r="H29" s="156">
        <v>263.08213008827408</v>
      </c>
      <c r="I29" s="156">
        <v>267.90861939688517</v>
      </c>
      <c r="J29" s="156">
        <v>262.86338371030644</v>
      </c>
      <c r="K29" s="156">
        <v>238.13731749970643</v>
      </c>
      <c r="L29" s="156">
        <v>234.09792723815085</v>
      </c>
      <c r="M29" s="156">
        <v>250.20070039293756</v>
      </c>
    </row>
    <row r="30" spans="1:13" x14ac:dyDescent="0.3">
      <c r="A30" s="158" t="s">
        <v>434</v>
      </c>
      <c r="B30" s="278" t="s">
        <v>526</v>
      </c>
      <c r="C30" s="156">
        <v>50.622759956257795</v>
      </c>
      <c r="D30" s="156">
        <v>50.890696987863009</v>
      </c>
      <c r="E30" s="156">
        <v>48.627317958189593</v>
      </c>
      <c r="F30" s="156">
        <v>47.675880892165495</v>
      </c>
      <c r="G30" s="156">
        <v>43.99819921883001</v>
      </c>
      <c r="H30" s="156">
        <v>49.618354857052196</v>
      </c>
      <c r="I30" s="156">
        <v>45.183967845662409</v>
      </c>
      <c r="J30" s="156">
        <v>42.848167162611496</v>
      </c>
      <c r="K30" s="156">
        <v>41.178450788499696</v>
      </c>
      <c r="L30" s="156">
        <v>39.78603483637611</v>
      </c>
      <c r="M30" s="156">
        <v>39.975661643901098</v>
      </c>
    </row>
    <row r="31" spans="1:13" x14ac:dyDescent="0.3">
      <c r="A31" s="159" t="s">
        <v>435</v>
      </c>
      <c r="B31" s="278" t="s">
        <v>526</v>
      </c>
      <c r="C31" s="156">
        <v>531.97367227150642</v>
      </c>
      <c r="D31" s="156">
        <v>533.6120190452782</v>
      </c>
      <c r="E31" s="156">
        <v>523.02461246677797</v>
      </c>
      <c r="F31" s="156">
        <v>508.92481892500069</v>
      </c>
      <c r="G31" s="156">
        <v>462.79664154846188</v>
      </c>
      <c r="H31" s="156">
        <v>478.37604930060485</v>
      </c>
      <c r="I31" s="156">
        <v>440.20515146220202</v>
      </c>
      <c r="J31" s="156">
        <v>462.75702869466045</v>
      </c>
      <c r="K31" s="156">
        <v>449.13151003092736</v>
      </c>
      <c r="L31" s="156">
        <v>410.83540332514968</v>
      </c>
      <c r="M31" s="156">
        <v>395.62197698166096</v>
      </c>
    </row>
    <row r="32" spans="1:13" x14ac:dyDescent="0.3">
      <c r="A32" s="159" t="s">
        <v>436</v>
      </c>
      <c r="B32" s="278" t="s">
        <v>526</v>
      </c>
      <c r="C32" s="156">
        <v>5492.300337790497</v>
      </c>
      <c r="D32" s="156">
        <v>6068.0584309483838</v>
      </c>
      <c r="E32" s="156">
        <v>6580.9763370696073</v>
      </c>
      <c r="F32" s="156">
        <v>6774.6804126032866</v>
      </c>
      <c r="G32" s="156">
        <v>7256.3255516780973</v>
      </c>
      <c r="H32" s="156">
        <v>7950.5653892440132</v>
      </c>
      <c r="I32" s="156">
        <v>8693.5525438042623</v>
      </c>
      <c r="J32" s="156">
        <v>8957.9622226495121</v>
      </c>
      <c r="K32" s="156">
        <v>9373.9010232090204</v>
      </c>
      <c r="L32" s="156">
        <v>9438.9220351645017</v>
      </c>
      <c r="M32" s="156">
        <v>9357.3513031130806</v>
      </c>
    </row>
    <row r="33" spans="1:13" x14ac:dyDescent="0.3">
      <c r="A33" s="159" t="s">
        <v>437</v>
      </c>
      <c r="B33" s="278" t="s">
        <v>526</v>
      </c>
      <c r="C33" s="156">
        <v>2942.179814027761</v>
      </c>
      <c r="D33" s="156">
        <v>2960.6900399762435</v>
      </c>
      <c r="E33" s="156">
        <v>3067.6133778338126</v>
      </c>
      <c r="F33" s="156">
        <v>3045.3596138021594</v>
      </c>
      <c r="G33" s="156">
        <v>3005.3897492920896</v>
      </c>
      <c r="H33" s="156">
        <v>3189.630654197525</v>
      </c>
      <c r="I33" s="156">
        <v>3327.7034182893813</v>
      </c>
      <c r="J33" s="156">
        <v>3397.1269948223185</v>
      </c>
      <c r="K33" s="156">
        <v>3402.3262254900324</v>
      </c>
      <c r="L33" s="156">
        <v>3406.73930279666</v>
      </c>
      <c r="M33" s="156">
        <v>3453.2214501977837</v>
      </c>
    </row>
    <row r="34" spans="1:13" x14ac:dyDescent="0.3">
      <c r="A34" s="159" t="s">
        <v>438</v>
      </c>
      <c r="B34" s="278" t="s">
        <v>526</v>
      </c>
      <c r="C34" s="156">
        <v>1081.284817940553</v>
      </c>
      <c r="D34" s="156">
        <v>1160.1645413984659</v>
      </c>
      <c r="E34" s="156">
        <v>1268.4999535128843</v>
      </c>
      <c r="F34" s="156">
        <v>1321.1114815115727</v>
      </c>
      <c r="G34" s="156">
        <v>1458.9887236161981</v>
      </c>
      <c r="H34" s="156">
        <v>1551.6449209457132</v>
      </c>
      <c r="I34" s="156">
        <v>1661.0759593096545</v>
      </c>
      <c r="J34" s="156">
        <v>1802.404568822921</v>
      </c>
      <c r="K34" s="156">
        <v>1864.8779451503783</v>
      </c>
      <c r="L34" s="156">
        <v>2029.2505550533383</v>
      </c>
      <c r="M34" s="156">
        <v>2037.8242364569492</v>
      </c>
    </row>
    <row r="35" spans="1:13" x14ac:dyDescent="0.3">
      <c r="A35" s="159" t="s">
        <v>439</v>
      </c>
      <c r="B35" s="278" t="s">
        <v>526</v>
      </c>
      <c r="C35" s="156">
        <v>608.19320934730536</v>
      </c>
      <c r="D35" s="156">
        <v>619.84694658644594</v>
      </c>
      <c r="E35" s="156">
        <v>655.50140155978249</v>
      </c>
      <c r="F35" s="156">
        <v>688.76468968295671</v>
      </c>
      <c r="G35" s="156">
        <v>654.62106114642256</v>
      </c>
      <c r="H35" s="156">
        <v>723.33466348519391</v>
      </c>
      <c r="I35" s="156">
        <v>765.25203301748661</v>
      </c>
      <c r="J35" s="156">
        <v>802.16126777923694</v>
      </c>
      <c r="K35" s="156">
        <v>845.31190278476663</v>
      </c>
      <c r="L35" s="156">
        <v>865.56638493548871</v>
      </c>
      <c r="M35" s="156">
        <v>855.10239577706341</v>
      </c>
    </row>
    <row r="36" spans="1:13" x14ac:dyDescent="0.3">
      <c r="A36" s="159" t="s">
        <v>440</v>
      </c>
      <c r="B36" s="278" t="s">
        <v>526</v>
      </c>
      <c r="C36" s="156">
        <v>1626.5923413016023</v>
      </c>
      <c r="D36" s="156">
        <v>1659.5970962994109</v>
      </c>
      <c r="E36" s="156">
        <v>1655.907056226346</v>
      </c>
      <c r="F36" s="156">
        <v>1645.6773443125371</v>
      </c>
      <c r="G36" s="156">
        <v>1554.1862285232498</v>
      </c>
      <c r="H36" s="156">
        <v>1622.0482068397002</v>
      </c>
      <c r="I36" s="156">
        <v>1702.1262531389216</v>
      </c>
      <c r="J36" s="156">
        <v>1683.8969852755381</v>
      </c>
      <c r="K36" s="156">
        <v>1627.3095467431688</v>
      </c>
      <c r="L36" s="156">
        <v>1609.5423861778472</v>
      </c>
      <c r="M36" s="156">
        <v>1614.6218417582581</v>
      </c>
    </row>
    <row r="37" spans="1:13" x14ac:dyDescent="0.3">
      <c r="A37" s="159" t="s">
        <v>441</v>
      </c>
      <c r="B37" s="278" t="s">
        <v>526</v>
      </c>
      <c r="C37" s="156">
        <v>6693.0323637212423</v>
      </c>
      <c r="D37" s="156">
        <v>6598.9172230560907</v>
      </c>
      <c r="E37" s="156">
        <v>6722.378440889489</v>
      </c>
      <c r="F37" s="156">
        <v>6532.5844768497109</v>
      </c>
      <c r="G37" s="156">
        <v>6099.0224142755342</v>
      </c>
      <c r="H37" s="156">
        <v>6365.6735067544951</v>
      </c>
      <c r="I37" s="156">
        <v>6166.3907613537676</v>
      </c>
      <c r="J37" s="156">
        <v>5949.63032276993</v>
      </c>
      <c r="K37" s="156">
        <v>6085.3381824944872</v>
      </c>
      <c r="L37" s="156">
        <v>6091.0012697823422</v>
      </c>
      <c r="M37" s="156">
        <v>5983.0152884328845</v>
      </c>
    </row>
    <row r="38" spans="1:13" x14ac:dyDescent="0.3">
      <c r="A38" s="159" t="s">
        <v>442</v>
      </c>
      <c r="B38" s="278" t="s">
        <v>526</v>
      </c>
      <c r="C38" s="156">
        <v>5268.5038841732767</v>
      </c>
      <c r="D38" s="156">
        <v>5499.8053117852314</v>
      </c>
      <c r="E38" s="156">
        <v>5679.6053621547608</v>
      </c>
      <c r="F38" s="156">
        <v>5880.5813165281579</v>
      </c>
      <c r="G38" s="156">
        <v>5725.5277740699194</v>
      </c>
      <c r="H38" s="156">
        <v>6010.486903381945</v>
      </c>
      <c r="I38" s="156">
        <v>6140.1217135441193</v>
      </c>
      <c r="J38" s="156">
        <v>6255.6152315639283</v>
      </c>
      <c r="K38" s="156">
        <v>6334.5666873722448</v>
      </c>
      <c r="L38" s="156">
        <v>6424.8604653686407</v>
      </c>
      <c r="M38" s="156">
        <v>6449.4717936496227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workbookViewId="0">
      <selection activeCell="U16" sqref="U16"/>
    </sheetView>
  </sheetViews>
  <sheetFormatPr baseColWidth="10" defaultColWidth="11.44140625" defaultRowHeight="14.4" x14ac:dyDescent="0.3"/>
  <cols>
    <col min="1" max="1" width="60.33203125" style="156" customWidth="1"/>
    <col min="2" max="2" width="30.33203125" style="156" customWidth="1"/>
    <col min="3" max="3" width="12" style="156" bestFit="1" customWidth="1"/>
    <col min="4" max="4" width="13.44140625" style="156" bestFit="1" customWidth="1"/>
    <col min="5" max="5" width="11.6640625" style="156" bestFit="1" customWidth="1"/>
    <col min="6" max="6" width="14" style="156" bestFit="1" customWidth="1"/>
    <col min="7" max="7" width="12" style="156" bestFit="1" customWidth="1"/>
    <col min="8" max="8" width="13.6640625" style="156" bestFit="1" customWidth="1"/>
    <col min="9" max="9" width="10.109375" style="156" bestFit="1" customWidth="1"/>
    <col min="10" max="10" width="10.44140625" style="156" bestFit="1" customWidth="1"/>
    <col min="11" max="11" width="9.109375" style="156" bestFit="1" customWidth="1"/>
    <col min="12" max="12" width="12.44140625" style="156" bestFit="1" customWidth="1"/>
    <col min="13" max="13" width="14.109375" style="156" bestFit="1" customWidth="1"/>
    <col min="14" max="14" width="10" style="156" bestFit="1" customWidth="1"/>
    <col min="15" max="15" width="9" style="156" bestFit="1" customWidth="1"/>
    <col min="16" max="16384" width="11.44140625" style="156"/>
  </cols>
  <sheetData>
    <row r="1" spans="1:15" ht="28.8" x14ac:dyDescent="0.3">
      <c r="A1" s="160" t="s">
        <v>443</v>
      </c>
    </row>
    <row r="2" spans="1:15" x14ac:dyDescent="0.3">
      <c r="A2" s="161" t="s">
        <v>26</v>
      </c>
      <c r="B2" s="162"/>
      <c r="C2" s="162"/>
      <c r="D2" s="162"/>
      <c r="E2" s="162"/>
      <c r="F2" s="162"/>
      <c r="G2" s="162"/>
      <c r="H2" s="162"/>
      <c r="I2" s="162"/>
      <c r="J2" s="162"/>
      <c r="K2" s="162"/>
      <c r="L2" s="162"/>
      <c r="M2" s="162"/>
      <c r="N2" s="162"/>
      <c r="O2" s="162"/>
    </row>
    <row r="3" spans="1:15" x14ac:dyDescent="0.3">
      <c r="A3" s="160" t="s">
        <v>444</v>
      </c>
      <c r="B3" s="163" t="s">
        <v>445</v>
      </c>
      <c r="C3" s="163" t="s">
        <v>446</v>
      </c>
      <c r="D3" s="163" t="s">
        <v>447</v>
      </c>
      <c r="E3" s="163" t="s">
        <v>448</v>
      </c>
      <c r="F3" s="163" t="s">
        <v>449</v>
      </c>
      <c r="G3" s="163" t="s">
        <v>450</v>
      </c>
      <c r="H3" s="163" t="s">
        <v>451</v>
      </c>
      <c r="I3" s="163" t="s">
        <v>452</v>
      </c>
      <c r="J3" s="163" t="s">
        <v>453</v>
      </c>
      <c r="K3" s="163" t="s">
        <v>454</v>
      </c>
      <c r="L3" s="163" t="s">
        <v>455</v>
      </c>
      <c r="M3" s="163" t="s">
        <v>456</v>
      </c>
      <c r="N3" s="163" t="s">
        <v>457</v>
      </c>
      <c r="O3" s="163" t="s">
        <v>458</v>
      </c>
    </row>
    <row r="4" spans="1:15" x14ac:dyDescent="0.3">
      <c r="A4" s="164" t="s">
        <v>44</v>
      </c>
      <c r="B4" s="165">
        <v>0</v>
      </c>
      <c r="C4" s="165">
        <v>56100</v>
      </c>
      <c r="D4" s="166">
        <v>0</v>
      </c>
      <c r="E4" s="166">
        <v>0</v>
      </c>
      <c r="F4" s="166">
        <v>0</v>
      </c>
      <c r="G4" s="166">
        <v>0</v>
      </c>
      <c r="H4" s="166">
        <v>0</v>
      </c>
      <c r="I4" s="166">
        <v>0</v>
      </c>
      <c r="J4" s="166">
        <v>0</v>
      </c>
      <c r="K4" s="166">
        <v>0</v>
      </c>
      <c r="L4" s="166">
        <v>0</v>
      </c>
      <c r="M4" s="166">
        <v>0</v>
      </c>
      <c r="N4" s="166">
        <v>0</v>
      </c>
      <c r="O4" s="166">
        <v>0</v>
      </c>
    </row>
    <row r="5" spans="1:15" x14ac:dyDescent="0.3">
      <c r="A5" s="164" t="s">
        <v>47</v>
      </c>
      <c r="B5" s="165">
        <v>-54600</v>
      </c>
      <c r="C5" s="165">
        <v>0</v>
      </c>
      <c r="D5" s="166">
        <v>0</v>
      </c>
      <c r="E5" s="166">
        <v>0</v>
      </c>
      <c r="F5" s="166">
        <v>0</v>
      </c>
      <c r="G5" s="166">
        <v>0</v>
      </c>
      <c r="H5" s="166">
        <v>0</v>
      </c>
      <c r="I5" s="166">
        <v>0</v>
      </c>
      <c r="J5" s="166">
        <v>0</v>
      </c>
      <c r="K5" s="166">
        <v>0</v>
      </c>
      <c r="L5" s="166">
        <v>0</v>
      </c>
      <c r="M5" s="166">
        <v>0</v>
      </c>
      <c r="N5" s="166">
        <v>0</v>
      </c>
      <c r="O5" s="166">
        <v>0</v>
      </c>
    </row>
    <row r="6" spans="1:15" x14ac:dyDescent="0.3">
      <c r="A6" s="164" t="s">
        <v>50</v>
      </c>
      <c r="B6" s="166">
        <v>0</v>
      </c>
      <c r="C6" s="166">
        <v>0</v>
      </c>
      <c r="D6" s="166">
        <v>0</v>
      </c>
      <c r="E6" s="166">
        <v>0</v>
      </c>
      <c r="F6" s="166">
        <v>0</v>
      </c>
      <c r="G6" s="166">
        <v>0</v>
      </c>
      <c r="H6" s="166">
        <v>0</v>
      </c>
      <c r="I6" s="166">
        <v>0</v>
      </c>
      <c r="J6" s="166">
        <v>0</v>
      </c>
      <c r="K6" s="166">
        <v>0</v>
      </c>
      <c r="L6" s="166">
        <v>0</v>
      </c>
      <c r="M6" s="166">
        <v>0</v>
      </c>
      <c r="N6" s="166">
        <v>0</v>
      </c>
      <c r="O6" s="166">
        <v>0</v>
      </c>
    </row>
    <row r="7" spans="1:15" x14ac:dyDescent="0.3">
      <c r="A7" s="164" t="s">
        <v>53</v>
      </c>
      <c r="B7" s="166">
        <v>0</v>
      </c>
      <c r="C7" s="166">
        <v>0</v>
      </c>
      <c r="D7" s="166">
        <v>0</v>
      </c>
      <c r="E7" s="166">
        <v>0</v>
      </c>
      <c r="F7" s="166">
        <v>0</v>
      </c>
      <c r="G7" s="165">
        <v>0</v>
      </c>
      <c r="H7" s="165">
        <v>73300</v>
      </c>
      <c r="I7" s="166">
        <v>0</v>
      </c>
      <c r="J7" s="166">
        <v>0</v>
      </c>
      <c r="K7" s="166">
        <v>0</v>
      </c>
      <c r="L7" s="166">
        <v>0</v>
      </c>
      <c r="M7" s="166">
        <v>0</v>
      </c>
      <c r="N7" s="166">
        <v>0</v>
      </c>
      <c r="O7" s="166">
        <v>0</v>
      </c>
    </row>
    <row r="8" spans="1:15" x14ac:dyDescent="0.3">
      <c r="A8" s="164" t="s">
        <v>56</v>
      </c>
      <c r="B8" s="166">
        <v>0</v>
      </c>
      <c r="C8" s="166">
        <v>0</v>
      </c>
      <c r="D8" s="166">
        <v>0</v>
      </c>
      <c r="E8" s="166">
        <v>0</v>
      </c>
      <c r="F8" s="166">
        <v>0</v>
      </c>
      <c r="G8" s="165">
        <v>-70800</v>
      </c>
      <c r="H8" s="165">
        <v>0</v>
      </c>
      <c r="I8" s="166">
        <v>0</v>
      </c>
      <c r="J8" s="166">
        <v>0</v>
      </c>
      <c r="K8" s="166">
        <v>0</v>
      </c>
      <c r="L8" s="166">
        <v>0</v>
      </c>
      <c r="M8" s="166">
        <v>0</v>
      </c>
      <c r="N8" s="166">
        <v>0</v>
      </c>
      <c r="O8" s="166">
        <v>0</v>
      </c>
    </row>
    <row r="9" spans="1:15" x14ac:dyDescent="0.3">
      <c r="A9" s="164" t="s">
        <v>59</v>
      </c>
      <c r="B9" s="166">
        <v>0</v>
      </c>
      <c r="C9" s="166">
        <v>0</v>
      </c>
      <c r="D9" s="166">
        <v>0</v>
      </c>
      <c r="E9" s="166">
        <v>0</v>
      </c>
      <c r="F9" s="166">
        <v>0</v>
      </c>
      <c r="G9" s="166">
        <v>0</v>
      </c>
      <c r="H9" s="166">
        <v>0</v>
      </c>
      <c r="I9" s="166">
        <v>0</v>
      </c>
      <c r="J9" s="166">
        <v>0</v>
      </c>
      <c r="K9" s="166">
        <v>0</v>
      </c>
      <c r="L9" s="165">
        <v>0</v>
      </c>
      <c r="M9" s="165">
        <v>98300</v>
      </c>
      <c r="N9" s="166">
        <v>0</v>
      </c>
      <c r="O9" s="166">
        <v>0</v>
      </c>
    </row>
    <row r="10" spans="1:15" x14ac:dyDescent="0.3">
      <c r="A10" s="164" t="s">
        <v>62</v>
      </c>
      <c r="B10" s="166">
        <v>0</v>
      </c>
      <c r="C10" s="166">
        <v>0</v>
      </c>
      <c r="D10" s="166">
        <v>0</v>
      </c>
      <c r="E10" s="166">
        <v>0</v>
      </c>
      <c r="F10" s="166">
        <v>0</v>
      </c>
      <c r="G10" s="166">
        <v>0</v>
      </c>
      <c r="H10" s="166">
        <v>0</v>
      </c>
      <c r="I10" s="166">
        <v>0</v>
      </c>
      <c r="J10" s="166">
        <v>0</v>
      </c>
      <c r="K10" s="166">
        <v>0</v>
      </c>
      <c r="L10" s="165">
        <v>-100000</v>
      </c>
      <c r="M10" s="165">
        <v>0</v>
      </c>
      <c r="N10" s="166">
        <v>0</v>
      </c>
      <c r="O10" s="166">
        <v>0</v>
      </c>
    </row>
    <row r="11" spans="1:15" x14ac:dyDescent="0.3">
      <c r="A11" s="164" t="s">
        <v>65</v>
      </c>
      <c r="B11" s="166">
        <v>0</v>
      </c>
      <c r="C11" s="166">
        <v>0</v>
      </c>
      <c r="D11" s="166">
        <v>0</v>
      </c>
      <c r="E11" s="166">
        <v>0</v>
      </c>
      <c r="F11" s="166">
        <v>0</v>
      </c>
      <c r="G11" s="166">
        <v>0</v>
      </c>
      <c r="H11" s="166">
        <v>0</v>
      </c>
      <c r="I11" s="166">
        <v>0</v>
      </c>
      <c r="J11" s="166">
        <v>0</v>
      </c>
      <c r="K11" s="166">
        <v>0</v>
      </c>
      <c r="L11" s="166">
        <v>0</v>
      </c>
      <c r="M11" s="166">
        <v>0</v>
      </c>
      <c r="N11" s="165">
        <v>91700</v>
      </c>
      <c r="O11" s="166">
        <v>0</v>
      </c>
    </row>
    <row r="12" spans="1:15" x14ac:dyDescent="0.3">
      <c r="A12" s="164" t="s">
        <v>68</v>
      </c>
      <c r="B12" s="166">
        <v>0</v>
      </c>
      <c r="C12" s="166">
        <v>0</v>
      </c>
      <c r="D12" s="166">
        <v>0</v>
      </c>
      <c r="E12" s="166">
        <v>0</v>
      </c>
      <c r="F12" s="166">
        <v>0</v>
      </c>
      <c r="G12" s="166">
        <v>0</v>
      </c>
      <c r="H12" s="166">
        <v>0</v>
      </c>
      <c r="I12" s="166">
        <v>0</v>
      </c>
      <c r="J12" s="166">
        <v>0</v>
      </c>
      <c r="K12" s="166">
        <v>0</v>
      </c>
      <c r="L12" s="166">
        <v>0</v>
      </c>
      <c r="M12" s="166">
        <v>0</v>
      </c>
      <c r="N12" s="165">
        <v>0</v>
      </c>
      <c r="O12" s="166">
        <v>0</v>
      </c>
    </row>
    <row r="13" spans="1:15" x14ac:dyDescent="0.3">
      <c r="A13" s="164" t="s">
        <v>71</v>
      </c>
      <c r="B13" s="165">
        <v>0</v>
      </c>
      <c r="C13" s="165">
        <v>56100</v>
      </c>
      <c r="D13" s="166">
        <v>0</v>
      </c>
      <c r="E13" s="166">
        <v>0</v>
      </c>
      <c r="F13" s="166">
        <v>0</v>
      </c>
      <c r="G13" s="166">
        <v>0</v>
      </c>
      <c r="H13" s="166">
        <v>0</v>
      </c>
      <c r="I13" s="166">
        <v>0</v>
      </c>
      <c r="J13" s="166">
        <v>0</v>
      </c>
      <c r="K13" s="166">
        <v>0</v>
      </c>
      <c r="L13" s="166">
        <v>0</v>
      </c>
      <c r="M13" s="166">
        <v>0</v>
      </c>
      <c r="N13" s="166">
        <v>0</v>
      </c>
      <c r="O13" s="166">
        <v>0</v>
      </c>
    </row>
    <row r="14" spans="1:15" x14ac:dyDescent="0.3">
      <c r="A14" s="164" t="s">
        <v>73</v>
      </c>
      <c r="B14" s="165">
        <v>-54600</v>
      </c>
      <c r="C14" s="165">
        <v>0</v>
      </c>
      <c r="D14" s="166">
        <v>0</v>
      </c>
      <c r="E14" s="166">
        <v>0</v>
      </c>
      <c r="F14" s="166">
        <v>0</v>
      </c>
      <c r="G14" s="166">
        <v>0</v>
      </c>
      <c r="H14" s="166">
        <v>0</v>
      </c>
      <c r="I14" s="166">
        <v>0</v>
      </c>
      <c r="J14" s="166">
        <v>0</v>
      </c>
      <c r="K14" s="166">
        <v>0</v>
      </c>
      <c r="L14" s="166">
        <v>0</v>
      </c>
      <c r="M14" s="166">
        <v>0</v>
      </c>
      <c r="N14" s="166">
        <v>0</v>
      </c>
      <c r="O14" s="166">
        <v>0</v>
      </c>
    </row>
    <row r="15" spans="1:15" x14ac:dyDescent="0.3">
      <c r="A15" s="164" t="s">
        <v>75</v>
      </c>
      <c r="B15" s="166">
        <v>0</v>
      </c>
      <c r="C15" s="166">
        <v>0</v>
      </c>
      <c r="D15" s="166">
        <v>0</v>
      </c>
      <c r="E15" s="166">
        <v>0</v>
      </c>
      <c r="F15" s="166">
        <v>0</v>
      </c>
      <c r="G15" s="166">
        <v>0</v>
      </c>
      <c r="H15" s="166">
        <v>0</v>
      </c>
      <c r="I15" s="166">
        <v>0</v>
      </c>
      <c r="J15" s="166">
        <v>0</v>
      </c>
      <c r="K15" s="166">
        <v>0</v>
      </c>
      <c r="L15" s="166">
        <v>0</v>
      </c>
      <c r="M15" s="166">
        <v>0</v>
      </c>
      <c r="N15" s="166">
        <v>0</v>
      </c>
      <c r="O15" s="166">
        <v>0</v>
      </c>
    </row>
    <row r="16" spans="1:15" x14ac:dyDescent="0.3">
      <c r="A16" s="164" t="s">
        <v>77</v>
      </c>
      <c r="B16" s="166">
        <v>0</v>
      </c>
      <c r="C16" s="166">
        <v>0</v>
      </c>
      <c r="D16" s="166">
        <v>0</v>
      </c>
      <c r="E16" s="166">
        <v>0</v>
      </c>
      <c r="F16" s="166">
        <v>0</v>
      </c>
      <c r="G16" s="165">
        <v>0</v>
      </c>
      <c r="H16" s="165">
        <v>73300</v>
      </c>
      <c r="I16" s="166">
        <v>0</v>
      </c>
      <c r="J16" s="166">
        <v>0</v>
      </c>
      <c r="K16" s="166">
        <v>0</v>
      </c>
      <c r="L16" s="166">
        <v>0</v>
      </c>
      <c r="M16" s="166">
        <v>0</v>
      </c>
      <c r="N16" s="166">
        <v>0</v>
      </c>
      <c r="O16" s="166">
        <v>0</v>
      </c>
    </row>
    <row r="17" spans="1:15" x14ac:dyDescent="0.3">
      <c r="A17" s="164" t="s">
        <v>79</v>
      </c>
      <c r="B17" s="166">
        <v>0</v>
      </c>
      <c r="C17" s="166">
        <v>0</v>
      </c>
      <c r="D17" s="166">
        <v>0</v>
      </c>
      <c r="E17" s="166">
        <v>0</v>
      </c>
      <c r="F17" s="166">
        <v>0</v>
      </c>
      <c r="G17" s="165">
        <v>-70800</v>
      </c>
      <c r="H17" s="165">
        <v>0</v>
      </c>
      <c r="I17" s="166">
        <v>0</v>
      </c>
      <c r="J17" s="166">
        <v>0</v>
      </c>
      <c r="K17" s="166">
        <v>0</v>
      </c>
      <c r="L17" s="166">
        <v>0</v>
      </c>
      <c r="M17" s="166">
        <v>0</v>
      </c>
      <c r="N17" s="166">
        <v>0</v>
      </c>
      <c r="O17" s="166">
        <v>0</v>
      </c>
    </row>
    <row r="18" spans="1:15" x14ac:dyDescent="0.3">
      <c r="A18" s="164" t="s">
        <v>81</v>
      </c>
      <c r="B18" s="166">
        <v>0</v>
      </c>
      <c r="C18" s="166">
        <v>0</v>
      </c>
      <c r="D18" s="166">
        <v>0</v>
      </c>
      <c r="E18" s="166">
        <v>0</v>
      </c>
      <c r="F18" s="166">
        <v>0</v>
      </c>
      <c r="G18" s="166">
        <v>0</v>
      </c>
      <c r="H18" s="166">
        <v>0</v>
      </c>
      <c r="I18" s="166">
        <v>0</v>
      </c>
      <c r="J18" s="166">
        <v>0</v>
      </c>
      <c r="K18" s="166">
        <v>0</v>
      </c>
      <c r="L18" s="166">
        <v>0</v>
      </c>
      <c r="M18" s="166">
        <v>0</v>
      </c>
      <c r="N18" s="166">
        <v>0</v>
      </c>
      <c r="O18" s="166">
        <v>0</v>
      </c>
    </row>
    <row r="19" spans="1:15" x14ac:dyDescent="0.3">
      <c r="A19" s="164" t="s">
        <v>83</v>
      </c>
      <c r="B19" s="166">
        <v>0</v>
      </c>
      <c r="C19" s="166">
        <v>0</v>
      </c>
      <c r="D19" s="166">
        <v>0</v>
      </c>
      <c r="E19" s="166">
        <v>0</v>
      </c>
      <c r="F19" s="166">
        <v>0</v>
      </c>
      <c r="G19" s="166">
        <v>0</v>
      </c>
      <c r="H19" s="166">
        <v>0</v>
      </c>
      <c r="I19" s="166">
        <v>0</v>
      </c>
      <c r="J19" s="166">
        <v>0</v>
      </c>
      <c r="K19" s="166">
        <v>0</v>
      </c>
      <c r="L19" s="165">
        <v>0</v>
      </c>
      <c r="M19" s="165">
        <v>98300</v>
      </c>
      <c r="N19" s="166">
        <v>0</v>
      </c>
      <c r="O19" s="166">
        <v>0</v>
      </c>
    </row>
    <row r="20" spans="1:15" x14ac:dyDescent="0.3">
      <c r="A20" s="164" t="s">
        <v>87</v>
      </c>
      <c r="B20" s="166">
        <v>0</v>
      </c>
      <c r="C20" s="166">
        <v>0</v>
      </c>
      <c r="D20" s="166">
        <v>0</v>
      </c>
      <c r="E20" s="166">
        <v>0</v>
      </c>
      <c r="F20" s="166">
        <v>0</v>
      </c>
      <c r="G20" s="166">
        <v>0</v>
      </c>
      <c r="H20" s="166">
        <v>0</v>
      </c>
      <c r="I20" s="166">
        <v>0</v>
      </c>
      <c r="J20" s="166">
        <v>0</v>
      </c>
      <c r="K20" s="166">
        <v>0</v>
      </c>
      <c r="L20" s="165">
        <v>-100000</v>
      </c>
      <c r="M20" s="165">
        <v>0</v>
      </c>
      <c r="N20" s="166">
        <v>0</v>
      </c>
      <c r="O20" s="166">
        <v>0</v>
      </c>
    </row>
    <row r="21" spans="1:15" x14ac:dyDescent="0.3">
      <c r="A21" s="164" t="s">
        <v>89</v>
      </c>
      <c r="B21" s="166">
        <v>0</v>
      </c>
      <c r="C21" s="166">
        <v>0</v>
      </c>
      <c r="D21" s="166">
        <v>0</v>
      </c>
      <c r="E21" s="166">
        <v>0</v>
      </c>
      <c r="F21" s="166">
        <v>0</v>
      </c>
      <c r="G21" s="166">
        <v>0</v>
      </c>
      <c r="H21" s="166">
        <v>0</v>
      </c>
      <c r="I21" s="166">
        <v>0</v>
      </c>
      <c r="J21" s="166">
        <v>0</v>
      </c>
      <c r="K21" s="166">
        <v>0</v>
      </c>
      <c r="L21" s="166">
        <v>0</v>
      </c>
      <c r="M21" s="166">
        <v>0</v>
      </c>
      <c r="N21" s="165">
        <v>91700</v>
      </c>
      <c r="O21" s="166">
        <v>0</v>
      </c>
    </row>
    <row r="22" spans="1:15" x14ac:dyDescent="0.3">
      <c r="A22" s="164" t="s">
        <v>91</v>
      </c>
      <c r="B22" s="166">
        <v>0</v>
      </c>
      <c r="C22" s="166">
        <v>0</v>
      </c>
      <c r="D22" s="166">
        <v>0</v>
      </c>
      <c r="E22" s="166">
        <v>0</v>
      </c>
      <c r="F22" s="166">
        <v>0</v>
      </c>
      <c r="G22" s="166">
        <v>0</v>
      </c>
      <c r="H22" s="166">
        <v>0</v>
      </c>
      <c r="I22" s="166">
        <v>0</v>
      </c>
      <c r="J22" s="166">
        <v>0</v>
      </c>
      <c r="K22" s="166">
        <v>0</v>
      </c>
      <c r="L22" s="166">
        <v>0</v>
      </c>
      <c r="M22" s="166">
        <v>0</v>
      </c>
      <c r="N22" s="165">
        <v>0</v>
      </c>
      <c r="O22" s="166">
        <v>0</v>
      </c>
    </row>
    <row r="23" spans="1:15" x14ac:dyDescent="0.3">
      <c r="A23" s="164" t="s">
        <v>93</v>
      </c>
      <c r="B23" s="165">
        <v>0</v>
      </c>
      <c r="C23" s="165">
        <v>56100</v>
      </c>
      <c r="D23" s="166">
        <v>0</v>
      </c>
      <c r="E23" s="166">
        <v>0</v>
      </c>
      <c r="F23" s="166">
        <v>0</v>
      </c>
      <c r="G23" s="166">
        <v>0</v>
      </c>
      <c r="H23" s="166">
        <v>0</v>
      </c>
      <c r="I23" s="166">
        <v>0</v>
      </c>
      <c r="J23" s="166">
        <v>0</v>
      </c>
      <c r="K23" s="166">
        <v>0</v>
      </c>
      <c r="L23" s="166">
        <v>0</v>
      </c>
      <c r="M23" s="166">
        <v>0</v>
      </c>
      <c r="N23" s="166">
        <v>0</v>
      </c>
      <c r="O23" s="166">
        <v>0</v>
      </c>
    </row>
    <row r="24" spans="1:15" x14ac:dyDescent="0.3">
      <c r="A24" s="164" t="s">
        <v>95</v>
      </c>
      <c r="B24" s="165">
        <v>-54600</v>
      </c>
      <c r="C24" s="165">
        <v>0</v>
      </c>
      <c r="D24" s="166">
        <v>0</v>
      </c>
      <c r="E24" s="166">
        <v>0</v>
      </c>
      <c r="F24" s="166">
        <v>0</v>
      </c>
      <c r="G24" s="166">
        <v>0</v>
      </c>
      <c r="H24" s="166">
        <v>0</v>
      </c>
      <c r="I24" s="166">
        <v>0</v>
      </c>
      <c r="J24" s="166">
        <v>0</v>
      </c>
      <c r="K24" s="166">
        <v>0</v>
      </c>
      <c r="L24" s="166">
        <v>0</v>
      </c>
      <c r="M24" s="166">
        <v>0</v>
      </c>
      <c r="N24" s="166">
        <v>0</v>
      </c>
      <c r="O24" s="166">
        <v>0</v>
      </c>
    </row>
    <row r="25" spans="1:15" x14ac:dyDescent="0.3">
      <c r="A25" s="164" t="s">
        <v>97</v>
      </c>
      <c r="B25" s="166">
        <v>0</v>
      </c>
      <c r="C25" s="166">
        <v>0</v>
      </c>
      <c r="D25" s="166">
        <v>0</v>
      </c>
      <c r="E25" s="166">
        <v>0</v>
      </c>
      <c r="F25" s="166">
        <v>0</v>
      </c>
      <c r="G25" s="166">
        <v>0</v>
      </c>
      <c r="H25" s="166">
        <v>0</v>
      </c>
      <c r="I25" s="166">
        <v>0</v>
      </c>
      <c r="J25" s="166">
        <v>0</v>
      </c>
      <c r="K25" s="166">
        <v>0</v>
      </c>
      <c r="L25" s="166">
        <v>0</v>
      </c>
      <c r="M25" s="166">
        <v>0</v>
      </c>
      <c r="N25" s="166">
        <v>0</v>
      </c>
      <c r="O25" s="166">
        <v>0</v>
      </c>
    </row>
    <row r="26" spans="1:15" x14ac:dyDescent="0.3">
      <c r="A26" s="164" t="s">
        <v>99</v>
      </c>
      <c r="B26" s="166">
        <v>0</v>
      </c>
      <c r="C26" s="166">
        <v>0</v>
      </c>
      <c r="D26" s="166">
        <v>0</v>
      </c>
      <c r="E26" s="166">
        <v>0</v>
      </c>
      <c r="F26" s="166">
        <v>0</v>
      </c>
      <c r="G26" s="166">
        <v>0</v>
      </c>
      <c r="H26" s="166">
        <v>0</v>
      </c>
      <c r="I26" s="166">
        <v>0</v>
      </c>
      <c r="J26" s="166">
        <v>0</v>
      </c>
      <c r="K26" s="166">
        <v>0</v>
      </c>
      <c r="L26" s="166">
        <v>0</v>
      </c>
      <c r="M26" s="166">
        <v>0</v>
      </c>
      <c r="N26" s="166">
        <v>0</v>
      </c>
      <c r="O26" s="166">
        <v>0</v>
      </c>
    </row>
    <row r="27" spans="1:15" x14ac:dyDescent="0.3">
      <c r="A27" s="164" t="s">
        <v>101</v>
      </c>
      <c r="B27" s="166">
        <v>0</v>
      </c>
      <c r="C27" s="166">
        <v>0</v>
      </c>
      <c r="D27" s="166">
        <v>0</v>
      </c>
      <c r="E27" s="166">
        <v>0</v>
      </c>
      <c r="F27" s="166">
        <v>0</v>
      </c>
      <c r="G27" s="166">
        <v>0</v>
      </c>
      <c r="H27" s="166">
        <v>0</v>
      </c>
      <c r="I27" s="166">
        <v>0</v>
      </c>
      <c r="J27" s="166">
        <v>0</v>
      </c>
      <c r="K27" s="166">
        <v>0</v>
      </c>
      <c r="L27" s="166">
        <v>0</v>
      </c>
      <c r="M27" s="166">
        <v>0</v>
      </c>
      <c r="N27" s="166">
        <v>0</v>
      </c>
      <c r="O27" s="166">
        <v>0</v>
      </c>
    </row>
    <row r="28" spans="1:15" x14ac:dyDescent="0.3">
      <c r="A28" s="164" t="s">
        <v>103</v>
      </c>
      <c r="B28" s="166">
        <v>0</v>
      </c>
      <c r="C28" s="166">
        <v>0</v>
      </c>
      <c r="D28" s="166">
        <v>0</v>
      </c>
      <c r="E28" s="166">
        <v>0</v>
      </c>
      <c r="F28" s="166">
        <v>0</v>
      </c>
      <c r="G28" s="165">
        <v>0</v>
      </c>
      <c r="H28" s="165">
        <v>73300</v>
      </c>
      <c r="I28" s="166">
        <v>0</v>
      </c>
      <c r="J28" s="166">
        <v>0</v>
      </c>
      <c r="K28" s="166">
        <v>0</v>
      </c>
      <c r="L28" s="166">
        <v>0</v>
      </c>
      <c r="M28" s="166">
        <v>0</v>
      </c>
      <c r="N28" s="166">
        <v>0</v>
      </c>
      <c r="O28" s="166">
        <v>0</v>
      </c>
    </row>
    <row r="29" spans="1:15" x14ac:dyDescent="0.3">
      <c r="A29" s="164" t="s">
        <v>105</v>
      </c>
      <c r="B29" s="166">
        <v>0</v>
      </c>
      <c r="C29" s="166">
        <v>0</v>
      </c>
      <c r="D29" s="166">
        <v>0</v>
      </c>
      <c r="E29" s="166">
        <v>0</v>
      </c>
      <c r="F29" s="166">
        <v>0</v>
      </c>
      <c r="G29" s="165">
        <v>-70800</v>
      </c>
      <c r="H29" s="165">
        <v>0</v>
      </c>
      <c r="I29" s="166">
        <v>0</v>
      </c>
      <c r="J29" s="166">
        <v>0</v>
      </c>
      <c r="K29" s="166">
        <v>0</v>
      </c>
      <c r="L29" s="166">
        <v>0</v>
      </c>
      <c r="M29" s="166">
        <v>0</v>
      </c>
      <c r="N29" s="166">
        <v>0</v>
      </c>
      <c r="O29" s="166">
        <v>0</v>
      </c>
    </row>
    <row r="30" spans="1:15" x14ac:dyDescent="0.3">
      <c r="A30" s="164" t="s">
        <v>107</v>
      </c>
      <c r="B30" s="166">
        <v>0</v>
      </c>
      <c r="C30" s="166">
        <v>0</v>
      </c>
      <c r="D30" s="166">
        <v>0</v>
      </c>
      <c r="E30" s="166">
        <v>0</v>
      </c>
      <c r="F30" s="166">
        <v>0</v>
      </c>
      <c r="G30" s="166">
        <v>0</v>
      </c>
      <c r="H30" s="166">
        <v>0</v>
      </c>
      <c r="I30" s="166">
        <v>0</v>
      </c>
      <c r="J30" s="166">
        <v>0</v>
      </c>
      <c r="K30" s="166">
        <v>0</v>
      </c>
      <c r="L30" s="166">
        <v>0</v>
      </c>
      <c r="M30" s="166">
        <v>0</v>
      </c>
      <c r="N30" s="166">
        <v>0</v>
      </c>
      <c r="O30" s="166">
        <v>0</v>
      </c>
    </row>
    <row r="31" spans="1:15" x14ac:dyDescent="0.3">
      <c r="A31" s="164" t="s">
        <v>109</v>
      </c>
      <c r="B31" s="166">
        <v>0</v>
      </c>
      <c r="C31" s="166">
        <v>0</v>
      </c>
      <c r="D31" s="166">
        <v>0</v>
      </c>
      <c r="E31" s="166">
        <v>0</v>
      </c>
      <c r="F31" s="166">
        <v>0</v>
      </c>
      <c r="G31" s="166">
        <v>0</v>
      </c>
      <c r="H31" s="166">
        <v>0</v>
      </c>
      <c r="I31" s="166">
        <v>0</v>
      </c>
      <c r="J31" s="166">
        <v>0</v>
      </c>
      <c r="K31" s="166">
        <v>0</v>
      </c>
      <c r="L31" s="166">
        <v>0</v>
      </c>
      <c r="M31" s="166">
        <v>0</v>
      </c>
      <c r="N31" s="166">
        <v>0</v>
      </c>
      <c r="O31" s="166">
        <v>0</v>
      </c>
    </row>
    <row r="32" spans="1:15" x14ac:dyDescent="0.3">
      <c r="A32" s="164" t="s">
        <v>111</v>
      </c>
      <c r="B32" s="166">
        <v>0</v>
      </c>
      <c r="C32" s="166">
        <v>0</v>
      </c>
      <c r="D32" s="166">
        <v>0</v>
      </c>
      <c r="E32" s="166">
        <v>0</v>
      </c>
      <c r="F32" s="166">
        <v>0</v>
      </c>
      <c r="G32" s="166">
        <v>0</v>
      </c>
      <c r="H32" s="166">
        <v>0</v>
      </c>
      <c r="I32" s="166">
        <v>0</v>
      </c>
      <c r="J32" s="166">
        <v>0</v>
      </c>
      <c r="K32" s="166">
        <v>0</v>
      </c>
      <c r="L32" s="166">
        <v>0</v>
      </c>
      <c r="M32" s="166">
        <v>0</v>
      </c>
      <c r="N32" s="166">
        <v>0</v>
      </c>
      <c r="O32" s="166">
        <v>0</v>
      </c>
    </row>
    <row r="33" spans="1:15" x14ac:dyDescent="0.3">
      <c r="A33" s="164" t="s">
        <v>113</v>
      </c>
      <c r="B33" s="166">
        <v>0</v>
      </c>
      <c r="C33" s="166">
        <v>0</v>
      </c>
      <c r="D33" s="166">
        <v>0</v>
      </c>
      <c r="E33" s="166">
        <v>0</v>
      </c>
      <c r="F33" s="166">
        <v>0</v>
      </c>
      <c r="G33" s="166">
        <v>0</v>
      </c>
      <c r="H33" s="166">
        <v>0</v>
      </c>
      <c r="I33" s="166">
        <v>0</v>
      </c>
      <c r="J33" s="166">
        <v>0</v>
      </c>
      <c r="K33" s="166">
        <v>0</v>
      </c>
      <c r="L33" s="166">
        <v>0</v>
      </c>
      <c r="M33" s="166">
        <v>0</v>
      </c>
      <c r="N33" s="166">
        <v>0</v>
      </c>
      <c r="O33" s="166">
        <v>0</v>
      </c>
    </row>
    <row r="34" spans="1:15" x14ac:dyDescent="0.3">
      <c r="A34" s="164" t="s">
        <v>115</v>
      </c>
      <c r="B34" s="166">
        <v>0</v>
      </c>
      <c r="C34" s="166">
        <v>0</v>
      </c>
      <c r="D34" s="166">
        <v>0</v>
      </c>
      <c r="E34" s="166">
        <v>0</v>
      </c>
      <c r="F34" s="166">
        <v>0</v>
      </c>
      <c r="G34" s="166">
        <v>0</v>
      </c>
      <c r="H34" s="166">
        <v>0</v>
      </c>
      <c r="I34" s="166">
        <v>0</v>
      </c>
      <c r="J34" s="166">
        <v>0</v>
      </c>
      <c r="K34" s="166">
        <v>0</v>
      </c>
      <c r="L34" s="166">
        <v>0</v>
      </c>
      <c r="M34" s="166">
        <v>0</v>
      </c>
      <c r="N34" s="166">
        <v>0</v>
      </c>
      <c r="O34" s="166">
        <v>0</v>
      </c>
    </row>
    <row r="35" spans="1:15" x14ac:dyDescent="0.3">
      <c r="A35" s="164" t="s">
        <v>117</v>
      </c>
      <c r="B35" s="166">
        <v>0</v>
      </c>
      <c r="C35" s="166">
        <v>0</v>
      </c>
      <c r="D35" s="166">
        <v>0</v>
      </c>
      <c r="E35" s="166">
        <v>0</v>
      </c>
      <c r="F35" s="166">
        <v>0</v>
      </c>
      <c r="G35" s="166">
        <v>0</v>
      </c>
      <c r="H35" s="166">
        <v>0</v>
      </c>
      <c r="I35" s="166">
        <v>0</v>
      </c>
      <c r="J35" s="166">
        <v>0</v>
      </c>
      <c r="K35" s="166">
        <v>0</v>
      </c>
      <c r="L35" s="165">
        <v>0</v>
      </c>
      <c r="M35" s="165">
        <v>98300</v>
      </c>
      <c r="N35" s="166">
        <v>0</v>
      </c>
      <c r="O35" s="166">
        <v>0</v>
      </c>
    </row>
    <row r="36" spans="1:15" x14ac:dyDescent="0.3">
      <c r="A36" s="164" t="s">
        <v>119</v>
      </c>
      <c r="B36" s="166">
        <v>0</v>
      </c>
      <c r="C36" s="166">
        <v>0</v>
      </c>
      <c r="D36" s="166">
        <v>0</v>
      </c>
      <c r="E36" s="166">
        <v>0</v>
      </c>
      <c r="F36" s="166">
        <v>0</v>
      </c>
      <c r="G36" s="166">
        <v>0</v>
      </c>
      <c r="H36" s="166">
        <v>0</v>
      </c>
      <c r="I36" s="166">
        <v>0</v>
      </c>
      <c r="J36" s="166">
        <v>0</v>
      </c>
      <c r="K36" s="166">
        <v>0</v>
      </c>
      <c r="L36" s="165">
        <v>-100000</v>
      </c>
      <c r="M36" s="165">
        <v>0</v>
      </c>
      <c r="N36" s="166">
        <v>0</v>
      </c>
      <c r="O36" s="166">
        <v>0</v>
      </c>
    </row>
    <row r="37" spans="1:15" x14ac:dyDescent="0.3">
      <c r="A37" s="164" t="s">
        <v>121</v>
      </c>
      <c r="B37" s="166">
        <v>0</v>
      </c>
      <c r="C37" s="166">
        <v>0</v>
      </c>
      <c r="D37" s="166">
        <v>0</v>
      </c>
      <c r="E37" s="166">
        <v>0</v>
      </c>
      <c r="F37" s="166">
        <v>0</v>
      </c>
      <c r="G37" s="166">
        <v>0</v>
      </c>
      <c r="H37" s="166">
        <v>0</v>
      </c>
      <c r="I37" s="166">
        <v>0</v>
      </c>
      <c r="J37" s="166">
        <v>0</v>
      </c>
      <c r="K37" s="166">
        <v>0</v>
      </c>
      <c r="L37" s="166">
        <v>0</v>
      </c>
      <c r="M37" s="166">
        <v>0</v>
      </c>
      <c r="N37" s="165">
        <v>91700</v>
      </c>
      <c r="O37" s="166">
        <v>0</v>
      </c>
    </row>
    <row r="38" spans="1:15" x14ac:dyDescent="0.3">
      <c r="A38" s="164" t="s">
        <v>123</v>
      </c>
      <c r="B38" s="166">
        <v>0</v>
      </c>
      <c r="C38" s="166">
        <v>0</v>
      </c>
      <c r="D38" s="166">
        <v>0</v>
      </c>
      <c r="E38" s="166">
        <v>0</v>
      </c>
      <c r="F38" s="166">
        <v>0</v>
      </c>
      <c r="G38" s="166">
        <v>0</v>
      </c>
      <c r="H38" s="166">
        <v>0</v>
      </c>
      <c r="I38" s="166">
        <v>0</v>
      </c>
      <c r="J38" s="166">
        <v>0</v>
      </c>
      <c r="K38" s="166">
        <v>0</v>
      </c>
      <c r="L38" s="166">
        <v>0</v>
      </c>
      <c r="M38" s="166">
        <v>0</v>
      </c>
      <c r="N38" s="165">
        <v>0</v>
      </c>
      <c r="O38" s="166">
        <v>0</v>
      </c>
    </row>
    <row r="39" spans="1:15" x14ac:dyDescent="0.3">
      <c r="A39" s="164" t="s">
        <v>125</v>
      </c>
      <c r="B39" s="166">
        <v>0</v>
      </c>
      <c r="C39" s="166">
        <v>0</v>
      </c>
      <c r="D39" s="166">
        <v>0</v>
      </c>
      <c r="E39" s="166">
        <v>0</v>
      </c>
      <c r="F39" s="166">
        <v>0</v>
      </c>
      <c r="G39" s="166">
        <v>0</v>
      </c>
      <c r="H39" s="166">
        <v>0</v>
      </c>
      <c r="I39" s="166">
        <v>0</v>
      </c>
      <c r="J39" s="166">
        <v>0</v>
      </c>
      <c r="K39" s="166">
        <v>0</v>
      </c>
      <c r="L39" s="166">
        <v>0</v>
      </c>
      <c r="M39" s="166">
        <v>0</v>
      </c>
      <c r="N39" s="166">
        <v>0</v>
      </c>
      <c r="O39" s="166">
        <v>0</v>
      </c>
    </row>
    <row r="40" spans="1:15" x14ac:dyDescent="0.3">
      <c r="A40" s="164" t="s">
        <v>127</v>
      </c>
      <c r="B40" s="166">
        <v>0</v>
      </c>
      <c r="C40" s="166">
        <v>0</v>
      </c>
      <c r="D40" s="166">
        <v>0</v>
      </c>
      <c r="E40" s="166">
        <v>0</v>
      </c>
      <c r="F40" s="166">
        <v>0</v>
      </c>
      <c r="G40" s="166">
        <v>0</v>
      </c>
      <c r="H40" s="166">
        <v>0</v>
      </c>
      <c r="I40" s="166">
        <v>0</v>
      </c>
      <c r="J40" s="166">
        <v>0</v>
      </c>
      <c r="K40" s="166">
        <v>0</v>
      </c>
      <c r="L40" s="166">
        <v>0</v>
      </c>
      <c r="M40" s="166">
        <v>0</v>
      </c>
      <c r="N40" s="166">
        <v>0</v>
      </c>
      <c r="O40" s="166">
        <v>0</v>
      </c>
    </row>
    <row r="41" spans="1:15" x14ac:dyDescent="0.3">
      <c r="A41" s="164" t="s">
        <v>129</v>
      </c>
      <c r="B41" s="166">
        <v>0</v>
      </c>
      <c r="C41" s="166">
        <v>0</v>
      </c>
      <c r="D41" s="166">
        <v>0</v>
      </c>
      <c r="E41" s="166">
        <v>0</v>
      </c>
      <c r="F41" s="166">
        <v>0</v>
      </c>
      <c r="G41" s="166">
        <v>0</v>
      </c>
      <c r="H41" s="166">
        <v>0</v>
      </c>
      <c r="I41" s="166">
        <v>0</v>
      </c>
      <c r="J41" s="166">
        <v>0</v>
      </c>
      <c r="K41" s="166">
        <v>0</v>
      </c>
      <c r="L41" s="166">
        <v>0</v>
      </c>
      <c r="M41" s="166">
        <v>0</v>
      </c>
      <c r="N41" s="166">
        <v>0</v>
      </c>
      <c r="O41" s="166">
        <v>0</v>
      </c>
    </row>
    <row r="42" spans="1:15" x14ac:dyDescent="0.3">
      <c r="A42" s="164" t="s">
        <v>131</v>
      </c>
      <c r="B42" s="166">
        <v>0</v>
      </c>
      <c r="C42" s="166">
        <v>0</v>
      </c>
      <c r="D42" s="166">
        <v>0</v>
      </c>
      <c r="E42" s="166">
        <v>0</v>
      </c>
      <c r="F42" s="166">
        <v>0</v>
      </c>
      <c r="G42" s="166">
        <v>0</v>
      </c>
      <c r="H42" s="166">
        <v>0</v>
      </c>
      <c r="I42" s="166">
        <v>0</v>
      </c>
      <c r="J42" s="166">
        <v>0</v>
      </c>
      <c r="K42" s="166">
        <v>0</v>
      </c>
      <c r="L42" s="166">
        <v>0</v>
      </c>
      <c r="M42" s="166">
        <v>0</v>
      </c>
      <c r="N42" s="166">
        <v>0</v>
      </c>
      <c r="O42" s="166">
        <v>0</v>
      </c>
    </row>
    <row r="43" spans="1:15" x14ac:dyDescent="0.3">
      <c r="A43" s="164" t="s">
        <v>132</v>
      </c>
      <c r="B43" s="166">
        <v>0</v>
      </c>
      <c r="C43" s="166">
        <v>0</v>
      </c>
      <c r="D43" s="166">
        <v>0</v>
      </c>
      <c r="E43" s="166">
        <v>0</v>
      </c>
      <c r="F43" s="166">
        <v>0</v>
      </c>
      <c r="G43" s="166">
        <v>0</v>
      </c>
      <c r="H43" s="166">
        <v>0</v>
      </c>
      <c r="I43" s="166">
        <v>0</v>
      </c>
      <c r="J43" s="166">
        <v>0</v>
      </c>
      <c r="K43" s="166">
        <v>0</v>
      </c>
      <c r="L43" s="166">
        <v>0</v>
      </c>
      <c r="M43" s="166">
        <v>0</v>
      </c>
      <c r="N43" s="166">
        <v>0</v>
      </c>
      <c r="O43" s="166">
        <v>0</v>
      </c>
    </row>
    <row r="44" spans="1:15" x14ac:dyDescent="0.3">
      <c r="A44" s="164" t="s">
        <v>133</v>
      </c>
      <c r="B44" s="166">
        <v>0</v>
      </c>
      <c r="C44" s="166">
        <v>0</v>
      </c>
      <c r="D44" s="166">
        <v>0</v>
      </c>
      <c r="E44" s="166">
        <v>0</v>
      </c>
      <c r="F44" s="166">
        <v>0</v>
      </c>
      <c r="G44" s="166">
        <v>0</v>
      </c>
      <c r="H44" s="166">
        <v>0</v>
      </c>
      <c r="I44" s="166">
        <v>0</v>
      </c>
      <c r="J44" s="166">
        <v>0</v>
      </c>
      <c r="K44" s="166">
        <v>0</v>
      </c>
      <c r="L44" s="166">
        <v>0</v>
      </c>
      <c r="M44" s="166">
        <v>0</v>
      </c>
      <c r="N44" s="166">
        <v>0</v>
      </c>
      <c r="O44" s="166">
        <v>0</v>
      </c>
    </row>
    <row r="45" spans="1:15" x14ac:dyDescent="0.3">
      <c r="A45" s="164" t="s">
        <v>134</v>
      </c>
      <c r="B45" s="166">
        <v>0</v>
      </c>
      <c r="C45" s="166">
        <v>0</v>
      </c>
      <c r="D45" s="166">
        <v>0</v>
      </c>
      <c r="E45" s="166">
        <v>0</v>
      </c>
      <c r="F45" s="166">
        <v>0</v>
      </c>
      <c r="G45" s="166">
        <v>0</v>
      </c>
      <c r="H45" s="166">
        <v>0</v>
      </c>
      <c r="I45" s="166">
        <v>0</v>
      </c>
      <c r="J45" s="166">
        <v>0</v>
      </c>
      <c r="K45" s="166">
        <v>0</v>
      </c>
      <c r="L45" s="166">
        <v>0</v>
      </c>
      <c r="M45" s="166">
        <v>0</v>
      </c>
      <c r="N45" s="166">
        <v>0</v>
      </c>
      <c r="O45" s="166">
        <v>0</v>
      </c>
    </row>
    <row r="47" spans="1:15" x14ac:dyDescent="0.3">
      <c r="A47" s="160" t="s">
        <v>459</v>
      </c>
      <c r="B47" s="163" t="s">
        <v>460</v>
      </c>
    </row>
    <row r="48" spans="1:15" x14ac:dyDescent="0.3">
      <c r="A48" s="167" t="s">
        <v>461</v>
      </c>
      <c r="B48" s="168" t="s">
        <v>462</v>
      </c>
      <c r="D48" s="169"/>
    </row>
    <row r="49" spans="1:4" x14ac:dyDescent="0.3">
      <c r="A49" s="164" t="s">
        <v>10</v>
      </c>
      <c r="B49" s="170">
        <v>0</v>
      </c>
      <c r="D49" s="169"/>
    </row>
    <row r="50" spans="1:4" x14ac:dyDescent="0.3">
      <c r="A50" s="164" t="s">
        <v>12</v>
      </c>
      <c r="B50" s="165">
        <v>98300</v>
      </c>
      <c r="D50" s="169"/>
    </row>
    <row r="51" spans="1:4" x14ac:dyDescent="0.3">
      <c r="A51" s="164" t="s">
        <v>13</v>
      </c>
      <c r="B51" s="165">
        <v>73300</v>
      </c>
      <c r="D51" s="169"/>
    </row>
    <row r="52" spans="1:4" x14ac:dyDescent="0.3">
      <c r="A52" s="164" t="s">
        <v>14</v>
      </c>
      <c r="B52" s="170">
        <v>0</v>
      </c>
      <c r="D52" s="169"/>
    </row>
    <row r="53" spans="1:4" x14ac:dyDescent="0.3">
      <c r="A53" s="164" t="s">
        <v>463</v>
      </c>
      <c r="B53" s="170">
        <v>0</v>
      </c>
      <c r="D53" s="169"/>
    </row>
    <row r="54" spans="1:4" x14ac:dyDescent="0.3">
      <c r="A54" s="164" t="s">
        <v>16</v>
      </c>
      <c r="B54" s="170">
        <v>0</v>
      </c>
      <c r="D54" s="169"/>
    </row>
    <row r="55" spans="1:4" x14ac:dyDescent="0.3">
      <c r="A55" s="164" t="s">
        <v>17</v>
      </c>
      <c r="B55" s="165">
        <v>56100</v>
      </c>
      <c r="D55" s="169"/>
    </row>
    <row r="56" spans="1:4" x14ac:dyDescent="0.3">
      <c r="A56" s="164" t="s">
        <v>18</v>
      </c>
      <c r="B56" s="170">
        <v>0</v>
      </c>
      <c r="D56" s="169"/>
    </row>
    <row r="57" spans="1:4" x14ac:dyDescent="0.3">
      <c r="A57" s="164" t="s">
        <v>19</v>
      </c>
      <c r="B57" s="170">
        <v>0</v>
      </c>
      <c r="D57" s="169"/>
    </row>
    <row r="58" spans="1:4" x14ac:dyDescent="0.3">
      <c r="A58" s="164" t="s">
        <v>20</v>
      </c>
      <c r="B58" s="170">
        <v>0</v>
      </c>
      <c r="D58" s="169"/>
    </row>
    <row r="59" spans="1:4" x14ac:dyDescent="0.3">
      <c r="A59" s="164" t="s">
        <v>21</v>
      </c>
      <c r="B59" s="165">
        <v>91700</v>
      </c>
      <c r="D59" s="169"/>
    </row>
    <row r="60" spans="1:4" x14ac:dyDescent="0.3">
      <c r="A60" s="164" t="s">
        <v>23</v>
      </c>
      <c r="B60" s="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47</vt:i4>
      </vt:variant>
    </vt:vector>
  </HeadingPairs>
  <TitlesOfParts>
    <vt:vector size="58" baseType="lpstr">
      <vt:lpstr>Hoja1</vt:lpstr>
      <vt:lpstr>EF_MINING</vt:lpstr>
      <vt:lpstr>EF_FUGITIVES_GAS_OIL_FUEL_TRANS</vt:lpstr>
      <vt:lpstr>EF_STATIONARY_COM</vt:lpstr>
      <vt:lpstr>EF_MOBILE_COM</vt:lpstr>
      <vt:lpstr>Hoja2</vt:lpstr>
      <vt:lpstr>IEA - Oil consumption World</vt:lpstr>
      <vt:lpstr>IEA - Oil consumption Europe</vt:lpstr>
      <vt:lpstr>IEA - Oil consumption European </vt:lpstr>
      <vt:lpstr>historic_GHG_emissions</vt:lpstr>
      <vt:lpstr>GHG_emission_factors</vt:lpstr>
      <vt:lpstr>CH4_EF_STATIONARY_COMB_END_USE</vt:lpstr>
      <vt:lpstr>CH4_EMISSION_FACTORS_PRIVATE_TRANSPORT</vt:lpstr>
      <vt:lpstr>CH4_EMISSION_FACTORS_PUBLIC_TRANSPORT</vt:lpstr>
      <vt:lpstr>CH4_VOLUME_TO_MASS_CONVERSION_FACTOR</vt:lpstr>
      <vt:lpstr>CO2_EF_STATIONARY_COMB_END_USE</vt:lpstr>
      <vt:lpstr>CO2_EMISSION_FACTORS_PE</vt:lpstr>
      <vt:lpstr>CO2_EMISSION_FACTORS_PRIVATE_TRANSPORT</vt:lpstr>
      <vt:lpstr>CO2_EMISSION_FACTORS_PROTRA_TI_STATIONARY_COMBUSTION</vt:lpstr>
      <vt:lpstr>CO2_EMISSION_FACTORS_PUBLIC_TRANSPORT</vt:lpstr>
      <vt:lpstr>CO2_VOLUME_TO_MASS_CONVERSION_FACTOR</vt:lpstr>
      <vt:lpstr>EF_CH4_COMMERCIAL_INSTITUTIONAL_BY_NRG_PROTRA_AND_TI_I</vt:lpstr>
      <vt:lpstr>EF_CH4_ENERGY_INDUSTRIES_BY_NRG_PROTRA_AND_TI_I</vt:lpstr>
      <vt:lpstr>EF_CH4_MANUFACT_INDUSTRIES_BY_NRG_PROTRA_AND_TI_I</vt:lpstr>
      <vt:lpstr>EF_CH4_RESIDENTIAL_AGRICULTURE_FORESTRY_FISHING_BY_NRG_PROTRA_AND_TI_I</vt:lpstr>
      <vt:lpstr>EF_CHARCOAL_BIOCHAR_PRODUCTION_CO2</vt:lpstr>
      <vt:lpstr>EF_CO2_BY_NRG_PROTRA_AND_TI_I</vt:lpstr>
      <vt:lpstr>EF_COKE_PRODUCTION_CO2</vt:lpstr>
      <vt:lpstr>EF_FUGITIVES_EXTRACTION_CH4</vt:lpstr>
      <vt:lpstr>EF_FUGITIVES_EXTRACTION_CO2</vt:lpstr>
      <vt:lpstr>EF_FUGITIVES_EXTRACTION_GHG</vt:lpstr>
      <vt:lpstr>EF_FUGITIVES_EXTRACTION_N2O</vt:lpstr>
      <vt:lpstr>EF_FUGITIVES_REFINING_CO2</vt:lpstr>
      <vt:lpstr>EF_FUGITIVES_REFINING_GHG</vt:lpstr>
      <vt:lpstr>EF_FUGITIVES_SUPPLY_CO2</vt:lpstr>
      <vt:lpstr>EF_FUGITIVES_SUPPLY_GHG</vt:lpstr>
      <vt:lpstr>EF_N2O_BY_NRG_PROTRA_AND_TI_I</vt:lpstr>
      <vt:lpstr>EF_OFF_ROAD_TRANSPORTATION_CO2</vt:lpstr>
      <vt:lpstr>EF_RAIL_TRANSPORTATION_CO2</vt:lpstr>
      <vt:lpstr>EF_ROAD_TRANSPORTATION_CO2</vt:lpstr>
      <vt:lpstr>EF_TRANSFORMATION_CH4_BY_NRG_PROTRA_I</vt:lpstr>
      <vt:lpstr>EF_TRANSFORMATION_CO2_BY_NRG_PROTRA_I</vt:lpstr>
      <vt:lpstr>EF_TRANSFORMATION_N2O_BY_NRG_PROTRA_I</vt:lpstr>
      <vt:lpstr>EF_WATER_BORNE_NAVIGATION_CO2</vt:lpstr>
      <vt:lpstr>EMISSION_FACTORS_COAL_TO_GAS_PRODUCTION</vt:lpstr>
      <vt:lpstr>EMISSION_FACTORS_GAS_TO_LIQUID_PRODUCTION</vt:lpstr>
      <vt:lpstr>EMISSION_FACTORS_GAS_TO_LIQUIDS_PRODUCTION</vt:lpstr>
      <vt:lpstr>GHG_EMISSION_FACTORS_RESIDENTIAL_STATIONARY_COMBUSTION</vt:lpstr>
      <vt:lpstr>GHG_EMISSION_FACTORS_STATIONARY_COMBUSTION</vt:lpstr>
      <vt:lpstr>GHG_VOLUME_TO_MASS_CONVERSION_FACTOR</vt:lpstr>
      <vt:lpstr>HISTORIC_CO2_EMISSIONS_FROM_ENERGY_AND_WASTE</vt:lpstr>
      <vt:lpstr>historic_time_index</vt:lpstr>
      <vt:lpstr>LHV_NATURAL_GAS</vt:lpstr>
      <vt:lpstr>N2O_EF_STATIONARY_COMB_END_USE</vt:lpstr>
      <vt:lpstr>N2O_EMISSION_FACTORS_PRIVATE_TRANSPORT</vt:lpstr>
      <vt:lpstr>N2O_EMISSION_FACTORS_PUBLIC_TRANSPORT</vt:lpstr>
      <vt:lpstr>SURFACE_COAL_MINING_EMISSION_FACTORS</vt:lpstr>
      <vt:lpstr>UNDERGROUND_COAL_MINING_EMISSION_FACTORS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dc:description/>
  <cp:lastModifiedBy>David Alvarez Antelo</cp:lastModifiedBy>
  <cp:revision>4</cp:revision>
  <dcterms:created xsi:type="dcterms:W3CDTF">2022-03-12T11:44:07Z</dcterms:created>
  <dcterms:modified xsi:type="dcterms:W3CDTF">2023-08-25T23:27:53Z</dcterms:modified>
  <dc:language>en-US</dc:language>
</cp:coreProperties>
</file>