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4.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6.xml" ContentType="application/vnd.openxmlformats-officedocument.drawing+xml"/>
  <Override PartName="/xl/drawings/drawing7.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kjhdu\OneDrive - 주식회사 퀀팃\바탕 화면\SSU_value\CMTX\"/>
    </mc:Choice>
  </mc:AlternateContent>
  <xr:revisionPtr revIDLastSave="0" documentId="13_ncr:1_{3DE19166-2E51-40B5-8945-19BFEE037C9D}" xr6:coauthVersionLast="47" xr6:coauthVersionMax="47" xr10:uidLastSave="{00000000-0000-0000-0000-000000000000}"/>
  <bookViews>
    <workbookView xWindow="-110" yWindow="-110" windowWidth="25820" windowHeight="15500" activeTab="3" xr2:uid="{73557749-6335-447F-94F1-2E5323441C24}"/>
  </bookViews>
  <sheets>
    <sheet name="DCF" sheetId="10" r:id="rId1"/>
    <sheet name="Trading" sheetId="11" r:id="rId2"/>
    <sheet name="Model" sheetId="6" r:id="rId3"/>
    <sheet name="EBIT" sheetId="9" r:id="rId4"/>
    <sheet name="-&gt; Back Data" sheetId="5" r:id="rId5"/>
    <sheet name="Chart pack" sheetId="2" r:id="rId6"/>
    <sheet name="3s" sheetId="7" r:id="rId7"/>
    <sheet name="RAW" sheetId="4" r:id="rId8"/>
    <sheet name="자료 스크랩" sheetId="1" r:id="rId9"/>
    <sheet name="주담 문의" sheetId="3" r:id="rId10"/>
    <sheet name="peer" sheetId="12" r:id="rId11"/>
    <sheet name="PRICE" sheetId="13" r:id="rId12"/>
    <sheet name="Sheet1" sheetId="14" r:id="rId13"/>
  </sheets>
  <definedNames>
    <definedName name="_xlnm._FilterDatabase" localSheetId="11" hidden="1">PRICE!$A$1:$E$1</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44" i="6" l="1"/>
  <c r="N144" i="6"/>
  <c r="M144" i="6"/>
  <c r="L144" i="6"/>
  <c r="E191" i="6" l="1"/>
  <c r="D313" i="2" l="1"/>
  <c r="E313" i="2" s="1"/>
  <c r="F313" i="2" s="1"/>
  <c r="G313" i="2" s="1"/>
  <c r="H313" i="2" s="1"/>
  <c r="I313" i="2" s="1"/>
  <c r="J313" i="2" s="1"/>
  <c r="K313" i="2" s="1"/>
  <c r="L313" i="2" s="1"/>
  <c r="M313" i="2" s="1"/>
  <c r="N313" i="2" s="1"/>
  <c r="D308" i="2" l="1"/>
  <c r="E308" i="2" s="1"/>
  <c r="F308" i="2" s="1"/>
  <c r="G308" i="2" s="1"/>
  <c r="H308" i="2" s="1"/>
  <c r="I308" i="2" s="1"/>
  <c r="J308" i="2" s="1"/>
  <c r="K308" i="2" s="1"/>
  <c r="F307" i="2"/>
  <c r="G307" i="2" s="1"/>
  <c r="H307" i="2" s="1"/>
  <c r="I307" i="2" s="1"/>
  <c r="J307" i="2" s="1"/>
  <c r="K307" i="2" s="1"/>
  <c r="H116" i="9" l="1"/>
  <c r="H115" i="9"/>
  <c r="L26" i="9"/>
  <c r="H15" i="9" l="1"/>
  <c r="C2" i="14"/>
  <c r="C3" i="14" s="1"/>
  <c r="C4" i="14" s="1"/>
  <c r="C5" i="14" s="1"/>
  <c r="C6" i="14" s="1"/>
  <c r="C7" i="14" s="1"/>
  <c r="C8" i="14" s="1"/>
  <c r="C9" i="14" s="1"/>
  <c r="C10" i="14" s="1"/>
  <c r="C11" i="14" s="1"/>
  <c r="C12" i="14" s="1"/>
  <c r="C13" i="14" s="1"/>
  <c r="C14" i="14" s="1"/>
  <c r="C15" i="14" s="1"/>
  <c r="C16" i="14" s="1"/>
  <c r="C17" i="14" s="1"/>
  <c r="G168" i="2"/>
  <c r="G169" i="2"/>
  <c r="O3" i="13"/>
  <c r="O4" i="13" s="1"/>
  <c r="O5" i="13" s="1"/>
  <c r="O6" i="13" s="1"/>
  <c r="O7" i="13" s="1"/>
  <c r="O8" i="13" s="1"/>
  <c r="O9" i="13" s="1"/>
  <c r="O10" i="13" s="1"/>
  <c r="O11" i="13" s="1"/>
  <c r="O12" i="13" s="1"/>
  <c r="O13" i="13" s="1"/>
  <c r="O14" i="13" s="1"/>
  <c r="O15" i="13" s="1"/>
  <c r="O16" i="13" s="1"/>
  <c r="O17" i="13" s="1"/>
  <c r="O18" i="13" s="1"/>
  <c r="O19" i="13" s="1"/>
  <c r="O20" i="13" s="1"/>
  <c r="O21" i="13" s="1"/>
  <c r="O22" i="13" s="1"/>
  <c r="O23" i="13" s="1"/>
  <c r="O24" i="13" s="1"/>
  <c r="O25" i="13" s="1"/>
  <c r="O26" i="13" s="1"/>
  <c r="O27" i="13" s="1"/>
  <c r="O28" i="13" s="1"/>
  <c r="O29" i="13" s="1"/>
  <c r="O30" i="13" s="1"/>
  <c r="O31" i="13" s="1"/>
  <c r="O32" i="13" s="1"/>
  <c r="O33" i="13" s="1"/>
  <c r="O34" i="13" s="1"/>
  <c r="O35" i="13" s="1"/>
  <c r="O36" i="13" s="1"/>
  <c r="O37" i="13" s="1"/>
  <c r="O38" i="13" s="1"/>
  <c r="O39" i="13" s="1"/>
  <c r="O40" i="13" s="1"/>
  <c r="O41" i="13" s="1"/>
  <c r="O42" i="13" s="1"/>
  <c r="O43" i="13" s="1"/>
  <c r="O44" i="13" s="1"/>
  <c r="O45" i="13" s="1"/>
  <c r="O46" i="13" s="1"/>
  <c r="O47" i="13" s="1"/>
  <c r="O48" i="13" s="1"/>
  <c r="O49" i="13" s="1"/>
  <c r="O50" i="13" s="1"/>
  <c r="O51" i="13" s="1"/>
  <c r="O52" i="13" s="1"/>
  <c r="O53" i="13" s="1"/>
  <c r="O54" i="13" s="1"/>
  <c r="O55" i="13" s="1"/>
  <c r="O56" i="13" s="1"/>
  <c r="O57" i="13" s="1"/>
  <c r="O58" i="13" s="1"/>
  <c r="O59" i="13" s="1"/>
  <c r="O60" i="13" s="1"/>
  <c r="O61" i="13" s="1"/>
  <c r="O62" i="13" s="1"/>
  <c r="O63" i="13" s="1"/>
  <c r="O64" i="13" s="1"/>
  <c r="O65" i="13" s="1"/>
  <c r="O66" i="13" s="1"/>
  <c r="O67" i="13" s="1"/>
  <c r="O68" i="13" s="1"/>
  <c r="O69" i="13" s="1"/>
  <c r="O70" i="13" s="1"/>
  <c r="O71" i="13" s="1"/>
  <c r="O72" i="13" s="1"/>
  <c r="O73" i="13" s="1"/>
  <c r="O74" i="13" s="1"/>
  <c r="O75" i="13" s="1"/>
  <c r="O76" i="13" s="1"/>
  <c r="O77" i="13" s="1"/>
  <c r="O78" i="13" s="1"/>
  <c r="O79" i="13" s="1"/>
  <c r="O80" i="13" s="1"/>
  <c r="O81" i="13" s="1"/>
  <c r="O82" i="13" s="1"/>
  <c r="O83" i="13" s="1"/>
  <c r="O84" i="13" s="1"/>
  <c r="O85" i="13" s="1"/>
  <c r="O86" i="13" s="1"/>
  <c r="O87" i="13" s="1"/>
  <c r="O88" i="13" s="1"/>
  <c r="O89" i="13" s="1"/>
  <c r="O90" i="13" s="1"/>
  <c r="O91" i="13" s="1"/>
  <c r="O92" i="13" s="1"/>
  <c r="O93" i="13" s="1"/>
  <c r="O94" i="13" s="1"/>
  <c r="O95" i="13" s="1"/>
  <c r="O96" i="13" s="1"/>
  <c r="O97" i="13" s="1"/>
  <c r="O98" i="13" s="1"/>
  <c r="O99" i="13" s="1"/>
  <c r="O100" i="13" s="1"/>
  <c r="O101" i="13" s="1"/>
  <c r="O102" i="13" s="1"/>
  <c r="O103" i="13" s="1"/>
  <c r="O104" i="13" s="1"/>
  <c r="O105" i="13" s="1"/>
  <c r="O106" i="13" s="1"/>
  <c r="O107" i="13" s="1"/>
  <c r="O108" i="13" s="1"/>
  <c r="O109" i="13" s="1"/>
  <c r="O110" i="13" s="1"/>
  <c r="O111" i="13" s="1"/>
  <c r="O112" i="13" s="1"/>
  <c r="O113" i="13" s="1"/>
  <c r="O114" i="13" s="1"/>
  <c r="O115" i="13" s="1"/>
  <c r="O116" i="13" s="1"/>
  <c r="O117" i="13" s="1"/>
  <c r="O118" i="13" s="1"/>
  <c r="O119" i="13" s="1"/>
  <c r="O120" i="13" s="1"/>
  <c r="O121" i="13" s="1"/>
  <c r="O122" i="13" s="1"/>
  <c r="O123" i="13" s="1"/>
  <c r="O124" i="13" s="1"/>
  <c r="O125" i="13" s="1"/>
  <c r="O126" i="13" s="1"/>
  <c r="O127" i="13" s="1"/>
  <c r="O128" i="13" s="1"/>
  <c r="O129" i="13" s="1"/>
  <c r="O130" i="13" s="1"/>
  <c r="O131" i="13" s="1"/>
  <c r="O132" i="13" s="1"/>
  <c r="O133" i="13" s="1"/>
  <c r="O134" i="13" s="1"/>
  <c r="O135" i="13" s="1"/>
  <c r="O136" i="13" s="1"/>
  <c r="O137" i="13" s="1"/>
  <c r="O138" i="13" s="1"/>
  <c r="O139" i="13" s="1"/>
  <c r="O140" i="13" s="1"/>
  <c r="O141" i="13" s="1"/>
  <c r="O142" i="13" s="1"/>
  <c r="O143" i="13" s="1"/>
  <c r="O144" i="13" s="1"/>
  <c r="O145" i="13" s="1"/>
  <c r="O146" i="13" s="1"/>
  <c r="O147" i="13" s="1"/>
  <c r="O148" i="13" s="1"/>
  <c r="O149" i="13" s="1"/>
  <c r="O150" i="13" s="1"/>
  <c r="O151" i="13" s="1"/>
  <c r="O152" i="13" s="1"/>
  <c r="O153" i="13" s="1"/>
  <c r="O154" i="13" s="1"/>
  <c r="O155" i="13" s="1"/>
  <c r="O156" i="13" s="1"/>
  <c r="O157" i="13" s="1"/>
  <c r="O158" i="13" s="1"/>
  <c r="O159" i="13" s="1"/>
  <c r="O160" i="13" s="1"/>
  <c r="O161" i="13" s="1"/>
  <c r="O162" i="13" s="1"/>
  <c r="O163" i="13" s="1"/>
  <c r="O164" i="13" s="1"/>
  <c r="O165" i="13" s="1"/>
  <c r="O166" i="13" s="1"/>
  <c r="O167" i="13" s="1"/>
  <c r="O168" i="13" s="1"/>
  <c r="O169" i="13" s="1"/>
  <c r="O170" i="13" s="1"/>
  <c r="O171" i="13" s="1"/>
  <c r="O172" i="13" s="1"/>
  <c r="O173" i="13" s="1"/>
  <c r="O174" i="13" s="1"/>
  <c r="O175" i="13" s="1"/>
  <c r="O176" i="13" s="1"/>
  <c r="O177" i="13" s="1"/>
  <c r="O178" i="13" s="1"/>
  <c r="O179" i="13" s="1"/>
  <c r="O180" i="13" s="1"/>
  <c r="O181" i="13" s="1"/>
  <c r="O182" i="13" s="1"/>
  <c r="O183" i="13" s="1"/>
  <c r="O184" i="13" s="1"/>
  <c r="O185" i="13" s="1"/>
  <c r="O186" i="13" s="1"/>
  <c r="O187" i="13" s="1"/>
  <c r="O188" i="13" s="1"/>
  <c r="O189" i="13" s="1"/>
  <c r="O190" i="13" s="1"/>
  <c r="O191" i="13" s="1"/>
  <c r="O192" i="13" s="1"/>
  <c r="O193" i="13" s="1"/>
  <c r="O194" i="13" s="1"/>
  <c r="O195" i="13" s="1"/>
  <c r="O196" i="13" s="1"/>
  <c r="O197" i="13" s="1"/>
  <c r="O198" i="13" s="1"/>
  <c r="O199" i="13" s="1"/>
  <c r="O200" i="13" s="1"/>
  <c r="O201" i="13" s="1"/>
  <c r="O202" i="13" s="1"/>
  <c r="O203" i="13" s="1"/>
  <c r="O204" i="13" s="1"/>
  <c r="O205" i="13" s="1"/>
  <c r="O206" i="13" s="1"/>
  <c r="O207" i="13" s="1"/>
  <c r="O208" i="13" s="1"/>
  <c r="O209" i="13" s="1"/>
  <c r="O210" i="13" s="1"/>
  <c r="O211" i="13" s="1"/>
  <c r="O212" i="13" s="1"/>
  <c r="O213" i="13" s="1"/>
  <c r="O214" i="13" s="1"/>
  <c r="O215" i="13" s="1"/>
  <c r="O216" i="13" s="1"/>
  <c r="O217" i="13" s="1"/>
  <c r="O218" i="13" s="1"/>
  <c r="O219" i="13" s="1"/>
  <c r="O220" i="13" s="1"/>
  <c r="O221" i="13" s="1"/>
  <c r="O222" i="13" s="1"/>
  <c r="O223" i="13" s="1"/>
  <c r="O224" i="13" s="1"/>
  <c r="O225" i="13" s="1"/>
  <c r="O226" i="13" s="1"/>
  <c r="O227" i="13" s="1"/>
  <c r="O228" i="13" s="1"/>
  <c r="O229" i="13" s="1"/>
  <c r="O230" i="13" s="1"/>
  <c r="O231" i="13" s="1"/>
  <c r="O232" i="13" s="1"/>
  <c r="O233" i="13" s="1"/>
  <c r="O234" i="13" s="1"/>
  <c r="O235" i="13" s="1"/>
  <c r="O236" i="13" s="1"/>
  <c r="O237" i="13" s="1"/>
  <c r="O238" i="13" s="1"/>
  <c r="O239" i="13" s="1"/>
  <c r="O240" i="13" s="1"/>
  <c r="O241" i="13" s="1"/>
  <c r="O242" i="13" s="1"/>
  <c r="O243" i="13" s="1"/>
  <c r="O244" i="13" s="1"/>
  <c r="M3" i="13"/>
  <c r="M4" i="13" s="1"/>
  <c r="M5" i="13" s="1"/>
  <c r="M6" i="13" s="1"/>
  <c r="M7" i="13" s="1"/>
  <c r="M8" i="13" s="1"/>
  <c r="M9" i="13" s="1"/>
  <c r="M10" i="13" s="1"/>
  <c r="M11" i="13" s="1"/>
  <c r="M12" i="13" s="1"/>
  <c r="M13" i="13" s="1"/>
  <c r="M14" i="13" s="1"/>
  <c r="M15" i="13" s="1"/>
  <c r="M16" i="13" s="1"/>
  <c r="M17" i="13" s="1"/>
  <c r="M18" i="13" s="1"/>
  <c r="M19" i="13" s="1"/>
  <c r="M20" i="13" s="1"/>
  <c r="M21" i="13" s="1"/>
  <c r="M22" i="13" s="1"/>
  <c r="M23" i="13" s="1"/>
  <c r="M24" i="13" s="1"/>
  <c r="M25" i="13" s="1"/>
  <c r="M26" i="13" s="1"/>
  <c r="M27" i="13" s="1"/>
  <c r="M28" i="13" s="1"/>
  <c r="M29" i="13" s="1"/>
  <c r="M30" i="13" s="1"/>
  <c r="M31" i="13" s="1"/>
  <c r="M32" i="13" s="1"/>
  <c r="M33" i="13" s="1"/>
  <c r="M34" i="13" s="1"/>
  <c r="M35" i="13" s="1"/>
  <c r="M36" i="13" s="1"/>
  <c r="M37" i="13" s="1"/>
  <c r="M38" i="13" s="1"/>
  <c r="M39" i="13" s="1"/>
  <c r="M40" i="13" s="1"/>
  <c r="M41" i="13" s="1"/>
  <c r="M42" i="13" s="1"/>
  <c r="M43" i="13" s="1"/>
  <c r="M44" i="13" s="1"/>
  <c r="M45" i="13" s="1"/>
  <c r="M46" i="13" s="1"/>
  <c r="M47" i="13" s="1"/>
  <c r="M48" i="13" s="1"/>
  <c r="M49" i="13" s="1"/>
  <c r="M50" i="13" s="1"/>
  <c r="M51" i="13" s="1"/>
  <c r="M52" i="13" s="1"/>
  <c r="M53" i="13" s="1"/>
  <c r="M54" i="13" s="1"/>
  <c r="M55" i="13" s="1"/>
  <c r="M56" i="13" s="1"/>
  <c r="M57" i="13" s="1"/>
  <c r="M58" i="13" s="1"/>
  <c r="M59" i="13" s="1"/>
  <c r="M60" i="13" s="1"/>
  <c r="M61" i="13" s="1"/>
  <c r="M62" i="13" s="1"/>
  <c r="M63" i="13" s="1"/>
  <c r="M64" i="13" s="1"/>
  <c r="M65" i="13" s="1"/>
  <c r="M66" i="13" s="1"/>
  <c r="M67" i="13" s="1"/>
  <c r="M68" i="13" s="1"/>
  <c r="M69" i="13" s="1"/>
  <c r="M70" i="13" s="1"/>
  <c r="M71" i="13" s="1"/>
  <c r="M72" i="13" s="1"/>
  <c r="M73" i="13" s="1"/>
  <c r="M74" i="13" s="1"/>
  <c r="M75" i="13" s="1"/>
  <c r="M76" i="13" s="1"/>
  <c r="M77" i="13" s="1"/>
  <c r="M78" i="13" s="1"/>
  <c r="M79" i="13" s="1"/>
  <c r="M80" i="13" s="1"/>
  <c r="M81" i="13" s="1"/>
  <c r="M82" i="13" s="1"/>
  <c r="M83" i="13" s="1"/>
  <c r="M84" i="13" s="1"/>
  <c r="M85" i="13" s="1"/>
  <c r="M86" i="13" s="1"/>
  <c r="M87" i="13" s="1"/>
  <c r="M88" i="13" s="1"/>
  <c r="M89" i="13" s="1"/>
  <c r="M90" i="13" s="1"/>
  <c r="M91" i="13" s="1"/>
  <c r="M92" i="13" s="1"/>
  <c r="M93" i="13" s="1"/>
  <c r="M94" i="13" s="1"/>
  <c r="M95" i="13" s="1"/>
  <c r="M96" i="13" s="1"/>
  <c r="M97" i="13" s="1"/>
  <c r="M98" i="13" s="1"/>
  <c r="M99" i="13" s="1"/>
  <c r="M100" i="13" s="1"/>
  <c r="M101" i="13" s="1"/>
  <c r="M102" i="13" s="1"/>
  <c r="M103" i="13" s="1"/>
  <c r="M104" i="13" s="1"/>
  <c r="M105" i="13" s="1"/>
  <c r="M106" i="13" s="1"/>
  <c r="M107" i="13" s="1"/>
  <c r="M108" i="13" s="1"/>
  <c r="M109" i="13" s="1"/>
  <c r="M110" i="13" s="1"/>
  <c r="M111" i="13" s="1"/>
  <c r="M112" i="13" s="1"/>
  <c r="M113" i="13" s="1"/>
  <c r="M114" i="13" s="1"/>
  <c r="M115" i="13" s="1"/>
  <c r="M116" i="13" s="1"/>
  <c r="M117" i="13" s="1"/>
  <c r="M118" i="13" s="1"/>
  <c r="M119" i="13" s="1"/>
  <c r="M120" i="13" s="1"/>
  <c r="M121" i="13" s="1"/>
  <c r="M122" i="13" s="1"/>
  <c r="M123" i="13" s="1"/>
  <c r="M124" i="13" s="1"/>
  <c r="M125" i="13" s="1"/>
  <c r="M126" i="13" s="1"/>
  <c r="M127" i="13" s="1"/>
  <c r="M128" i="13" s="1"/>
  <c r="M129" i="13" s="1"/>
  <c r="M130" i="13" s="1"/>
  <c r="M131" i="13" s="1"/>
  <c r="M132" i="13" s="1"/>
  <c r="M133" i="13" s="1"/>
  <c r="M134" i="13" s="1"/>
  <c r="M135" i="13" s="1"/>
  <c r="M136" i="13" s="1"/>
  <c r="M137" i="13" s="1"/>
  <c r="M138" i="13" s="1"/>
  <c r="M139" i="13" s="1"/>
  <c r="M140" i="13" s="1"/>
  <c r="M141" i="13" s="1"/>
  <c r="M142" i="13" s="1"/>
  <c r="M143" i="13" s="1"/>
  <c r="M144" i="13" s="1"/>
  <c r="M145" i="13" s="1"/>
  <c r="M146" i="13" s="1"/>
  <c r="M147" i="13" s="1"/>
  <c r="M148" i="13" s="1"/>
  <c r="M149" i="13" s="1"/>
  <c r="M150" i="13" s="1"/>
  <c r="M151" i="13" s="1"/>
  <c r="M152" i="13" s="1"/>
  <c r="M153" i="13" s="1"/>
  <c r="M154" i="13" s="1"/>
  <c r="M155" i="13" s="1"/>
  <c r="M156" i="13" s="1"/>
  <c r="M157" i="13" s="1"/>
  <c r="M158" i="13" s="1"/>
  <c r="M159" i="13" s="1"/>
  <c r="M160" i="13" s="1"/>
  <c r="M161" i="13" s="1"/>
  <c r="M162" i="13" s="1"/>
  <c r="M163" i="13" s="1"/>
  <c r="M164" i="13" s="1"/>
  <c r="M165" i="13" s="1"/>
  <c r="M166" i="13" s="1"/>
  <c r="M167" i="13" s="1"/>
  <c r="M168" i="13" s="1"/>
  <c r="M169" i="13" s="1"/>
  <c r="M170" i="13" s="1"/>
  <c r="M171" i="13" s="1"/>
  <c r="M172" i="13" s="1"/>
  <c r="M173" i="13" s="1"/>
  <c r="M174" i="13" s="1"/>
  <c r="M175" i="13" s="1"/>
  <c r="M176" i="13" s="1"/>
  <c r="M177" i="13" s="1"/>
  <c r="M178" i="13" s="1"/>
  <c r="M179" i="13" s="1"/>
  <c r="M180" i="13" s="1"/>
  <c r="M181" i="13" s="1"/>
  <c r="M182" i="13" s="1"/>
  <c r="M183" i="13" s="1"/>
  <c r="M184" i="13" s="1"/>
  <c r="M185" i="13" s="1"/>
  <c r="M186" i="13" s="1"/>
  <c r="M187" i="13" s="1"/>
  <c r="M188" i="13" s="1"/>
  <c r="M189" i="13" s="1"/>
  <c r="M190" i="13" s="1"/>
  <c r="M191" i="13" s="1"/>
  <c r="M192" i="13" s="1"/>
  <c r="M193" i="13" s="1"/>
  <c r="M194" i="13" s="1"/>
  <c r="M195" i="13" s="1"/>
  <c r="M196" i="13" s="1"/>
  <c r="M197" i="13" s="1"/>
  <c r="M198" i="13" s="1"/>
  <c r="M199" i="13" s="1"/>
  <c r="M200" i="13" s="1"/>
  <c r="M201" i="13" s="1"/>
  <c r="M202" i="13" s="1"/>
  <c r="M203" i="13" s="1"/>
  <c r="M204" i="13" s="1"/>
  <c r="M205" i="13" s="1"/>
  <c r="M206" i="13" s="1"/>
  <c r="M207" i="13" s="1"/>
  <c r="M208" i="13" s="1"/>
  <c r="M209" i="13" s="1"/>
  <c r="M210" i="13" s="1"/>
  <c r="M211" i="13" s="1"/>
  <c r="M212" i="13" s="1"/>
  <c r="M213" i="13" s="1"/>
  <c r="M214" i="13" s="1"/>
  <c r="M215" i="13" s="1"/>
  <c r="M216" i="13" s="1"/>
  <c r="M217" i="13" s="1"/>
  <c r="M218" i="13" s="1"/>
  <c r="M219" i="13" s="1"/>
  <c r="M220" i="13" s="1"/>
  <c r="M221" i="13" s="1"/>
  <c r="M222" i="13" s="1"/>
  <c r="M223" i="13" s="1"/>
  <c r="M224" i="13" s="1"/>
  <c r="M225" i="13" s="1"/>
  <c r="M226" i="13" s="1"/>
  <c r="M227" i="13" s="1"/>
  <c r="M228" i="13" s="1"/>
  <c r="M229" i="13" s="1"/>
  <c r="M230" i="13" s="1"/>
  <c r="M231" i="13" s="1"/>
  <c r="M232" i="13" s="1"/>
  <c r="M233" i="13" s="1"/>
  <c r="M234" i="13" s="1"/>
  <c r="M235" i="13" s="1"/>
  <c r="M236" i="13" s="1"/>
  <c r="M237" i="13" s="1"/>
  <c r="M238" i="13" s="1"/>
  <c r="M239" i="13" s="1"/>
  <c r="M240" i="13" s="1"/>
  <c r="M241" i="13" s="1"/>
  <c r="M242" i="13" s="1"/>
  <c r="M243" i="13" s="1"/>
  <c r="M244" i="13" s="1"/>
  <c r="K3" i="13"/>
  <c r="K4" i="13" s="1"/>
  <c r="K5" i="13" s="1"/>
  <c r="K6" i="13" s="1"/>
  <c r="K7" i="13" s="1"/>
  <c r="K8" i="13" s="1"/>
  <c r="K9" i="13" s="1"/>
  <c r="K10" i="13" s="1"/>
  <c r="K11" i="13" s="1"/>
  <c r="K12" i="13" s="1"/>
  <c r="K13" i="13" s="1"/>
  <c r="K14" i="13" s="1"/>
  <c r="K15" i="13" s="1"/>
  <c r="K16" i="13" s="1"/>
  <c r="K17" i="13" s="1"/>
  <c r="K18" i="13" s="1"/>
  <c r="K19" i="13" s="1"/>
  <c r="K20" i="13" s="1"/>
  <c r="K21" i="13" s="1"/>
  <c r="K22" i="13" s="1"/>
  <c r="K23" i="13" s="1"/>
  <c r="K24" i="13" s="1"/>
  <c r="K25" i="13" s="1"/>
  <c r="K26" i="13" s="1"/>
  <c r="K27" i="13" s="1"/>
  <c r="K28" i="13" s="1"/>
  <c r="K29" i="13" s="1"/>
  <c r="K30" i="13" s="1"/>
  <c r="K31" i="13" s="1"/>
  <c r="K32" i="13" s="1"/>
  <c r="K33" i="13" s="1"/>
  <c r="K34" i="13" s="1"/>
  <c r="K35" i="13" s="1"/>
  <c r="K36" i="13" s="1"/>
  <c r="K37" i="13" s="1"/>
  <c r="K38" i="13" s="1"/>
  <c r="K39" i="13" s="1"/>
  <c r="K40" i="13" s="1"/>
  <c r="K41" i="13" s="1"/>
  <c r="K42" i="13" s="1"/>
  <c r="K43" i="13" s="1"/>
  <c r="K44" i="13" s="1"/>
  <c r="K45" i="13" s="1"/>
  <c r="K46" i="13" s="1"/>
  <c r="K47" i="13" s="1"/>
  <c r="K48" i="13" s="1"/>
  <c r="K49" i="13" s="1"/>
  <c r="K50" i="13" s="1"/>
  <c r="K51" i="13" s="1"/>
  <c r="K52" i="13" s="1"/>
  <c r="K53" i="13" s="1"/>
  <c r="K54" i="13" s="1"/>
  <c r="K55" i="13" s="1"/>
  <c r="K56" i="13" s="1"/>
  <c r="K57" i="13" s="1"/>
  <c r="K58" i="13" s="1"/>
  <c r="K59" i="13" s="1"/>
  <c r="K60" i="13" s="1"/>
  <c r="K61" i="13" s="1"/>
  <c r="K62" i="13" s="1"/>
  <c r="K63" i="13" s="1"/>
  <c r="K64" i="13" s="1"/>
  <c r="K65" i="13" s="1"/>
  <c r="K66" i="13" s="1"/>
  <c r="K67" i="13" s="1"/>
  <c r="K68" i="13" s="1"/>
  <c r="K69" i="13" s="1"/>
  <c r="K70" i="13" s="1"/>
  <c r="K71" i="13" s="1"/>
  <c r="K72" i="13" s="1"/>
  <c r="K73" i="13" s="1"/>
  <c r="K74" i="13" s="1"/>
  <c r="K75" i="13" s="1"/>
  <c r="K76" i="13" s="1"/>
  <c r="K77" i="13" s="1"/>
  <c r="K78" i="13" s="1"/>
  <c r="K79" i="13" s="1"/>
  <c r="K80" i="13" s="1"/>
  <c r="K81" i="13" s="1"/>
  <c r="K82" i="13" s="1"/>
  <c r="K83" i="13" s="1"/>
  <c r="K84" i="13" s="1"/>
  <c r="K85" i="13" s="1"/>
  <c r="K86" i="13" s="1"/>
  <c r="K87" i="13" s="1"/>
  <c r="K88" i="13" s="1"/>
  <c r="K89" i="13" s="1"/>
  <c r="K90" i="13" s="1"/>
  <c r="K91" i="13" s="1"/>
  <c r="K92" i="13" s="1"/>
  <c r="K93" i="13" s="1"/>
  <c r="K94" i="13" s="1"/>
  <c r="K95" i="13" s="1"/>
  <c r="K96" i="13" s="1"/>
  <c r="K97" i="13" s="1"/>
  <c r="K98" i="13" s="1"/>
  <c r="K99" i="13" s="1"/>
  <c r="K100" i="13" s="1"/>
  <c r="K101" i="13" s="1"/>
  <c r="K102" i="13" s="1"/>
  <c r="K103" i="13" s="1"/>
  <c r="K104" i="13" s="1"/>
  <c r="K105" i="13" s="1"/>
  <c r="K106" i="13" s="1"/>
  <c r="K107" i="13" s="1"/>
  <c r="K108" i="13" s="1"/>
  <c r="K109" i="13" s="1"/>
  <c r="K110" i="13" s="1"/>
  <c r="K111" i="13" s="1"/>
  <c r="K112" i="13" s="1"/>
  <c r="K113" i="13" s="1"/>
  <c r="K114" i="13" s="1"/>
  <c r="K115" i="13" s="1"/>
  <c r="K116" i="13" s="1"/>
  <c r="K117" i="13" s="1"/>
  <c r="K118" i="13" s="1"/>
  <c r="K119" i="13" s="1"/>
  <c r="K120" i="13" s="1"/>
  <c r="K121" i="13" s="1"/>
  <c r="K122" i="13" s="1"/>
  <c r="K123" i="13" s="1"/>
  <c r="K124" i="13" s="1"/>
  <c r="K125" i="13" s="1"/>
  <c r="K126" i="13" s="1"/>
  <c r="K127" i="13" s="1"/>
  <c r="K128" i="13" s="1"/>
  <c r="K129" i="13" s="1"/>
  <c r="K130" i="13" s="1"/>
  <c r="K131" i="13" s="1"/>
  <c r="K132" i="13" s="1"/>
  <c r="K133" i="13" s="1"/>
  <c r="K134" i="13" s="1"/>
  <c r="K135" i="13" s="1"/>
  <c r="K136" i="13" s="1"/>
  <c r="K137" i="13" s="1"/>
  <c r="K138" i="13" s="1"/>
  <c r="K139" i="13" s="1"/>
  <c r="K140" i="13" s="1"/>
  <c r="K141" i="13" s="1"/>
  <c r="K142" i="13" s="1"/>
  <c r="K143" i="13" s="1"/>
  <c r="K144" i="13" s="1"/>
  <c r="K145" i="13" s="1"/>
  <c r="K146" i="13" s="1"/>
  <c r="K147" i="13" s="1"/>
  <c r="K148" i="13" s="1"/>
  <c r="K149" i="13" s="1"/>
  <c r="K150" i="13" s="1"/>
  <c r="K151" i="13" s="1"/>
  <c r="K152" i="13" s="1"/>
  <c r="K153" i="13" s="1"/>
  <c r="K154" i="13" s="1"/>
  <c r="K155" i="13" s="1"/>
  <c r="K156" i="13" s="1"/>
  <c r="K157" i="13" s="1"/>
  <c r="K158" i="13" s="1"/>
  <c r="K159" i="13" s="1"/>
  <c r="K160" i="13" s="1"/>
  <c r="K161" i="13" s="1"/>
  <c r="K162" i="13" s="1"/>
  <c r="K163" i="13" s="1"/>
  <c r="K164" i="13" s="1"/>
  <c r="K165" i="13" s="1"/>
  <c r="K166" i="13" s="1"/>
  <c r="K167" i="13" s="1"/>
  <c r="K168" i="13" s="1"/>
  <c r="K169" i="13" s="1"/>
  <c r="K170" i="13" s="1"/>
  <c r="K171" i="13" s="1"/>
  <c r="K172" i="13" s="1"/>
  <c r="K173" i="13" s="1"/>
  <c r="K174" i="13" s="1"/>
  <c r="K175" i="13" s="1"/>
  <c r="K176" i="13" s="1"/>
  <c r="K177" i="13" s="1"/>
  <c r="K178" i="13" s="1"/>
  <c r="K179" i="13" s="1"/>
  <c r="K180" i="13" s="1"/>
  <c r="K181" i="13" s="1"/>
  <c r="K182" i="13" s="1"/>
  <c r="K183" i="13" s="1"/>
  <c r="K184" i="13" s="1"/>
  <c r="K185" i="13" s="1"/>
  <c r="K186" i="13" s="1"/>
  <c r="K187" i="13" s="1"/>
  <c r="K188" i="13" s="1"/>
  <c r="K189" i="13" s="1"/>
  <c r="K190" i="13" s="1"/>
  <c r="K191" i="13" s="1"/>
  <c r="K192" i="13" s="1"/>
  <c r="K193" i="13" s="1"/>
  <c r="K194" i="13" s="1"/>
  <c r="K195" i="13" s="1"/>
  <c r="K196" i="13" s="1"/>
  <c r="K197" i="13" s="1"/>
  <c r="K198" i="13" s="1"/>
  <c r="K199" i="13" s="1"/>
  <c r="K200" i="13" s="1"/>
  <c r="K201" i="13" s="1"/>
  <c r="K202" i="13" s="1"/>
  <c r="K203" i="13" s="1"/>
  <c r="K204" i="13" s="1"/>
  <c r="K205" i="13" s="1"/>
  <c r="K206" i="13" s="1"/>
  <c r="K207" i="13" s="1"/>
  <c r="K208" i="13" s="1"/>
  <c r="K209" i="13" s="1"/>
  <c r="K210" i="13" s="1"/>
  <c r="K211" i="13" s="1"/>
  <c r="K212" i="13" s="1"/>
  <c r="K213" i="13" s="1"/>
  <c r="K214" i="13" s="1"/>
  <c r="K215" i="13" s="1"/>
  <c r="K216" i="13" s="1"/>
  <c r="K217" i="13" s="1"/>
  <c r="K218" i="13" s="1"/>
  <c r="K219" i="13" s="1"/>
  <c r="K220" i="13" s="1"/>
  <c r="K221" i="13" s="1"/>
  <c r="K222" i="13" s="1"/>
  <c r="K223" i="13" s="1"/>
  <c r="K224" i="13" s="1"/>
  <c r="K225" i="13" s="1"/>
  <c r="K226" i="13" s="1"/>
  <c r="K227" i="13" s="1"/>
  <c r="K228" i="13" s="1"/>
  <c r="K229" i="13" s="1"/>
  <c r="K230" i="13" s="1"/>
  <c r="K231" i="13" s="1"/>
  <c r="K232" i="13" s="1"/>
  <c r="K233" i="13" s="1"/>
  <c r="K234" i="13" s="1"/>
  <c r="K235" i="13" s="1"/>
  <c r="K236" i="13" s="1"/>
  <c r="K237" i="13" s="1"/>
  <c r="K238" i="13" s="1"/>
  <c r="K239" i="13" s="1"/>
  <c r="K240" i="13" s="1"/>
  <c r="K241" i="13" s="1"/>
  <c r="K242" i="13" s="1"/>
  <c r="K243" i="13" s="1"/>
  <c r="K244" i="13" s="1"/>
  <c r="I3" i="13"/>
  <c r="I4" i="13" s="1"/>
  <c r="I5" i="13" s="1"/>
  <c r="I6" i="13" s="1"/>
  <c r="I7" i="13" s="1"/>
  <c r="I8" i="13" s="1"/>
  <c r="I9" i="13" s="1"/>
  <c r="I10" i="13" s="1"/>
  <c r="I11" i="13" s="1"/>
  <c r="I12" i="13" s="1"/>
  <c r="I13" i="13" s="1"/>
  <c r="I14" i="13" s="1"/>
  <c r="I15" i="13" s="1"/>
  <c r="I16" i="13" s="1"/>
  <c r="I17" i="13" s="1"/>
  <c r="I18" i="13" s="1"/>
  <c r="I19" i="13" s="1"/>
  <c r="I20" i="13" s="1"/>
  <c r="I21" i="13" s="1"/>
  <c r="I22" i="13" s="1"/>
  <c r="I23" i="13" s="1"/>
  <c r="I24" i="13" s="1"/>
  <c r="I25" i="13" s="1"/>
  <c r="I26" i="13" s="1"/>
  <c r="I27" i="13" s="1"/>
  <c r="I28" i="13" s="1"/>
  <c r="I29" i="13" s="1"/>
  <c r="I30" i="13" s="1"/>
  <c r="I31" i="13" s="1"/>
  <c r="I32" i="13" s="1"/>
  <c r="I33" i="13" s="1"/>
  <c r="I34" i="13" s="1"/>
  <c r="I35" i="13" s="1"/>
  <c r="I36" i="13" s="1"/>
  <c r="I37" i="13" s="1"/>
  <c r="I38" i="13" s="1"/>
  <c r="I39" i="13" s="1"/>
  <c r="I40" i="13" s="1"/>
  <c r="I41" i="13" s="1"/>
  <c r="I42" i="13" s="1"/>
  <c r="I43" i="13" s="1"/>
  <c r="I44" i="13" s="1"/>
  <c r="I45" i="13" s="1"/>
  <c r="I46" i="13" s="1"/>
  <c r="I47" i="13" s="1"/>
  <c r="I48" i="13" s="1"/>
  <c r="I49" i="13" s="1"/>
  <c r="I50" i="13" s="1"/>
  <c r="I51" i="13" s="1"/>
  <c r="I52" i="13" s="1"/>
  <c r="I53" i="13" s="1"/>
  <c r="I54" i="13" s="1"/>
  <c r="I55" i="13" s="1"/>
  <c r="I56" i="13" s="1"/>
  <c r="I57" i="13" s="1"/>
  <c r="I58" i="13" s="1"/>
  <c r="I59" i="13" s="1"/>
  <c r="I60" i="13" s="1"/>
  <c r="I61" i="13" s="1"/>
  <c r="I62" i="13" s="1"/>
  <c r="I63" i="13" s="1"/>
  <c r="I64" i="13" s="1"/>
  <c r="I65" i="13" s="1"/>
  <c r="I66" i="13" s="1"/>
  <c r="I67" i="13" s="1"/>
  <c r="I68" i="13" s="1"/>
  <c r="I69" i="13" s="1"/>
  <c r="I70" i="13" s="1"/>
  <c r="I71" i="13" s="1"/>
  <c r="I72" i="13" s="1"/>
  <c r="I73" i="13" s="1"/>
  <c r="I74" i="13" s="1"/>
  <c r="I75" i="13" s="1"/>
  <c r="I76" i="13" s="1"/>
  <c r="I77" i="13" s="1"/>
  <c r="I78" i="13" s="1"/>
  <c r="I79" i="13" s="1"/>
  <c r="I80" i="13" s="1"/>
  <c r="I81" i="13" s="1"/>
  <c r="I82" i="13" s="1"/>
  <c r="I83" i="13" s="1"/>
  <c r="I84" i="13" s="1"/>
  <c r="I85" i="13" s="1"/>
  <c r="I86" i="13" s="1"/>
  <c r="I87" i="13" s="1"/>
  <c r="I88" i="13" s="1"/>
  <c r="I89" i="13" s="1"/>
  <c r="I90" i="13" s="1"/>
  <c r="I91" i="13" s="1"/>
  <c r="I92" i="13" s="1"/>
  <c r="I93" i="13" s="1"/>
  <c r="I94" i="13" s="1"/>
  <c r="I95" i="13" s="1"/>
  <c r="I96" i="13" s="1"/>
  <c r="I97" i="13" s="1"/>
  <c r="I98" i="13" s="1"/>
  <c r="I99" i="13" s="1"/>
  <c r="I100" i="13" s="1"/>
  <c r="I101" i="13" s="1"/>
  <c r="I102" i="13" s="1"/>
  <c r="I103" i="13" s="1"/>
  <c r="I104" i="13" s="1"/>
  <c r="I105" i="13" s="1"/>
  <c r="I106" i="13" s="1"/>
  <c r="I107" i="13" s="1"/>
  <c r="I108" i="13" s="1"/>
  <c r="I109" i="13" s="1"/>
  <c r="I110" i="13" s="1"/>
  <c r="I111" i="13" s="1"/>
  <c r="I112" i="13" s="1"/>
  <c r="I113" i="13" s="1"/>
  <c r="I114" i="13" s="1"/>
  <c r="I115" i="13" s="1"/>
  <c r="I116" i="13" s="1"/>
  <c r="I117" i="13" s="1"/>
  <c r="I118" i="13" s="1"/>
  <c r="I119" i="13" s="1"/>
  <c r="I120" i="13" s="1"/>
  <c r="I121" i="13" s="1"/>
  <c r="I122" i="13" s="1"/>
  <c r="I123" i="13" s="1"/>
  <c r="I124" i="13" s="1"/>
  <c r="I125" i="13" s="1"/>
  <c r="I126" i="13" s="1"/>
  <c r="I127" i="13" s="1"/>
  <c r="I128" i="13" s="1"/>
  <c r="I129" i="13" s="1"/>
  <c r="I130" i="13" s="1"/>
  <c r="I131" i="13" s="1"/>
  <c r="I132" i="13" s="1"/>
  <c r="I133" i="13" s="1"/>
  <c r="I134" i="13" s="1"/>
  <c r="I135" i="13" s="1"/>
  <c r="I136" i="13" s="1"/>
  <c r="I137" i="13" s="1"/>
  <c r="I138" i="13" s="1"/>
  <c r="I139" i="13" s="1"/>
  <c r="I140" i="13" s="1"/>
  <c r="I141" i="13" s="1"/>
  <c r="I142" i="13" s="1"/>
  <c r="I143" i="13" s="1"/>
  <c r="I144" i="13" s="1"/>
  <c r="I145" i="13" s="1"/>
  <c r="I146" i="13" s="1"/>
  <c r="I147" i="13" s="1"/>
  <c r="I148" i="13" s="1"/>
  <c r="I149" i="13" s="1"/>
  <c r="I150" i="13" s="1"/>
  <c r="I151" i="13" s="1"/>
  <c r="I152" i="13" s="1"/>
  <c r="I153" i="13" s="1"/>
  <c r="I154" i="13" s="1"/>
  <c r="I155" i="13" s="1"/>
  <c r="I156" i="13" s="1"/>
  <c r="I157" i="13" s="1"/>
  <c r="I158" i="13" s="1"/>
  <c r="I159" i="13" s="1"/>
  <c r="I160" i="13" s="1"/>
  <c r="I161" i="13" s="1"/>
  <c r="I162" i="13" s="1"/>
  <c r="I163" i="13" s="1"/>
  <c r="I164" i="13" s="1"/>
  <c r="I165" i="13" s="1"/>
  <c r="I166" i="13" s="1"/>
  <c r="I167" i="13" s="1"/>
  <c r="I168" i="13" s="1"/>
  <c r="I169" i="13" s="1"/>
  <c r="I170" i="13" s="1"/>
  <c r="I171" i="13" s="1"/>
  <c r="I172" i="13" s="1"/>
  <c r="I173" i="13" s="1"/>
  <c r="I174" i="13" s="1"/>
  <c r="I175" i="13" s="1"/>
  <c r="I176" i="13" s="1"/>
  <c r="I177" i="13" s="1"/>
  <c r="I178" i="13" s="1"/>
  <c r="I179" i="13" s="1"/>
  <c r="I180" i="13" s="1"/>
  <c r="I181" i="13" s="1"/>
  <c r="I182" i="13" s="1"/>
  <c r="I183" i="13" s="1"/>
  <c r="I184" i="13" s="1"/>
  <c r="I185" i="13" s="1"/>
  <c r="I186" i="13" s="1"/>
  <c r="I187" i="13" s="1"/>
  <c r="I188" i="13" s="1"/>
  <c r="I189" i="13" s="1"/>
  <c r="I190" i="13" s="1"/>
  <c r="I191" i="13" s="1"/>
  <c r="I192" i="13" s="1"/>
  <c r="I193" i="13" s="1"/>
  <c r="I194" i="13" s="1"/>
  <c r="I195" i="13" s="1"/>
  <c r="I196" i="13" s="1"/>
  <c r="I197" i="13" s="1"/>
  <c r="I198" i="13" s="1"/>
  <c r="I199" i="13" s="1"/>
  <c r="I200" i="13" s="1"/>
  <c r="I201" i="13" s="1"/>
  <c r="I202" i="13" s="1"/>
  <c r="I203" i="13" s="1"/>
  <c r="I204" i="13" s="1"/>
  <c r="I205" i="13" s="1"/>
  <c r="I206" i="13" s="1"/>
  <c r="I207" i="13" s="1"/>
  <c r="I208" i="13" s="1"/>
  <c r="I209" i="13" s="1"/>
  <c r="I210" i="13" s="1"/>
  <c r="I211" i="13" s="1"/>
  <c r="I212" i="13" s="1"/>
  <c r="I213" i="13" s="1"/>
  <c r="I214" i="13" s="1"/>
  <c r="I215" i="13" s="1"/>
  <c r="I216" i="13" s="1"/>
  <c r="I217" i="13" s="1"/>
  <c r="I218" i="13" s="1"/>
  <c r="I219" i="13" s="1"/>
  <c r="I220" i="13" s="1"/>
  <c r="I221" i="13" s="1"/>
  <c r="I222" i="13" s="1"/>
  <c r="I223" i="13" s="1"/>
  <c r="I224" i="13" s="1"/>
  <c r="I225" i="13" s="1"/>
  <c r="I226" i="13" s="1"/>
  <c r="I227" i="13" s="1"/>
  <c r="I228" i="13" s="1"/>
  <c r="I229" i="13" s="1"/>
  <c r="I230" i="13" s="1"/>
  <c r="I231" i="13" s="1"/>
  <c r="I232" i="13" s="1"/>
  <c r="I233" i="13" s="1"/>
  <c r="I234" i="13" s="1"/>
  <c r="I235" i="13" s="1"/>
  <c r="I236" i="13" s="1"/>
  <c r="I237" i="13" s="1"/>
  <c r="I238" i="13" s="1"/>
  <c r="I239" i="13" s="1"/>
  <c r="I240" i="13" s="1"/>
  <c r="I241" i="13" s="1"/>
  <c r="I242" i="13" s="1"/>
  <c r="I243" i="13" s="1"/>
  <c r="I244" i="13" s="1"/>
  <c r="G3" i="13"/>
  <c r="G4" i="13" s="1"/>
  <c r="G5" i="13" s="1"/>
  <c r="G6" i="13" s="1"/>
  <c r="G7" i="13" s="1"/>
  <c r="G8" i="13" s="1"/>
  <c r="G9" i="13" s="1"/>
  <c r="G10" i="13" s="1"/>
  <c r="G11" i="13" s="1"/>
  <c r="G12" i="13" s="1"/>
  <c r="G13" i="13" s="1"/>
  <c r="G14" i="13" s="1"/>
  <c r="G15" i="13" s="1"/>
  <c r="G16" i="13" s="1"/>
  <c r="G17" i="13" s="1"/>
  <c r="G18" i="13" s="1"/>
  <c r="G19" i="13" s="1"/>
  <c r="G20" i="13" s="1"/>
  <c r="G21" i="13" s="1"/>
  <c r="G22" i="13" s="1"/>
  <c r="G23" i="13" s="1"/>
  <c r="G24" i="13" s="1"/>
  <c r="G25" i="13" s="1"/>
  <c r="G26" i="13" s="1"/>
  <c r="G27" i="13" s="1"/>
  <c r="G28" i="13" s="1"/>
  <c r="G29" i="13" s="1"/>
  <c r="G30" i="13" s="1"/>
  <c r="G31" i="13" s="1"/>
  <c r="G32" i="13" s="1"/>
  <c r="G33" i="13" s="1"/>
  <c r="G34" i="13" s="1"/>
  <c r="G35" i="13" s="1"/>
  <c r="G36" i="13" s="1"/>
  <c r="G37" i="13" s="1"/>
  <c r="G38" i="13" s="1"/>
  <c r="G39" i="13" s="1"/>
  <c r="G40" i="13" s="1"/>
  <c r="G41" i="13" s="1"/>
  <c r="G42" i="13" s="1"/>
  <c r="G43" i="13" s="1"/>
  <c r="G44" i="13" s="1"/>
  <c r="G45" i="13" s="1"/>
  <c r="G46" i="13" s="1"/>
  <c r="G47" i="13" s="1"/>
  <c r="G48" i="13" s="1"/>
  <c r="G49" i="13" s="1"/>
  <c r="G50" i="13" s="1"/>
  <c r="G51" i="13" s="1"/>
  <c r="G52" i="13" s="1"/>
  <c r="G53" i="13" s="1"/>
  <c r="G54" i="13" s="1"/>
  <c r="G55" i="13" s="1"/>
  <c r="G56" i="13" s="1"/>
  <c r="G57" i="13" s="1"/>
  <c r="G58" i="13" s="1"/>
  <c r="G59" i="13" s="1"/>
  <c r="G60" i="13" s="1"/>
  <c r="G61" i="13" s="1"/>
  <c r="G62" i="13" s="1"/>
  <c r="G63" i="13" s="1"/>
  <c r="G64" i="13" s="1"/>
  <c r="G65" i="13" s="1"/>
  <c r="G66" i="13" s="1"/>
  <c r="G67" i="13" s="1"/>
  <c r="G68" i="13" s="1"/>
  <c r="G69" i="13" s="1"/>
  <c r="G70" i="13" s="1"/>
  <c r="G71" i="13" s="1"/>
  <c r="G72" i="13" s="1"/>
  <c r="G73" i="13" s="1"/>
  <c r="G74" i="13" s="1"/>
  <c r="G75" i="13" s="1"/>
  <c r="G76" i="13" s="1"/>
  <c r="G77" i="13" s="1"/>
  <c r="G78" i="13" s="1"/>
  <c r="G79" i="13" s="1"/>
  <c r="G80" i="13" s="1"/>
  <c r="G81" i="13" s="1"/>
  <c r="G82" i="13" s="1"/>
  <c r="G83" i="13" s="1"/>
  <c r="G84" i="13" s="1"/>
  <c r="G85" i="13" s="1"/>
  <c r="G86" i="13" s="1"/>
  <c r="G87" i="13" s="1"/>
  <c r="G88" i="13" s="1"/>
  <c r="G89" i="13" s="1"/>
  <c r="G90" i="13" s="1"/>
  <c r="G91" i="13" s="1"/>
  <c r="G92" i="13" s="1"/>
  <c r="G93" i="13" s="1"/>
  <c r="G94" i="13" s="1"/>
  <c r="G95" i="13" s="1"/>
  <c r="G96" i="13" s="1"/>
  <c r="G97" i="13" s="1"/>
  <c r="G98" i="13" s="1"/>
  <c r="G99" i="13" s="1"/>
  <c r="G100" i="13" s="1"/>
  <c r="G101" i="13" s="1"/>
  <c r="G102" i="13" s="1"/>
  <c r="G103" i="13" s="1"/>
  <c r="G104" i="13" s="1"/>
  <c r="G105" i="13" s="1"/>
  <c r="G106" i="13" s="1"/>
  <c r="G107" i="13" s="1"/>
  <c r="G108" i="13" s="1"/>
  <c r="G109" i="13" s="1"/>
  <c r="G110" i="13" s="1"/>
  <c r="G111" i="13" s="1"/>
  <c r="G112" i="13" s="1"/>
  <c r="G113" i="13" s="1"/>
  <c r="G114" i="13" s="1"/>
  <c r="G115" i="13" s="1"/>
  <c r="G116" i="13" s="1"/>
  <c r="G117" i="13" s="1"/>
  <c r="G118" i="13" s="1"/>
  <c r="G119" i="13" s="1"/>
  <c r="G120" i="13" s="1"/>
  <c r="G121" i="13" s="1"/>
  <c r="G122" i="13" s="1"/>
  <c r="G123" i="13" s="1"/>
  <c r="G124" i="13" s="1"/>
  <c r="G125" i="13" s="1"/>
  <c r="G126" i="13" s="1"/>
  <c r="G127" i="13" s="1"/>
  <c r="G128" i="13" s="1"/>
  <c r="G129" i="13" s="1"/>
  <c r="G130" i="13" s="1"/>
  <c r="G131" i="13" s="1"/>
  <c r="G132" i="13" s="1"/>
  <c r="G133" i="13" s="1"/>
  <c r="G134" i="13" s="1"/>
  <c r="G135" i="13" s="1"/>
  <c r="G136" i="13" s="1"/>
  <c r="G137" i="13" s="1"/>
  <c r="G138" i="13" s="1"/>
  <c r="G139" i="13" s="1"/>
  <c r="G140" i="13" s="1"/>
  <c r="G141" i="13" s="1"/>
  <c r="G142" i="13" s="1"/>
  <c r="G143" i="13" s="1"/>
  <c r="G144" i="13" s="1"/>
  <c r="G145" i="13" s="1"/>
  <c r="G146" i="13" s="1"/>
  <c r="G147" i="13" s="1"/>
  <c r="G148" i="13" s="1"/>
  <c r="G149" i="13" s="1"/>
  <c r="G150" i="13" s="1"/>
  <c r="G151" i="13" s="1"/>
  <c r="G152" i="13" s="1"/>
  <c r="G153" i="13" s="1"/>
  <c r="G154" i="13" s="1"/>
  <c r="G155" i="13" s="1"/>
  <c r="G156" i="13" s="1"/>
  <c r="G157" i="13" s="1"/>
  <c r="G158" i="13" s="1"/>
  <c r="G159" i="13" s="1"/>
  <c r="G160" i="13" s="1"/>
  <c r="G161" i="13" s="1"/>
  <c r="G162" i="13" s="1"/>
  <c r="G163" i="13" s="1"/>
  <c r="G164" i="13" s="1"/>
  <c r="G165" i="13" s="1"/>
  <c r="G166" i="13" s="1"/>
  <c r="G167" i="13" s="1"/>
  <c r="G168" i="13" s="1"/>
  <c r="G169" i="13" s="1"/>
  <c r="G170" i="13" s="1"/>
  <c r="G171" i="13" s="1"/>
  <c r="G172" i="13" s="1"/>
  <c r="G173" i="13" s="1"/>
  <c r="G174" i="13" s="1"/>
  <c r="G175" i="13" s="1"/>
  <c r="G176" i="13" s="1"/>
  <c r="G177" i="13" s="1"/>
  <c r="G178" i="13" s="1"/>
  <c r="G179" i="13" s="1"/>
  <c r="G180" i="13" s="1"/>
  <c r="G181" i="13" s="1"/>
  <c r="G182" i="13" s="1"/>
  <c r="G183" i="13" s="1"/>
  <c r="G184" i="13" s="1"/>
  <c r="G185" i="13" s="1"/>
  <c r="G186" i="13" s="1"/>
  <c r="G187" i="13" s="1"/>
  <c r="G188" i="13" s="1"/>
  <c r="G189" i="13" s="1"/>
  <c r="G190" i="13" s="1"/>
  <c r="G191" i="13" s="1"/>
  <c r="G192" i="13" s="1"/>
  <c r="G193" i="13" s="1"/>
  <c r="G194" i="13" s="1"/>
  <c r="G195" i="13" s="1"/>
  <c r="G196" i="13" s="1"/>
  <c r="G197" i="13" s="1"/>
  <c r="G198" i="13" s="1"/>
  <c r="G199" i="13" s="1"/>
  <c r="G200" i="13" s="1"/>
  <c r="G201" i="13" s="1"/>
  <c r="G202" i="13" s="1"/>
  <c r="G203" i="13" s="1"/>
  <c r="G204" i="13" s="1"/>
  <c r="G205" i="13" s="1"/>
  <c r="G206" i="13" s="1"/>
  <c r="G207" i="13" s="1"/>
  <c r="G208" i="13" s="1"/>
  <c r="G209" i="13" s="1"/>
  <c r="G210" i="13" s="1"/>
  <c r="G211" i="13" s="1"/>
  <c r="G212" i="13" s="1"/>
  <c r="G213" i="13" s="1"/>
  <c r="G214" i="13" s="1"/>
  <c r="G215" i="13" s="1"/>
  <c r="G216" i="13" s="1"/>
  <c r="G217" i="13" s="1"/>
  <c r="G218" i="13" s="1"/>
  <c r="G219" i="13" s="1"/>
  <c r="G220" i="13" s="1"/>
  <c r="G221" i="13" s="1"/>
  <c r="G222" i="13" s="1"/>
  <c r="G223" i="13" s="1"/>
  <c r="G224" i="13" s="1"/>
  <c r="G225" i="13" s="1"/>
  <c r="G226" i="13" s="1"/>
  <c r="G227" i="13" s="1"/>
  <c r="G228" i="13" s="1"/>
  <c r="G229" i="13" s="1"/>
  <c r="G230" i="13" s="1"/>
  <c r="G231" i="13" s="1"/>
  <c r="G232" i="13" s="1"/>
  <c r="G233" i="13" s="1"/>
  <c r="G234" i="13" s="1"/>
  <c r="G235" i="13" s="1"/>
  <c r="G236" i="13" s="1"/>
  <c r="G237" i="13" s="1"/>
  <c r="G238" i="13" s="1"/>
  <c r="G239" i="13" s="1"/>
  <c r="G240" i="13" s="1"/>
  <c r="G241" i="13" s="1"/>
  <c r="G242" i="13" s="1"/>
  <c r="G243" i="13" s="1"/>
  <c r="G244" i="13" s="1"/>
  <c r="E3" i="13"/>
  <c r="E4" i="13" s="1"/>
  <c r="E5" i="13" s="1"/>
  <c r="E6" i="13" s="1"/>
  <c r="E7" i="13" s="1"/>
  <c r="E8" i="13" s="1"/>
  <c r="E9" i="13" s="1"/>
  <c r="E10" i="13" s="1"/>
  <c r="E11" i="13" s="1"/>
  <c r="E12" i="13" s="1"/>
  <c r="E13" i="13" s="1"/>
  <c r="E14" i="13" s="1"/>
  <c r="E15" i="13" s="1"/>
  <c r="E16" i="13" s="1"/>
  <c r="E17" i="13" s="1"/>
  <c r="E18" i="13" s="1"/>
  <c r="E19" i="13" s="1"/>
  <c r="E20" i="13" s="1"/>
  <c r="E21" i="13" s="1"/>
  <c r="E22" i="13" s="1"/>
  <c r="E23" i="13" s="1"/>
  <c r="E24" i="13" s="1"/>
  <c r="E25" i="13" s="1"/>
  <c r="E26" i="13" s="1"/>
  <c r="E27" i="13" s="1"/>
  <c r="E28" i="13" s="1"/>
  <c r="E29" i="13" s="1"/>
  <c r="E30" i="13" s="1"/>
  <c r="E31" i="13" s="1"/>
  <c r="E32" i="13" s="1"/>
  <c r="E33" i="13" s="1"/>
  <c r="E34" i="13" s="1"/>
  <c r="E35" i="13" s="1"/>
  <c r="E36" i="13" s="1"/>
  <c r="E37" i="13" s="1"/>
  <c r="E38" i="13" s="1"/>
  <c r="E39" i="13" s="1"/>
  <c r="E40" i="13" s="1"/>
  <c r="E41" i="13" s="1"/>
  <c r="E42" i="13" s="1"/>
  <c r="E43" i="13" s="1"/>
  <c r="E44" i="13" s="1"/>
  <c r="E45" i="13" s="1"/>
  <c r="E46" i="13" s="1"/>
  <c r="E47" i="13" s="1"/>
  <c r="E48" i="13" s="1"/>
  <c r="E49" i="13" s="1"/>
  <c r="E50" i="13" s="1"/>
  <c r="E51" i="13" s="1"/>
  <c r="E52" i="13" s="1"/>
  <c r="E53" i="13" s="1"/>
  <c r="E54" i="13" s="1"/>
  <c r="E55" i="13" s="1"/>
  <c r="E56" i="13" s="1"/>
  <c r="E57" i="13" s="1"/>
  <c r="E58" i="13" s="1"/>
  <c r="E59" i="13" s="1"/>
  <c r="E60" i="13" s="1"/>
  <c r="E61" i="13" s="1"/>
  <c r="E62" i="13" s="1"/>
  <c r="E63" i="13" s="1"/>
  <c r="E64" i="13" s="1"/>
  <c r="E65" i="13" s="1"/>
  <c r="E66" i="13" s="1"/>
  <c r="E67" i="13" s="1"/>
  <c r="E68" i="13" s="1"/>
  <c r="E69" i="13" s="1"/>
  <c r="E70" i="13" s="1"/>
  <c r="E71" i="13" s="1"/>
  <c r="E72" i="13" s="1"/>
  <c r="E73" i="13" s="1"/>
  <c r="E74" i="13" s="1"/>
  <c r="E75" i="13" s="1"/>
  <c r="E76" i="13" s="1"/>
  <c r="E77" i="13" s="1"/>
  <c r="E78" i="13" s="1"/>
  <c r="E79" i="13" s="1"/>
  <c r="E80" i="13" s="1"/>
  <c r="E81" i="13" s="1"/>
  <c r="E82" i="13" s="1"/>
  <c r="E83" i="13" s="1"/>
  <c r="E84" i="13" s="1"/>
  <c r="E85" i="13" s="1"/>
  <c r="E86" i="13" s="1"/>
  <c r="E87" i="13" s="1"/>
  <c r="E88" i="13" s="1"/>
  <c r="E89" i="13" s="1"/>
  <c r="E90" i="13" s="1"/>
  <c r="E91" i="13" s="1"/>
  <c r="E92" i="13" s="1"/>
  <c r="E93" i="13" s="1"/>
  <c r="E94" i="13" s="1"/>
  <c r="E95" i="13" s="1"/>
  <c r="E96" i="13" s="1"/>
  <c r="E97" i="13" s="1"/>
  <c r="E98" i="13" s="1"/>
  <c r="E99" i="13" s="1"/>
  <c r="E100" i="13" s="1"/>
  <c r="E101" i="13" s="1"/>
  <c r="E102" i="13" s="1"/>
  <c r="E103" i="13" s="1"/>
  <c r="E104" i="13" s="1"/>
  <c r="E105" i="13" s="1"/>
  <c r="E106" i="13" s="1"/>
  <c r="E107" i="13" s="1"/>
  <c r="E108" i="13" s="1"/>
  <c r="E109" i="13" s="1"/>
  <c r="E110" i="13" s="1"/>
  <c r="E111" i="13" s="1"/>
  <c r="E112" i="13" s="1"/>
  <c r="E113" i="13" s="1"/>
  <c r="E114" i="13" s="1"/>
  <c r="E115" i="13" s="1"/>
  <c r="E116" i="13" s="1"/>
  <c r="E117" i="13" s="1"/>
  <c r="E118" i="13" s="1"/>
  <c r="E119" i="13" s="1"/>
  <c r="E120" i="13" s="1"/>
  <c r="E121" i="13" s="1"/>
  <c r="E122" i="13" s="1"/>
  <c r="E123" i="13" s="1"/>
  <c r="E124" i="13" s="1"/>
  <c r="E125" i="13" s="1"/>
  <c r="E126" i="13" s="1"/>
  <c r="E127" i="13" s="1"/>
  <c r="E128" i="13" s="1"/>
  <c r="E129" i="13" s="1"/>
  <c r="E130" i="13" s="1"/>
  <c r="E131" i="13" s="1"/>
  <c r="E132" i="13" s="1"/>
  <c r="E133" i="13" s="1"/>
  <c r="E134" i="13" s="1"/>
  <c r="E135" i="13" s="1"/>
  <c r="E136" i="13" s="1"/>
  <c r="E137" i="13" s="1"/>
  <c r="E138" i="13" s="1"/>
  <c r="E139" i="13" s="1"/>
  <c r="E140" i="13" s="1"/>
  <c r="E141" i="13" s="1"/>
  <c r="E142" i="13" s="1"/>
  <c r="E143" i="13" s="1"/>
  <c r="E144" i="13" s="1"/>
  <c r="E145" i="13" s="1"/>
  <c r="E146" i="13" s="1"/>
  <c r="E147" i="13" s="1"/>
  <c r="E148" i="13" s="1"/>
  <c r="E149" i="13" s="1"/>
  <c r="E150" i="13" s="1"/>
  <c r="E151" i="13" s="1"/>
  <c r="E152" i="13" s="1"/>
  <c r="E153" i="13" s="1"/>
  <c r="E154" i="13" s="1"/>
  <c r="E155" i="13" s="1"/>
  <c r="E156" i="13" s="1"/>
  <c r="E157" i="13" s="1"/>
  <c r="E158" i="13" s="1"/>
  <c r="E159" i="13" s="1"/>
  <c r="E160" i="13" s="1"/>
  <c r="E161" i="13" s="1"/>
  <c r="E162" i="13" s="1"/>
  <c r="E163" i="13" s="1"/>
  <c r="E164" i="13" s="1"/>
  <c r="E165" i="13" s="1"/>
  <c r="E166" i="13" s="1"/>
  <c r="E167" i="13" s="1"/>
  <c r="E168" i="13" s="1"/>
  <c r="E169" i="13" s="1"/>
  <c r="E170" i="13" s="1"/>
  <c r="E171" i="13" s="1"/>
  <c r="E172" i="13" s="1"/>
  <c r="E173" i="13" s="1"/>
  <c r="E174" i="13" s="1"/>
  <c r="E175" i="13" s="1"/>
  <c r="E176" i="13" s="1"/>
  <c r="E177" i="13" s="1"/>
  <c r="E178" i="13" s="1"/>
  <c r="E179" i="13" s="1"/>
  <c r="E180" i="13" s="1"/>
  <c r="E181" i="13" s="1"/>
  <c r="E182" i="13" s="1"/>
  <c r="E183" i="13" s="1"/>
  <c r="E184" i="13" s="1"/>
  <c r="E185" i="13" s="1"/>
  <c r="E186" i="13" s="1"/>
  <c r="E187" i="13" s="1"/>
  <c r="E188" i="13" s="1"/>
  <c r="E189" i="13" s="1"/>
  <c r="E190" i="13" s="1"/>
  <c r="E191" i="13" s="1"/>
  <c r="E192" i="13" s="1"/>
  <c r="E193" i="13" s="1"/>
  <c r="E194" i="13" s="1"/>
  <c r="E195" i="13" s="1"/>
  <c r="E196" i="13" s="1"/>
  <c r="E197" i="13" s="1"/>
  <c r="E198" i="13" s="1"/>
  <c r="E199" i="13" s="1"/>
  <c r="E200" i="13" s="1"/>
  <c r="E201" i="13" s="1"/>
  <c r="E202" i="13" s="1"/>
  <c r="E203" i="13" s="1"/>
  <c r="E204" i="13" s="1"/>
  <c r="E205" i="13" s="1"/>
  <c r="E206" i="13" s="1"/>
  <c r="E207" i="13" s="1"/>
  <c r="E208" i="13" s="1"/>
  <c r="E209" i="13" s="1"/>
  <c r="E210" i="13" s="1"/>
  <c r="E211" i="13" s="1"/>
  <c r="E212" i="13" s="1"/>
  <c r="E213" i="13" s="1"/>
  <c r="E214" i="13" s="1"/>
  <c r="E215" i="13" s="1"/>
  <c r="E216" i="13" s="1"/>
  <c r="E217" i="13" s="1"/>
  <c r="E218" i="13" s="1"/>
  <c r="E219" i="13" s="1"/>
  <c r="E220" i="13" s="1"/>
  <c r="E221" i="13" s="1"/>
  <c r="E222" i="13" s="1"/>
  <c r="E223" i="13" s="1"/>
  <c r="E224" i="13" s="1"/>
  <c r="E225" i="13" s="1"/>
  <c r="E226" i="13" s="1"/>
  <c r="E227" i="13" s="1"/>
  <c r="E228" i="13" s="1"/>
  <c r="E229" i="13" s="1"/>
  <c r="E230" i="13" s="1"/>
  <c r="E231" i="13" s="1"/>
  <c r="E232" i="13" s="1"/>
  <c r="E233" i="13" s="1"/>
  <c r="E234" i="13" s="1"/>
  <c r="E235" i="13" s="1"/>
  <c r="E236" i="13" s="1"/>
  <c r="E237" i="13" s="1"/>
  <c r="E238" i="13" s="1"/>
  <c r="E239" i="13" s="1"/>
  <c r="E240" i="13" s="1"/>
  <c r="E241" i="13" s="1"/>
  <c r="E242" i="13" s="1"/>
  <c r="E243" i="13" s="1"/>
  <c r="E244" i="13" s="1"/>
  <c r="C3" i="13"/>
  <c r="C4" i="13" s="1"/>
  <c r="C5" i="13" s="1"/>
  <c r="C6" i="13" s="1"/>
  <c r="C7" i="13" s="1"/>
  <c r="C8" i="13" s="1"/>
  <c r="C9" i="13" s="1"/>
  <c r="C10" i="13" s="1"/>
  <c r="C11" i="13" s="1"/>
  <c r="C12" i="13" s="1"/>
  <c r="C13" i="13" s="1"/>
  <c r="C14" i="13" s="1"/>
  <c r="C15" i="13" s="1"/>
  <c r="C16" i="13" s="1"/>
  <c r="C17" i="13" s="1"/>
  <c r="C18" i="13" s="1"/>
  <c r="C19" i="13" s="1"/>
  <c r="C20" i="13" s="1"/>
  <c r="C21" i="13" s="1"/>
  <c r="C22" i="13" s="1"/>
  <c r="C23" i="13" s="1"/>
  <c r="C24" i="13" s="1"/>
  <c r="C25" i="13" s="1"/>
  <c r="C26" i="13" s="1"/>
  <c r="C27" i="13" s="1"/>
  <c r="C28" i="13" s="1"/>
  <c r="C29" i="13" s="1"/>
  <c r="C30" i="13" s="1"/>
  <c r="C31" i="13" s="1"/>
  <c r="C32" i="13" s="1"/>
  <c r="C33" i="13" s="1"/>
  <c r="C34" i="13" s="1"/>
  <c r="C35" i="13" s="1"/>
  <c r="C36" i="13" s="1"/>
  <c r="C37" i="13" s="1"/>
  <c r="C38" i="13" s="1"/>
  <c r="C39" i="13" s="1"/>
  <c r="C40" i="13" s="1"/>
  <c r="C41" i="13" s="1"/>
  <c r="C42" i="13" s="1"/>
  <c r="C43" i="13" s="1"/>
  <c r="C44" i="13" s="1"/>
  <c r="C45" i="13" s="1"/>
  <c r="C46" i="13" s="1"/>
  <c r="C47" i="13" s="1"/>
  <c r="C48" i="13" s="1"/>
  <c r="C49" i="13" s="1"/>
  <c r="C50" i="13" s="1"/>
  <c r="C51" i="13" s="1"/>
  <c r="C52" i="13" s="1"/>
  <c r="C53" i="13" s="1"/>
  <c r="C54" i="13" s="1"/>
  <c r="C55" i="13" s="1"/>
  <c r="C56" i="13" s="1"/>
  <c r="C57" i="13" s="1"/>
  <c r="C58" i="13" s="1"/>
  <c r="C59" i="13" s="1"/>
  <c r="C60" i="13" s="1"/>
  <c r="C61" i="13" s="1"/>
  <c r="C62" i="13" s="1"/>
  <c r="C63" i="13" s="1"/>
  <c r="C64" i="13" s="1"/>
  <c r="C65" i="13" s="1"/>
  <c r="C66" i="13" s="1"/>
  <c r="C67" i="13" s="1"/>
  <c r="C68" i="13" s="1"/>
  <c r="C69" i="13" s="1"/>
  <c r="C70" i="13" s="1"/>
  <c r="C71" i="13" s="1"/>
  <c r="C72" i="13" s="1"/>
  <c r="C73" i="13" s="1"/>
  <c r="C74" i="13" s="1"/>
  <c r="C75" i="13" s="1"/>
  <c r="C76" i="13" s="1"/>
  <c r="C77" i="13" s="1"/>
  <c r="C78" i="13" s="1"/>
  <c r="C79" i="13" s="1"/>
  <c r="C80" i="13" s="1"/>
  <c r="C81" i="13" s="1"/>
  <c r="C82" i="13" s="1"/>
  <c r="C83" i="13" s="1"/>
  <c r="C84" i="13" s="1"/>
  <c r="C85" i="13" s="1"/>
  <c r="C86" i="13" s="1"/>
  <c r="C87" i="13" s="1"/>
  <c r="C88" i="13" s="1"/>
  <c r="C89" i="13" s="1"/>
  <c r="C90" i="13" s="1"/>
  <c r="C91" i="13" s="1"/>
  <c r="C92" i="13" s="1"/>
  <c r="C93" i="13" s="1"/>
  <c r="C94" i="13" s="1"/>
  <c r="C95" i="13" s="1"/>
  <c r="C96" i="13" s="1"/>
  <c r="C97" i="13" s="1"/>
  <c r="C98" i="13" s="1"/>
  <c r="C99" i="13" s="1"/>
  <c r="C100" i="13" s="1"/>
  <c r="C101" i="13" s="1"/>
  <c r="C102" i="13" s="1"/>
  <c r="C103" i="13" s="1"/>
  <c r="C104" i="13" s="1"/>
  <c r="C105" i="13" s="1"/>
  <c r="C106" i="13" s="1"/>
  <c r="C107" i="13" s="1"/>
  <c r="C108" i="13" s="1"/>
  <c r="C109" i="13" s="1"/>
  <c r="C110" i="13" s="1"/>
  <c r="C111" i="13" s="1"/>
  <c r="C112" i="13" s="1"/>
  <c r="C113" i="13" s="1"/>
  <c r="C114" i="13" s="1"/>
  <c r="C115" i="13" s="1"/>
  <c r="C116" i="13" s="1"/>
  <c r="C117" i="13" s="1"/>
  <c r="C118" i="13" s="1"/>
  <c r="C119" i="13" s="1"/>
  <c r="C120" i="13" s="1"/>
  <c r="C121" i="13" s="1"/>
  <c r="C122" i="13" s="1"/>
  <c r="C123" i="13" s="1"/>
  <c r="C124" i="13" s="1"/>
  <c r="C125" i="13" s="1"/>
  <c r="C126" i="13" s="1"/>
  <c r="C127" i="13" s="1"/>
  <c r="C128" i="13" s="1"/>
  <c r="C129" i="13" s="1"/>
  <c r="C130" i="13" s="1"/>
  <c r="C131" i="13" s="1"/>
  <c r="C132" i="13" s="1"/>
  <c r="C133" i="13" s="1"/>
  <c r="C134" i="13" s="1"/>
  <c r="C135" i="13" s="1"/>
  <c r="C136" i="13" s="1"/>
  <c r="C137" i="13" s="1"/>
  <c r="C138" i="13" s="1"/>
  <c r="C139" i="13" s="1"/>
  <c r="C140" i="13" s="1"/>
  <c r="C141" i="13" s="1"/>
  <c r="C142" i="13" s="1"/>
  <c r="C143" i="13" s="1"/>
  <c r="C144" i="13" s="1"/>
  <c r="C145" i="13" s="1"/>
  <c r="C146" i="13" s="1"/>
  <c r="C147" i="13" s="1"/>
  <c r="C148" i="13" s="1"/>
  <c r="C149" i="13" s="1"/>
  <c r="C150" i="13" s="1"/>
  <c r="C151" i="13" s="1"/>
  <c r="C152" i="13" s="1"/>
  <c r="C153" i="13" s="1"/>
  <c r="C154" i="13" s="1"/>
  <c r="C155" i="13" s="1"/>
  <c r="C156" i="13" s="1"/>
  <c r="C157" i="13" s="1"/>
  <c r="C158" i="13" s="1"/>
  <c r="C159" i="13" s="1"/>
  <c r="C160" i="13" s="1"/>
  <c r="C161" i="13" s="1"/>
  <c r="C162" i="13" s="1"/>
  <c r="C163" i="13" s="1"/>
  <c r="C164" i="13" s="1"/>
  <c r="C165" i="13" s="1"/>
  <c r="C166" i="13" s="1"/>
  <c r="C167" i="13" s="1"/>
  <c r="C168" i="13" s="1"/>
  <c r="C169" i="13" s="1"/>
  <c r="C170" i="13" s="1"/>
  <c r="C171" i="13" s="1"/>
  <c r="C172" i="13" s="1"/>
  <c r="C173" i="13" s="1"/>
  <c r="C174" i="13" s="1"/>
  <c r="C175" i="13" s="1"/>
  <c r="C176" i="13" s="1"/>
  <c r="C177" i="13" s="1"/>
  <c r="C178" i="13" s="1"/>
  <c r="C179" i="13" s="1"/>
  <c r="C180" i="13" s="1"/>
  <c r="C181" i="13" s="1"/>
  <c r="C182" i="13" s="1"/>
  <c r="C183" i="13" s="1"/>
  <c r="C184" i="13" s="1"/>
  <c r="C185" i="13" s="1"/>
  <c r="C186" i="13" s="1"/>
  <c r="C187" i="13" s="1"/>
  <c r="C188" i="13" s="1"/>
  <c r="C189" i="13" s="1"/>
  <c r="C190" i="13" s="1"/>
  <c r="C191" i="13" s="1"/>
  <c r="C192" i="13" s="1"/>
  <c r="C193" i="13" s="1"/>
  <c r="C194" i="13" s="1"/>
  <c r="C195" i="13" s="1"/>
  <c r="C196" i="13" s="1"/>
  <c r="C197" i="13" s="1"/>
  <c r="C198" i="13" s="1"/>
  <c r="C199" i="13" s="1"/>
  <c r="C200" i="13" s="1"/>
  <c r="C201" i="13" s="1"/>
  <c r="C202" i="13" s="1"/>
  <c r="C203" i="13" s="1"/>
  <c r="C204" i="13" s="1"/>
  <c r="C205" i="13" s="1"/>
  <c r="C206" i="13" s="1"/>
  <c r="C207" i="13" s="1"/>
  <c r="C208" i="13" s="1"/>
  <c r="C209" i="13" s="1"/>
  <c r="C210" i="13" s="1"/>
  <c r="C211" i="13" s="1"/>
  <c r="C212" i="13" s="1"/>
  <c r="C213" i="13" s="1"/>
  <c r="C214" i="13" s="1"/>
  <c r="C215" i="13" s="1"/>
  <c r="C216" i="13" s="1"/>
  <c r="C217" i="13" s="1"/>
  <c r="C218" i="13" s="1"/>
  <c r="C219" i="13" s="1"/>
  <c r="C220" i="13" s="1"/>
  <c r="C221" i="13" s="1"/>
  <c r="C222" i="13" s="1"/>
  <c r="C223" i="13" s="1"/>
  <c r="C224" i="13" s="1"/>
  <c r="C225" i="13" s="1"/>
  <c r="C226" i="13" s="1"/>
  <c r="C227" i="13" s="1"/>
  <c r="C228" i="13" s="1"/>
  <c r="C229" i="13" s="1"/>
  <c r="C230" i="13" s="1"/>
  <c r="C231" i="13" s="1"/>
  <c r="C232" i="13" s="1"/>
  <c r="C233" i="13" s="1"/>
  <c r="C234" i="13" s="1"/>
  <c r="C235" i="13" s="1"/>
  <c r="C236" i="13" s="1"/>
  <c r="C237" i="13" s="1"/>
  <c r="C238" i="13" s="1"/>
  <c r="C239" i="13" s="1"/>
  <c r="C240" i="13" s="1"/>
  <c r="C241" i="13" s="1"/>
  <c r="C242" i="13" s="1"/>
  <c r="C243" i="13" s="1"/>
  <c r="C244" i="13" s="1"/>
  <c r="D29" i="2"/>
  <c r="C29" i="2"/>
  <c r="I28" i="2"/>
  <c r="H28" i="2"/>
  <c r="G28" i="2"/>
  <c r="F28" i="2"/>
  <c r="E28" i="2"/>
  <c r="D28" i="2"/>
  <c r="C28" i="2"/>
  <c r="G4" i="12" a="1"/>
  <c r="G4" i="12" s="1"/>
  <c r="I14" i="11" s="1"/>
  <c r="K14" i="11" s="1"/>
  <c r="G6" i="12" a="1"/>
  <c r="G6" i="12" s="1"/>
  <c r="I15" i="11" s="1"/>
  <c r="K15" i="11" s="1"/>
  <c r="G8" i="12" a="1"/>
  <c r="G8" i="12" s="1"/>
  <c r="I16" i="11" s="1"/>
  <c r="G10" i="12" a="1"/>
  <c r="G10" i="12" s="1"/>
  <c r="I17" i="11" s="1"/>
  <c r="G12" i="12" a="1"/>
  <c r="G12" i="12" s="1"/>
  <c r="I18" i="11" s="1"/>
  <c r="G2" i="12" a="1"/>
  <c r="G2" i="12" s="1"/>
  <c r="I13" i="11" s="1"/>
  <c r="F4" i="12" a="1"/>
  <c r="F4" i="12" s="1"/>
  <c r="F6" i="12" a="1"/>
  <c r="F6" i="12" s="1"/>
  <c r="F8" i="12" a="1"/>
  <c r="F8" i="12" s="1"/>
  <c r="F10" i="12" a="1"/>
  <c r="F10" i="12" s="1"/>
  <c r="F12" i="12" a="1"/>
  <c r="F12" i="12" s="1"/>
  <c r="F2" i="12" a="1"/>
  <c r="F2" i="12" s="1"/>
  <c r="E4" i="12" a="1"/>
  <c r="E4" i="12" s="1"/>
  <c r="E6" i="12" a="1"/>
  <c r="E6" i="12" s="1"/>
  <c r="E8" i="12" a="1"/>
  <c r="E8" i="12" s="1"/>
  <c r="E10" i="12" a="1"/>
  <c r="E10" i="12" s="1"/>
  <c r="E12" i="12" a="1"/>
  <c r="E12" i="12" s="1"/>
  <c r="E2" i="12" a="1"/>
  <c r="E2" i="12" s="1"/>
  <c r="D4" i="12" a="1"/>
  <c r="D4" i="12" s="1"/>
  <c r="D6" i="12" a="1"/>
  <c r="D6" i="12" s="1"/>
  <c r="D8" i="12" a="1"/>
  <c r="D8" i="12" s="1"/>
  <c r="D10" i="12" a="1"/>
  <c r="D10" i="12" s="1"/>
  <c r="D12" i="12" a="1"/>
  <c r="D12" i="12" s="1"/>
  <c r="D2" i="12" a="1"/>
  <c r="D2" i="12" s="1"/>
  <c r="C4" i="12" a="1"/>
  <c r="C4" i="12" s="1"/>
  <c r="C6" i="12" a="1"/>
  <c r="C6" i="12" s="1"/>
  <c r="C8" i="12" a="1"/>
  <c r="C8" i="12" s="1"/>
  <c r="C10" i="12" a="1"/>
  <c r="C10" i="12" s="1"/>
  <c r="C12" i="12" a="1"/>
  <c r="C12" i="12" s="1"/>
  <c r="C2" i="12" a="1"/>
  <c r="C2" i="12" s="1"/>
  <c r="I15" i="9" l="1"/>
  <c r="J15" i="9"/>
  <c r="I17" i="9"/>
  <c r="J17" i="9"/>
  <c r="D37" i="9"/>
  <c r="E37" i="9"/>
  <c r="F37" i="9"/>
  <c r="H37" i="9"/>
  <c r="I37" i="9"/>
  <c r="I49" i="9"/>
  <c r="J49" i="9"/>
  <c r="H63" i="9"/>
  <c r="I63" i="9"/>
  <c r="J63" i="9"/>
  <c r="H66" i="9"/>
  <c r="I66" i="9"/>
  <c r="J66" i="9"/>
  <c r="H68" i="9"/>
  <c r="I68" i="9"/>
  <c r="J68" i="9"/>
  <c r="I70" i="9"/>
  <c r="J70" i="9"/>
  <c r="I72" i="9"/>
  <c r="J72" i="9"/>
  <c r="I75" i="9"/>
  <c r="I115" i="9" s="1"/>
  <c r="J75" i="9"/>
  <c r="J115" i="9" s="1"/>
  <c r="K115" i="9" s="1"/>
  <c r="I76" i="9"/>
  <c r="I116" i="9" s="1"/>
  <c r="J76" i="9"/>
  <c r="J116" i="9" s="1"/>
  <c r="J117" i="9" s="1"/>
  <c r="K117" i="9" s="1"/>
  <c r="L117" i="9" s="1"/>
  <c r="M117" i="9" s="1"/>
  <c r="N117" i="9" s="1"/>
  <c r="O117" i="9" s="1"/>
  <c r="I78" i="9"/>
  <c r="J78" i="9"/>
  <c r="I80" i="9"/>
  <c r="J80" i="9"/>
  <c r="I82" i="9"/>
  <c r="J82" i="9"/>
  <c r="I84" i="9"/>
  <c r="J84" i="9"/>
  <c r="I86" i="9"/>
  <c r="J86" i="9"/>
  <c r="H92" i="9"/>
  <c r="H110" i="9" s="1"/>
  <c r="I92" i="9"/>
  <c r="I110" i="9" s="1"/>
  <c r="J92" i="9"/>
  <c r="J110" i="9" s="1"/>
  <c r="K110" i="9" s="1"/>
  <c r="L110" i="9" s="1"/>
  <c r="M110" i="9" s="1"/>
  <c r="H93" i="9"/>
  <c r="I93" i="9"/>
  <c r="J93" i="9"/>
  <c r="H94" i="9"/>
  <c r="I94" i="9"/>
  <c r="J94" i="9"/>
  <c r="H95" i="9"/>
  <c r="I95" i="9"/>
  <c r="J95" i="9"/>
  <c r="H96" i="9"/>
  <c r="I96" i="9"/>
  <c r="J96" i="9"/>
  <c r="I125" i="9"/>
  <c r="J125" i="9"/>
  <c r="I130" i="9"/>
  <c r="J130" i="9"/>
  <c r="J160" i="6"/>
  <c r="I160" i="6"/>
  <c r="K158" i="6"/>
  <c r="J156" i="6"/>
  <c r="J162" i="6" s="1"/>
  <c r="I156" i="6"/>
  <c r="I162" i="6" s="1"/>
  <c r="M150" i="6"/>
  <c r="M84" i="6" s="1"/>
  <c r="L150" i="6"/>
  <c r="L84" i="6" s="1"/>
  <c r="K150" i="6"/>
  <c r="K84" i="6" s="1"/>
  <c r="L82" i="6"/>
  <c r="M123" i="6"/>
  <c r="L123" i="6"/>
  <c r="K123" i="6"/>
  <c r="H123" i="6"/>
  <c r="J87" i="6"/>
  <c r="I87" i="6"/>
  <c r="J85" i="6"/>
  <c r="I85" i="6"/>
  <c r="J84" i="6"/>
  <c r="I84" i="6"/>
  <c r="J83" i="6"/>
  <c r="I83" i="6"/>
  <c r="J82" i="6"/>
  <c r="I82" i="6"/>
  <c r="J81" i="6"/>
  <c r="I81" i="6"/>
  <c r="J80" i="6"/>
  <c r="I80" i="6"/>
  <c r="J79" i="6"/>
  <c r="E219" i="2" s="1"/>
  <c r="I79" i="6"/>
  <c r="D219" i="2" s="1"/>
  <c r="J77" i="6"/>
  <c r="I77" i="6"/>
  <c r="H77" i="6"/>
  <c r="J76" i="6"/>
  <c r="J24" i="10" s="1"/>
  <c r="I76" i="6"/>
  <c r="I24" i="10" s="1"/>
  <c r="J75" i="6"/>
  <c r="J23" i="10" s="1"/>
  <c r="I75" i="6"/>
  <c r="I23" i="10" s="1"/>
  <c r="J74" i="6"/>
  <c r="E218" i="2" s="1"/>
  <c r="I74" i="6"/>
  <c r="D218" i="2" s="1"/>
  <c r="H72" i="6"/>
  <c r="H70" i="6"/>
  <c r="H22" i="10" s="1"/>
  <c r="H69" i="6"/>
  <c r="H21" i="10" s="1"/>
  <c r="J68" i="6"/>
  <c r="I68" i="6"/>
  <c r="J67" i="6"/>
  <c r="E217" i="2" s="1"/>
  <c r="I67" i="6"/>
  <c r="D217" i="2" s="1"/>
  <c r="J61" i="6"/>
  <c r="I61" i="6"/>
  <c r="H61" i="6"/>
  <c r="J60" i="6"/>
  <c r="I60" i="6"/>
  <c r="H60" i="6"/>
  <c r="J59" i="6"/>
  <c r="I59" i="6"/>
  <c r="H59" i="6"/>
  <c r="J58" i="6"/>
  <c r="I58" i="6"/>
  <c r="H58" i="6"/>
  <c r="J57" i="6"/>
  <c r="I57" i="6"/>
  <c r="H57" i="6"/>
  <c r="J55" i="6"/>
  <c r="I55" i="6"/>
  <c r="H55" i="6"/>
  <c r="J54" i="6"/>
  <c r="I54" i="6"/>
  <c r="H54" i="6"/>
  <c r="J53" i="6"/>
  <c r="I53" i="6"/>
  <c r="H53" i="6"/>
  <c r="J52" i="6"/>
  <c r="J105" i="6" s="1"/>
  <c r="I52" i="6"/>
  <c r="H52" i="6"/>
  <c r="J51" i="6"/>
  <c r="I51" i="6"/>
  <c r="H51" i="6"/>
  <c r="J50" i="6"/>
  <c r="I50" i="6"/>
  <c r="H50" i="6"/>
  <c r="J49" i="6"/>
  <c r="I49" i="6"/>
  <c r="H49" i="6"/>
  <c r="J48" i="6"/>
  <c r="J145" i="6" s="1"/>
  <c r="I48" i="6"/>
  <c r="I145" i="6" s="1"/>
  <c r="H48" i="6"/>
  <c r="H145" i="6" s="1"/>
  <c r="J47" i="6"/>
  <c r="I47" i="6"/>
  <c r="H47" i="6"/>
  <c r="J46" i="6"/>
  <c r="I46" i="6"/>
  <c r="H46" i="6"/>
  <c r="J45" i="6"/>
  <c r="I45" i="6"/>
  <c r="H45" i="6"/>
  <c r="J42" i="6"/>
  <c r="J43" i="6" s="1"/>
  <c r="K43" i="6" s="1"/>
  <c r="L43" i="6" s="1"/>
  <c r="M43" i="6" s="1"/>
  <c r="N43" i="6" s="1"/>
  <c r="O43" i="6" s="1"/>
  <c r="I42" i="6"/>
  <c r="I43" i="6" s="1"/>
  <c r="H42" i="6"/>
  <c r="H43" i="6" s="1"/>
  <c r="J41" i="6"/>
  <c r="J126" i="6" s="1"/>
  <c r="K119" i="6" s="1"/>
  <c r="I41" i="6"/>
  <c r="H41" i="6"/>
  <c r="J40" i="6"/>
  <c r="I40" i="6"/>
  <c r="H40" i="6"/>
  <c r="J39" i="6"/>
  <c r="I39" i="6"/>
  <c r="H39" i="6"/>
  <c r="J38" i="6"/>
  <c r="I38" i="6"/>
  <c r="H38" i="6"/>
  <c r="J37" i="6"/>
  <c r="J99" i="6" s="1"/>
  <c r="I37" i="6"/>
  <c r="H37" i="6"/>
  <c r="J36" i="6"/>
  <c r="I36" i="6"/>
  <c r="H36" i="6"/>
  <c r="J35" i="6"/>
  <c r="I35" i="6"/>
  <c r="H35" i="6"/>
  <c r="J34" i="6"/>
  <c r="I34" i="6"/>
  <c r="H34" i="6"/>
  <c r="J29" i="6"/>
  <c r="I29" i="6"/>
  <c r="H29" i="6"/>
  <c r="J27" i="6"/>
  <c r="J18" i="10" s="1"/>
  <c r="I27" i="6"/>
  <c r="I18" i="10" s="1"/>
  <c r="H27" i="6"/>
  <c r="H18" i="10" s="1"/>
  <c r="J26" i="6"/>
  <c r="I26" i="6"/>
  <c r="H26" i="6"/>
  <c r="K25" i="6"/>
  <c r="H24" i="6"/>
  <c r="H156" i="6" s="1"/>
  <c r="H162" i="6" s="1"/>
  <c r="J21" i="6"/>
  <c r="J16" i="10" s="1"/>
  <c r="E211" i="2" s="1"/>
  <c r="I21" i="6"/>
  <c r="I16" i="10" s="1"/>
  <c r="D211" i="2" s="1"/>
  <c r="H21" i="6"/>
  <c r="H16" i="10" s="1"/>
  <c r="C211" i="2" s="1"/>
  <c r="J20" i="6"/>
  <c r="I20" i="6"/>
  <c r="H20" i="6"/>
  <c r="J18" i="6"/>
  <c r="I18" i="6"/>
  <c r="H18" i="6"/>
  <c r="J17" i="6"/>
  <c r="J55" i="9" s="1"/>
  <c r="I17" i="6"/>
  <c r="I55" i="9" s="1"/>
  <c r="H17" i="6"/>
  <c r="H55" i="9" s="1"/>
  <c r="J15" i="6"/>
  <c r="J14" i="10" s="1"/>
  <c r="I15" i="6"/>
  <c r="I14" i="10" s="1"/>
  <c r="D210" i="2" s="1"/>
  <c r="H15" i="6"/>
  <c r="H14" i="10" s="1"/>
  <c r="C210" i="2" s="1"/>
  <c r="K10" i="10"/>
  <c r="L11" i="10"/>
  <c r="M11" i="10" s="1"/>
  <c r="N11" i="10" s="1"/>
  <c r="O11" i="10" s="1"/>
  <c r="O10" i="10" s="1"/>
  <c r="I13" i="10"/>
  <c r="J13" i="10" s="1"/>
  <c r="K13" i="10" s="1"/>
  <c r="L13" i="10" s="1"/>
  <c r="M13" i="10" s="1"/>
  <c r="N13" i="10" s="1"/>
  <c r="O13" i="10" s="1"/>
  <c r="P13" i="10" s="1"/>
  <c r="Q13" i="10" s="1"/>
  <c r="R13" i="10" s="1"/>
  <c r="S13" i="10" s="1"/>
  <c r="T13" i="10" s="1"/>
  <c r="K80" i="6"/>
  <c r="E192" i="6"/>
  <c r="K59" i="6" s="1"/>
  <c r="L59" i="6" s="1"/>
  <c r="M59" i="6" s="1"/>
  <c r="N59" i="6" s="1"/>
  <c r="O59" i="6" s="1"/>
  <c r="K58" i="6"/>
  <c r="I175" i="6"/>
  <c r="I174" i="6"/>
  <c r="I173" i="6"/>
  <c r="E64" i="7"/>
  <c r="J24" i="6" s="1"/>
  <c r="D64" i="7"/>
  <c r="I24" i="6" s="1"/>
  <c r="E61" i="7"/>
  <c r="E62" i="7" s="1"/>
  <c r="D61" i="7"/>
  <c r="D62" i="7" s="1"/>
  <c r="C61" i="7"/>
  <c r="H23" i="6" s="1"/>
  <c r="F64" i="7"/>
  <c r="F65" i="7" s="1"/>
  <c r="C65" i="7"/>
  <c r="L83" i="6"/>
  <c r="M83" i="6"/>
  <c r="N83" i="6"/>
  <c r="O83" i="6"/>
  <c r="K83" i="6"/>
  <c r="L81" i="6"/>
  <c r="M81" i="6"/>
  <c r="N81" i="6"/>
  <c r="O81" i="6"/>
  <c r="K81" i="6"/>
  <c r="O82" i="6"/>
  <c r="N82" i="6"/>
  <c r="M82" i="6"/>
  <c r="L138" i="6"/>
  <c r="M138" i="6"/>
  <c r="N138" i="6"/>
  <c r="O138" i="6"/>
  <c r="K138" i="6"/>
  <c r="Q196" i="4"/>
  <c r="Q197" i="4"/>
  <c r="Q198" i="4"/>
  <c r="Q199" i="4"/>
  <c r="Q200" i="4"/>
  <c r="Q195" i="4"/>
  <c r="Q190" i="4"/>
  <c r="K144" i="6" s="1"/>
  <c r="D9" i="7"/>
  <c r="E9" i="7"/>
  <c r="C9" i="7"/>
  <c r="K116" i="9" l="1"/>
  <c r="J19" i="10"/>
  <c r="K82" i="6"/>
  <c r="K79" i="6" s="1"/>
  <c r="K139" i="6"/>
  <c r="I117" i="9"/>
  <c r="L58" i="6"/>
  <c r="M58" i="6" s="1"/>
  <c r="N58" i="6" s="1"/>
  <c r="O58" i="6" s="1"/>
  <c r="I23" i="6"/>
  <c r="H19" i="10"/>
  <c r="I19" i="10"/>
  <c r="K92" i="9"/>
  <c r="K76" i="9"/>
  <c r="K75" i="9"/>
  <c r="L115" i="9"/>
  <c r="J15" i="10"/>
  <c r="E210" i="2"/>
  <c r="E212" i="2" s="1"/>
  <c r="C212" i="2"/>
  <c r="D212" i="2"/>
  <c r="P11" i="10"/>
  <c r="I15" i="10"/>
  <c r="N10" i="10"/>
  <c r="M10" i="10"/>
  <c r="H133" i="6"/>
  <c r="I128" i="6" s="1"/>
  <c r="L10" i="10"/>
  <c r="J23" i="6"/>
  <c r="H17" i="10"/>
  <c r="H20" i="10"/>
  <c r="I17" i="10"/>
  <c r="I20" i="10"/>
  <c r="J17" i="10"/>
  <c r="J20" i="10"/>
  <c r="K49" i="6"/>
  <c r="K160" i="6"/>
  <c r="L158" i="6" s="1"/>
  <c r="M79" i="6"/>
  <c r="L79" i="6"/>
  <c r="M139" i="6"/>
  <c r="C62" i="7"/>
  <c r="H25" i="6" s="1"/>
  <c r="E65" i="7"/>
  <c r="J25" i="6" s="1"/>
  <c r="D65" i="7"/>
  <c r="I25" i="6" s="1"/>
  <c r="H146" i="6"/>
  <c r="L139" i="6"/>
  <c r="I142" i="6"/>
  <c r="J142" i="6"/>
  <c r="K142" i="6"/>
  <c r="K145" i="6" s="1"/>
  <c r="K48" i="6" s="1"/>
  <c r="J133" i="6"/>
  <c r="K128" i="6" s="1"/>
  <c r="K131" i="6" s="1"/>
  <c r="I133" i="6"/>
  <c r="J128" i="6" s="1"/>
  <c r="M115" i="9" l="1"/>
  <c r="M116" i="9" s="1"/>
  <c r="M76" i="9" s="1"/>
  <c r="L116" i="9"/>
  <c r="L76" i="9" s="1"/>
  <c r="L92" i="9"/>
  <c r="L75" i="9"/>
  <c r="K128" i="9"/>
  <c r="K70" i="6" s="1"/>
  <c r="K22" i="10" s="1"/>
  <c r="P10" i="10"/>
  <c r="Q11" i="10"/>
  <c r="L160" i="6"/>
  <c r="L72" i="6" s="1"/>
  <c r="L49" i="6"/>
  <c r="L142" i="6"/>
  <c r="L145" i="6" s="1"/>
  <c r="L48" i="6" s="1"/>
  <c r="M92" i="9" l="1"/>
  <c r="N110" i="9"/>
  <c r="M158" i="6"/>
  <c r="M75" i="9"/>
  <c r="N115" i="9"/>
  <c r="N116" i="9" s="1"/>
  <c r="N76" i="9" s="1"/>
  <c r="R11" i="10"/>
  <c r="Q10" i="10"/>
  <c r="M142" i="6"/>
  <c r="M145" i="6" s="1"/>
  <c r="M48" i="6" s="1"/>
  <c r="M160" i="6" l="1"/>
  <c r="M72" i="6" s="1"/>
  <c r="M49" i="6"/>
  <c r="N92" i="9"/>
  <c r="O110" i="9"/>
  <c r="O92" i="9" s="1"/>
  <c r="N75" i="9"/>
  <c r="O115" i="9"/>
  <c r="S11" i="10"/>
  <c r="R10" i="10"/>
  <c r="N158" i="6"/>
  <c r="N142" i="6"/>
  <c r="N145" i="6" s="1"/>
  <c r="N48" i="6" s="1"/>
  <c r="N49" i="6" l="1"/>
  <c r="N160" i="6"/>
  <c r="N72" i="6" s="1"/>
  <c r="O75" i="9"/>
  <c r="O116" i="9"/>
  <c r="O76" i="9" s="1"/>
  <c r="T11" i="10"/>
  <c r="T10" i="10" s="1"/>
  <c r="S10" i="10"/>
  <c r="O158" i="6"/>
  <c r="O160" i="6" s="1"/>
  <c r="O72" i="6" s="1"/>
  <c r="O142" i="6"/>
  <c r="O145" i="6" s="1"/>
  <c r="O48" i="6" s="1"/>
  <c r="O49" i="6" l="1"/>
  <c r="I74" i="9" l="1"/>
  <c r="U143" i="4"/>
  <c r="U142" i="4"/>
  <c r="E136" i="4"/>
  <c r="J91" i="9" s="1"/>
  <c r="D136" i="4"/>
  <c r="I91" i="9" s="1"/>
  <c r="B124" i="4"/>
  <c r="C136" i="4"/>
  <c r="H91" i="9" s="1"/>
  <c r="J74" i="9" l="1"/>
  <c r="J62" i="9"/>
  <c r="I62" i="9"/>
  <c r="J13" i="4"/>
  <c r="J21" i="9"/>
  <c r="I21" i="9"/>
  <c r="L41" i="9"/>
  <c r="L19" i="9" s="1"/>
  <c r="K41" i="9"/>
  <c r="K19" i="9" s="1"/>
  <c r="K42" i="9"/>
  <c r="K47" i="9" s="1"/>
  <c r="M26" i="9"/>
  <c r="N26" i="9" s="1"/>
  <c r="O26" i="9" s="1"/>
  <c r="O42" i="9" s="1"/>
  <c r="O41" i="9" s="1"/>
  <c r="O19" i="9" s="1"/>
  <c r="G6" i="2"/>
  <c r="J6" i="2"/>
  <c r="G7" i="2"/>
  <c r="J7" i="2"/>
  <c r="M7" i="2"/>
  <c r="P7" i="2"/>
  <c r="G8" i="2"/>
  <c r="J8" i="2"/>
  <c r="M8" i="2"/>
  <c r="P8" i="2"/>
  <c r="G9" i="2"/>
  <c r="J9" i="2"/>
  <c r="M9" i="2"/>
  <c r="P9" i="2"/>
  <c r="G10" i="2"/>
  <c r="J10" i="2"/>
  <c r="M10" i="2"/>
  <c r="P10" i="2"/>
  <c r="G11" i="2"/>
  <c r="J11" i="2"/>
  <c r="M11" i="2"/>
  <c r="P11" i="2"/>
  <c r="J29" i="9"/>
  <c r="J33" i="9"/>
  <c r="L42" i="9" l="1"/>
  <c r="L47" i="9" s="1"/>
  <c r="N42" i="9"/>
  <c r="N41" i="9" s="1"/>
  <c r="N19" i="9" s="1"/>
  <c r="M42" i="9"/>
  <c r="M41" i="9" s="1"/>
  <c r="M19" i="9" s="1"/>
  <c r="H38" i="9"/>
  <c r="I38" i="9"/>
  <c r="H39" i="9"/>
  <c r="I39" i="9"/>
  <c r="J37" i="9"/>
  <c r="M33" i="9"/>
  <c r="N33" i="9"/>
  <c r="L33" i="9"/>
  <c r="J11" i="4"/>
  <c r="J20" i="4" s="1"/>
  <c r="F11" i="4"/>
  <c r="F20" i="4" s="1"/>
  <c r="D11" i="4"/>
  <c r="D20" i="4" s="1"/>
  <c r="B11" i="4"/>
  <c r="B20" i="4" s="1"/>
  <c r="J81" i="9"/>
  <c r="H101" i="9"/>
  <c r="I11" i="9"/>
  <c r="J11" i="9" s="1"/>
  <c r="K11" i="9" s="1"/>
  <c r="L11" i="9" s="1"/>
  <c r="M11" i="9" s="1"/>
  <c r="N11" i="9" s="1"/>
  <c r="O11" i="9" s="1"/>
  <c r="C127" i="7"/>
  <c r="C125" i="7"/>
  <c r="C124" i="7"/>
  <c r="H85" i="6" s="1"/>
  <c r="I150" i="6"/>
  <c r="J150" i="6"/>
  <c r="I149" i="6"/>
  <c r="J149" i="6"/>
  <c r="C126" i="7"/>
  <c r="J129" i="6"/>
  <c r="I129" i="6"/>
  <c r="J120" i="6"/>
  <c r="J121" i="6" s="1"/>
  <c r="I120" i="6"/>
  <c r="I121" i="6" s="1"/>
  <c r="E91" i="7"/>
  <c r="E90" i="7"/>
  <c r="D91" i="7"/>
  <c r="D90" i="7"/>
  <c r="H131" i="6"/>
  <c r="H128" i="9" s="1"/>
  <c r="H124" i="6"/>
  <c r="H123" i="9" s="1"/>
  <c r="C131" i="7"/>
  <c r="H87" i="6" s="1"/>
  <c r="C133" i="7"/>
  <c r="C123" i="7"/>
  <c r="C122" i="7"/>
  <c r="H81" i="6" s="1"/>
  <c r="C121" i="7"/>
  <c r="H80" i="6" s="1"/>
  <c r="C120" i="7"/>
  <c r="H79" i="6" s="1"/>
  <c r="C219" i="2" s="1"/>
  <c r="C114" i="7"/>
  <c r="C107" i="7"/>
  <c r="C96" i="7"/>
  <c r="H74" i="6" s="1"/>
  <c r="C218" i="2" s="1"/>
  <c r="K29" i="9" l="1"/>
  <c r="K17" i="9" s="1"/>
  <c r="H76" i="6"/>
  <c r="H24" i="10" s="1"/>
  <c r="J70" i="6"/>
  <c r="J22" i="10" s="1"/>
  <c r="H75" i="6"/>
  <c r="H23" i="10" s="1"/>
  <c r="H82" i="6"/>
  <c r="H144" i="6" s="1"/>
  <c r="H84" i="6"/>
  <c r="H150" i="6" s="1"/>
  <c r="I69" i="6"/>
  <c r="I21" i="10" s="1"/>
  <c r="I70" i="6"/>
  <c r="I22" i="10" s="1"/>
  <c r="H83" i="6"/>
  <c r="H149" i="6" s="1"/>
  <c r="J69" i="6"/>
  <c r="J21" i="10" s="1"/>
  <c r="J144" i="6"/>
  <c r="J139" i="6"/>
  <c r="I144" i="6"/>
  <c r="I139" i="6"/>
  <c r="I143" i="6"/>
  <c r="I138" i="6"/>
  <c r="H143" i="6"/>
  <c r="J143" i="6"/>
  <c r="J138" i="6"/>
  <c r="J88" i="6"/>
  <c r="I103" i="9"/>
  <c r="I101" i="9"/>
  <c r="I102" i="9"/>
  <c r="I105" i="9"/>
  <c r="I104" i="9"/>
  <c r="I88" i="6"/>
  <c r="J105" i="9"/>
  <c r="J103" i="9"/>
  <c r="J101" i="9"/>
  <c r="J102" i="9"/>
  <c r="J104" i="9"/>
  <c r="K104" i="9" s="1"/>
  <c r="H105" i="9"/>
  <c r="H103" i="9"/>
  <c r="H102" i="9"/>
  <c r="H104" i="9"/>
  <c r="H100" i="9"/>
  <c r="I100" i="9"/>
  <c r="J16" i="9"/>
  <c r="J100" i="9"/>
  <c r="I16" i="9"/>
  <c r="H79" i="9"/>
  <c r="H87" i="9"/>
  <c r="H85" i="9"/>
  <c r="H73" i="9"/>
  <c r="H83" i="9"/>
  <c r="H71" i="9"/>
  <c r="H81" i="9"/>
  <c r="H69" i="9"/>
  <c r="H64" i="9"/>
  <c r="H67" i="9"/>
  <c r="I73" i="9"/>
  <c r="I71" i="9"/>
  <c r="I69" i="9"/>
  <c r="I79" i="9"/>
  <c r="I83" i="9"/>
  <c r="I81" i="9"/>
  <c r="I85" i="9"/>
  <c r="I87" i="9"/>
  <c r="I67" i="9"/>
  <c r="I64" i="9"/>
  <c r="J67" i="9"/>
  <c r="K67" i="9" s="1"/>
  <c r="L67" i="9" s="1"/>
  <c r="M67" i="9" s="1"/>
  <c r="N67" i="9" s="1"/>
  <c r="O67" i="9" s="1"/>
  <c r="J73" i="9"/>
  <c r="K73" i="9" s="1"/>
  <c r="L73" i="9" s="1"/>
  <c r="M73" i="9" s="1"/>
  <c r="N73" i="9" s="1"/>
  <c r="O73" i="9" s="1"/>
  <c r="J71" i="9"/>
  <c r="K71" i="9" s="1"/>
  <c r="L71" i="9" s="1"/>
  <c r="M71" i="9" s="1"/>
  <c r="N71" i="9" s="1"/>
  <c r="O71" i="9" s="1"/>
  <c r="J69" i="9"/>
  <c r="K69" i="9" s="1"/>
  <c r="L69" i="9" s="1"/>
  <c r="M69" i="9" s="1"/>
  <c r="N69" i="9" s="1"/>
  <c r="O69" i="9" s="1"/>
  <c r="J79" i="9"/>
  <c r="K79" i="9" s="1"/>
  <c r="L79" i="9" s="1"/>
  <c r="M79" i="9" s="1"/>
  <c r="N79" i="9" s="1"/>
  <c r="O79" i="9" s="1"/>
  <c r="J83" i="9"/>
  <c r="K83" i="9" s="1"/>
  <c r="L83" i="9" s="1"/>
  <c r="M83" i="9" s="1"/>
  <c r="N83" i="9" s="1"/>
  <c r="O83" i="9" s="1"/>
  <c r="J87" i="9"/>
  <c r="J64" i="9"/>
  <c r="K64" i="9" s="1"/>
  <c r="L64" i="9" s="1"/>
  <c r="M64" i="9" s="1"/>
  <c r="N64" i="9" s="1"/>
  <c r="O64" i="9" s="1"/>
  <c r="J85" i="9"/>
  <c r="K85" i="9" s="1"/>
  <c r="L85" i="9" s="1"/>
  <c r="M85" i="9" s="1"/>
  <c r="N85" i="9" s="1"/>
  <c r="O85" i="9" s="1"/>
  <c r="I22" i="9"/>
  <c r="J22" i="9"/>
  <c r="I20" i="9"/>
  <c r="J20" i="9"/>
  <c r="J18" i="9"/>
  <c r="I29" i="9"/>
  <c r="I18" i="9"/>
  <c r="K103" i="9" l="1"/>
  <c r="K30" i="9"/>
  <c r="J124" i="6"/>
  <c r="J123" i="9" s="1"/>
  <c r="J126" i="9" s="1"/>
  <c r="I124" i="6"/>
  <c r="I123" i="9" s="1"/>
  <c r="I126" i="9" s="1"/>
  <c r="H120" i="6"/>
  <c r="H121" i="6" s="1"/>
  <c r="I131" i="6"/>
  <c r="H139" i="6"/>
  <c r="H138" i="6"/>
  <c r="I124" i="9"/>
  <c r="J131" i="6"/>
  <c r="H129" i="6"/>
  <c r="K105" i="9"/>
  <c r="L104" i="9"/>
  <c r="C92" i="7"/>
  <c r="H71" i="6" s="1"/>
  <c r="H25" i="10" s="1"/>
  <c r="H26" i="10" s="1"/>
  <c r="C89" i="7"/>
  <c r="C88" i="7"/>
  <c r="H68" i="6" s="1"/>
  <c r="C87" i="7"/>
  <c r="K61" i="6"/>
  <c r="K55" i="6"/>
  <c r="L55" i="6" s="1"/>
  <c r="M55" i="6" s="1"/>
  <c r="N55" i="6" s="1"/>
  <c r="O55" i="6" s="1"/>
  <c r="I105" i="6"/>
  <c r="H105" i="6"/>
  <c r="I158" i="6"/>
  <c r="I159" i="6" s="1"/>
  <c r="J158" i="6"/>
  <c r="J159" i="6" s="1"/>
  <c r="H158" i="6"/>
  <c r="I104" i="6"/>
  <c r="J104" i="6"/>
  <c r="H104" i="6"/>
  <c r="I146" i="6"/>
  <c r="J146" i="6"/>
  <c r="I126" i="6"/>
  <c r="J119" i="6" s="1"/>
  <c r="H126" i="6"/>
  <c r="I119" i="6" s="1"/>
  <c r="I101" i="6"/>
  <c r="J101" i="6"/>
  <c r="H101" i="6"/>
  <c r="I100" i="6"/>
  <c r="J100" i="6"/>
  <c r="H100" i="6"/>
  <c r="I99" i="6"/>
  <c r="H99" i="6"/>
  <c r="K23" i="6"/>
  <c r="L23" i="6" s="1"/>
  <c r="M23" i="6" s="1"/>
  <c r="N23" i="6" s="1"/>
  <c r="O23" i="6" s="1"/>
  <c r="I11" i="6"/>
  <c r="J11" i="6" s="1"/>
  <c r="K11" i="6" s="1"/>
  <c r="L11" i="6" s="1"/>
  <c r="M11" i="6" s="1"/>
  <c r="N11" i="6" s="1"/>
  <c r="O11" i="6" s="1"/>
  <c r="K50" i="9" l="1"/>
  <c r="K49" i="9" s="1"/>
  <c r="K21" i="9" s="1"/>
  <c r="L30" i="9"/>
  <c r="M30" i="9" s="1"/>
  <c r="N30" i="9" s="1"/>
  <c r="N50" i="9" s="1"/>
  <c r="N49" i="9" s="1"/>
  <c r="N21" i="9" s="1"/>
  <c r="J124" i="9"/>
  <c r="K126" i="9"/>
  <c r="L126" i="9" s="1"/>
  <c r="M126" i="9" s="1"/>
  <c r="N126" i="9" s="1"/>
  <c r="O126" i="9" s="1"/>
  <c r="H67" i="6"/>
  <c r="J128" i="9"/>
  <c r="J132" i="6"/>
  <c r="I128" i="9"/>
  <c r="I132" i="6"/>
  <c r="K95" i="9"/>
  <c r="K15" i="6"/>
  <c r="K16" i="6" s="1"/>
  <c r="K96" i="9"/>
  <c r="L105" i="9"/>
  <c r="M105" i="9" s="1"/>
  <c r="L61" i="6"/>
  <c r="L103" i="9"/>
  <c r="K94" i="9"/>
  <c r="M104" i="9"/>
  <c r="J151" i="6"/>
  <c r="K148" i="6" s="1"/>
  <c r="K151" i="6" s="1"/>
  <c r="K54" i="6" s="1"/>
  <c r="F42" i="10" s="1"/>
  <c r="J140" i="6"/>
  <c r="I151" i="6"/>
  <c r="J148" i="6" s="1"/>
  <c r="I140" i="6"/>
  <c r="H151" i="6"/>
  <c r="I148" i="6" s="1"/>
  <c r="H140" i="6"/>
  <c r="H153" i="6" s="1"/>
  <c r="J98" i="6"/>
  <c r="I125" i="6"/>
  <c r="I122" i="6"/>
  <c r="J125" i="6"/>
  <c r="J122" i="6"/>
  <c r="H92" i="6"/>
  <c r="H113" i="6" s="1"/>
  <c r="H117" i="6"/>
  <c r="H130" i="6" s="1"/>
  <c r="J92" i="6"/>
  <c r="J111" i="6" s="1"/>
  <c r="K111" i="6" s="1"/>
  <c r="J117" i="6"/>
  <c r="J130" i="6" s="1"/>
  <c r="I92" i="6"/>
  <c r="I113" i="6" s="1"/>
  <c r="I117" i="6"/>
  <c r="I130" i="6" s="1"/>
  <c r="H63" i="6"/>
  <c r="H103" i="6"/>
  <c r="J103" i="6"/>
  <c r="I103" i="6"/>
  <c r="H98" i="6"/>
  <c r="J93" i="6"/>
  <c r="J110" i="6" s="1"/>
  <c r="J65" i="9"/>
  <c r="I65" i="9"/>
  <c r="I93" i="6"/>
  <c r="I110" i="6" s="1"/>
  <c r="I98" i="6"/>
  <c r="H57" i="9"/>
  <c r="H58" i="9" s="1"/>
  <c r="H93" i="6"/>
  <c r="H110" i="6" s="1"/>
  <c r="K16" i="9"/>
  <c r="K84" i="9"/>
  <c r="K68" i="9"/>
  <c r="K66" i="9"/>
  <c r="I19" i="6"/>
  <c r="H22" i="6"/>
  <c r="I63" i="6"/>
  <c r="J63" i="6"/>
  <c r="H19" i="6"/>
  <c r="J28" i="6"/>
  <c r="I28" i="6"/>
  <c r="J30" i="6"/>
  <c r="J22" i="6"/>
  <c r="H28" i="6"/>
  <c r="I30" i="6"/>
  <c r="H30" i="6"/>
  <c r="J16" i="6"/>
  <c r="I22" i="6"/>
  <c r="J19" i="6"/>
  <c r="I16" i="6"/>
  <c r="K122" i="6" l="1"/>
  <c r="K15" i="9"/>
  <c r="K22" i="9"/>
  <c r="L29" i="9"/>
  <c r="L17" i="9" s="1"/>
  <c r="L50" i="9"/>
  <c r="L49" i="9" s="1"/>
  <c r="L21" i="9" s="1"/>
  <c r="H88" i="6"/>
  <c r="C217" i="2"/>
  <c r="I129" i="9"/>
  <c r="I131" i="9"/>
  <c r="J129" i="9"/>
  <c r="J131" i="9"/>
  <c r="K53" i="6"/>
  <c r="K14" i="10"/>
  <c r="K15" i="10" s="1"/>
  <c r="K92" i="6"/>
  <c r="K101" i="6" s="1"/>
  <c r="K39" i="6" s="1"/>
  <c r="K117" i="6"/>
  <c r="N105" i="9"/>
  <c r="N104" i="9"/>
  <c r="I109" i="6"/>
  <c r="M103" i="9"/>
  <c r="I137" i="6"/>
  <c r="J137" i="6"/>
  <c r="I153" i="6"/>
  <c r="I155" i="6" s="1"/>
  <c r="M61" i="6"/>
  <c r="K137" i="6"/>
  <c r="K140" i="6" s="1"/>
  <c r="L137" i="6" s="1"/>
  <c r="L140" i="6" s="1"/>
  <c r="J153" i="6"/>
  <c r="J155" i="6" s="1"/>
  <c r="K155" i="6" s="1"/>
  <c r="L148" i="6"/>
  <c r="L151" i="6" s="1"/>
  <c r="L54" i="6" s="1"/>
  <c r="K130" i="6"/>
  <c r="L130" i="6" s="1"/>
  <c r="J95" i="6"/>
  <c r="I111" i="6"/>
  <c r="H112" i="6"/>
  <c r="I112" i="6"/>
  <c r="J109" i="6"/>
  <c r="K125" i="6"/>
  <c r="K124" i="6" s="1"/>
  <c r="K123" i="9" s="1"/>
  <c r="J113" i="6"/>
  <c r="K113" i="6" s="1"/>
  <c r="H109" i="6"/>
  <c r="L111" i="6"/>
  <c r="J112" i="6"/>
  <c r="H65" i="9"/>
  <c r="H111" i="6"/>
  <c r="H95" i="6"/>
  <c r="K110" i="6"/>
  <c r="L110" i="6" s="1"/>
  <c r="I57" i="9"/>
  <c r="I58" i="9" s="1"/>
  <c r="J57" i="9"/>
  <c r="J58" i="9" s="1"/>
  <c r="I95" i="6"/>
  <c r="L15" i="9"/>
  <c r="O6" i="2" s="1"/>
  <c r="M29" i="9"/>
  <c r="M17" i="9" s="1"/>
  <c r="M50" i="9"/>
  <c r="M49" i="9" s="1"/>
  <c r="M21" i="9" s="1"/>
  <c r="N29" i="9"/>
  <c r="N17" i="9" s="1"/>
  <c r="O30" i="9"/>
  <c r="L6" i="2" l="1"/>
  <c r="K18" i="9"/>
  <c r="K20" i="9"/>
  <c r="K70" i="9"/>
  <c r="K82" i="9"/>
  <c r="K63" i="9"/>
  <c r="K62" i="9" s="1"/>
  <c r="K78" i="9"/>
  <c r="K74" i="9" s="1"/>
  <c r="K101" i="9"/>
  <c r="K121" i="6"/>
  <c r="L122" i="6"/>
  <c r="M122" i="6" s="1"/>
  <c r="N122" i="6" s="1"/>
  <c r="O122" i="6" s="1"/>
  <c r="K109" i="6"/>
  <c r="K131" i="9"/>
  <c r="L94" i="9"/>
  <c r="L15" i="6"/>
  <c r="L95" i="9"/>
  <c r="L96" i="9"/>
  <c r="I154" i="6"/>
  <c r="J154" i="6"/>
  <c r="N103" i="9"/>
  <c r="N61" i="6"/>
  <c r="O104" i="9"/>
  <c r="O105" i="9"/>
  <c r="K153" i="6"/>
  <c r="K154" i="6" s="1"/>
  <c r="M148" i="6"/>
  <c r="M151" i="6" s="1"/>
  <c r="L53" i="6"/>
  <c r="K129" i="6"/>
  <c r="K76" i="6" s="1"/>
  <c r="K24" i="10" s="1"/>
  <c r="K112" i="6"/>
  <c r="L112" i="6" s="1"/>
  <c r="I96" i="6"/>
  <c r="I71" i="6" s="1"/>
  <c r="M130" i="6"/>
  <c r="L125" i="6"/>
  <c r="M125" i="6" s="1"/>
  <c r="N125" i="6" s="1"/>
  <c r="O125" i="6" s="1"/>
  <c r="K120" i="6"/>
  <c r="K75" i="6" s="1"/>
  <c r="L113" i="6"/>
  <c r="K105" i="6"/>
  <c r="K52" i="6" s="1"/>
  <c r="M111" i="6"/>
  <c r="K99" i="6"/>
  <c r="K37" i="6" s="1"/>
  <c r="L109" i="6"/>
  <c r="M110" i="6"/>
  <c r="J96" i="6"/>
  <c r="J71" i="6" s="1"/>
  <c r="L16" i="9"/>
  <c r="L18" i="9"/>
  <c r="L84" i="9"/>
  <c r="L82" i="9"/>
  <c r="L68" i="9"/>
  <c r="L66" i="9"/>
  <c r="L78" i="9"/>
  <c r="L63" i="9"/>
  <c r="L70" i="9"/>
  <c r="L22" i="9"/>
  <c r="L20" i="9"/>
  <c r="O29" i="9"/>
  <c r="O17" i="9" s="1"/>
  <c r="O50" i="9"/>
  <c r="O49" i="9" s="1"/>
  <c r="O21" i="9" s="1"/>
  <c r="M15" i="9"/>
  <c r="M15" i="6" s="1"/>
  <c r="N15" i="9"/>
  <c r="N15" i="6" s="1"/>
  <c r="P6" i="2" l="1"/>
  <c r="M6" i="2"/>
  <c r="K104" i="6"/>
  <c r="K103" i="6" s="1"/>
  <c r="M94" i="9"/>
  <c r="N95" i="9"/>
  <c r="N96" i="9"/>
  <c r="K130" i="9"/>
  <c r="K129" i="9" s="1"/>
  <c r="L131" i="9"/>
  <c r="M131" i="9" s="1"/>
  <c r="N131" i="9" s="1"/>
  <c r="O131" i="9" s="1"/>
  <c r="J72" i="6"/>
  <c r="J25" i="10"/>
  <c r="J26" i="10" s="1"/>
  <c r="I72" i="6"/>
  <c r="I25" i="10"/>
  <c r="I26" i="10" s="1"/>
  <c r="N92" i="6"/>
  <c r="N14" i="10"/>
  <c r="N117" i="6"/>
  <c r="N16" i="6"/>
  <c r="M96" i="9"/>
  <c r="M95" i="9"/>
  <c r="L92" i="6"/>
  <c r="L101" i="6" s="1"/>
  <c r="L39" i="6" s="1"/>
  <c r="L14" i="10"/>
  <c r="L15" i="10" s="1"/>
  <c r="L117" i="6"/>
  <c r="L129" i="6" s="1"/>
  <c r="L76" i="6" s="1"/>
  <c r="L24" i="10" s="1"/>
  <c r="L16" i="6"/>
  <c r="L155" i="6"/>
  <c r="M155" i="6" s="1"/>
  <c r="K156" i="6"/>
  <c r="K162" i="6" s="1"/>
  <c r="K24" i="6" s="1"/>
  <c r="M137" i="6"/>
  <c r="M140" i="6" s="1"/>
  <c r="L153" i="6"/>
  <c r="O61" i="6"/>
  <c r="N148" i="6"/>
  <c r="N150" i="6" s="1"/>
  <c r="M54" i="6"/>
  <c r="M53" i="6" s="1"/>
  <c r="O103" i="9"/>
  <c r="N94" i="9"/>
  <c r="N130" i="6"/>
  <c r="K126" i="6"/>
  <c r="K41" i="6" s="1"/>
  <c r="N111" i="6"/>
  <c r="M113" i="6"/>
  <c r="M112" i="6"/>
  <c r="K47" i="6"/>
  <c r="K46" i="6" s="1"/>
  <c r="K45" i="6" s="1"/>
  <c r="H13" i="11" s="1"/>
  <c r="N110" i="6"/>
  <c r="M109" i="6"/>
  <c r="L74" i="9"/>
  <c r="N16" i="9"/>
  <c r="M16" i="9"/>
  <c r="L62" i="9"/>
  <c r="M22" i="9"/>
  <c r="M84" i="9"/>
  <c r="M82" i="9"/>
  <c r="M68" i="9"/>
  <c r="M66" i="9"/>
  <c r="M78" i="9"/>
  <c r="M63" i="9"/>
  <c r="M70" i="9"/>
  <c r="N84" i="9"/>
  <c r="N82" i="9"/>
  <c r="N68" i="9"/>
  <c r="N66" i="9"/>
  <c r="N78" i="9"/>
  <c r="N70" i="9"/>
  <c r="N63" i="9"/>
  <c r="N22" i="9"/>
  <c r="N20" i="9"/>
  <c r="M18" i="9"/>
  <c r="M20" i="9"/>
  <c r="O15" i="9"/>
  <c r="O15" i="6" s="1"/>
  <c r="N18" i="9"/>
  <c r="N151" i="6" l="1"/>
  <c r="G13" i="11"/>
  <c r="E22" i="11" s="1"/>
  <c r="H21" i="11" s="1"/>
  <c r="K69" i="6"/>
  <c r="K21" i="10" s="1"/>
  <c r="K125" i="9"/>
  <c r="K74" i="6"/>
  <c r="K23" i="10"/>
  <c r="L99" i="6"/>
  <c r="L37" i="6" s="1"/>
  <c r="O95" i="9"/>
  <c r="O94" i="9"/>
  <c r="O96" i="9"/>
  <c r="M92" i="6"/>
  <c r="M101" i="6" s="1"/>
  <c r="M39" i="6" s="1"/>
  <c r="M14" i="10"/>
  <c r="M15" i="10" s="1"/>
  <c r="M117" i="6"/>
  <c r="M129" i="6" s="1"/>
  <c r="M76" i="6" s="1"/>
  <c r="M24" i="10" s="1"/>
  <c r="M16" i="6"/>
  <c r="O14" i="10"/>
  <c r="O117" i="6"/>
  <c r="O92" i="6"/>
  <c r="O16" i="6"/>
  <c r="L104" i="6"/>
  <c r="L105" i="6"/>
  <c r="L52" i="6" s="1"/>
  <c r="L154" i="6"/>
  <c r="L156" i="6" s="1"/>
  <c r="L162" i="6" s="1"/>
  <c r="N155" i="6"/>
  <c r="O148" i="6"/>
  <c r="O150" i="6" s="1"/>
  <c r="N54" i="6"/>
  <c r="N53" i="6" s="1"/>
  <c r="N139" i="6"/>
  <c r="N84" i="6"/>
  <c r="N79" i="6" s="1"/>
  <c r="N137" i="6"/>
  <c r="M153" i="6"/>
  <c r="L101" i="9"/>
  <c r="O130" i="6"/>
  <c r="N129" i="6"/>
  <c r="N76" i="6" s="1"/>
  <c r="N24" i="10" s="1"/>
  <c r="L119" i="6"/>
  <c r="N112" i="6"/>
  <c r="N113" i="6"/>
  <c r="O111" i="6"/>
  <c r="N101" i="6"/>
  <c r="N39" i="6" s="1"/>
  <c r="N109" i="6"/>
  <c r="O110" i="6"/>
  <c r="M74" i="9"/>
  <c r="N74" i="9"/>
  <c r="O16" i="9"/>
  <c r="N62" i="9"/>
  <c r="M62" i="9"/>
  <c r="O84" i="9"/>
  <c r="O82" i="9"/>
  <c r="O68" i="9"/>
  <c r="O66" i="9"/>
  <c r="O78" i="9"/>
  <c r="O70" i="9"/>
  <c r="O63" i="9"/>
  <c r="O20" i="9"/>
  <c r="O22" i="9"/>
  <c r="O18" i="9"/>
  <c r="K93" i="9" l="1"/>
  <c r="K102" i="9" s="1"/>
  <c r="K124" i="9"/>
  <c r="K80" i="9" s="1"/>
  <c r="K81" i="9" s="1"/>
  <c r="O129" i="6"/>
  <c r="O76" i="6" s="1"/>
  <c r="O24" i="10" s="1"/>
  <c r="M99" i="6"/>
  <c r="M37" i="6" s="1"/>
  <c r="M105" i="6"/>
  <c r="M52" i="6" s="1"/>
  <c r="N15" i="10"/>
  <c r="L103" i="6"/>
  <c r="M104" i="6"/>
  <c r="M47" i="6" s="1"/>
  <c r="M46" i="6" s="1"/>
  <c r="M45" i="6" s="1"/>
  <c r="L47" i="6"/>
  <c r="L46" i="6" s="1"/>
  <c r="L45" i="6" s="1"/>
  <c r="O101" i="6"/>
  <c r="O39" i="6" s="1"/>
  <c r="O15" i="10"/>
  <c r="L24" i="6"/>
  <c r="M154" i="6"/>
  <c r="O155" i="6"/>
  <c r="N140" i="6"/>
  <c r="O139" i="6"/>
  <c r="O84" i="6"/>
  <c r="O79" i="6" s="1"/>
  <c r="O151" i="6"/>
  <c r="O54" i="6" s="1"/>
  <c r="O53" i="6" s="1"/>
  <c r="M101" i="9"/>
  <c r="N101" i="9"/>
  <c r="L124" i="6"/>
  <c r="L123" i="9" s="1"/>
  <c r="L125" i="9" s="1"/>
  <c r="L124" i="9" s="1"/>
  <c r="L121" i="6"/>
  <c r="L120" i="6" s="1"/>
  <c r="O112" i="6"/>
  <c r="O104" i="6" s="1"/>
  <c r="N104" i="6"/>
  <c r="O113" i="6"/>
  <c r="O105" i="6" s="1"/>
  <c r="O52" i="6" s="1"/>
  <c r="N105" i="6"/>
  <c r="N52" i="6" s="1"/>
  <c r="O109" i="6"/>
  <c r="O99" i="6" s="1"/>
  <c r="N99" i="6"/>
  <c r="O74" i="9"/>
  <c r="O62" i="9"/>
  <c r="K91" i="9" l="1"/>
  <c r="K20" i="6" s="1"/>
  <c r="L69" i="6"/>
  <c r="L21" i="10" s="1"/>
  <c r="M103" i="6"/>
  <c r="P15" i="10"/>
  <c r="M156" i="6"/>
  <c r="M162" i="6" s="1"/>
  <c r="M24" i="6" s="1"/>
  <c r="O137" i="6"/>
  <c r="O140" i="6" s="1"/>
  <c r="O153" i="6" s="1"/>
  <c r="N153" i="6"/>
  <c r="O101" i="9"/>
  <c r="L75" i="6"/>
  <c r="L126" i="6"/>
  <c r="L41" i="6" s="1"/>
  <c r="N37" i="6"/>
  <c r="O37" i="6"/>
  <c r="N103" i="6"/>
  <c r="N47" i="6"/>
  <c r="N46" i="6" s="1"/>
  <c r="N45" i="6" s="1"/>
  <c r="O103" i="6"/>
  <c r="O47" i="6"/>
  <c r="O46" i="6" s="1"/>
  <c r="O45" i="6" s="1"/>
  <c r="K72" i="9"/>
  <c r="L72" i="9"/>
  <c r="M72" i="9"/>
  <c r="N72" i="9"/>
  <c r="O72" i="9"/>
  <c r="K100" i="9" l="1"/>
  <c r="L74" i="6"/>
  <c r="L23" i="10"/>
  <c r="Q15" i="10"/>
  <c r="R15" i="10" s="1"/>
  <c r="S15" i="10" s="1"/>
  <c r="T15" i="10" s="1"/>
  <c r="F30" i="10"/>
  <c r="P24" i="10"/>
  <c r="P14" i="10"/>
  <c r="O154" i="6"/>
  <c r="N154" i="6"/>
  <c r="M119" i="6"/>
  <c r="Q14" i="10" l="1"/>
  <c r="Q24" i="10"/>
  <c r="R24" i="10" s="1"/>
  <c r="S24" i="10" s="1"/>
  <c r="T24" i="10" s="1"/>
  <c r="N156" i="6"/>
  <c r="N162" i="6" s="1"/>
  <c r="N24" i="6" s="1"/>
  <c r="O156" i="6"/>
  <c r="O162" i="6" s="1"/>
  <c r="O24" i="6" s="1"/>
  <c r="M121" i="6"/>
  <c r="M120" i="6" s="1"/>
  <c r="M75" i="6" s="1"/>
  <c r="M124" i="6"/>
  <c r="K133" i="6"/>
  <c r="K42" i="6" s="1"/>
  <c r="M123" i="9" l="1"/>
  <c r="M74" i="6"/>
  <c r="M23" i="10"/>
  <c r="R14" i="10"/>
  <c r="L128" i="6"/>
  <c r="L131" i="6" s="1"/>
  <c r="L128" i="9" s="1"/>
  <c r="K40" i="6"/>
  <c r="M126" i="6"/>
  <c r="M41" i="6" s="1"/>
  <c r="M69" i="6" l="1"/>
  <c r="M21" i="10" s="1"/>
  <c r="M125" i="9"/>
  <c r="L130" i="9"/>
  <c r="S14" i="10"/>
  <c r="L133" i="6"/>
  <c r="L42" i="6" s="1"/>
  <c r="M124" i="9"/>
  <c r="N119" i="6"/>
  <c r="L70" i="6" l="1"/>
  <c r="L22" i="10" s="1"/>
  <c r="M128" i="6"/>
  <c r="M131" i="6" s="1"/>
  <c r="M128" i="9" s="1"/>
  <c r="T14" i="10"/>
  <c r="L40" i="6"/>
  <c r="L129" i="9"/>
  <c r="L80" i="9" s="1"/>
  <c r="L93" i="9"/>
  <c r="N121" i="6"/>
  <c r="N120" i="6" s="1"/>
  <c r="N75" i="6" s="1"/>
  <c r="N124" i="6"/>
  <c r="N123" i="9" l="1"/>
  <c r="N69" i="6" s="1"/>
  <c r="N21" i="10" s="1"/>
  <c r="M70" i="6"/>
  <c r="M22" i="10" s="1"/>
  <c r="N74" i="6"/>
  <c r="N23" i="10"/>
  <c r="M130" i="9"/>
  <c r="M129" i="9" s="1"/>
  <c r="M80" i="9" s="1"/>
  <c r="L81" i="9"/>
  <c r="M133" i="6"/>
  <c r="M42" i="6" s="1"/>
  <c r="L91" i="9"/>
  <c r="L20" i="6" s="1"/>
  <c r="L102" i="9"/>
  <c r="N126" i="6"/>
  <c r="N41" i="6" s="1"/>
  <c r="M93" i="9" l="1"/>
  <c r="N125" i="9"/>
  <c r="N124" i="9" s="1"/>
  <c r="M81" i="9"/>
  <c r="N128" i="6"/>
  <c r="M40" i="6"/>
  <c r="L100" i="9"/>
  <c r="M102" i="9"/>
  <c r="M91" i="9"/>
  <c r="M20" i="6" s="1"/>
  <c r="O119" i="6"/>
  <c r="N131" i="6" l="1"/>
  <c r="N128" i="9" s="1"/>
  <c r="M100" i="9"/>
  <c r="O124" i="6"/>
  <c r="O121" i="6"/>
  <c r="O120" i="6" s="1"/>
  <c r="O75" i="6" s="1"/>
  <c r="O123" i="9" l="1"/>
  <c r="O69" i="6" s="1"/>
  <c r="O21" i="10" s="1"/>
  <c r="P21" i="10" s="1"/>
  <c r="Q21" i="10" s="1"/>
  <c r="R21" i="10" s="1"/>
  <c r="S21" i="10" s="1"/>
  <c r="T21" i="10" s="1"/>
  <c r="N70" i="6"/>
  <c r="N22" i="10" s="1"/>
  <c r="O74" i="6"/>
  <c r="O23" i="10"/>
  <c r="P23" i="10" s="1"/>
  <c r="Q23" i="10" s="1"/>
  <c r="R23" i="10" s="1"/>
  <c r="S23" i="10" s="1"/>
  <c r="T23" i="10" s="1"/>
  <c r="N130" i="9"/>
  <c r="N133" i="6"/>
  <c r="N42" i="6" s="1"/>
  <c r="O126" i="6"/>
  <c r="O41" i="6" s="1"/>
  <c r="O125" i="9" l="1"/>
  <c r="O124" i="9" s="1"/>
  <c r="O128" i="6"/>
  <c r="N40" i="6"/>
  <c r="N129" i="9"/>
  <c r="N80" i="9" s="1"/>
  <c r="N93" i="9"/>
  <c r="N81" i="9" l="1"/>
  <c r="O131" i="6"/>
  <c r="O128" i="9" s="1"/>
  <c r="N91" i="9"/>
  <c r="N20" i="6" s="1"/>
  <c r="N102" i="9"/>
  <c r="O70" i="6" l="1"/>
  <c r="O22" i="10" s="1"/>
  <c r="P22" i="10" s="1"/>
  <c r="Q22" i="10" s="1"/>
  <c r="R22" i="10" s="1"/>
  <c r="S22" i="10" s="1"/>
  <c r="T22" i="10" s="1"/>
  <c r="O133" i="6"/>
  <c r="O42" i="6" s="1"/>
  <c r="O130" i="9"/>
  <c r="N100" i="9"/>
  <c r="O40" i="6" l="1"/>
  <c r="O129" i="9"/>
  <c r="O80" i="9" s="1"/>
  <c r="O93" i="9"/>
  <c r="O81" i="9" l="1"/>
  <c r="O91" i="9"/>
  <c r="O20" i="6" s="1"/>
  <c r="O102" i="9"/>
  <c r="O100" i="9" l="1"/>
  <c r="K86" i="9" l="1"/>
  <c r="K55" i="9" s="1"/>
  <c r="L86" i="9"/>
  <c r="L55" i="9" s="1"/>
  <c r="M86" i="9"/>
  <c r="M55" i="9" s="1"/>
  <c r="M17" i="6" s="1"/>
  <c r="N86" i="9"/>
  <c r="N55" i="9" s="1"/>
  <c r="O86" i="9"/>
  <c r="O55" i="9" s="1"/>
  <c r="M93" i="6" l="1"/>
  <c r="M100" i="6" s="1"/>
  <c r="M18" i="6"/>
  <c r="O17" i="6"/>
  <c r="O65" i="9"/>
  <c r="O57" i="9"/>
  <c r="O58" i="9" s="1"/>
  <c r="K65" i="9"/>
  <c r="K57" i="9"/>
  <c r="K58" i="9" s="1"/>
  <c r="N17" i="6"/>
  <c r="N65" i="9"/>
  <c r="N57" i="9"/>
  <c r="N58" i="9" s="1"/>
  <c r="M57" i="9"/>
  <c r="M58" i="9" s="1"/>
  <c r="M65" i="9"/>
  <c r="L65" i="9"/>
  <c r="L57" i="9"/>
  <c r="L58" i="9" s="1"/>
  <c r="L17" i="6"/>
  <c r="K17" i="6"/>
  <c r="M38" i="6" l="1"/>
  <c r="M98" i="6"/>
  <c r="M95" i="6" s="1"/>
  <c r="L18" i="6"/>
  <c r="L93" i="6"/>
  <c r="L100" i="6" s="1"/>
  <c r="N18" i="6"/>
  <c r="N93" i="6"/>
  <c r="N100" i="6" s="1"/>
  <c r="M19" i="6"/>
  <c r="M21" i="6"/>
  <c r="K93" i="6"/>
  <c r="K100" i="6" s="1"/>
  <c r="K18" i="6"/>
  <c r="O18" i="6"/>
  <c r="O93" i="6"/>
  <c r="O100" i="6" s="1"/>
  <c r="K19" i="6" l="1"/>
  <c r="K21" i="6"/>
  <c r="K98" i="6"/>
  <c r="K95" i="6" s="1"/>
  <c r="K96" i="6" s="1"/>
  <c r="K71" i="6" s="1"/>
  <c r="K25" i="10" s="1"/>
  <c r="K38" i="6"/>
  <c r="N38" i="6"/>
  <c r="N98" i="6"/>
  <c r="N95" i="6" s="1"/>
  <c r="N96" i="6" s="1"/>
  <c r="N71" i="6" s="1"/>
  <c r="N25" i="10" s="1"/>
  <c r="L98" i="6"/>
  <c r="L95" i="6" s="1"/>
  <c r="L38" i="6"/>
  <c r="L19" i="6"/>
  <c r="L21" i="6"/>
  <c r="O38" i="6"/>
  <c r="O98" i="6"/>
  <c r="O95" i="6" s="1"/>
  <c r="O21" i="6"/>
  <c r="O22" i="6" s="1"/>
  <c r="O19" i="6"/>
  <c r="M16" i="10"/>
  <c r="M26" i="6"/>
  <c r="M22" i="6"/>
  <c r="N19" i="6"/>
  <c r="N21" i="6"/>
  <c r="O96" i="6" l="1"/>
  <c r="O71" i="6" s="1"/>
  <c r="O25" i="10" s="1"/>
  <c r="P25" i="10" s="1"/>
  <c r="Q25" i="10" s="1"/>
  <c r="R25" i="10" s="1"/>
  <c r="S25" i="10" s="1"/>
  <c r="T25" i="10" s="1"/>
  <c r="L96" i="6"/>
  <c r="L71" i="6" s="1"/>
  <c r="L25" i="10" s="1"/>
  <c r="M17" i="10"/>
  <c r="O26" i="6"/>
  <c r="O16" i="10"/>
  <c r="L22" i="6"/>
  <c r="Q6" i="2" s="1"/>
  <c r="L26" i="6"/>
  <c r="L16" i="10"/>
  <c r="M96" i="6"/>
  <c r="M71" i="6" s="1"/>
  <c r="M25" i="10" s="1"/>
  <c r="N16" i="10"/>
  <c r="N22" i="6"/>
  <c r="N26" i="6"/>
  <c r="M166" i="6"/>
  <c r="K22" i="6"/>
  <c r="N6" i="2" s="1"/>
  <c r="K26" i="6"/>
  <c r="K16" i="10"/>
  <c r="K17" i="10" l="1"/>
  <c r="K166" i="6"/>
  <c r="M167" i="6"/>
  <c r="M181" i="6" s="1"/>
  <c r="N166" i="6"/>
  <c r="N17" i="10"/>
  <c r="L17" i="10"/>
  <c r="L166" i="6"/>
  <c r="O17" i="10"/>
  <c r="F31" i="10" s="1"/>
  <c r="O166" i="6"/>
  <c r="P17" i="10" l="1"/>
  <c r="P16" i="10" s="1"/>
  <c r="Q17" i="10"/>
  <c r="Q16" i="10" s="1"/>
  <c r="L167" i="6"/>
  <c r="L181" i="6" s="1"/>
  <c r="N167" i="6"/>
  <c r="N181" i="6" s="1"/>
  <c r="M168" i="6"/>
  <c r="M182" i="6" s="1"/>
  <c r="O167" i="6"/>
  <c r="O181" i="6" s="1"/>
  <c r="K167" i="6"/>
  <c r="K181" i="6" s="1"/>
  <c r="T17" i="10"/>
  <c r="T16" i="10" s="1"/>
  <c r="R17" i="10"/>
  <c r="R16" i="10" s="1"/>
  <c r="S17" i="10"/>
  <c r="S16" i="10" s="1"/>
  <c r="N168" i="6" l="1"/>
  <c r="N182" i="6" s="1"/>
  <c r="O168" i="6"/>
  <c r="O182" i="6" s="1"/>
  <c r="M169" i="6"/>
  <c r="M183" i="6" s="1"/>
  <c r="L168" i="6"/>
  <c r="L182" i="6" s="1"/>
  <c r="K168" i="6"/>
  <c r="N169" i="6" l="1"/>
  <c r="N183" i="6" s="1"/>
  <c r="M170" i="6"/>
  <c r="M184" i="6" s="1"/>
  <c r="M180" i="6" s="1"/>
  <c r="M185" i="6" s="1"/>
  <c r="M179" i="6" s="1"/>
  <c r="O169" i="6"/>
  <c r="O183" i="6" s="1"/>
  <c r="L169" i="6"/>
  <c r="L183" i="6" s="1"/>
  <c r="K182" i="6"/>
  <c r="K169" i="6"/>
  <c r="K183" i="6" s="1"/>
  <c r="N170" i="6" l="1"/>
  <c r="N184" i="6" s="1"/>
  <c r="N180" i="6" s="1"/>
  <c r="N185" i="6" s="1"/>
  <c r="N179" i="6" s="1"/>
  <c r="N186" i="6" s="1"/>
  <c r="O170" i="6"/>
  <c r="O184" i="6" s="1"/>
  <c r="O180" i="6" s="1"/>
  <c r="O185" i="6" s="1"/>
  <c r="L170" i="6"/>
  <c r="L184" i="6" s="1"/>
  <c r="L180" i="6" s="1"/>
  <c r="L185" i="6" s="1"/>
  <c r="L179" i="6" s="1"/>
  <c r="M186" i="6"/>
  <c r="M27" i="6"/>
  <c r="K170" i="6"/>
  <c r="K184" i="6" s="1"/>
  <c r="K180" i="6" s="1"/>
  <c r="N27" i="6" l="1"/>
  <c r="N28" i="6" s="1"/>
  <c r="O179" i="6"/>
  <c r="O186" i="6" s="1"/>
  <c r="L27" i="6"/>
  <c r="L186" i="6"/>
  <c r="K185" i="6"/>
  <c r="K179" i="6" s="1"/>
  <c r="M28" i="6"/>
  <c r="M18" i="10"/>
  <c r="M29" i="6"/>
  <c r="N29" i="6" l="1"/>
  <c r="N30" i="6" s="1"/>
  <c r="N18" i="10"/>
  <c r="N19" i="10" s="1"/>
  <c r="O27" i="6"/>
  <c r="O18" i="10" s="1"/>
  <c r="K186" i="6"/>
  <c r="K27" i="6"/>
  <c r="M30" i="6"/>
  <c r="M68" i="6"/>
  <c r="M67" i="6" s="1"/>
  <c r="M88" i="6" s="1"/>
  <c r="M19" i="10"/>
  <c r="M20" i="10"/>
  <c r="M26" i="10" s="1"/>
  <c r="M27" i="10" s="1"/>
  <c r="L28" i="6"/>
  <c r="L18" i="10"/>
  <c r="L29" i="6"/>
  <c r="N68" i="6" l="1"/>
  <c r="N67" i="6" s="1"/>
  <c r="N88" i="6" s="1"/>
  <c r="N20" i="10"/>
  <c r="N26" i="10" s="1"/>
  <c r="N27" i="10" s="1"/>
  <c r="O29" i="6"/>
  <c r="O30" i="6" s="1"/>
  <c r="O28" i="6"/>
  <c r="L30" i="6"/>
  <c r="L68" i="6"/>
  <c r="L67" i="6" s="1"/>
  <c r="L88" i="6" s="1"/>
  <c r="O19" i="10"/>
  <c r="F32" i="10" s="1"/>
  <c r="O20" i="10"/>
  <c r="O26" i="10" s="1"/>
  <c r="O27" i="10" s="1"/>
  <c r="F40" i="10" s="1"/>
  <c r="F39" i="10" s="1"/>
  <c r="K28" i="6"/>
  <c r="K18" i="10"/>
  <c r="K29" i="6"/>
  <c r="L19" i="10"/>
  <c r="L20" i="10"/>
  <c r="L26" i="10" s="1"/>
  <c r="L27" i="10" s="1"/>
  <c r="O68" i="6" l="1"/>
  <c r="O67" i="6" s="1"/>
  <c r="O88" i="6" s="1"/>
  <c r="K19" i="10"/>
  <c r="K20" i="10"/>
  <c r="K26" i="10" s="1"/>
  <c r="K27" i="10" s="1"/>
  <c r="F38" i="10" s="1"/>
  <c r="F37" i="10" s="1"/>
  <c r="K30" i="6"/>
  <c r="K60" i="6"/>
  <c r="K68" i="6"/>
  <c r="K67" i="6" s="1"/>
  <c r="K88" i="6" s="1"/>
  <c r="K36" i="6" s="1"/>
  <c r="T19" i="10"/>
  <c r="T18" i="10" s="1"/>
  <c r="T20" i="10" s="1"/>
  <c r="T26" i="10" s="1"/>
  <c r="T27" i="10" s="1"/>
  <c r="P19" i="10"/>
  <c r="P18" i="10" s="1"/>
  <c r="P20" i="10" s="1"/>
  <c r="P26" i="10" s="1"/>
  <c r="P27" i="10" s="1"/>
  <c r="Q19" i="10"/>
  <c r="Q18" i="10" s="1"/>
  <c r="Q20" i="10" s="1"/>
  <c r="Q26" i="10" s="1"/>
  <c r="Q27" i="10" s="1"/>
  <c r="R19" i="10"/>
  <c r="R18" i="10" s="1"/>
  <c r="R20" i="10" s="1"/>
  <c r="R26" i="10" s="1"/>
  <c r="R27" i="10" s="1"/>
  <c r="S19" i="10"/>
  <c r="S18" i="10" s="1"/>
  <c r="S20" i="10" s="1"/>
  <c r="S26" i="10" s="1"/>
  <c r="S27" i="10" s="1"/>
  <c r="K57" i="6" l="1"/>
  <c r="L60" i="6"/>
  <c r="L36" i="6"/>
  <c r="K35" i="6"/>
  <c r="K34" i="6" s="1"/>
  <c r="K63" i="6" l="1"/>
  <c r="F41" i="10"/>
  <c r="F43" i="10" s="1"/>
  <c r="I31" i="10" s="1"/>
  <c r="K146" i="6"/>
  <c r="L35" i="6"/>
  <c r="L34" i="6" s="1"/>
  <c r="M36" i="6"/>
  <c r="M60" i="6"/>
  <c r="L57" i="6"/>
  <c r="L63" i="6" l="1"/>
  <c r="K7" i="9"/>
  <c r="K7" i="10"/>
  <c r="K7" i="6"/>
  <c r="E7" i="11"/>
  <c r="N60" i="6"/>
  <c r="M57" i="6"/>
  <c r="N36" i="6"/>
  <c r="M35" i="6"/>
  <c r="M34" i="6" s="1"/>
  <c r="L146" i="6"/>
  <c r="M63" i="6" l="1"/>
  <c r="M146" i="6"/>
  <c r="N35" i="6"/>
  <c r="N34" i="6" s="1"/>
  <c r="O36" i="6"/>
  <c r="O35" i="6" s="1"/>
  <c r="O34" i="6" s="1"/>
  <c r="O60" i="6"/>
  <c r="O57" i="6" s="1"/>
  <c r="N57" i="6"/>
  <c r="O63" i="6" l="1"/>
  <c r="N63" i="6"/>
  <c r="O146" i="6"/>
  <c r="N146"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tc={A6745EEC-9873-4B63-A60E-1B7EAC370829}</author>
    <author>tc={828EC9C1-3BF9-4AFB-A8F4-406757983F60}</author>
  </authors>
  <commentList>
    <comment ref="H123" authorId="0" shapeId="0" xr:uid="{A6745EEC-9873-4B63-A60E-1B7EAC370829}">
      <text>
        <t>[스레드 댓글]
사용 중인 버전의 Excel에서 이 스레드 댓글을 읽을 수 있지만 파일을 이후 버전의 Excel에서 열면 편집 내용이 모두 제거됩니다. 자세한 정보: https://go.microsoft.com/fwlink/?linkid=870924.
댓글:
    2공장 토지 취득</t>
      </text>
    </comment>
    <comment ref="I123" authorId="1" shapeId="0" xr:uid="{828EC9C1-3BF9-4AFB-A8F4-406757983F60}">
      <text>
        <t>[스레드 댓글]
사용 중인 버전의 Excel에서 이 스레드 댓글을 읽을 수 있지만 파일을 이후 버전의 Excel에서 열면 편집 내용이 모두 제거됩니다. 자세한 정보: https://go.microsoft.com/fwlink/?linkid=870924.
댓글:
    2공장 A동 준공
언론 내용 참고</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tc={5EFF2C5B-F20C-43B1-AEDE-F093FB7177BA}</author>
  </authors>
  <commentList>
    <comment ref="J115" authorId="0" shapeId="0" xr:uid="{5EFF2C5B-F20C-43B1-AEDE-F093FB7177BA}">
      <text>
        <t>[스레드 댓글]
사용 중인 버전의 Excel에서 이 스레드 댓글을 읽을 수 있지만 파일을 이후 버전의 Excel에서 열면 편집 내용이 모두 제거됩니다. 자세한 정보: https://go.microsoft.com/fwlink/?linkid=870924.
댓글:
    A동 가동</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6">
    <bk>
      <extLst>
        <ext uri="{3e2802c4-a4d2-4d8b-9148-e3be6c30e623}">
          <xlrd:rvb i="1"/>
        </ext>
      </extLst>
    </bk>
    <bk>
      <extLst>
        <ext uri="{3e2802c4-a4d2-4d8b-9148-e3be6c30e623}">
          <xlrd:rvb i="4"/>
        </ext>
      </extLst>
    </bk>
    <bk>
      <extLst>
        <ext uri="{3e2802c4-a4d2-4d8b-9148-e3be6c30e623}">
          <xlrd:rvb i="7"/>
        </ext>
      </extLst>
    </bk>
    <bk>
      <extLst>
        <ext uri="{3e2802c4-a4d2-4d8b-9148-e3be6c30e623}">
          <xlrd:rvb i="10"/>
        </ext>
      </extLst>
    </bk>
    <bk>
      <extLst>
        <ext uri="{3e2802c4-a4d2-4d8b-9148-e3be6c30e623}">
          <xlrd:rvb i="13"/>
        </ext>
      </extLst>
    </bk>
    <bk>
      <extLst>
        <ext uri="{3e2802c4-a4d2-4d8b-9148-e3be6c30e623}">
          <xlrd:rvb i="16"/>
        </ext>
      </extLst>
    </bk>
  </futureMetadata>
  <cellMetadata count="1">
    <bk>
      <rc t="1" v="0"/>
    </bk>
  </cellMetadata>
  <valueMetadata count="6">
    <bk>
      <rc t="2" v="0"/>
    </bk>
    <bk>
      <rc t="2" v="1"/>
    </bk>
    <bk>
      <rc t="2" v="2"/>
    </bk>
    <bk>
      <rc t="2" v="3"/>
    </bk>
    <bk>
      <rc t="2" v="4"/>
    </bk>
    <bk>
      <rc t="2" v="5"/>
    </bk>
  </valueMetadata>
</metadata>
</file>

<file path=xl/sharedStrings.xml><?xml version="1.0" encoding="utf-8"?>
<sst xmlns="http://schemas.openxmlformats.org/spreadsheetml/2006/main" count="2172" uniqueCount="1349">
  <si>
    <t>- 상반기 기준 전자 점유율 15%</t>
    <phoneticPr fontId="1" type="noConversion"/>
  </si>
  <si>
    <t>- 생산능력은 5배 확대 / 2028년 해외매출 1,500억 목표</t>
    <phoneticPr fontId="1" type="noConversion"/>
  </si>
  <si>
    <t>- 실리콘이 세라믹보다 2배 저렴함</t>
    <phoneticPr fontId="1" type="noConversion"/>
  </si>
  <si>
    <t>- 케이엔제이 리포트</t>
    <phoneticPr fontId="1" type="noConversion"/>
  </si>
  <si>
    <t>chrome-extension://efaidnbmnnnibpcajpcglclefindmkaj/https://w4.kirs.or.kr/download/research/250703_%ED%95%98%EB%82%98%EB%A8%B8%ED%8B%B0%EB%A6%AC%EC%96%BC%EC%A6%88(%EA%B8%80%EC%84%B8).pdf</t>
  </si>
  <si>
    <t>- 하나머티리얼즈 리포트</t>
    <phoneticPr fontId="1" type="noConversion"/>
  </si>
  <si>
    <t>chrome-extension://efaidnbmnnnibpcajpcglclefindmkaj/https://w4.kirs.or.kr/download/research/250123_%ED%8B%B0%EC%94%A8%EC%BC%80%EC%9D%B4-%EA%B8%80%EB%A1%9C%EB%B2%8C%EC%84%B8%EA%B7%B8.pdf</t>
  </si>
  <si>
    <t>- 티씨케이 리포트</t>
    <phoneticPr fontId="1" type="noConversion"/>
  </si>
  <si>
    <t>Market</t>
    <phoneticPr fontId="1" type="noConversion"/>
  </si>
  <si>
    <t>Segment</t>
    <phoneticPr fontId="1" type="noConversion"/>
  </si>
  <si>
    <t>Customer</t>
    <phoneticPr fontId="1" type="noConversion"/>
  </si>
  <si>
    <t>씨엠티엑스</t>
    <phoneticPr fontId="1" type="noConversion"/>
  </si>
  <si>
    <t>월덱스</t>
    <phoneticPr fontId="1" type="noConversion"/>
  </si>
  <si>
    <t>케이엔제이</t>
    <phoneticPr fontId="1" type="noConversion"/>
  </si>
  <si>
    <t>하나머티리얼즈</t>
    <phoneticPr fontId="1" type="noConversion"/>
  </si>
  <si>
    <t>티씨케이</t>
    <phoneticPr fontId="1" type="noConversion"/>
  </si>
  <si>
    <t>비씨엔씨</t>
    <phoneticPr fontId="1" type="noConversion"/>
  </si>
  <si>
    <t>FY2023</t>
    <phoneticPr fontId="1" type="noConversion"/>
  </si>
  <si>
    <t>FY2024</t>
    <phoneticPr fontId="1" type="noConversion"/>
  </si>
  <si>
    <t>Sales</t>
    <phoneticPr fontId="1" type="noConversion"/>
  </si>
  <si>
    <t>A/M</t>
    <phoneticPr fontId="1" type="noConversion"/>
  </si>
  <si>
    <t>Si / Sapphire</t>
    <phoneticPr fontId="1" type="noConversion"/>
  </si>
  <si>
    <t>삼성전자, TSMC</t>
    <phoneticPr fontId="1" type="noConversion"/>
  </si>
  <si>
    <t>(단위 : 억 원)</t>
    <phoneticPr fontId="1" type="noConversion"/>
  </si>
  <si>
    <t>OPM</t>
    <phoneticPr fontId="1" type="noConversion"/>
  </si>
  <si>
    <t>YoY</t>
    <phoneticPr fontId="1" type="noConversion"/>
  </si>
  <si>
    <t>FY2025(E)</t>
    <phoneticPr fontId="1" type="noConversion"/>
  </si>
  <si>
    <t>FY2026(E)</t>
    <phoneticPr fontId="1" type="noConversion"/>
  </si>
  <si>
    <t>Si / Quartz</t>
    <phoneticPr fontId="1" type="noConversion"/>
  </si>
  <si>
    <t>삼성전자, SK하이닉스</t>
    <phoneticPr fontId="1" type="noConversion"/>
  </si>
  <si>
    <t>B/M</t>
    <phoneticPr fontId="1" type="noConversion"/>
  </si>
  <si>
    <t>A/M + B/M</t>
    <phoneticPr fontId="1" type="noConversion"/>
  </si>
  <si>
    <t>SiC</t>
    <phoneticPr fontId="1" type="noConversion"/>
  </si>
  <si>
    <t>Si / SiC</t>
    <phoneticPr fontId="1" type="noConversion"/>
  </si>
  <si>
    <t>TEL, 삼성전자</t>
    <phoneticPr fontId="1" type="noConversion"/>
  </si>
  <si>
    <t>Si / Ceramic</t>
    <phoneticPr fontId="1" type="noConversion"/>
  </si>
  <si>
    <t>출처 : 각 사, Dart , Fn가이드</t>
    <phoneticPr fontId="1" type="noConversion"/>
  </si>
  <si>
    <t>경쟁사 분석 페이지에 들어갈 테이블</t>
    <phoneticPr fontId="1" type="noConversion"/>
  </si>
  <si>
    <t>chrome-extension://efaidnbmnnnibpcajpcglclefindmkaj/https://w4.kirs.or.kr/download/research/250818_%EC%BC%80%EC%9D%B4%EC%97%94%EC%A0%9C%EC%9D%B4.pdf</t>
    <phoneticPr fontId="1" type="noConversion"/>
  </si>
  <si>
    <t>- CMTX CEO 인터뷰</t>
    <phoneticPr fontId="1" type="noConversion"/>
  </si>
  <si>
    <t>씨엠티엑스 주담(251210)</t>
  </si>
  <si>
    <t>Q1. 실리콘파츠 관련 점유율 확대에 대한 구체적 근거 있는지? 삼전 15% 상반기 점유율에서 확대 있었는지?</t>
  </si>
  <si>
    <t>A1. 구체적으로 말은 못하는데 수주 증가하는 추세 맞고 삼성전자외에도 TSMC, 키옥시아도 증가 추세다</t>
  </si>
  <si>
    <t>Q2. 대만쪽 JV가 TSMC 대응 목적인데 TSMC 매출이 JV에서 나오는 것인지?</t>
  </si>
  <si>
    <t xml:space="preserve">A2. JV에서 나가는 것도 있고 매출은 본사랑 JV랑 섞여있다. </t>
  </si>
  <si>
    <t>Q3. TSMC 올해 40~50억 내년 100~110억 가이던스 변화 없는지?</t>
  </si>
  <si>
    <t>A3. 특별한 변화는 없고 점차적으로 증가할 예정</t>
  </si>
  <si>
    <t>Q4. 공장 가동률이 70% 수준인데 지금 막 증설해야될 만큼 풀캐파는 아닌거 같다. 공모자금으로 캐파 증설하려는 목적이 애프터 마켓으로 확대되는 시점에서 가동률을 같이 올려줄려고 시기를 맞춘건지 아니면 다른 이유가 있는지?</t>
  </si>
  <si>
    <t>A4. 매출 증가를 준비하기 위해서 미리 생산 능력을 갖추려고 작업하고 있다.</t>
  </si>
  <si>
    <t>Q5. 디램이랑 낸드 비중은?</t>
  </si>
  <si>
    <t>A5. 낸드가 조금 더 크고 그 다음 디램이다</t>
  </si>
  <si>
    <t>Q6. 셀릭 RCPS 관련 외부투자자 상환권 요구시 셀릭 현금 유출 예상되는데 준비하는 거 있는지?</t>
  </si>
  <si>
    <t xml:space="preserve">A6. 답변드릴 수 있는 부분은 없고 걱정 하지 않아도 될 정도로 준비하고 있는 것으로 알고 있다. </t>
  </si>
  <si>
    <t>Q7. 소송 관련 업데이트할 부분은 없는지?</t>
  </si>
  <si>
    <t xml:space="preserve">A7. 1차 승소하고 뭐 특별한건 없다. 2차 준비하고 있다. </t>
  </si>
  <si>
    <t>Q8. 실리콘파츠가 볼륨이 크고 세라믹이나 사파이어는 볼륨이 안나오는데 BEP수준인지 적자 수준인지?</t>
  </si>
  <si>
    <t>A8. 최초 법인 설립시 세라믹, 사파이어 위주로 진행했고 실리콘으로 넘어오면서 극대화된 것이다. 기존에 하는 제품들의 경우 고객사 요구가 있어서 주에서 부로 빠진 것이고 적자 상황 아니다.</t>
  </si>
  <si>
    <t>[씨엠티엑스 지역별 매출액 및 매출비중]</t>
  </si>
  <si>
    <t>(단위: 백만원)</t>
  </si>
  <si>
    <t>구 분</t>
  </si>
  <si>
    <t>2023년</t>
  </si>
  <si>
    <t>2024년</t>
  </si>
  <si>
    <t>2025년 반기</t>
  </si>
  <si>
    <t>매출액</t>
  </si>
  <si>
    <t>매출비중</t>
  </si>
  <si>
    <t>국내</t>
  </si>
  <si>
    <t>중국</t>
  </si>
  <si>
    <t>대만</t>
  </si>
  <si>
    <t>싱가포르</t>
  </si>
  <si>
    <t>기타</t>
  </si>
  <si>
    <t>합 계</t>
  </si>
  <si>
    <t>[2023-2025년 반기 매출처별 매출액]</t>
  </si>
  <si>
    <t>　매출처</t>
  </si>
  <si>
    <t>비중</t>
  </si>
  <si>
    <t>합계</t>
  </si>
  <si>
    <t>[연도별 시설자금 투자계획]</t>
  </si>
  <si>
    <t>구분</t>
  </si>
  <si>
    <t>내역</t>
  </si>
  <si>
    <t>2025년</t>
  </si>
  <si>
    <t>2026년</t>
  </si>
  <si>
    <t>2027년</t>
  </si>
  <si>
    <t>설비증설</t>
  </si>
  <si>
    <t>M Campus 공정 설비 증설</t>
  </si>
  <si>
    <t>C Campus 공정 설비 추가</t>
  </si>
  <si>
    <t>공정 유틸리티</t>
  </si>
  <si>
    <t>-</t>
  </si>
  <si>
    <t>건물 신축 등</t>
  </si>
  <si>
    <t>M Campus B동 건설</t>
  </si>
  <si>
    <t>M Campus 주차타워 건설</t>
  </si>
  <si>
    <t>C Campus 환경개선</t>
  </si>
  <si>
    <t>시설자금 계</t>
  </si>
  <si>
    <t>[기간별 유통가능 주식수]</t>
  </si>
  <si>
    <t>(단위: 주)</t>
  </si>
  <si>
    <t>주식수</t>
  </si>
  <si>
    <t>유통가능 주식수 비율</t>
  </si>
  <si>
    <t>상장일 유통가능</t>
  </si>
  <si>
    <t>상장후 1개월 뒤 유통가능</t>
  </si>
  <si>
    <t>상장후 2개월 뒤 유통가능</t>
  </si>
  <si>
    <t>상장후 3개월 뒤 유통가능</t>
  </si>
  <si>
    <t>상장후 2년 6개월 뒤 유통가능</t>
  </si>
  <si>
    <t>- 당분기</t>
  </si>
  <si>
    <t>(단위: 원)</t>
  </si>
  <si>
    <t>구  분</t>
  </si>
  <si>
    <t>당분기말</t>
  </si>
  <si>
    <t>당분기</t>
  </si>
  <si>
    <t>자  산</t>
  </si>
  <si>
    <t>부  채</t>
  </si>
  <si>
    <t>자  본</t>
  </si>
  <si>
    <t>매  출</t>
  </si>
  <si>
    <t>분기순손익</t>
  </si>
  <si>
    <t>총포괄손익</t>
  </si>
  <si>
    <t>주식회사 셀릭</t>
  </si>
  <si>
    <t>Core Materials Advanced Tech CORP</t>
  </si>
  <si>
    <t>25/3Q</t>
    <phoneticPr fontId="1" type="noConversion"/>
  </si>
  <si>
    <t>전분기</t>
  </si>
  <si>
    <t>원</t>
    <phoneticPr fontId="1" type="noConversion"/>
  </si>
  <si>
    <t>25 3Q</t>
    <phoneticPr fontId="1" type="noConversion"/>
  </si>
  <si>
    <t>합   계</t>
  </si>
  <si>
    <t>외부매출액</t>
  </si>
  <si>
    <t>영업이익</t>
  </si>
  <si>
    <t>유형자산</t>
  </si>
  <si>
    <t>무형자산</t>
  </si>
  <si>
    <t>사용권자산</t>
  </si>
  <si>
    <t>감가상각비</t>
  </si>
  <si>
    <t>무형자산상각비</t>
  </si>
  <si>
    <t>24 3Q</t>
    <phoneticPr fontId="1" type="noConversion"/>
  </si>
  <si>
    <t>https://n.news.naver.com/mnews/article/030/0003368294</t>
    <phoneticPr fontId="1" type="noConversion"/>
  </si>
  <si>
    <t>https://news.nate.com/view/20251120n23569</t>
    <phoneticPr fontId="1" type="noConversion"/>
  </si>
  <si>
    <t>5. 기관투자자 의무보유확약기간별 배정현황</t>
  </si>
  <si>
    <t>(단위 : 주, %)</t>
  </si>
  <si>
    <t>확약기간</t>
  </si>
  <si>
    <t>국내 기관투자자</t>
  </si>
  <si>
    <t>외국 기관투자자</t>
  </si>
  <si>
    <t>운용사</t>
  </si>
  <si>
    <t>(집합)</t>
  </si>
  <si>
    <t>투자매매ㆍ</t>
  </si>
  <si>
    <t>중개업자</t>
  </si>
  <si>
    <t>연기금,운용사(고유)은행,보험</t>
  </si>
  <si>
    <t>거래</t>
  </si>
  <si>
    <t>실적</t>
  </si>
  <si>
    <t>유</t>
  </si>
  <si>
    <t>무</t>
  </si>
  <si>
    <t>수량</t>
  </si>
  <si>
    <t>6개월 확약</t>
  </si>
  <si>
    <t>3개월 확약</t>
  </si>
  <si>
    <t>1개월 확약</t>
  </si>
  <si>
    <t>15일 확약</t>
  </si>
  <si>
    <t>미확약</t>
  </si>
  <si>
    <t>계</t>
  </si>
  <si>
    <t>주주명</t>
  </si>
  <si>
    <t>회사와의</t>
  </si>
  <si>
    <t>관계</t>
  </si>
  <si>
    <t>공모전 보유주식</t>
  </si>
  <si>
    <t>공모 후</t>
  </si>
  <si>
    <t>매각제한기간</t>
  </si>
  <si>
    <t>(상장일 기준)</t>
  </si>
  <si>
    <t>매각제한사유</t>
  </si>
  <si>
    <t>보유주식</t>
  </si>
  <si>
    <t>매각제한물량</t>
  </si>
  <si>
    <t>유통가능물량</t>
  </si>
  <si>
    <t>지분율</t>
  </si>
  <si>
    <t>최대주주</t>
  </si>
  <si>
    <t>박성훈</t>
  </si>
  <si>
    <t>2년 6개월</t>
  </si>
  <si>
    <t>(주1)</t>
  </si>
  <si>
    <t>5%이상 소유 주주</t>
  </si>
  <si>
    <t>코리아반도체소부장제1호 사모투자 합자회사</t>
  </si>
  <si>
    <t>벤처금융</t>
  </si>
  <si>
    <t>3개월</t>
  </si>
  <si>
    <t>(주2)</t>
  </si>
  <si>
    <t>2개월</t>
  </si>
  <si>
    <t>케이투엑스페디오 투자조합</t>
  </si>
  <si>
    <t>1개월</t>
  </si>
  <si>
    <t>한국산업은행</t>
  </si>
  <si>
    <t>전문투자자</t>
  </si>
  <si>
    <t>기술보증기금</t>
  </si>
  <si>
    <t>소계</t>
  </si>
  <si>
    <t>1%이상 소유 주주</t>
  </si>
  <si>
    <t>한국투자 킹고 소부장육성 투자조합</t>
  </si>
  <si>
    <t>중소벤처기업진흥공단</t>
  </si>
  <si>
    <t>머스트3호 벤처투자조합</t>
  </si>
  <si>
    <t>케이디비씨 케이투 2023 세컨더리 투자조합</t>
  </si>
  <si>
    <t>미래에셋위반도체1호 창업벤처전문 사모투자합자회사</t>
  </si>
  <si>
    <t>미래에셋 데모테크 프론티어 투자조합</t>
  </si>
  <si>
    <t>주식회사머스트홀딩스</t>
  </si>
  <si>
    <t>일반법인</t>
  </si>
  <si>
    <t>케이-키로스 반도체소부장1호 신기술사업투자조합</t>
  </si>
  <si>
    <t>신한벤처 투모로우 투자조합 2호</t>
  </si>
  <si>
    <t>신한 스퀘어브릿지 ESG 투자조합 1호</t>
  </si>
  <si>
    <t>소액주주</t>
  </si>
  <si>
    <t>티그리스투자조합57호</t>
  </si>
  <si>
    <t>하태준</t>
  </si>
  <si>
    <t>개인주주</t>
  </si>
  <si>
    <t>키로스-케이소부장투자조합1호</t>
  </si>
  <si>
    <t>포지티브 아이비케이씨 소부장 신기술조합 제1호</t>
  </si>
  <si>
    <t>㈜씨아이테크</t>
  </si>
  <si>
    <t>㈜협진</t>
  </si>
  <si>
    <t>케이투 케이아이에스 2021 세컨더리 투자조합</t>
  </si>
  <si>
    <t>케이투 케이아이에스 2022 세컨더리 투자조합</t>
  </si>
  <si>
    <t>주식회사 에스엔테크</t>
  </si>
  <si>
    <t>미래에셋 글로벌 유니콘 투자조합</t>
  </si>
  <si>
    <t>미래에셋 글로벌 유니콘 벤처투자조합 3호</t>
  </si>
  <si>
    <t>미래에셋 글로벌 유니콘 벤처투자조합 4호</t>
  </si>
  <si>
    <t>그린솔라 주식회사</t>
  </si>
  <si>
    <t>기타주주</t>
  </si>
  <si>
    <t>공모주식</t>
  </si>
  <si>
    <t>공모 주주</t>
  </si>
  <si>
    <t>신주모집</t>
  </si>
  <si>
    <t>의무인수</t>
  </si>
  <si>
    <t>주관사 의무인수</t>
  </si>
  <si>
    <t>의무인수분</t>
  </si>
  <si>
    <t>(주3)</t>
  </si>
  <si>
    <t>기법</t>
    <phoneticPr fontId="1" type="noConversion"/>
  </si>
  <si>
    <t>연기금</t>
    <phoneticPr fontId="1" type="noConversion"/>
  </si>
  <si>
    <t>X</t>
    <phoneticPr fontId="1" type="noConversion"/>
  </si>
  <si>
    <t>O</t>
    <phoneticPr fontId="1" type="noConversion"/>
  </si>
  <si>
    <t>Blank Page</t>
    <phoneticPr fontId="1" type="noConversion"/>
  </si>
  <si>
    <t>22A-24A</t>
    <phoneticPr fontId="1" type="noConversion"/>
  </si>
  <si>
    <t>Historical</t>
    <phoneticPr fontId="1" type="noConversion"/>
  </si>
  <si>
    <t>Forcast</t>
    <phoneticPr fontId="1" type="noConversion"/>
  </si>
  <si>
    <t>CAGR</t>
    <phoneticPr fontId="1" type="noConversion"/>
  </si>
  <si>
    <t>Notes</t>
    <phoneticPr fontId="1" type="noConversion"/>
  </si>
  <si>
    <t>CMTX(388210.KQ)</t>
    <phoneticPr fontId="1" type="noConversion"/>
  </si>
  <si>
    <t>Three Statement Model</t>
    <phoneticPr fontId="1" type="noConversion"/>
  </si>
  <si>
    <t xml:space="preserve">Circuit Swith : </t>
    <phoneticPr fontId="1" type="noConversion"/>
  </si>
  <si>
    <t>Current Scenario :</t>
    <phoneticPr fontId="1" type="noConversion"/>
  </si>
  <si>
    <t xml:space="preserve">Target Price : </t>
    <phoneticPr fontId="1" type="noConversion"/>
  </si>
  <si>
    <t>Hardcode</t>
    <phoneticPr fontId="1" type="noConversion"/>
  </si>
  <si>
    <t>Calculation</t>
    <phoneticPr fontId="1" type="noConversion"/>
  </si>
  <si>
    <t>Reference</t>
    <phoneticPr fontId="1" type="noConversion"/>
  </si>
  <si>
    <t>Caution</t>
    <phoneticPr fontId="1" type="noConversion"/>
  </si>
  <si>
    <t>Assumption</t>
    <phoneticPr fontId="1" type="noConversion"/>
  </si>
  <si>
    <t>　과목</t>
  </si>
  <si>
    <t>(제 13 기 반기말)</t>
  </si>
  <si>
    <t>(제 12 기말)</t>
  </si>
  <si>
    <t>(제 11 기말)</t>
  </si>
  <si>
    <t>2022년</t>
  </si>
  <si>
    <t>(제 10 기말)</t>
  </si>
  <si>
    <t>자산</t>
  </si>
  <si>
    <t>　유동자산</t>
  </si>
  <si>
    <t>　　현금및현금성자산</t>
  </si>
  <si>
    <t>　　매출채권 및 기타유동채권</t>
  </si>
  <si>
    <t>　　기타유동자산</t>
  </si>
  <si>
    <t>　　기타금융자산</t>
  </si>
  <si>
    <t>　　재고자산</t>
  </si>
  <si>
    <t>　　당기법인세자산</t>
  </si>
  <si>
    <t>　비유동자산</t>
  </si>
  <si>
    <t>　　종속기업 및 공동기업투자</t>
  </si>
  <si>
    <t>　　기타비유동금융자산</t>
  </si>
  <si>
    <t>　　기타비유동자산</t>
  </si>
  <si>
    <t>　　유형자산</t>
  </si>
  <si>
    <t>　　사용권자산</t>
  </si>
  <si>
    <t>　　무형자산</t>
  </si>
  <si>
    <t>　　이연법인세자산</t>
  </si>
  <si>
    <t>　자산총계</t>
  </si>
  <si>
    <t>부채</t>
  </si>
  <si>
    <t>　유동부채</t>
  </si>
  <si>
    <t>　　매입채무 및 기타부채</t>
  </si>
  <si>
    <t>　　단기차입금</t>
  </si>
  <si>
    <t>　　유동성장기차입금</t>
  </si>
  <si>
    <t>　　유동성당기손익-공정가치측정금융부채</t>
  </si>
  <si>
    <t>　　유동성전환상환우선주부채</t>
  </si>
  <si>
    <t>　　유동성파생상품부채</t>
  </si>
  <si>
    <t>　　유동 리스부채</t>
  </si>
  <si>
    <t>　　당기법인세부채</t>
  </si>
  <si>
    <t>　　기타 유동부채</t>
  </si>
  <si>
    <t>　비유동부채</t>
  </si>
  <si>
    <t>　　장기차입금</t>
  </si>
  <si>
    <t>　　비유동 리스부채</t>
  </si>
  <si>
    <t>　　사채</t>
  </si>
  <si>
    <t>　부채총계</t>
  </si>
  <si>
    <t>자본</t>
  </si>
  <si>
    <t>　지배기업의 소유주에게 귀속되는 자본</t>
  </si>
  <si>
    <t>　　자본금</t>
  </si>
  <si>
    <t>　　자본잉여금</t>
  </si>
  <si>
    <t>　　기타자본구성요소</t>
  </si>
  <si>
    <t>　　기타포괄손익누계액</t>
  </si>
  <si>
    <t>　　이익잉여금(결손금)</t>
  </si>
  <si>
    <t>　비지배지분</t>
  </si>
  <si>
    <t>　자본총계</t>
  </si>
  <si>
    <t>자본과부채총계</t>
  </si>
  <si>
    <t>단위(원)</t>
    <phoneticPr fontId="1" type="noConversion"/>
  </si>
  <si>
    <t>과목</t>
  </si>
  <si>
    <t>수익(매출액)</t>
  </si>
  <si>
    <t>매출원가</t>
  </si>
  <si>
    <t>매출총이익</t>
  </si>
  <si>
    <t>판매비와관리비</t>
  </si>
  <si>
    <t>영업이익(손실)</t>
  </si>
  <si>
    <t>기타이익</t>
  </si>
  <si>
    <t>기타손실</t>
  </si>
  <si>
    <t>금융수익</t>
  </si>
  <si>
    <t>금융원가</t>
  </si>
  <si>
    <t>지분법손익</t>
  </si>
  <si>
    <t>법인세비용차감전순이익(손실)</t>
  </si>
  <si>
    <t>법인세비용(수익)</t>
  </si>
  <si>
    <t>당기순이익(손실)</t>
  </si>
  <si>
    <t>당기순이익(손실)의 귀속</t>
  </si>
  <si>
    <t>　지배기업의 소유주에게 귀속되는 당기순이익(손실)</t>
  </si>
  <si>
    <t>　비지배지분에 귀속되는 당기순이익(손실)</t>
  </si>
  <si>
    <t>기타포괄손익</t>
  </si>
  <si>
    <t>　당기손익으로 재분류되지 않는항목(세후기타포괄손익)</t>
  </si>
  <si>
    <t>　당기손익으로 재분류될 수 있는 항목(세후기타포괄손익)</t>
  </si>
  <si>
    <t>포괄손익의 귀속</t>
  </si>
  <si>
    <t>　포괄손익, 지배기업의 소유주에게 귀속되는 지분</t>
  </si>
  <si>
    <t>　포괄손익, 비지배지분</t>
  </si>
  <si>
    <t>주당이익</t>
  </si>
  <si>
    <t>　기본주당이익(손실) (단위 : 원)</t>
  </si>
  <si>
    <t>　희석주당이익(손실) (단위 : 원)</t>
  </si>
  <si>
    <t>영업활동현금흐름</t>
  </si>
  <si>
    <t>　당기순이익(손실)</t>
  </si>
  <si>
    <t>　당기순이익조정을 위한 가감</t>
  </si>
  <si>
    <t>　운전자본의 변동</t>
  </si>
  <si>
    <t>　이자수취</t>
  </si>
  <si>
    <t>　이자지급</t>
  </si>
  <si>
    <t>　법인세의 납부</t>
  </si>
  <si>
    <t>투자활동현금흐름</t>
  </si>
  <si>
    <t>  단기금융상품의 감소</t>
  </si>
  <si>
    <t>  정부보조금의 수령</t>
  </si>
  <si>
    <t>　기계장치의 처분</t>
  </si>
  <si>
    <t>　차량운반구의 처분</t>
  </si>
  <si>
    <t>　기타유형자산의 처분</t>
  </si>
  <si>
    <t>　임차보증금의 감소</t>
  </si>
  <si>
    <t>　기타보증금의 감소</t>
  </si>
  <si>
    <t>　종속기업 유상증자</t>
  </si>
  <si>
    <t>   단기금융상품의 증가</t>
  </si>
  <si>
    <t>　장기금융상품의 증가</t>
  </si>
  <si>
    <t>　건물의 취득</t>
  </si>
  <si>
    <t>　구축물의 취득</t>
  </si>
  <si>
    <t>　기계장치의 취득</t>
  </si>
  <si>
    <t>　차량운반구의 취득</t>
  </si>
  <si>
    <t>　기타유형자산의 취득</t>
  </si>
  <si>
    <t>　건설중인자산의 취득</t>
  </si>
  <si>
    <t>　차입원가 자본화 이자의 지급</t>
  </si>
  <si>
    <t>　특허권의 취득</t>
  </si>
  <si>
    <t>　기타무형자산의 취득</t>
  </si>
  <si>
    <t>　공동기업투자주식의 취득</t>
  </si>
  <si>
    <t>　종속기업투자주식의 취득</t>
  </si>
  <si>
    <t>　임차보증금의 증가</t>
  </si>
  <si>
    <t>　기타보증금의 증가</t>
  </si>
  <si>
    <t>재무활동현금흐름</t>
  </si>
  <si>
    <t>　유상증자</t>
  </si>
  <si>
    <t>　단기차입금의 차입</t>
  </si>
  <si>
    <t>　장기차입금의 차입</t>
  </si>
  <si>
    <t>   연결자본거래로 인한 현금유입액</t>
  </si>
  <si>
    <t>　단기차입금의 상환</t>
  </si>
  <si>
    <t>　유동성장기차입금의 상환</t>
  </si>
  <si>
    <t>　장기차입금의 상환</t>
  </si>
  <si>
    <t>　사채의 상환</t>
  </si>
  <si>
    <t>　리스부채의 상환</t>
  </si>
  <si>
    <t>환율변동효과 반영전 현금및현금성자산의 순증가(감소)</t>
  </si>
  <si>
    <t>현금및현금성자산에 대한 환율변동효과</t>
  </si>
  <si>
    <t>해외사업환산</t>
  </si>
  <si>
    <t>현금및현금성자산의순증가(감소)</t>
  </si>
  <si>
    <t>기초현금및현금성자산</t>
  </si>
  <si>
    <t>기말현금및현금성자산</t>
  </si>
  <si>
    <t>[Income Statement]</t>
    <phoneticPr fontId="1" type="noConversion"/>
  </si>
  <si>
    <t>x</t>
    <phoneticPr fontId="1" type="noConversion"/>
  </si>
  <si>
    <t>Revenue</t>
    <phoneticPr fontId="1" type="noConversion"/>
  </si>
  <si>
    <t>growth(%)</t>
    <phoneticPr fontId="1" type="noConversion"/>
  </si>
  <si>
    <t>(-) COGS</t>
    <phoneticPr fontId="1" type="noConversion"/>
  </si>
  <si>
    <t>Gross Profit</t>
    <phoneticPr fontId="1" type="noConversion"/>
  </si>
  <si>
    <t>margin(%)</t>
    <phoneticPr fontId="1" type="noConversion"/>
  </si>
  <si>
    <t>(-) SG&amp;A</t>
    <phoneticPr fontId="1" type="noConversion"/>
  </si>
  <si>
    <t>Operating Profit (EBIT)</t>
    <phoneticPr fontId="1" type="noConversion"/>
  </si>
  <si>
    <t>(+) Interest Income</t>
    <phoneticPr fontId="1" type="noConversion"/>
  </si>
  <si>
    <t>(-) Interest Expense</t>
    <phoneticPr fontId="1" type="noConversion"/>
  </si>
  <si>
    <t>(+/-) Other Income / Expense</t>
    <phoneticPr fontId="1" type="noConversion"/>
  </si>
  <si>
    <t>Pretax Profit (EBT)</t>
    <phoneticPr fontId="1" type="noConversion"/>
  </si>
  <si>
    <t>(-) Corporate Tax</t>
    <phoneticPr fontId="1" type="noConversion"/>
  </si>
  <si>
    <t>Tax Rate (%)</t>
    <phoneticPr fontId="1" type="noConversion"/>
  </si>
  <si>
    <t>Net Income</t>
    <phoneticPr fontId="1" type="noConversion"/>
  </si>
  <si>
    <t>[Balance Sheet]</t>
    <phoneticPr fontId="1" type="noConversion"/>
  </si>
  <si>
    <t>Total Assets</t>
    <phoneticPr fontId="1" type="noConversion"/>
  </si>
  <si>
    <t>Current Assets</t>
    <phoneticPr fontId="1" type="noConversion"/>
  </si>
  <si>
    <t>Cash &amp; Equivalents</t>
    <phoneticPr fontId="1" type="noConversion"/>
  </si>
  <si>
    <t>Accounts Receivables</t>
    <phoneticPr fontId="1" type="noConversion"/>
  </si>
  <si>
    <t>Inventory</t>
    <phoneticPr fontId="1" type="noConversion"/>
  </si>
  <si>
    <t>Other Current Assets</t>
    <phoneticPr fontId="1" type="noConversion"/>
  </si>
  <si>
    <t>Non - Current Assets</t>
    <phoneticPr fontId="1" type="noConversion"/>
  </si>
  <si>
    <t>PPE</t>
    <phoneticPr fontId="1" type="noConversion"/>
  </si>
  <si>
    <t>Other Non - Current Assets</t>
    <phoneticPr fontId="1" type="noConversion"/>
  </si>
  <si>
    <t>Total Liabilities</t>
    <phoneticPr fontId="1" type="noConversion"/>
  </si>
  <si>
    <t>Current Liabilities</t>
    <phoneticPr fontId="1" type="noConversion"/>
  </si>
  <si>
    <t>Account Payables</t>
    <phoneticPr fontId="1" type="noConversion"/>
  </si>
  <si>
    <t>RCPS</t>
    <phoneticPr fontId="1" type="noConversion"/>
  </si>
  <si>
    <t>Derivatives</t>
    <phoneticPr fontId="1" type="noConversion"/>
  </si>
  <si>
    <t>Non - Current Liabilities</t>
    <phoneticPr fontId="1" type="noConversion"/>
  </si>
  <si>
    <t>Total Equity</t>
    <phoneticPr fontId="1" type="noConversion"/>
  </si>
  <si>
    <t>Common Stocks</t>
    <phoneticPr fontId="1" type="noConversion"/>
  </si>
  <si>
    <t>Additional Paid - In - Capital</t>
    <phoneticPr fontId="1" type="noConversion"/>
  </si>
  <si>
    <t>Retained Earnings</t>
    <phoneticPr fontId="1" type="noConversion"/>
  </si>
  <si>
    <t>Other Equity Line Items</t>
    <phoneticPr fontId="1" type="noConversion"/>
  </si>
  <si>
    <t>CHECK</t>
    <phoneticPr fontId="1" type="noConversion"/>
  </si>
  <si>
    <t>[Cash Flow Statement]</t>
    <phoneticPr fontId="1" type="noConversion"/>
  </si>
  <si>
    <t>Cashflow From Operating Activities</t>
    <phoneticPr fontId="1" type="noConversion"/>
  </si>
  <si>
    <t>과                        목</t>
  </si>
  <si>
    <t>제 10(당) 기</t>
  </si>
  <si>
    <t>제 9(전) 기</t>
  </si>
  <si>
    <t>I. 영업활동으로 인한 현금흐름</t>
  </si>
  <si>
    <t>(1) 당기순이익(손실)</t>
  </si>
  <si>
    <t>(2) 현금의 유출이 없는 비용등의 가산</t>
  </si>
  <si>
    <t>1. 대손상각비</t>
  </si>
  <si>
    <t>2. 퇴직급여</t>
  </si>
  <si>
    <t>3. 감가상각비</t>
  </si>
  <si>
    <t>4. 무형자산상각비</t>
  </si>
  <si>
    <t>5. 외화환산손실</t>
  </si>
  <si>
    <t>6. 지분법손실</t>
  </si>
  <si>
    <t>7. 유형자산손상차손</t>
  </si>
  <si>
    <t>8. 무형자산손상차손</t>
  </si>
  <si>
    <t>9. 재고자산평가손실</t>
  </si>
  <si>
    <t>10. 재고자산폐기손실</t>
  </si>
  <si>
    <t>(3) 현금의 유입이 없는 수익등의 차감</t>
  </si>
  <si>
    <t>1. 외화환산이익</t>
  </si>
  <si>
    <t>2. 유형자산처분이익</t>
  </si>
  <si>
    <t>3. 기타의대손충당금환입</t>
  </si>
  <si>
    <t>(4) 영업활동으로 인한 자산부채의 변동</t>
  </si>
  <si>
    <t>1. 매출채권의 증가</t>
  </si>
  <si>
    <t>2. 미수금의 증가</t>
  </si>
  <si>
    <t>3. 미수수익의 증가</t>
  </si>
  <si>
    <t>4. 선급금의 감소</t>
  </si>
  <si>
    <t>5. 선급비용의 증가</t>
  </si>
  <si>
    <t>6. 당기법인세자산의 증가</t>
  </si>
  <si>
    <t>7. 재고자산의 증가</t>
  </si>
  <si>
    <t>8. 매입채무의 증가</t>
  </si>
  <si>
    <t>9. 미지급금의 증가(감소)</t>
  </si>
  <si>
    <t>10. 미지급비용의 증가</t>
  </si>
  <si>
    <t>11. 예수금의 증가</t>
  </si>
  <si>
    <t>12. 선수금의 증가(감소)</t>
  </si>
  <si>
    <t>13. 당기법인세부채의 증가(감소)</t>
  </si>
  <si>
    <t>14. 퇴직금의 지급</t>
  </si>
  <si>
    <t>II. 투자활동으로 인한 현금흐름</t>
  </si>
  <si>
    <t>(1) 투자활동으로 인한 현금유입액</t>
  </si>
  <si>
    <t>1. 기계장치의 처분</t>
  </si>
  <si>
    <t>2. 차량운반구의 처분</t>
  </si>
  <si>
    <t>3. 임차보증금의 감소</t>
  </si>
  <si>
    <t>4. 기타보증금의 감소</t>
  </si>
  <si>
    <t>5. 정부보조금의 수령</t>
  </si>
  <si>
    <t>(2) 투자활동으로 인한 현금유출액</t>
  </si>
  <si>
    <t>1. 토지의 취득</t>
  </si>
  <si>
    <t>2. 기계장치의 취득</t>
  </si>
  <si>
    <t>3. 차량운반구의 취득</t>
  </si>
  <si>
    <t>4. 공구와기구의 취득</t>
  </si>
  <si>
    <t>5. 비품의 취득</t>
  </si>
  <si>
    <t>6. 인테리어의 취득</t>
  </si>
  <si>
    <t>7. 시설장치의 취득</t>
  </si>
  <si>
    <t>8. 건설중인자산의 취득</t>
  </si>
  <si>
    <t>9. 산업재산권의 취득</t>
  </si>
  <si>
    <t>10. 소프트웨어의 취득</t>
  </si>
  <si>
    <t>11. 개발비의 취득</t>
  </si>
  <si>
    <t>12. 단기금융상품의 증가</t>
  </si>
  <si>
    <t>13. 단기대여금의 증가</t>
  </si>
  <si>
    <t>14. 임차보증금의 증가</t>
  </si>
  <si>
    <t>15. 기타보증금의 증가</t>
  </si>
  <si>
    <t>16. 정부보조금의 사용</t>
  </si>
  <si>
    <t>III. 재무활동으로 인한 현금흐름</t>
  </si>
  <si>
    <t>(1) 재무활동으로 인한 현금유입액</t>
  </si>
  <si>
    <t>1. 단기차입금의 차입</t>
  </si>
  <si>
    <t>2. 장기차입금의 차입</t>
  </si>
  <si>
    <t>3. 사채의 발행</t>
  </si>
  <si>
    <t>4. 유상증자</t>
  </si>
  <si>
    <t>5. 연결자본거래로 인한 현금유입액</t>
  </si>
  <si>
    <t>(2) 재무활동으로 인한 현금유출액</t>
  </si>
  <si>
    <t>1. 단기차입금의 상환</t>
  </si>
  <si>
    <t>2. 유동성장기차입금의 상환</t>
  </si>
  <si>
    <t>3. 장기차입금의 상환</t>
  </si>
  <si>
    <t>4. 배당금의 지급</t>
  </si>
  <si>
    <t>IV. 현금의 증가(Ⅰ+Ⅱ+Ⅲ)</t>
  </si>
  <si>
    <t>V. 연결범위의 변동으로 인한 증감</t>
  </si>
  <si>
    <t>VI. 기초의 현금</t>
  </si>
  <si>
    <t>VII. 기말의 현금</t>
  </si>
  <si>
    <t>(d&amp;a)</t>
    <phoneticPr fontId="1" type="noConversion"/>
  </si>
  <si>
    <t>CAPEX - PPE</t>
    <phoneticPr fontId="1" type="noConversion"/>
  </si>
  <si>
    <t>CAPEX - Intangible Assets</t>
    <phoneticPr fontId="1" type="noConversion"/>
  </si>
  <si>
    <t>Other Investing Cashflows</t>
    <phoneticPr fontId="1" type="noConversion"/>
  </si>
  <si>
    <t>Depreciation</t>
    <phoneticPr fontId="1" type="noConversion"/>
  </si>
  <si>
    <t>Amortization</t>
    <phoneticPr fontId="1" type="noConversion"/>
  </si>
  <si>
    <t>(Increase) / Decrease in Net Working Capital</t>
    <phoneticPr fontId="1" type="noConversion"/>
  </si>
  <si>
    <t>Other Operating Cashflow</t>
    <phoneticPr fontId="1" type="noConversion"/>
  </si>
  <si>
    <t>Cashflow From Investing Activities</t>
    <phoneticPr fontId="1" type="noConversion"/>
  </si>
  <si>
    <t>Cashflow From Financing Activities</t>
    <phoneticPr fontId="1" type="noConversion"/>
  </si>
  <si>
    <t>Increase in Common Shares</t>
    <phoneticPr fontId="1" type="noConversion"/>
  </si>
  <si>
    <t>Increase in Short-Term Debt</t>
    <phoneticPr fontId="1" type="noConversion"/>
  </si>
  <si>
    <t>Decrease in Short-Term Debt</t>
    <phoneticPr fontId="1" type="noConversion"/>
  </si>
  <si>
    <t>Increase in Long-Term Debt</t>
    <phoneticPr fontId="1" type="noConversion"/>
  </si>
  <si>
    <t>Decrease in Long-Term Debt</t>
    <phoneticPr fontId="1" type="noConversion"/>
  </si>
  <si>
    <t>Other Financing Cashflow</t>
    <phoneticPr fontId="1" type="noConversion"/>
  </si>
  <si>
    <t>제조원가</t>
  </si>
  <si>
    <t>경상연구개발비</t>
  </si>
  <si>
    <t>급여</t>
  </si>
  <si>
    <t>퇴직급여</t>
  </si>
  <si>
    <t>복리후생비</t>
  </si>
  <si>
    <t>지급임차료</t>
  </si>
  <si>
    <t>세금과공과금</t>
  </si>
  <si>
    <t>합 계 </t>
  </si>
  <si>
    <t>유형자산 상각</t>
    <phoneticPr fontId="1" type="noConversion"/>
  </si>
  <si>
    <t>사용권 상각</t>
    <phoneticPr fontId="1" type="noConversion"/>
  </si>
  <si>
    <t>무형자산 상각</t>
    <phoneticPr fontId="1" type="noConversion"/>
  </si>
  <si>
    <t>DEP</t>
    <phoneticPr fontId="1" type="noConversion"/>
  </si>
  <si>
    <t>AMO</t>
    <phoneticPr fontId="1" type="noConversion"/>
  </si>
  <si>
    <t>[Revenue]</t>
    <phoneticPr fontId="1" type="noConversion"/>
  </si>
  <si>
    <t xml:space="preserve"> Total Revenue</t>
    <phoneticPr fontId="1" type="noConversion"/>
  </si>
  <si>
    <t>1. Samsung Electronics</t>
    <phoneticPr fontId="1" type="noConversion"/>
  </si>
  <si>
    <t>2. TSMC</t>
    <phoneticPr fontId="1" type="noConversion"/>
  </si>
  <si>
    <t>삼성전자</t>
    <phoneticPr fontId="1" type="noConversion"/>
  </si>
  <si>
    <t>마이크론</t>
    <phoneticPr fontId="1" type="noConversion"/>
  </si>
  <si>
    <t>TSMC</t>
    <phoneticPr fontId="1" type="noConversion"/>
  </si>
  <si>
    <t>대만</t>
    <phoneticPr fontId="1" type="noConversion"/>
  </si>
  <si>
    <t>대만 / 싱가폴</t>
    <phoneticPr fontId="1" type="noConversion"/>
  </si>
  <si>
    <t>키옥시아</t>
    <phoneticPr fontId="1" type="noConversion"/>
  </si>
  <si>
    <t>일본</t>
    <phoneticPr fontId="1" type="noConversion"/>
  </si>
  <si>
    <t>UMC</t>
    <phoneticPr fontId="1" type="noConversion"/>
  </si>
  <si>
    <t>SMIC</t>
    <phoneticPr fontId="1" type="noConversion"/>
  </si>
  <si>
    <t>중국</t>
    <phoneticPr fontId="1" type="noConversion"/>
  </si>
  <si>
    <t>PSMC</t>
    <phoneticPr fontId="1" type="noConversion"/>
  </si>
  <si>
    <t>한국 / 중국</t>
    <phoneticPr fontId="1" type="noConversion"/>
  </si>
  <si>
    <t>국내 + 중국</t>
    <phoneticPr fontId="1" type="noConversion"/>
  </si>
  <si>
    <t>- 당반기</t>
  </si>
  <si>
    <t>25 2Q</t>
    <phoneticPr fontId="1" type="noConversion"/>
  </si>
  <si>
    <t>- 삼성전자 점유율 15%에서 40%로 확대</t>
    <phoneticPr fontId="1" type="noConversion"/>
  </si>
  <si>
    <t>- TSMC 올해 40~50억 / 내년 100~110억</t>
    <phoneticPr fontId="1" type="noConversion"/>
  </si>
  <si>
    <t>- 28년까지 TSMC + 마이크론 수출 증가로 해외 매출 1500억</t>
    <phoneticPr fontId="1" type="noConversion"/>
  </si>
  <si>
    <t>- 25년 1600억 / 26년 2000~2100억</t>
    <phoneticPr fontId="1" type="noConversion"/>
  </si>
  <si>
    <t>24A-29F</t>
    <phoneticPr fontId="1" type="noConversion"/>
  </si>
  <si>
    <t>삼성전자/(국내+중국)</t>
    <phoneticPr fontId="1" type="noConversion"/>
  </si>
  <si>
    <r>
      <t xml:space="preserve">&lt;- Historical </t>
    </r>
    <r>
      <rPr>
        <i/>
        <sz val="10"/>
        <color theme="1"/>
        <rFont val="맑은 고딕"/>
        <family val="2"/>
        <charset val="129"/>
      </rPr>
      <t xml:space="preserve">하게 </t>
    </r>
    <r>
      <rPr>
        <i/>
        <sz val="10"/>
        <color theme="1"/>
        <rFont val="Calibri"/>
        <family val="2"/>
      </rPr>
      <t>sec/(</t>
    </r>
    <r>
      <rPr>
        <i/>
        <sz val="10"/>
        <color theme="1"/>
        <rFont val="맑은 고딕"/>
        <family val="2"/>
        <charset val="129"/>
      </rPr>
      <t>국내+중국) 비중 90% 이상 유지</t>
    </r>
    <phoneticPr fontId="1" type="noConversion"/>
  </si>
  <si>
    <t>- 24년도 기준 삼성전자 애프터마켓 전환율 20~25프로 수준</t>
    <phoneticPr fontId="1" type="noConversion"/>
  </si>
  <si>
    <t>[Revenue Driver]</t>
    <phoneticPr fontId="1" type="noConversion"/>
  </si>
  <si>
    <t>3. Others</t>
    <phoneticPr fontId="1" type="noConversion"/>
  </si>
  <si>
    <t>After Market Ratio</t>
    <phoneticPr fontId="1" type="noConversion"/>
  </si>
  <si>
    <t>업계 추정치 및 컨콜 참고한 가정</t>
    <phoneticPr fontId="1" type="noConversion"/>
  </si>
  <si>
    <t>23년도 기준</t>
    <phoneticPr fontId="1" type="noConversion"/>
  </si>
  <si>
    <t>M/S In SEC (Si)</t>
    <phoneticPr fontId="1" type="noConversion"/>
  </si>
  <si>
    <t>Si Parts Market Size</t>
    <phoneticPr fontId="1" type="noConversion"/>
  </si>
  <si>
    <t>yoy(%)</t>
    <phoneticPr fontId="1" type="noConversion"/>
  </si>
  <si>
    <r>
      <t xml:space="preserve">cmtx </t>
    </r>
    <r>
      <rPr>
        <i/>
        <sz val="10"/>
        <color theme="1"/>
        <rFont val="맑은 고딕"/>
        <family val="2"/>
        <charset val="129"/>
      </rPr>
      <t>추정치</t>
    </r>
    <r>
      <rPr>
        <i/>
        <sz val="10"/>
        <color theme="1"/>
        <rFont val="Calibri"/>
        <family val="2"/>
      </rPr>
      <t xml:space="preserve"> </t>
    </r>
    <r>
      <rPr>
        <i/>
        <sz val="10"/>
        <color theme="1"/>
        <rFont val="맑은 고딕"/>
        <family val="2"/>
        <charset val="129"/>
      </rPr>
      <t>사용</t>
    </r>
    <phoneticPr fontId="1" type="noConversion"/>
  </si>
  <si>
    <t>Si Parts Market Size to SEC</t>
    <phoneticPr fontId="1" type="noConversion"/>
  </si>
  <si>
    <t>1Q 25</t>
    <phoneticPr fontId="1" type="noConversion"/>
  </si>
  <si>
    <t>2Q 25</t>
    <phoneticPr fontId="1" type="noConversion"/>
  </si>
  <si>
    <t>3Q 25</t>
    <phoneticPr fontId="1" type="noConversion"/>
  </si>
  <si>
    <t>4Q 25</t>
    <phoneticPr fontId="1" type="noConversion"/>
  </si>
  <si>
    <t>2Q 24</t>
    <phoneticPr fontId="1" type="noConversion"/>
  </si>
  <si>
    <t>3Q 24</t>
    <phoneticPr fontId="1" type="noConversion"/>
  </si>
  <si>
    <t>4Q 24</t>
    <phoneticPr fontId="1" type="noConversion"/>
  </si>
  <si>
    <t>당반기</t>
  </si>
  <si>
    <t>전반기</t>
  </si>
  <si>
    <t>고객 A</t>
  </si>
  <si>
    <t>24 2Q</t>
    <phoneticPr fontId="1" type="noConversion"/>
  </si>
  <si>
    <t>YOY</t>
    <phoneticPr fontId="1" type="noConversion"/>
  </si>
  <si>
    <t>당 기</t>
  </si>
  <si>
    <t>전 기</t>
  </si>
  <si>
    <t>고객 B</t>
  </si>
  <si>
    <t>24 4Q</t>
    <phoneticPr fontId="1" type="noConversion"/>
  </si>
  <si>
    <t>23 4Q</t>
    <phoneticPr fontId="1" type="noConversion"/>
  </si>
  <si>
    <t>incremental</t>
    <phoneticPr fontId="1" type="noConversion"/>
  </si>
  <si>
    <r>
      <t>2025 SEC</t>
    </r>
    <r>
      <rPr>
        <b/>
        <u/>
        <sz val="10"/>
        <color theme="1"/>
        <rFont val="맑은 고딕"/>
        <family val="2"/>
        <charset val="129"/>
      </rPr>
      <t>향</t>
    </r>
    <r>
      <rPr>
        <b/>
        <u/>
        <sz val="10"/>
        <color theme="1"/>
        <rFont val="Calibri"/>
        <family val="2"/>
      </rPr>
      <t xml:space="preserve"> </t>
    </r>
    <r>
      <rPr>
        <b/>
        <u/>
        <sz val="10"/>
        <color theme="1"/>
        <rFont val="맑은 고딕"/>
        <family val="2"/>
        <charset val="129"/>
      </rPr>
      <t>실적 추정</t>
    </r>
    <phoneticPr fontId="1" type="noConversion"/>
  </si>
  <si>
    <r>
      <t xml:space="preserve">Si </t>
    </r>
    <r>
      <rPr>
        <i/>
        <sz val="10"/>
        <color theme="1"/>
        <rFont val="맑은 고딕"/>
        <family val="2"/>
        <charset val="129"/>
      </rPr>
      <t>파츠 시장 내 SEC 포지션은 동일함 가정</t>
    </r>
    <phoneticPr fontId="1" type="noConversion"/>
  </si>
  <si>
    <r>
      <t xml:space="preserve">HALF of A/M </t>
    </r>
    <r>
      <rPr>
        <i/>
        <sz val="10"/>
        <color theme="1"/>
        <rFont val="맑은 고딕"/>
        <family val="2"/>
        <charset val="129"/>
      </rPr>
      <t>가정</t>
    </r>
    <phoneticPr fontId="1" type="noConversion"/>
  </si>
  <si>
    <t>https://reports.valuates.com/market-reports/QYRE-Auto-32I16260/global-silicon-equipment-components#:~:text=FAQ%20for%20this%20report%20*%20Ans:%20The,in%202031%20will%20be%20US$%203250%20million.</t>
  </si>
  <si>
    <t>- SI 파츠 마켓 사이즈 (시장조사기관)</t>
    <phoneticPr fontId="1" type="noConversion"/>
  </si>
  <si>
    <t>https://contents.premium.naver.com/qyresearch/insight/contents/250910132420403ac</t>
  </si>
  <si>
    <t>1. For Samsung Electronics</t>
    <phoneticPr fontId="1" type="noConversion"/>
  </si>
  <si>
    <t>2. For TSMC</t>
    <phoneticPr fontId="1" type="noConversion"/>
  </si>
  <si>
    <t>Si Parts Market Size to TSMC</t>
    <phoneticPr fontId="1" type="noConversion"/>
  </si>
  <si>
    <t>Non - Memory Ratio in Si parts Market(%)</t>
    <phoneticPr fontId="1" type="noConversion"/>
  </si>
  <si>
    <t xml:space="preserve">TSMC M/S(%) </t>
    <phoneticPr fontId="1" type="noConversion"/>
  </si>
  <si>
    <t>Guidance</t>
    <phoneticPr fontId="1" type="noConversion"/>
  </si>
  <si>
    <t>M/S in TSMC</t>
    <phoneticPr fontId="1" type="noConversion"/>
  </si>
  <si>
    <t>https://m.blog.naver.com/copilot5/223499221984</t>
  </si>
  <si>
    <t>- 월덱스 -&gt; TSMC향 300억 매출 안나옴(24년 기준)</t>
    <phoneticPr fontId="1" type="noConversion"/>
  </si>
  <si>
    <t>3. For Others</t>
    <phoneticPr fontId="1" type="noConversion"/>
  </si>
  <si>
    <t>% of Sales</t>
    <phoneticPr fontId="1" type="noConversion"/>
  </si>
  <si>
    <t>Si Parts Market Size to Others</t>
    <phoneticPr fontId="1" type="noConversion"/>
  </si>
  <si>
    <t>[COGS]</t>
    <phoneticPr fontId="1" type="noConversion"/>
  </si>
  <si>
    <t xml:space="preserve">M/S in Others(%) </t>
    <phoneticPr fontId="1" type="noConversion"/>
  </si>
  <si>
    <t>cogs</t>
    <phoneticPr fontId="1" type="noConversion"/>
  </si>
  <si>
    <t>(1) 제품매출원가</t>
  </si>
  <si>
    <t>판관비</t>
    <phoneticPr fontId="1" type="noConversion"/>
  </si>
  <si>
    <t>주관이 개입될 여지가 높은 추정</t>
    <phoneticPr fontId="1" type="noConversion"/>
  </si>
  <si>
    <t>COGS</t>
    <phoneticPr fontId="1" type="noConversion"/>
  </si>
  <si>
    <t>GPM(%)</t>
    <phoneticPr fontId="1" type="noConversion"/>
  </si>
  <si>
    <t>                                                                           (단위 : 원)</t>
  </si>
  <si>
    <t>R&amp;D</t>
    <phoneticPr fontId="1" type="noConversion"/>
  </si>
  <si>
    <t>IV. 판매비와관리비(주석18)</t>
  </si>
  <si>
    <t>1. 급여</t>
  </si>
  <si>
    <t>2. 퇴직급여(주석12)</t>
  </si>
  <si>
    <t>3. 복리후생비</t>
  </si>
  <si>
    <t>4. 여비교통비</t>
  </si>
  <si>
    <t>5. 접대비</t>
  </si>
  <si>
    <t>6. 통신비</t>
  </si>
  <si>
    <t>7. 수도광열비</t>
  </si>
  <si>
    <t>8. 세금과공과금</t>
  </si>
  <si>
    <t>9. 감가상각비</t>
  </si>
  <si>
    <t>10. 지급임차료</t>
  </si>
  <si>
    <t>11. 수선비</t>
  </si>
  <si>
    <t>12. 대손상각비</t>
  </si>
  <si>
    <t>13. 무형자산상각비</t>
  </si>
  <si>
    <t>14. 보험료</t>
  </si>
  <si>
    <t>15. 차량유지비</t>
  </si>
  <si>
    <t>16. 경상연구개발비(주석8)</t>
  </si>
  <si>
    <t>17. 운반비</t>
  </si>
  <si>
    <t>18. 교육훈련비</t>
  </si>
  <si>
    <t>19. 소모품비</t>
  </si>
  <si>
    <t>20. 지급수수료</t>
  </si>
  <si>
    <t>21. 광고선전비</t>
  </si>
  <si>
    <t>22. 건물관리비</t>
  </si>
  <si>
    <t>23. 수출제비용</t>
  </si>
  <si>
    <t>24. 판매수수료</t>
  </si>
  <si>
    <t>25. 견본비</t>
  </si>
  <si>
    <t>26. 도서인쇄비</t>
  </si>
  <si>
    <t>과 목</t>
  </si>
  <si>
    <t>상여금</t>
  </si>
  <si>
    <t>여비교통비</t>
  </si>
  <si>
    <t>차량유지비</t>
  </si>
  <si>
    <t>통신비</t>
  </si>
  <si>
    <t>세금과공과</t>
  </si>
  <si>
    <t>지급수수료</t>
  </si>
  <si>
    <t>임차료</t>
  </si>
  <si>
    <t>보험료</t>
  </si>
  <si>
    <t>접대비</t>
  </si>
  <si>
    <t>광고선전비</t>
  </si>
  <si>
    <t>소모품비</t>
  </si>
  <si>
    <t>사무용품비</t>
  </si>
  <si>
    <t>도서인쇄비</t>
  </si>
  <si>
    <t>교육훈련비</t>
  </si>
  <si>
    <t>운반비</t>
  </si>
  <si>
    <t>주식보상비용</t>
  </si>
  <si>
    <t>대손상각비</t>
  </si>
  <si>
    <t>수출제비용</t>
  </si>
  <si>
    <t>판매수수료</t>
  </si>
  <si>
    <t>수선비</t>
  </si>
  <si>
    <t>외주용역비</t>
  </si>
  <si>
    <t>판매비와 관리비의 합계</t>
  </si>
  <si>
    <t>27. 상여금</t>
    <phoneticPr fontId="1" type="noConversion"/>
  </si>
  <si>
    <t>28. 기타</t>
    <phoneticPr fontId="1" type="noConversion"/>
  </si>
  <si>
    <t>원부재료 및 소모품사용</t>
  </si>
  <si>
    <t>상품의 매입</t>
  </si>
  <si>
    <t>주식기준보상</t>
  </si>
  <si>
    <t>감가상각 및 무형자산상각</t>
  </si>
  <si>
    <t>기타 비용</t>
  </si>
  <si>
    <t>매출원가 및 판매비와 관리비 합계</t>
  </si>
  <si>
    <t>SG&amp;A</t>
    <phoneticPr fontId="1" type="noConversion"/>
  </si>
  <si>
    <t>기초-기말 재고</t>
    <phoneticPr fontId="1" type="noConversion"/>
  </si>
  <si>
    <t>기초제품재고액</t>
    <phoneticPr fontId="1" type="noConversion"/>
  </si>
  <si>
    <t>기말제품재고액</t>
    <phoneticPr fontId="1" type="noConversion"/>
  </si>
  <si>
    <t>당기제품제조원가(주석18)</t>
    <phoneticPr fontId="1" type="noConversion"/>
  </si>
  <si>
    <t>재고자산평가손실</t>
    <phoneticPr fontId="1" type="noConversion"/>
  </si>
  <si>
    <t>타계정으로대체액</t>
    <phoneticPr fontId="1" type="noConversion"/>
  </si>
  <si>
    <t>성격별 분류</t>
    <phoneticPr fontId="1" type="noConversion"/>
  </si>
  <si>
    <t>판관비 세부 계정</t>
    <phoneticPr fontId="1" type="noConversion"/>
  </si>
  <si>
    <t>실제 COGS</t>
    <phoneticPr fontId="1" type="noConversion"/>
  </si>
  <si>
    <t>분리 합산 COGS</t>
    <phoneticPr fontId="1" type="noConversion"/>
  </si>
  <si>
    <t>취득원가</t>
  </si>
  <si>
    <t>평가손실충당금</t>
  </si>
  <si>
    <t>장부금액</t>
  </si>
  <si>
    <t>제품</t>
  </si>
  <si>
    <t>재공품</t>
  </si>
  <si>
    <t>원재료</t>
  </si>
  <si>
    <t>부재료</t>
  </si>
  <si>
    <t>상품</t>
  </si>
  <si>
    <t>24말</t>
    <phoneticPr fontId="1" type="noConversion"/>
  </si>
  <si>
    <t>23말</t>
    <phoneticPr fontId="1" type="noConversion"/>
  </si>
  <si>
    <t>재고자산의 변동(제품,제공품,상품의 변동)</t>
    <phoneticPr fontId="1" type="noConversion"/>
  </si>
  <si>
    <t>22말</t>
    <phoneticPr fontId="1" type="noConversion"/>
  </si>
  <si>
    <t>[COGS Driver]</t>
    <phoneticPr fontId="1" type="noConversion"/>
  </si>
  <si>
    <r>
      <t>25</t>
    </r>
    <r>
      <rPr>
        <i/>
        <sz val="10"/>
        <color theme="1"/>
        <rFont val="맑은 고딕"/>
        <family val="2"/>
        <charset val="129"/>
      </rPr>
      <t>년 1분기 데이터 공백(비상장)</t>
    </r>
    <phoneticPr fontId="1" type="noConversion"/>
  </si>
  <si>
    <t>Change in Inventory</t>
    <phoneticPr fontId="1" type="noConversion"/>
  </si>
  <si>
    <t>Finished Goods</t>
    <phoneticPr fontId="1" type="noConversion"/>
  </si>
  <si>
    <t>Work in Process(WIP)</t>
    <phoneticPr fontId="1" type="noConversion"/>
  </si>
  <si>
    <t>Merchandise</t>
    <phoneticPr fontId="1" type="noConversion"/>
  </si>
  <si>
    <t>Raw materials and consumables used</t>
    <phoneticPr fontId="1" type="noConversion"/>
  </si>
  <si>
    <t>Purchases of merchandise</t>
    <phoneticPr fontId="1" type="noConversion"/>
  </si>
  <si>
    <t>Salaries and wages</t>
    <phoneticPr fontId="1" type="noConversion"/>
  </si>
  <si>
    <t>Retirment benefits</t>
    <phoneticPr fontId="1" type="noConversion"/>
  </si>
  <si>
    <t xml:space="preserve">Shared-based compensation </t>
    <phoneticPr fontId="1" type="noConversion"/>
  </si>
  <si>
    <t>D&amp;A</t>
    <phoneticPr fontId="1" type="noConversion"/>
  </si>
  <si>
    <t>Lease payments</t>
    <phoneticPr fontId="1" type="noConversion"/>
  </si>
  <si>
    <t>Commission fees</t>
    <phoneticPr fontId="1" type="noConversion"/>
  </si>
  <si>
    <t>Other expenses</t>
    <phoneticPr fontId="1" type="noConversion"/>
  </si>
  <si>
    <t>Days Finished Goods Outstanding</t>
    <phoneticPr fontId="1" type="noConversion"/>
  </si>
  <si>
    <r>
      <t>24</t>
    </r>
    <r>
      <rPr>
        <i/>
        <sz val="10"/>
        <color theme="1"/>
        <rFont val="맑은 고딕"/>
        <family val="2"/>
        <charset val="129"/>
      </rPr>
      <t>년도 따라가는 것으로 가정</t>
    </r>
    <phoneticPr fontId="1" type="noConversion"/>
  </si>
  <si>
    <r>
      <t>2</t>
    </r>
    <r>
      <rPr>
        <i/>
        <sz val="10"/>
        <rFont val="맑은 고딕"/>
        <family val="2"/>
        <charset val="129"/>
      </rPr>
      <t>개년 중앙값</t>
    </r>
    <phoneticPr fontId="1" type="noConversion"/>
  </si>
  <si>
    <t>[SG&amp;A]</t>
    <phoneticPr fontId="1" type="noConversion"/>
  </si>
  <si>
    <t>1. Labor cost</t>
    <phoneticPr fontId="1" type="noConversion"/>
  </si>
  <si>
    <t>2. D&amp;A</t>
    <phoneticPr fontId="1" type="noConversion"/>
  </si>
  <si>
    <t>3. R&amp;D</t>
    <phoneticPr fontId="1" type="noConversion"/>
  </si>
  <si>
    <t>4. Sales &amp; Marketing</t>
    <phoneticPr fontId="1" type="noConversion"/>
  </si>
  <si>
    <t>5. Other G&amp;A</t>
    <phoneticPr fontId="1" type="noConversion"/>
  </si>
  <si>
    <t>[SG&amp;A Analysis]</t>
    <phoneticPr fontId="1" type="noConversion"/>
  </si>
  <si>
    <t>[Labor Cost]</t>
    <phoneticPr fontId="1" type="noConversion"/>
  </si>
  <si>
    <t>Labot cost</t>
    <phoneticPr fontId="1" type="noConversion"/>
  </si>
  <si>
    <t>&gt; COGS</t>
    <phoneticPr fontId="1" type="noConversion"/>
  </si>
  <si>
    <t>&gt; SG&amp;A</t>
    <phoneticPr fontId="1" type="noConversion"/>
  </si>
  <si>
    <t>Other Cashflow Activities</t>
    <phoneticPr fontId="1" type="noConversion"/>
  </si>
  <si>
    <t>Net change in Cash During Period</t>
    <phoneticPr fontId="1" type="noConversion"/>
  </si>
  <si>
    <t>[Working Capital Schedule]</t>
    <phoneticPr fontId="1" type="noConversion"/>
  </si>
  <si>
    <t>(Net) Working Capital</t>
    <phoneticPr fontId="1" type="noConversion"/>
  </si>
  <si>
    <t>Increase / (Decrease) in Net Working Capital</t>
    <phoneticPr fontId="1" type="noConversion"/>
  </si>
  <si>
    <t>Current Asset (Operating)</t>
    <phoneticPr fontId="1" type="noConversion"/>
  </si>
  <si>
    <t>Current Liability (Operating)</t>
    <phoneticPr fontId="1" type="noConversion"/>
  </si>
  <si>
    <t>Accounts Payables</t>
    <phoneticPr fontId="1" type="noConversion"/>
  </si>
  <si>
    <t>Other Current Liabilities</t>
    <phoneticPr fontId="1" type="noConversion"/>
  </si>
  <si>
    <t>[Working Capital Analysis]</t>
    <phoneticPr fontId="1" type="noConversion"/>
  </si>
  <si>
    <t>Days Sales Outstanding (DSO)</t>
    <phoneticPr fontId="1" type="noConversion"/>
  </si>
  <si>
    <t>Days Inventory Outstanding (DIO)</t>
    <phoneticPr fontId="1" type="noConversion"/>
  </si>
  <si>
    <t>O.C.A as % of Sales</t>
    <phoneticPr fontId="1" type="noConversion"/>
  </si>
  <si>
    <t>Days Payable Outstanding (DPO)</t>
    <phoneticPr fontId="1" type="noConversion"/>
  </si>
  <si>
    <t>O.C.L as % of Sales</t>
    <phoneticPr fontId="1" type="noConversion"/>
  </si>
  <si>
    <t>매출채권</t>
    <phoneticPr fontId="1" type="noConversion"/>
  </si>
  <si>
    <t>기타유동채권</t>
    <phoneticPr fontId="1" type="noConversion"/>
  </si>
  <si>
    <r>
      <rPr>
        <i/>
        <sz val="10"/>
        <color theme="1"/>
        <rFont val="맑은 고딕"/>
        <family val="2"/>
        <charset val="129"/>
      </rPr>
      <t>과거</t>
    </r>
    <r>
      <rPr>
        <i/>
        <sz val="10"/>
        <color theme="1"/>
        <rFont val="Calibri"/>
        <family val="2"/>
      </rPr>
      <t xml:space="preserve"> 2</t>
    </r>
    <r>
      <rPr>
        <i/>
        <sz val="10"/>
        <color theme="1"/>
        <rFont val="맑은 고딕"/>
        <family val="2"/>
        <charset val="129"/>
      </rPr>
      <t>개년</t>
    </r>
    <r>
      <rPr>
        <i/>
        <sz val="10"/>
        <color theme="1"/>
        <rFont val="Calibri"/>
        <family val="2"/>
      </rPr>
      <t xml:space="preserve"> </t>
    </r>
    <r>
      <rPr>
        <i/>
        <sz val="10"/>
        <color theme="1"/>
        <rFont val="맑은 고딕"/>
        <family val="2"/>
        <charset val="129"/>
      </rPr>
      <t>평균</t>
    </r>
    <phoneticPr fontId="1" type="noConversion"/>
  </si>
  <si>
    <t>FVPL</t>
    <phoneticPr fontId="1" type="noConversion"/>
  </si>
  <si>
    <r>
      <rPr>
        <i/>
        <sz val="10"/>
        <color theme="1"/>
        <rFont val="맑은 고딕"/>
        <family val="2"/>
        <charset val="129"/>
      </rPr>
      <t>과거</t>
    </r>
    <r>
      <rPr>
        <i/>
        <sz val="10"/>
        <color theme="1"/>
        <rFont val="Calibri"/>
        <family val="2"/>
      </rPr>
      <t xml:space="preserve"> 3</t>
    </r>
    <r>
      <rPr>
        <i/>
        <sz val="10"/>
        <color theme="1"/>
        <rFont val="맑은 고딕"/>
        <family val="2"/>
        <charset val="129"/>
      </rPr>
      <t>개년</t>
    </r>
    <r>
      <rPr>
        <i/>
        <sz val="10"/>
        <color theme="1"/>
        <rFont val="Calibri"/>
        <family val="2"/>
      </rPr>
      <t xml:space="preserve"> </t>
    </r>
    <r>
      <rPr>
        <i/>
        <sz val="10"/>
        <color theme="1"/>
        <rFont val="맑은 고딕"/>
        <family val="2"/>
        <charset val="129"/>
      </rPr>
      <t>평균</t>
    </r>
    <phoneticPr fontId="1" type="noConversion"/>
  </si>
  <si>
    <r>
      <t xml:space="preserve">CMTX RCPS </t>
    </r>
    <r>
      <rPr>
        <i/>
        <sz val="10"/>
        <color theme="1"/>
        <rFont val="맑은 고딕"/>
        <family val="2"/>
        <charset val="129"/>
      </rPr>
      <t>계정</t>
    </r>
    <r>
      <rPr>
        <i/>
        <sz val="10"/>
        <color theme="1"/>
        <rFont val="Calibri"/>
        <family val="2"/>
      </rPr>
      <t xml:space="preserve"> -&gt; </t>
    </r>
    <r>
      <rPr>
        <i/>
        <sz val="10"/>
        <color theme="1"/>
        <rFont val="맑은 고딕"/>
        <family val="2"/>
        <charset val="129"/>
      </rPr>
      <t>보통주 전환</t>
    </r>
    <phoneticPr fontId="1" type="noConversion"/>
  </si>
  <si>
    <t>[PPE Schedule]</t>
    <phoneticPr fontId="1" type="noConversion"/>
  </si>
  <si>
    <t>PPE (BOP)</t>
    <phoneticPr fontId="1" type="noConversion"/>
  </si>
  <si>
    <t>(+) CAPEX</t>
    <phoneticPr fontId="1" type="noConversion"/>
  </si>
  <si>
    <t>(-) Depreciation</t>
    <phoneticPr fontId="1" type="noConversion"/>
  </si>
  <si>
    <t>% of PPE (BOP)</t>
    <phoneticPr fontId="1" type="noConversion"/>
  </si>
  <si>
    <t>PPE (EOP)</t>
    <phoneticPr fontId="1" type="noConversion"/>
  </si>
  <si>
    <t>Maintenance CAPEX</t>
    <phoneticPr fontId="1" type="noConversion"/>
  </si>
  <si>
    <t>Expansion CAPEX</t>
    <phoneticPr fontId="1" type="noConversion"/>
  </si>
  <si>
    <t>공모자금 세부 사용 계획 참고 / 추정상 27년도쯤 증설 가능성 유</t>
    <phoneticPr fontId="1" type="noConversion"/>
  </si>
  <si>
    <t>[D&amp;A Allocation]</t>
    <phoneticPr fontId="1" type="noConversion"/>
  </si>
  <si>
    <t>Total Depreciation</t>
    <phoneticPr fontId="1" type="noConversion"/>
  </si>
  <si>
    <t>I.A</t>
    <phoneticPr fontId="1" type="noConversion"/>
  </si>
  <si>
    <t>(KRW B, unless stated otherwise)</t>
    <phoneticPr fontId="1" type="noConversion"/>
  </si>
  <si>
    <t>I.A (BOP)</t>
    <phoneticPr fontId="1" type="noConversion"/>
  </si>
  <si>
    <t>(-) Amortization</t>
    <phoneticPr fontId="1" type="noConversion"/>
  </si>
  <si>
    <t>% of Intangible Asset (BOP)</t>
    <phoneticPr fontId="1" type="noConversion"/>
  </si>
  <si>
    <t>I.A (EOP)</t>
    <phoneticPr fontId="1" type="noConversion"/>
  </si>
  <si>
    <r>
      <t>4</t>
    </r>
    <r>
      <rPr>
        <sz val="10"/>
        <color theme="1"/>
        <rFont val="맑은 고딕"/>
        <family val="2"/>
        <charset val="129"/>
      </rPr>
      <t>년 상각 가정</t>
    </r>
    <phoneticPr fontId="1" type="noConversion"/>
  </si>
  <si>
    <t>% in SG&amp;A</t>
    <phoneticPr fontId="1" type="noConversion"/>
  </si>
  <si>
    <t>Total Amortiazation</t>
    <phoneticPr fontId="1" type="noConversion"/>
  </si>
  <si>
    <t>[Debt Schedule]</t>
    <phoneticPr fontId="1" type="noConversion"/>
  </si>
  <si>
    <t>(+) Issuance</t>
    <phoneticPr fontId="1" type="noConversion"/>
  </si>
  <si>
    <t>(-) Repayment</t>
    <phoneticPr fontId="1" type="noConversion"/>
  </si>
  <si>
    <t>Short-Term Debt (BOP)</t>
    <phoneticPr fontId="1" type="noConversion"/>
  </si>
  <si>
    <t>Short-Term Debt (EOP)</t>
    <phoneticPr fontId="1" type="noConversion"/>
  </si>
  <si>
    <t>Short - Term Debt</t>
    <phoneticPr fontId="1" type="noConversion"/>
  </si>
  <si>
    <t>Long - Term Debt</t>
    <phoneticPr fontId="1" type="noConversion"/>
  </si>
  <si>
    <t>Other Non - Current Liabilities</t>
    <phoneticPr fontId="1" type="noConversion"/>
  </si>
  <si>
    <t>차입처</t>
  </si>
  <si>
    <t>최장만기일</t>
  </si>
  <si>
    <t>연이자율(%)</t>
  </si>
  <si>
    <t>당기말</t>
  </si>
  <si>
    <t>전기말</t>
  </si>
  <si>
    <t>단기차입금</t>
  </si>
  <si>
    <t>운전자금</t>
  </si>
  <si>
    <t>우리은행(주4)</t>
  </si>
  <si>
    <t>신한은행(주4)</t>
  </si>
  <si>
    <t>시설자금</t>
  </si>
  <si>
    <t>신한은행(주2)(주4)</t>
  </si>
  <si>
    <t>대구은행(주4)</t>
  </si>
  <si>
    <t>2.90 ~ 3.21</t>
  </si>
  <si>
    <t>수출입은행(주1)(주4)</t>
  </si>
  <si>
    <t>외화차입금</t>
  </si>
  <si>
    <t>수출입은행</t>
  </si>
  <si>
    <t>산업은행(주4)</t>
  </si>
  <si>
    <t>신한은행</t>
  </si>
  <si>
    <t>신한은행(주2)</t>
  </si>
  <si>
    <t>소 계</t>
  </si>
  <si>
    <t>장기차입금</t>
  </si>
  <si>
    <t>우리은행(주2)(주4)</t>
  </si>
  <si>
    <t>1.50 ~ 2.60</t>
  </si>
  <si>
    <t>중소벤처기업진흥공단(주2)(주3)</t>
  </si>
  <si>
    <t>1.99 ~ 3.22</t>
  </si>
  <si>
    <t>산업은행</t>
  </si>
  <si>
    <t>3.31 ~ 5.09</t>
  </si>
  <si>
    <t>중소벤처기업진흥공단(주1)(주2)</t>
  </si>
  <si>
    <t>차감: 유동성 대체</t>
  </si>
  <si>
    <t>가감계</t>
  </si>
  <si>
    <t>우리은행</t>
  </si>
  <si>
    <t>신한은행(주1)(주3)</t>
  </si>
  <si>
    <t>대구은행(주3)</t>
  </si>
  <si>
    <t>신한은행(주1)</t>
  </si>
  <si>
    <t>우리은행(주1)(주3)</t>
  </si>
  <si>
    <t>1.50 ~ 2.91</t>
  </si>
  <si>
    <t>신한은행(주3)</t>
  </si>
  <si>
    <t>2.30 ~ 3.33</t>
  </si>
  <si>
    <t>중소벤처기업진흥공단(주1)</t>
  </si>
  <si>
    <t>25년 상환 추정</t>
    <phoneticPr fontId="1" type="noConversion"/>
  </si>
  <si>
    <t>% of Asset</t>
    <phoneticPr fontId="1" type="noConversion"/>
  </si>
  <si>
    <t>Total Debt (BOP)</t>
    <phoneticPr fontId="1" type="noConversion"/>
  </si>
  <si>
    <t>Total Debt (EOP)</t>
    <phoneticPr fontId="1" type="noConversion"/>
  </si>
  <si>
    <t>연도별 채무상환자금 세부 계획 참고</t>
    <phoneticPr fontId="1" type="noConversion"/>
  </si>
  <si>
    <t>[연도별 채무상환자금 세부 사용 계획]</t>
  </si>
  <si>
    <t>채무상환자금</t>
  </si>
  <si>
    <t>차입금 상환</t>
  </si>
  <si>
    <t>Long-Term Debt (BOP)</t>
    <phoneticPr fontId="1" type="noConversion"/>
  </si>
  <si>
    <t>Long-Term Debt (EOP)</t>
    <phoneticPr fontId="1" type="noConversion"/>
  </si>
  <si>
    <t>공모자금 들어왔으니 추가 차입 없음 가정</t>
    <phoneticPr fontId="1" type="noConversion"/>
  </si>
  <si>
    <t>매출액 대비 비중 15% 가정해서 하드코딩</t>
    <phoneticPr fontId="1" type="noConversion"/>
  </si>
  <si>
    <t>D&amp;A Allocation</t>
    <phoneticPr fontId="1" type="noConversion"/>
  </si>
  <si>
    <t>Interest - Bearing Debt (EOP)</t>
    <phoneticPr fontId="1" type="noConversion"/>
  </si>
  <si>
    <t>Interest - Bearing Debt (Average)</t>
    <phoneticPr fontId="1" type="noConversion"/>
  </si>
  <si>
    <t>(x) Interest Rate</t>
    <phoneticPr fontId="1" type="noConversion"/>
  </si>
  <si>
    <t>Interest Expense</t>
    <phoneticPr fontId="1" type="noConversion"/>
  </si>
  <si>
    <t>이자비용</t>
  </si>
  <si>
    <t>이자비용</t>
    <phoneticPr fontId="1" type="noConversion"/>
  </si>
  <si>
    <t>나머지</t>
    <phoneticPr fontId="1" type="noConversion"/>
  </si>
  <si>
    <t>이자수익</t>
  </si>
  <si>
    <t>이자수익</t>
    <phoneticPr fontId="1" type="noConversion"/>
  </si>
  <si>
    <t>VI. 영업외수익</t>
  </si>
  <si>
    <t>1. 이자수익</t>
  </si>
  <si>
    <t>2. 외환차익</t>
  </si>
  <si>
    <t>3. 외화환산이익(주석17)</t>
  </si>
  <si>
    <t>4. 유형자산처분이익</t>
  </si>
  <si>
    <t>5. 기타의대손충당금환입</t>
  </si>
  <si>
    <t>6. 잡이익</t>
  </si>
  <si>
    <t>VII. 영업외비용</t>
  </si>
  <si>
    <t>1. 이자비용</t>
  </si>
  <si>
    <t>2. 외환차손</t>
  </si>
  <si>
    <t>3. 외화환산손실(주석17)</t>
  </si>
  <si>
    <t>4. 유형자산손상차손</t>
  </si>
  <si>
    <t>5. 무형자산손상차손</t>
  </si>
  <si>
    <t>6. 재고자산폐기손실</t>
  </si>
  <si>
    <t>7. 지분법손실</t>
  </si>
  <si>
    <t>8. 잡손실</t>
  </si>
  <si>
    <t>  금융기관예치금</t>
  </si>
  <si>
    <t>  임차보증금 현재가치할인차금</t>
  </si>
  <si>
    <t>당기손익-공정가치측정금융부채 평가이익</t>
  </si>
  <si>
    <t>외환차익</t>
  </si>
  <si>
    <t>외화환산이익</t>
  </si>
  <si>
    <t>파생상품평가이익</t>
  </si>
  <si>
    <t>  금융기관차입금</t>
  </si>
  <si>
    <t>  상환전환우선주</t>
  </si>
  <si>
    <t>  리스부채</t>
  </si>
  <si>
    <t>당기손익-공정가치측정금융부채 평가손실</t>
  </si>
  <si>
    <t>상각후원가측정금융자산 처분손실</t>
  </si>
  <si>
    <t>외환차손</t>
  </si>
  <si>
    <t>외화환산손실</t>
  </si>
  <si>
    <t>파생상품평가손실</t>
  </si>
  <si>
    <t>중도상환수수료</t>
  </si>
  <si>
    <t>Interest Expense From IBD</t>
    <phoneticPr fontId="1" type="noConversion"/>
  </si>
  <si>
    <t>RCPS (EOP)</t>
    <phoneticPr fontId="1" type="noConversion"/>
  </si>
  <si>
    <t>Interest Expense From RCPS</t>
    <phoneticPr fontId="1" type="noConversion"/>
  </si>
  <si>
    <t>명칭</t>
  </si>
  <si>
    <t>발행일</t>
  </si>
  <si>
    <t>만기일</t>
  </si>
  <si>
    <t>제3회 상환전환우선주</t>
  </si>
  <si>
    <t>액면금액</t>
  </si>
  <si>
    <t>상환할증금</t>
  </si>
  <si>
    <t>전환권조정</t>
  </si>
  <si>
    <t>소      계</t>
  </si>
  <si>
    <t>제4회 상환전환우선주</t>
  </si>
  <si>
    <t>제5회 상환전환우선주</t>
  </si>
  <si>
    <t>제6회 상환전환우선주</t>
  </si>
  <si>
    <t>셀릭</t>
  </si>
  <si>
    <t>제1회 상환전환우선주</t>
  </si>
  <si>
    <r>
      <rPr>
        <sz val="10"/>
        <color theme="1"/>
        <rFont val="맑은 고딕"/>
        <family val="2"/>
        <charset val="129"/>
      </rPr>
      <t>자회사</t>
    </r>
    <r>
      <rPr>
        <sz val="10"/>
        <color theme="1"/>
        <rFont val="Calibri"/>
        <family val="2"/>
      </rPr>
      <t>(</t>
    </r>
    <r>
      <rPr>
        <sz val="10"/>
        <color theme="1"/>
        <rFont val="맑은 고딕"/>
        <family val="2"/>
        <charset val="129"/>
      </rPr>
      <t>셀릭</t>
    </r>
    <r>
      <rPr>
        <sz val="10"/>
        <color theme="1"/>
        <rFont val="Calibri"/>
        <family val="2"/>
      </rPr>
      <t xml:space="preserve">) RCPS </t>
    </r>
    <r>
      <rPr>
        <sz val="10"/>
        <color theme="1"/>
        <rFont val="맑은 고딕"/>
        <family val="2"/>
        <charset val="129"/>
      </rPr>
      <t>분석</t>
    </r>
    <r>
      <rPr>
        <sz val="10"/>
        <color theme="1"/>
        <rFont val="Calibri"/>
        <family val="2"/>
        <charset val="129"/>
      </rPr>
      <t xml:space="preserve"> (26</t>
    </r>
    <r>
      <rPr>
        <sz val="10"/>
        <color theme="1"/>
        <rFont val="맑은 고딕"/>
        <family val="2"/>
        <charset val="129"/>
      </rPr>
      <t>년도 상환 미가정)</t>
    </r>
    <phoneticPr fontId="1" type="noConversion"/>
  </si>
  <si>
    <t>누적</t>
  </si>
  <si>
    <t>당기손익-공정가치측정 금융부채 평가손실</t>
  </si>
  <si>
    <t>상각후원가측정금융자산처분손실</t>
  </si>
  <si>
    <t>25 3q</t>
    <phoneticPr fontId="1" type="noConversion"/>
  </si>
  <si>
    <t>[Income Tax Schedule]</t>
    <phoneticPr fontId="1" type="noConversion"/>
  </si>
  <si>
    <t>Taxable Income (EBT)</t>
  </si>
  <si>
    <t>KRW0B ~ KRW0.2B</t>
  </si>
  <si>
    <t>KRW0.2B ~ KRW20B</t>
  </si>
  <si>
    <t>KRW20B ~ KRW300B</t>
  </si>
  <si>
    <t>KRW300B ~</t>
  </si>
  <si>
    <t>Corporate Tax Rate</t>
  </si>
  <si>
    <t>Min</t>
  </si>
  <si>
    <t>Max</t>
  </si>
  <si>
    <t>Tax Rate</t>
  </si>
  <si>
    <t>NA</t>
  </si>
  <si>
    <t>Local Tax</t>
  </si>
  <si>
    <t>Total Tax Expense</t>
    <phoneticPr fontId="1" type="noConversion"/>
  </si>
  <si>
    <t>A) Corporate Tax</t>
  </si>
  <si>
    <t>B) Local Tax</t>
  </si>
  <si>
    <t>Effective Tax Rate (%)</t>
  </si>
  <si>
    <t>[Common Stock effect from IPO]</t>
    <phoneticPr fontId="1" type="noConversion"/>
  </si>
  <si>
    <t>Common Stock</t>
    <phoneticPr fontId="1" type="noConversion"/>
  </si>
  <si>
    <t>APIC</t>
    <phoneticPr fontId="1" type="noConversion"/>
  </si>
  <si>
    <t>Before</t>
    <phoneticPr fontId="1" type="noConversion"/>
  </si>
  <si>
    <t>After</t>
    <phoneticPr fontId="1" type="noConversion"/>
  </si>
  <si>
    <t>Face Value</t>
    <phoneticPr fontId="1" type="noConversion"/>
  </si>
  <si>
    <t>#  of shares</t>
    <phoneticPr fontId="1" type="noConversion"/>
  </si>
  <si>
    <t>Total value</t>
    <phoneticPr fontId="1" type="noConversion"/>
  </si>
  <si>
    <r>
      <t>25</t>
    </r>
    <r>
      <rPr>
        <sz val="10"/>
        <color theme="1"/>
        <rFont val="맑은 고딕"/>
        <family val="2"/>
        <charset val="129"/>
      </rPr>
      <t xml:space="preserve">년도 파생상품평가손실, </t>
    </r>
    <r>
      <rPr>
        <sz val="10"/>
        <color theme="1"/>
        <rFont val="Calibri"/>
        <family val="2"/>
      </rPr>
      <t xml:space="preserve">fvpl </t>
    </r>
    <r>
      <rPr>
        <sz val="10"/>
        <color theme="1"/>
        <rFont val="맑은 고딕"/>
        <family val="2"/>
        <charset val="129"/>
      </rPr>
      <t>금융부채 평가손실 반영</t>
    </r>
    <phoneticPr fontId="1" type="noConversion"/>
  </si>
  <si>
    <t>PV Factor</t>
    <phoneticPr fontId="1" type="noConversion"/>
  </si>
  <si>
    <t>Growth(%)</t>
    <phoneticPr fontId="1" type="noConversion"/>
  </si>
  <si>
    <t>EBIT</t>
    <phoneticPr fontId="1" type="noConversion"/>
  </si>
  <si>
    <t>OPM(%)</t>
    <phoneticPr fontId="1" type="noConversion"/>
  </si>
  <si>
    <t>(-) Tax</t>
    <phoneticPr fontId="1" type="noConversion"/>
  </si>
  <si>
    <t>Tax / EBIT(%)</t>
    <phoneticPr fontId="1" type="noConversion"/>
  </si>
  <si>
    <t>NOPLAT</t>
    <phoneticPr fontId="1" type="noConversion"/>
  </si>
  <si>
    <t>(+) Depreciation</t>
    <phoneticPr fontId="1" type="noConversion"/>
  </si>
  <si>
    <t>(+) Amortization</t>
    <phoneticPr fontId="1" type="noConversion"/>
  </si>
  <si>
    <t>(-) CAPEX - PPE</t>
    <phoneticPr fontId="1" type="noConversion"/>
  </si>
  <si>
    <t>(-) CAPEX - IA</t>
    <phoneticPr fontId="1" type="noConversion"/>
  </si>
  <si>
    <t>(-) Increase / (Decrease) in Net Working Capital</t>
    <phoneticPr fontId="1" type="noConversion"/>
  </si>
  <si>
    <t>Free Cash Flow to Film (FCFF)</t>
    <phoneticPr fontId="1" type="noConversion"/>
  </si>
  <si>
    <t>Revenue Growth</t>
    <phoneticPr fontId="1" type="noConversion"/>
  </si>
  <si>
    <t>30E-34E</t>
    <phoneticPr fontId="1" type="noConversion"/>
  </si>
  <si>
    <t>Operating Margin</t>
    <phoneticPr fontId="1" type="noConversion"/>
  </si>
  <si>
    <t>Tax / EBIT</t>
    <phoneticPr fontId="1" type="noConversion"/>
  </si>
  <si>
    <t>Terminal Growth Rate</t>
    <phoneticPr fontId="1" type="noConversion"/>
  </si>
  <si>
    <t>WACC</t>
    <phoneticPr fontId="1" type="noConversion"/>
  </si>
  <si>
    <t>25E-</t>
    <phoneticPr fontId="1" type="noConversion"/>
  </si>
  <si>
    <t>DCF Valuation</t>
    <phoneticPr fontId="1" type="noConversion"/>
  </si>
  <si>
    <t>Enterprise Value</t>
    <phoneticPr fontId="1" type="noConversion"/>
  </si>
  <si>
    <t>1) PV of Explicit Cahflow</t>
    <phoneticPr fontId="1" type="noConversion"/>
  </si>
  <si>
    <t>2) PV of Terminal Value</t>
    <phoneticPr fontId="1" type="noConversion"/>
  </si>
  <si>
    <t>Terminal Value</t>
    <phoneticPr fontId="1" type="noConversion"/>
  </si>
  <si>
    <t>Equity Value</t>
    <phoneticPr fontId="1" type="noConversion"/>
  </si>
  <si>
    <t>(-) Net Debt</t>
    <phoneticPr fontId="1" type="noConversion"/>
  </si>
  <si>
    <t>Equity Value per share</t>
    <phoneticPr fontId="1" type="noConversion"/>
  </si>
  <si>
    <t>(/) Issued Shares</t>
    <phoneticPr fontId="1" type="noConversion"/>
  </si>
  <si>
    <t>Sensitivity Analysis</t>
    <phoneticPr fontId="1" type="noConversion"/>
  </si>
  <si>
    <t>N/A</t>
    <phoneticPr fontId="1" type="noConversion"/>
  </si>
  <si>
    <t>BASE CASE</t>
    <phoneticPr fontId="1" type="noConversion"/>
  </si>
  <si>
    <t>Made by J.H</t>
    <phoneticPr fontId="1" type="noConversion"/>
  </si>
  <si>
    <t>Financial Modeling</t>
    <phoneticPr fontId="1" type="noConversion"/>
  </si>
  <si>
    <t>Ticker</t>
    <phoneticPr fontId="1" type="noConversion"/>
  </si>
  <si>
    <t>P/E</t>
    <phoneticPr fontId="1" type="noConversion"/>
  </si>
  <si>
    <t>064760</t>
    <phoneticPr fontId="1" type="noConversion"/>
  </si>
  <si>
    <t>Name</t>
    <phoneticPr fontId="1" type="noConversion"/>
  </si>
  <si>
    <t>Exchange</t>
    <phoneticPr fontId="1" type="noConversion"/>
  </si>
  <si>
    <t>price</t>
    <phoneticPr fontId="1" type="noConversion"/>
  </si>
  <si>
    <t># of shares</t>
    <phoneticPr fontId="1" type="noConversion"/>
  </si>
  <si>
    <t>mk cap</t>
    <phoneticPr fontId="1" type="noConversion"/>
  </si>
  <si>
    <t>도표 1-1. 디램 재고 수준</t>
    <phoneticPr fontId="1" type="noConversion"/>
  </si>
  <si>
    <t>Dram Suppliers</t>
    <phoneticPr fontId="1" type="noConversion"/>
  </si>
  <si>
    <t>Smartphones</t>
    <phoneticPr fontId="1" type="noConversion"/>
  </si>
  <si>
    <t>Enterprise</t>
    <phoneticPr fontId="1" type="noConversion"/>
  </si>
  <si>
    <t>Major Modules Houses</t>
    <phoneticPr fontId="1" type="noConversion"/>
  </si>
  <si>
    <t>Hyperscalers</t>
    <phoneticPr fontId="1" type="noConversion"/>
  </si>
  <si>
    <t>PC OEMs</t>
    <phoneticPr fontId="1" type="noConversion"/>
  </si>
  <si>
    <t>13~17주</t>
    <phoneticPr fontId="1" type="noConversion"/>
  </si>
  <si>
    <t>6~8주</t>
    <phoneticPr fontId="1" type="noConversion"/>
  </si>
  <si>
    <t>13~14주</t>
    <phoneticPr fontId="1" type="noConversion"/>
  </si>
  <si>
    <t>11~16주</t>
    <phoneticPr fontId="1" type="noConversion"/>
  </si>
  <si>
    <t>12~15주</t>
    <phoneticPr fontId="1" type="noConversion"/>
  </si>
  <si>
    <t>10~16주</t>
    <phoneticPr fontId="1" type="noConversion"/>
  </si>
  <si>
    <t>6~13주</t>
    <phoneticPr fontId="1" type="noConversion"/>
  </si>
  <si>
    <t>4~6주</t>
    <phoneticPr fontId="1" type="noConversion"/>
  </si>
  <si>
    <t>9~10주</t>
    <phoneticPr fontId="1" type="noConversion"/>
  </si>
  <si>
    <t>9~14주</t>
    <phoneticPr fontId="1" type="noConversion"/>
  </si>
  <si>
    <t>11~15주</t>
    <phoneticPr fontId="1" type="noConversion"/>
  </si>
  <si>
    <t>3~8주</t>
    <phoneticPr fontId="1" type="noConversion"/>
  </si>
  <si>
    <t>8~9주</t>
    <phoneticPr fontId="1" type="noConversion"/>
  </si>
  <si>
    <t>8~12주</t>
    <phoneticPr fontId="1" type="noConversion"/>
  </si>
  <si>
    <t>2~4주</t>
    <phoneticPr fontId="1" type="noConversion"/>
  </si>
  <si>
    <t>7~8주</t>
    <phoneticPr fontId="1" type="noConversion"/>
  </si>
  <si>
    <t>7~10주</t>
    <phoneticPr fontId="1" type="noConversion"/>
  </si>
  <si>
    <t>10~13주</t>
    <phoneticPr fontId="1" type="noConversion"/>
  </si>
  <si>
    <t>도표 1-2. 삼성전자, SK하이닉스 분기별 OPM</t>
    <phoneticPr fontId="1" type="noConversion"/>
  </si>
  <si>
    <t>SK하이닉스</t>
    <phoneticPr fontId="1" type="noConversion"/>
  </si>
  <si>
    <t>1Q 24</t>
    <phoneticPr fontId="1" type="noConversion"/>
  </si>
  <si>
    <t>삼성전자(DS부문)</t>
    <phoneticPr fontId="1" type="noConversion"/>
  </si>
  <si>
    <t>도표 1-3. 삼성전자, SK하이닉스 최근 1년 주가</t>
    <phoneticPr fontId="1" type="noConversion"/>
  </si>
  <si>
    <t>일자</t>
  </si>
  <si>
    <t>2025/12/10</t>
  </si>
  <si>
    <t>2025/12/09</t>
  </si>
  <si>
    <t>2025/12/08</t>
  </si>
  <si>
    <t>2025/12/05</t>
  </si>
  <si>
    <t>2025/12/04</t>
  </si>
  <si>
    <t>2025/12/03</t>
  </si>
  <si>
    <t>2025/12/02</t>
  </si>
  <si>
    <t>2025/12/01</t>
  </si>
  <si>
    <t>2025/11/28</t>
  </si>
  <si>
    <t>2025/11/27</t>
  </si>
  <si>
    <t>2025/11/26</t>
  </si>
  <si>
    <t>2025/11/25</t>
  </si>
  <si>
    <t>2025/11/24</t>
  </si>
  <si>
    <t>2025/11/21</t>
  </si>
  <si>
    <t>2025/11/20</t>
  </si>
  <si>
    <t>2025/11/19</t>
  </si>
  <si>
    <t>2025/11/18</t>
  </si>
  <si>
    <t>2025/11/17</t>
  </si>
  <si>
    <t>2025/11/14</t>
  </si>
  <si>
    <t>2025/11/13</t>
  </si>
  <si>
    <t>2025/11/12</t>
  </si>
  <si>
    <t>2025/11/11</t>
  </si>
  <si>
    <t>2025/11/10</t>
  </si>
  <si>
    <t>2025/11/07</t>
  </si>
  <si>
    <t>2025/11/06</t>
  </si>
  <si>
    <t>2025/11/05</t>
  </si>
  <si>
    <t>2025/11/04</t>
  </si>
  <si>
    <t>2025/11/03</t>
  </si>
  <si>
    <t>2025/10/31</t>
  </si>
  <si>
    <t>2025/10/30</t>
  </si>
  <si>
    <t>2025/10/29</t>
  </si>
  <si>
    <t>2025/10/28</t>
  </si>
  <si>
    <t>2025/10/27</t>
  </si>
  <si>
    <t>2025/10/24</t>
  </si>
  <si>
    <t>2025/10/23</t>
  </si>
  <si>
    <t>2025/10/22</t>
  </si>
  <si>
    <t>2025/10/21</t>
  </si>
  <si>
    <t>2025/10/20</t>
  </si>
  <si>
    <t>2025/10/17</t>
  </si>
  <si>
    <t>2025/10/16</t>
  </si>
  <si>
    <t>2025/10/15</t>
  </si>
  <si>
    <t>2025/10/14</t>
  </si>
  <si>
    <t>2025/10/13</t>
  </si>
  <si>
    <t>2025/10/10</t>
  </si>
  <si>
    <t>2025/10/02</t>
  </si>
  <si>
    <t>2025/10/01</t>
  </si>
  <si>
    <t>2025/09/30</t>
  </si>
  <si>
    <t>2025/09/29</t>
  </si>
  <si>
    <t>2025/09/26</t>
  </si>
  <si>
    <t>2025/09/25</t>
  </si>
  <si>
    <t>2025/09/24</t>
  </si>
  <si>
    <t>2025/09/23</t>
  </si>
  <si>
    <t>2025/09/22</t>
  </si>
  <si>
    <t>2025/09/19</t>
  </si>
  <si>
    <t>2025/09/18</t>
  </si>
  <si>
    <t>2025/09/17</t>
  </si>
  <si>
    <t>2025/09/16</t>
  </si>
  <si>
    <t>2025/09/15</t>
  </si>
  <si>
    <t>2025/09/12</t>
  </si>
  <si>
    <t>2025/09/11</t>
  </si>
  <si>
    <t>2025/09/10</t>
  </si>
  <si>
    <t>2025/09/09</t>
  </si>
  <si>
    <t>2025/09/08</t>
  </si>
  <si>
    <t>2025/09/05</t>
  </si>
  <si>
    <t>2025/09/04</t>
  </si>
  <si>
    <t>2025/09/03</t>
  </si>
  <si>
    <t>2025/09/02</t>
  </si>
  <si>
    <t>2025/09/01</t>
  </si>
  <si>
    <t>2025/08/29</t>
  </si>
  <si>
    <t>2025/08/28</t>
  </si>
  <si>
    <t>2025/08/27</t>
  </si>
  <si>
    <t>2025/08/26</t>
  </si>
  <si>
    <t>2025/08/25</t>
  </si>
  <si>
    <t>2025/08/22</t>
  </si>
  <si>
    <t>2025/08/21</t>
  </si>
  <si>
    <t>2025/08/20</t>
  </si>
  <si>
    <t>2025/08/19</t>
  </si>
  <si>
    <t>2025/08/18</t>
  </si>
  <si>
    <t>2025/08/14</t>
  </si>
  <si>
    <t>2025/08/13</t>
  </si>
  <si>
    <t>2025/08/12</t>
  </si>
  <si>
    <t>2025/08/11</t>
  </si>
  <si>
    <t>2025/08/08</t>
  </si>
  <si>
    <t>2025/08/07</t>
  </si>
  <si>
    <t>2025/08/06</t>
  </si>
  <si>
    <t>2025/08/05</t>
  </si>
  <si>
    <t>2025/08/04</t>
  </si>
  <si>
    <t>2025/08/01</t>
  </si>
  <si>
    <t>2025/07/31</t>
  </si>
  <si>
    <t>2025/07/30</t>
  </si>
  <si>
    <t>2025/07/29</t>
  </si>
  <si>
    <t>2025/07/28</t>
  </si>
  <si>
    <t>2025/07/25</t>
  </si>
  <si>
    <t>2025/07/24</t>
  </si>
  <si>
    <t>2025/07/23</t>
  </si>
  <si>
    <t>2025/07/22</t>
  </si>
  <si>
    <t>2025/07/21</t>
  </si>
  <si>
    <t>2025/07/18</t>
  </si>
  <si>
    <t>2025/07/17</t>
  </si>
  <si>
    <t>2025/07/16</t>
  </si>
  <si>
    <t>2025/07/15</t>
  </si>
  <si>
    <t>2025/07/14</t>
  </si>
  <si>
    <t>2025/07/11</t>
  </si>
  <si>
    <t>2025/07/10</t>
  </si>
  <si>
    <t>2025/07/09</t>
  </si>
  <si>
    <t>2025/07/08</t>
  </si>
  <si>
    <t>2025/07/07</t>
  </si>
  <si>
    <t>2025/07/04</t>
  </si>
  <si>
    <t>2025/07/03</t>
  </si>
  <si>
    <t>2025/07/02</t>
  </si>
  <si>
    <t>2025/07/01</t>
  </si>
  <si>
    <t>2025/06/30</t>
  </si>
  <si>
    <t>2025/06/27</t>
  </si>
  <si>
    <t>2025/06/26</t>
  </si>
  <si>
    <t>2025/06/25</t>
  </si>
  <si>
    <t>2025/06/24</t>
  </si>
  <si>
    <t>2025/06/23</t>
  </si>
  <si>
    <t>2025/06/20</t>
  </si>
  <si>
    <t>2025/06/19</t>
  </si>
  <si>
    <t>2025/06/18</t>
  </si>
  <si>
    <t>2025/06/17</t>
  </si>
  <si>
    <t>2025/06/16</t>
  </si>
  <si>
    <t>2025/06/13</t>
  </si>
  <si>
    <t>2025/06/12</t>
  </si>
  <si>
    <t>2025/06/11</t>
  </si>
  <si>
    <t>2025/06/10</t>
  </si>
  <si>
    <t>2025/06/09</t>
  </si>
  <si>
    <t>2025/06/05</t>
  </si>
  <si>
    <t>2025/06/04</t>
  </si>
  <si>
    <t>2025/06/02</t>
  </si>
  <si>
    <t>2025/05/30</t>
  </si>
  <si>
    <t>2025/05/29</t>
  </si>
  <si>
    <t>2025/05/28</t>
  </si>
  <si>
    <t>2025/05/27</t>
  </si>
  <si>
    <t>2025/05/26</t>
  </si>
  <si>
    <t>2025/05/23</t>
  </si>
  <si>
    <t>2025/05/22</t>
  </si>
  <si>
    <t>2025/05/21</t>
  </si>
  <si>
    <t>2025/05/20</t>
  </si>
  <si>
    <t>2025/05/19</t>
  </si>
  <si>
    <t>2025/05/16</t>
  </si>
  <si>
    <t>2025/05/15</t>
  </si>
  <si>
    <t>2025/05/14</t>
  </si>
  <si>
    <t>2025/05/13</t>
  </si>
  <si>
    <t>2025/05/12</t>
  </si>
  <si>
    <t>2025/05/09</t>
  </si>
  <si>
    <t>2025/05/08</t>
  </si>
  <si>
    <t>2025/05/07</t>
  </si>
  <si>
    <t>2025/05/02</t>
  </si>
  <si>
    <t>2025/04/30</t>
  </si>
  <si>
    <t>2025/04/29</t>
  </si>
  <si>
    <t>2025/04/28</t>
  </si>
  <si>
    <t>2025/04/25</t>
  </si>
  <si>
    <t>2025/04/24</t>
  </si>
  <si>
    <t>2025/04/23</t>
  </si>
  <si>
    <t>2025/04/22</t>
  </si>
  <si>
    <t>2025/04/21</t>
  </si>
  <si>
    <t>2025/04/18</t>
  </si>
  <si>
    <t>2025/04/17</t>
  </si>
  <si>
    <t>2025/04/16</t>
  </si>
  <si>
    <t>2025/04/15</t>
  </si>
  <si>
    <t>2025/04/14</t>
  </si>
  <si>
    <t>2025/04/11</t>
  </si>
  <si>
    <t>2025/04/10</t>
  </si>
  <si>
    <t>2025/04/09</t>
  </si>
  <si>
    <t>2025/04/08</t>
  </si>
  <si>
    <t>2025/04/07</t>
  </si>
  <si>
    <t>2025/04/04</t>
  </si>
  <si>
    <t>2025/04/03</t>
  </si>
  <si>
    <t>2025/04/02</t>
  </si>
  <si>
    <t>2025/04/01</t>
  </si>
  <si>
    <t>2025/03/31</t>
  </si>
  <si>
    <t>2025/03/28</t>
  </si>
  <si>
    <t>2025/03/27</t>
  </si>
  <si>
    <t>2025/03/26</t>
  </si>
  <si>
    <t>2025/03/25</t>
  </si>
  <si>
    <t>2025/03/24</t>
  </si>
  <si>
    <t>2025/03/21</t>
  </si>
  <si>
    <t>2025/03/20</t>
  </si>
  <si>
    <t>2025/03/19</t>
  </si>
  <si>
    <t>2025/03/18</t>
  </si>
  <si>
    <t>2025/03/17</t>
  </si>
  <si>
    <t>2025/03/14</t>
  </si>
  <si>
    <t>2025/03/13</t>
  </si>
  <si>
    <t>2025/03/12</t>
  </si>
  <si>
    <t>2025/03/11</t>
  </si>
  <si>
    <t>2025/03/10</t>
  </si>
  <si>
    <t>2025/03/07</t>
  </si>
  <si>
    <t>2025/03/06</t>
  </si>
  <si>
    <t>2025/03/05</t>
  </si>
  <si>
    <t>2025/03/04</t>
  </si>
  <si>
    <t>2025/02/28</t>
  </si>
  <si>
    <t>2025/02/27</t>
  </si>
  <si>
    <t>2025/02/26</t>
  </si>
  <si>
    <t>2025/02/25</t>
  </si>
  <si>
    <t>2025/02/24</t>
  </si>
  <si>
    <t>2025/02/21</t>
  </si>
  <si>
    <t>2025/02/20</t>
  </si>
  <si>
    <t>2025/02/19</t>
  </si>
  <si>
    <t>2025/02/18</t>
  </si>
  <si>
    <t>2025/02/17</t>
  </si>
  <si>
    <t>2025/02/14</t>
  </si>
  <si>
    <t>2025/02/13</t>
  </si>
  <si>
    <t>2025/02/12</t>
  </si>
  <si>
    <t>2025/02/11</t>
  </si>
  <si>
    <t>2025/02/10</t>
  </si>
  <si>
    <t>2025/02/07</t>
  </si>
  <si>
    <t>2025/02/06</t>
  </si>
  <si>
    <t>2025/02/05</t>
  </si>
  <si>
    <t>2025/02/04</t>
  </si>
  <si>
    <t>2025/02/03</t>
  </si>
  <si>
    <t>2025/01/31</t>
  </si>
  <si>
    <t>2025/01/24</t>
  </si>
  <si>
    <t>2025/01/23</t>
  </si>
  <si>
    <t>2025/01/22</t>
  </si>
  <si>
    <t>2025/01/21</t>
  </si>
  <si>
    <t>2025/01/20</t>
  </si>
  <si>
    <t>2025/01/17</t>
  </si>
  <si>
    <t>2025/01/16</t>
  </si>
  <si>
    <t>2025/01/15</t>
  </si>
  <si>
    <t>2025/01/14</t>
  </si>
  <si>
    <t>2025/01/13</t>
  </si>
  <si>
    <t>2025/01/10</t>
  </si>
  <si>
    <t>2025/01/09</t>
  </si>
  <si>
    <t>2025/01/08</t>
  </si>
  <si>
    <t>2025/01/07</t>
  </si>
  <si>
    <t>2025/01/06</t>
  </si>
  <si>
    <t>2025/01/03</t>
  </si>
  <si>
    <t>2025/01/02</t>
  </si>
  <si>
    <t>2024/12/30</t>
  </si>
  <si>
    <t>2024/12/27</t>
  </si>
  <si>
    <t>2024/12/26</t>
  </si>
  <si>
    <t>2024/12/24</t>
  </si>
  <si>
    <t>2024/12/23</t>
  </si>
  <si>
    <t>2024/12/20</t>
  </si>
  <si>
    <t>2024/12/19</t>
  </si>
  <si>
    <t>2024/12/18</t>
  </si>
  <si>
    <t>2024/12/17</t>
  </si>
  <si>
    <t>2024/12/16</t>
  </si>
  <si>
    <t>2024/12/13</t>
  </si>
  <si>
    <t>2024/12/12</t>
  </si>
  <si>
    <t>2024/12/11</t>
  </si>
  <si>
    <t>2024/12/10</t>
  </si>
  <si>
    <r>
      <t>SK</t>
    </r>
    <r>
      <rPr>
        <b/>
        <sz val="10"/>
        <color rgb="FFFFFFFF"/>
        <rFont val="맑은 고딕"/>
        <family val="2"/>
        <charset val="129"/>
      </rPr>
      <t>하이닉스</t>
    </r>
    <phoneticPr fontId="1" type="noConversion"/>
  </si>
  <si>
    <t>도표 1-4. 전공정 부품 기업 최근 1년 주가</t>
    <phoneticPr fontId="1" type="noConversion"/>
  </si>
  <si>
    <t>도표 1-5. 삼성전자/SK하이닉스 CAPEX</t>
    <phoneticPr fontId="1" type="noConversion"/>
  </si>
  <si>
    <t>P4</t>
    <phoneticPr fontId="1" type="noConversion"/>
  </si>
  <si>
    <t>P5</t>
    <phoneticPr fontId="1" type="noConversion"/>
  </si>
  <si>
    <t>M15X</t>
    <phoneticPr fontId="1" type="noConversion"/>
  </si>
  <si>
    <t>Y1</t>
    <phoneticPr fontId="1" type="noConversion"/>
  </si>
  <si>
    <t>Ph1. 하이브리드 라인</t>
    <phoneticPr fontId="1" type="noConversion"/>
  </si>
  <si>
    <t>Ph3. D램 전용</t>
    <phoneticPr fontId="1" type="noConversion"/>
  </si>
  <si>
    <t>Ph4. D램 전용</t>
    <phoneticPr fontId="1" type="noConversion"/>
  </si>
  <si>
    <t>Ph2. 파운드리 or D램 예상</t>
    <phoneticPr fontId="1" type="noConversion"/>
  </si>
  <si>
    <t>Fab 준공</t>
    <phoneticPr fontId="1" type="noConversion"/>
  </si>
  <si>
    <t>D램 전용 가동</t>
    <phoneticPr fontId="1" type="noConversion"/>
  </si>
  <si>
    <t>건식 식각</t>
    <phoneticPr fontId="1" type="noConversion"/>
  </si>
  <si>
    <t>습식 식각</t>
    <phoneticPr fontId="1" type="noConversion"/>
  </si>
  <si>
    <t>방법</t>
    <phoneticPr fontId="1" type="noConversion"/>
  </si>
  <si>
    <t>장점</t>
    <phoneticPr fontId="1" type="noConversion"/>
  </si>
  <si>
    <t>물리적, 화학적 반응</t>
    <phoneticPr fontId="1" type="noConversion"/>
  </si>
  <si>
    <t>화학적 반응</t>
    <phoneticPr fontId="1" type="noConversion"/>
  </si>
  <si>
    <t>미세 패터닝 가능</t>
    <phoneticPr fontId="1" type="noConversion"/>
  </si>
  <si>
    <t>높은 정확도</t>
    <phoneticPr fontId="1" type="noConversion"/>
  </si>
  <si>
    <t>저비용 및 쉬운 과정</t>
    <phoneticPr fontId="1" type="noConversion"/>
  </si>
  <si>
    <t>식각 속도가 빠름</t>
    <phoneticPr fontId="1" type="noConversion"/>
  </si>
  <si>
    <t>단점</t>
    <phoneticPr fontId="1" type="noConversion"/>
  </si>
  <si>
    <t>고비용</t>
    <phoneticPr fontId="1" type="noConversion"/>
  </si>
  <si>
    <t>고난도 공정</t>
    <phoneticPr fontId="1" type="noConversion"/>
  </si>
  <si>
    <t>낮은 정확도</t>
    <phoneticPr fontId="1" type="noConversion"/>
  </si>
  <si>
    <t>과다 식각 가능성</t>
    <phoneticPr fontId="1" type="noConversion"/>
  </si>
  <si>
    <t>시기</t>
  </si>
  <si>
    <t>교체 주기 (평균)</t>
  </si>
  <si>
    <t>주요 기술적 배경</t>
  </si>
  <si>
    <t>과거 (2015~2017년)</t>
  </si>
  <si>
    <t>약 25 ~ 30일</t>
  </si>
  <si>
    <t>2D 낸드 및 초기 3D 낸드(48단 이하) 위주. 식각 시간이 비교적 짧아 부품 마모가 더뎠음.</t>
  </si>
  <si>
    <t>과도기 (2018~2020년)</t>
  </si>
  <si>
    <t>약 15 ~ 20일</t>
  </si>
  <si>
    <t>3D 낸드가 96단, 128단으로 높아짐. 식각 깊이(Depth)가 깊어지며 고출력 플라즈마 도입 시작.</t>
  </si>
  <si>
    <t>최근 (2021년~현재)</t>
  </si>
  <si>
    <t>약 10 ~ 12일</t>
  </si>
  <si>
    <t>3D 낸드 200단 이상(High Aspect Ratio) 진입. 가혹한 플라즈마 환경으로 마모 속도가 빨라짐.</t>
  </si>
  <si>
    <t>HBM (High Bandwidth Memory)</t>
  </si>
  <si>
    <t>HBF (High Bandwidth Flash)</t>
  </si>
  <si>
    <t>기반 소자</t>
  </si>
  <si>
    <t>DRAM (휘발성 메모리)</t>
  </si>
  <si>
    <t>NAND Flash (비휘발성 메모리)</t>
  </si>
  <si>
    <t>핵심 강점</t>
  </si>
  <si>
    <t>초고속 데이터 처리, 낮은 지연시간(Latency)</t>
  </si>
  <si>
    <t>용량 수준</t>
  </si>
  <si>
    <t>상대적으로 작음 (GB 단위)</t>
  </si>
  <si>
    <t>주요 역할</t>
  </si>
  <si>
    <t>(빠른 계산이 필요한 활성 데이터)</t>
  </si>
  <si>
    <t>(거대 언어 모델의 파라미터 저장소)</t>
  </si>
  <si>
    <t>비유</t>
  </si>
  <si>
    <t>상용화</t>
  </si>
  <si>
    <t>HBM 대비 10~20배 이상 (TB 단위 가능)</t>
  </si>
  <si>
    <t>AI 학습(Training) 및 고속 연산</t>
  </si>
  <si>
    <t>AI 추론(Inference) 및 모델 저장</t>
  </si>
  <si>
    <t>책상 위 작업 공간 (빠르지만 좁음)</t>
  </si>
  <si>
    <t>책상 옆 대형 책장 (넓지만 꺼내는 데 시간 걸림)</t>
  </si>
  <si>
    <t>현재 주력 기술 (HBM3E 등 양산 중)</t>
  </si>
  <si>
    <t>미래 기술 (2026~2027년 상용화 예상)</t>
  </si>
  <si>
    <t>압도적인 대용량</t>
    <phoneticPr fontId="1" type="noConversion"/>
  </si>
  <si>
    <t>도표 1-8. 건식식각 vs 습식식각</t>
    <phoneticPr fontId="1" type="noConversion"/>
  </si>
  <si>
    <t>도표 1-9. 시기별 Si 파츠 교체 주기 변화</t>
    <phoneticPr fontId="1" type="noConversion"/>
  </si>
  <si>
    <t>도표 1-10. HBM vs HBF</t>
    <phoneticPr fontId="1" type="noConversion"/>
  </si>
  <si>
    <t>Si</t>
    <phoneticPr fontId="1" type="noConversion"/>
  </si>
  <si>
    <t>Ceramic</t>
    <phoneticPr fontId="1" type="noConversion"/>
  </si>
  <si>
    <t>가격 경쟁력에서 우위</t>
    <phoneticPr fontId="1" type="noConversion"/>
  </si>
  <si>
    <t>오염 제어가 용이함</t>
    <phoneticPr fontId="1" type="noConversion"/>
  </si>
  <si>
    <t>고온 플라즈마에 대한 강한 내식성</t>
    <phoneticPr fontId="1" type="noConversion"/>
  </si>
  <si>
    <t>높은 화학적 안정성</t>
    <phoneticPr fontId="1" type="noConversion"/>
  </si>
  <si>
    <t>내열성과 내식성이 다른 두 소재보다 우월함</t>
    <phoneticPr fontId="1" type="noConversion"/>
  </si>
  <si>
    <t>가공이 어렵고 비쌈</t>
    <phoneticPr fontId="1" type="noConversion"/>
  </si>
  <si>
    <t>특징</t>
    <phoneticPr fontId="1" type="noConversion"/>
  </si>
  <si>
    <t>2030E</t>
    <phoneticPr fontId="1" type="noConversion"/>
  </si>
  <si>
    <t>도표 1-12. 낸드 고단화에 따른 채택 매커니즘</t>
    <phoneticPr fontId="1" type="noConversion"/>
  </si>
  <si>
    <t>1단계</t>
    <phoneticPr fontId="1" type="noConversion"/>
  </si>
  <si>
    <t>3D 낸드 고단화 가속(176단 -&gt; 232단 -&gt;300단 이상)</t>
    <phoneticPr fontId="1" type="noConversion"/>
  </si>
  <si>
    <t>뚫어야 할 구멍의 깊이가 깊어지고 폭은 좁아진다</t>
    <phoneticPr fontId="1" type="noConversion"/>
  </si>
  <si>
    <t>2단계</t>
    <phoneticPr fontId="1" type="noConversion"/>
  </si>
  <si>
    <t>깊은 구멍까지 이온을 보내기 위해 고출력 플라즈마 사용</t>
    <phoneticPr fontId="1" type="noConversion"/>
  </si>
  <si>
    <t>공정시간이 길어짐</t>
    <phoneticPr fontId="1" type="noConversion"/>
  </si>
  <si>
    <t>3단계</t>
    <phoneticPr fontId="1" type="noConversion"/>
  </si>
  <si>
    <t>Si 소재가 플라즈마를 견디지 못하고 빠르게 깎여나감</t>
    <phoneticPr fontId="1" type="noConversion"/>
  </si>
  <si>
    <t>교체 주기 단축</t>
    <phoneticPr fontId="1" type="noConversion"/>
  </si>
  <si>
    <t>4단계</t>
    <phoneticPr fontId="1" type="noConversion"/>
  </si>
  <si>
    <t>SiC를 이용해 문제 해결</t>
    <phoneticPr fontId="1" type="noConversion"/>
  </si>
  <si>
    <t>도표 1-13. Focus Ring 연간 필요량</t>
    <phoneticPr fontId="1" type="noConversion"/>
  </si>
  <si>
    <t>도표 1-14. 비포 vs 애프터</t>
    <phoneticPr fontId="1" type="noConversion"/>
  </si>
  <si>
    <t>비포마켓 (Before Market)</t>
  </si>
  <si>
    <t>애프터마켓 (After Market)</t>
  </si>
  <si>
    <t>공급 경로</t>
  </si>
  <si>
    <t>주요 특징</t>
  </si>
  <si>
    <t>가격 수준</t>
  </si>
  <si>
    <t>장점</t>
  </si>
  <si>
    <t>안정적인 수율 관리 및 공정 트러블 발생 시 책임 소재 명확</t>
  </si>
  <si>
    <t>단점</t>
  </si>
  <si>
    <t>높은 비용 부담, 납기 유연성이 상대적으로 낮음</t>
  </si>
  <si>
    <t>장비사의 워런티 문제 발생 가능성 (최근엔 완화되는 추세)</t>
  </si>
  <si>
    <t>부품사 -&gt; 장비사(Lam, TEL 등) -&gt; 반도체 제조사(삼성, SK)</t>
    <phoneticPr fontId="1" type="noConversion"/>
  </si>
  <si>
    <t>부품사 -&gt; 반도체 제조사(삼성, SK 등) 직납</t>
    <phoneticPr fontId="1" type="noConversion"/>
  </si>
  <si>
    <t>고가 (장비사의 유통 마진 및 기술료 포함)</t>
    <phoneticPr fontId="1" type="noConversion"/>
  </si>
  <si>
    <t>중저가 (비포마켓 대비 약 20~30% 저렴)</t>
    <phoneticPr fontId="1" type="noConversion"/>
  </si>
  <si>
    <t>장비 도입 초기 또는 보증 기간 내 주로 사용</t>
    <phoneticPr fontId="1" type="noConversion"/>
  </si>
  <si>
    <t>보증 기간 종료 후 또는 원가 절감 필요 시 사용</t>
    <phoneticPr fontId="1" type="noConversion"/>
  </si>
  <si>
    <t>압도적인 비용 효율성 및 고객사 맞춤형 개량 가능</t>
    <phoneticPr fontId="1" type="noConversion"/>
  </si>
  <si>
    <t>도표 2-1. 주주 구성</t>
    <phoneticPr fontId="1" type="noConversion"/>
  </si>
  <si>
    <t>기타</t>
    <phoneticPr fontId="1" type="noConversion"/>
  </si>
  <si>
    <t>5% 이상 주주</t>
    <phoneticPr fontId="1" type="noConversion"/>
  </si>
  <si>
    <t>도표 2-4. 부품별 매출 비중</t>
    <phoneticPr fontId="1" type="noConversion"/>
  </si>
  <si>
    <t>Silicon Parts</t>
  </si>
  <si>
    <t>Ceramic Parts</t>
  </si>
  <si>
    <t>Sapphire Parts</t>
  </si>
  <si>
    <t>도표 2-6. cmtx 매출액, 영업이익률</t>
    <phoneticPr fontId="1" type="noConversion"/>
  </si>
  <si>
    <t>매출액</t>
    <phoneticPr fontId="1" type="noConversion"/>
  </si>
  <si>
    <t>영업이익</t>
    <phoneticPr fontId="1" type="noConversion"/>
  </si>
  <si>
    <t>영업이익률</t>
    <phoneticPr fontId="1" type="noConversion"/>
  </si>
  <si>
    <t>도표 2-7. cmtx cf</t>
    <phoneticPr fontId="1" type="noConversion"/>
  </si>
  <si>
    <t>영업활동현금흐름</t>
    <phoneticPr fontId="1" type="noConversion"/>
  </si>
  <si>
    <t>투자활동현금흐름</t>
    <phoneticPr fontId="1" type="noConversion"/>
  </si>
  <si>
    <t>재무활동현금흐름</t>
    <phoneticPr fontId="1" type="noConversion"/>
  </si>
  <si>
    <t>도표 3-2 TSMC 매출 가이던스</t>
    <phoneticPr fontId="1" type="noConversion"/>
  </si>
  <si>
    <t>도표 5-1 전공정 장비 시장 추이</t>
    <phoneticPr fontId="1" type="noConversion"/>
  </si>
  <si>
    <t>[세그먼트 별 반도체 장비 매출 전망 ]</t>
  </si>
  <si>
    <t>(단위 : 십억달러)</t>
  </si>
  <si>
    <t>2026F</t>
  </si>
  <si>
    <t>Assembly &amp; packaging Equipment</t>
  </si>
  <si>
    <t>Test Equipment</t>
  </si>
  <si>
    <t>Wafer Fab Equipment</t>
  </si>
  <si>
    <t>Total Market</t>
  </si>
  <si>
    <t>도표 5-1 si파츠 시장 성장 추이</t>
    <phoneticPr fontId="1" type="noConversion"/>
  </si>
  <si>
    <t>연도</t>
  </si>
  <si>
    <t>시장규모</t>
  </si>
  <si>
    <t>성장률</t>
  </si>
  <si>
    <t>2025/12/11</t>
  </si>
  <si>
    <t>2025/12/12</t>
  </si>
  <si>
    <t>베타</t>
    <phoneticPr fontId="1" type="noConversion"/>
  </si>
  <si>
    <t>EQUITY(MV)</t>
    <phoneticPr fontId="1" type="noConversion"/>
  </si>
  <si>
    <t>DEBT(BV)</t>
    <phoneticPr fontId="1" type="noConversion"/>
  </si>
  <si>
    <t>언레버 베타</t>
    <phoneticPr fontId="1" type="noConversion"/>
  </si>
  <si>
    <t>세율</t>
    <phoneticPr fontId="1" type="noConversion"/>
  </si>
  <si>
    <t>COGS 인건비</t>
    <phoneticPr fontId="1" type="noConversion"/>
  </si>
  <si>
    <t>임금상승률 3%</t>
    <phoneticPr fontId="1" type="noConversion"/>
  </si>
  <si>
    <t>SG&amp;A 인건비</t>
    <phoneticPr fontId="1" type="noConversion"/>
  </si>
  <si>
    <t>부채요구수익률</t>
    <phoneticPr fontId="1" type="noConversion"/>
  </si>
  <si>
    <t>자본요구수익률</t>
    <phoneticPr fontId="1" type="noConversion"/>
  </si>
  <si>
    <t>무위험 금리</t>
    <phoneticPr fontId="1" type="noConversion"/>
  </si>
  <si>
    <t>MRP</t>
    <phoneticPr fontId="1" type="noConversion"/>
  </si>
  <si>
    <t>도표 4-6 si, SiC 점유율</t>
    <phoneticPr fontId="1" type="noConversion"/>
  </si>
  <si>
    <t>도표 4-6 비포,애프터 마켓</t>
    <phoneticPr fontId="1" type="noConversion"/>
  </si>
  <si>
    <t>비포마켓</t>
    <phoneticPr fontId="1" type="noConversion"/>
  </si>
  <si>
    <t>애프터마켓</t>
    <phoneticPr fontId="1" type="noConversion"/>
  </si>
  <si>
    <t>조금 더 센시하게 추정</t>
    <phoneticPr fontId="1" type="noConversion"/>
  </si>
  <si>
    <t>Present Value of FCFF</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</si>
</sst>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 #,##0_-;_-* &quot;-&quot;_-;_-@_-"/>
    <numFmt numFmtId="176" formatCode="#,##0_ "/>
    <numFmt numFmtId="177" formatCode="0.0%"/>
    <numFmt numFmtId="178" formatCode="#,##0_);[Red]\(#,##0\)"/>
    <numFmt numFmtId="179" formatCode="yyyy\A"/>
    <numFmt numFmtId="180" formatCode="yyyy\F"/>
    <numFmt numFmtId="181" formatCode="0.0_ "/>
    <numFmt numFmtId="182" formatCode="#,##0.0_ "/>
    <numFmt numFmtId="183" formatCode="#,##0.0_);[Red]\(#,##0.0\)"/>
    <numFmt numFmtId="184" formatCode="0_);[Red]\(0\)"/>
    <numFmt numFmtId="185" formatCode="0.0_);[Red]\(0.0\)"/>
    <numFmt numFmtId="186" formatCode="0.00_ "/>
    <numFmt numFmtId="187" formatCode="#,##0.0"/>
    <numFmt numFmtId="188" formatCode="#,##0.00_);[Red]\(#,##0.00\)"/>
    <numFmt numFmtId="189" formatCode="0.0"/>
    <numFmt numFmtId="190" formatCode="_-[$₩-412]* #,##0_-;\-[$₩-412]* #,##0_-;_-[$₩-412]* &quot;-&quot;??_-;_-@_-"/>
    <numFmt numFmtId="191" formatCode="_-[$₩-412]* #,##0_-;\-[$₩-412]* #,##0_-;_-[$₩-412]* &quot;-&quot;_-;_-@_-"/>
    <numFmt numFmtId="192" formatCode="yyyymmdd\-\&gt;yyyy/mm/dd"/>
    <numFmt numFmtId="193" formatCode="#,##0.00_ "/>
  </numFmts>
  <fonts count="74">
    <font>
      <sz val="11"/>
      <color theme="1"/>
      <name val="맑은 고딕"/>
      <family val="2"/>
      <charset val="129"/>
      <scheme val="minor"/>
    </font>
    <font>
      <sz val="8"/>
      <name val="맑은 고딕"/>
      <family val="2"/>
      <charset val="129"/>
      <scheme val="minor"/>
    </font>
    <font>
      <b/>
      <sz val="11"/>
      <color theme="1"/>
      <name val="맑은 고딕"/>
      <family val="3"/>
      <charset val="129"/>
      <scheme val="minor"/>
    </font>
    <font>
      <b/>
      <sz val="11"/>
      <color theme="0"/>
      <name val="맑은 고딕"/>
      <family val="3"/>
      <charset val="129"/>
      <scheme val="minor"/>
    </font>
    <font>
      <sz val="11"/>
      <color rgb="FF000000"/>
      <name val="굴림"/>
      <family val="3"/>
      <charset val="129"/>
    </font>
    <font>
      <b/>
      <sz val="11"/>
      <color rgb="FFFF1418"/>
      <name val="굴림"/>
      <family val="3"/>
      <charset val="129"/>
    </font>
    <font>
      <sz val="8"/>
      <color rgb="FF000000"/>
      <name val="바탕"/>
      <family val="1"/>
      <charset val="129"/>
    </font>
    <font>
      <u/>
      <sz val="11"/>
      <color theme="10"/>
      <name val="맑은 고딕"/>
      <family val="2"/>
      <charset val="129"/>
      <scheme val="minor"/>
    </font>
    <font>
      <sz val="14"/>
      <color rgb="FF0000FF"/>
      <name val="바탕"/>
      <family val="1"/>
      <charset val="129"/>
    </font>
    <font>
      <b/>
      <i/>
      <sz val="30"/>
      <color theme="1"/>
      <name val="맑은 고딕"/>
      <family val="3"/>
      <charset val="129"/>
      <scheme val="minor"/>
    </font>
    <font>
      <sz val="10"/>
      <color theme="1"/>
      <name val="Calibri"/>
      <family val="2"/>
    </font>
    <font>
      <b/>
      <sz val="10"/>
      <color theme="0"/>
      <name val="Calibri"/>
      <family val="2"/>
    </font>
    <font>
      <sz val="10"/>
      <color theme="3" tint="0.249977111117893"/>
      <name val="Calibri"/>
      <family val="2"/>
    </font>
    <font>
      <sz val="10"/>
      <color theme="9" tint="-0.249977111117893"/>
      <name val="Calibri"/>
      <family val="2"/>
    </font>
    <font>
      <sz val="10"/>
      <color rgb="FFFF0000"/>
      <name val="Calibri"/>
      <family val="2"/>
    </font>
    <font>
      <i/>
      <sz val="10"/>
      <color theme="1"/>
      <name val="Calibri"/>
      <family val="2"/>
    </font>
    <font>
      <i/>
      <sz val="10"/>
      <color rgb="FFFF0000"/>
      <name val="Calibri"/>
      <family val="2"/>
    </font>
    <font>
      <b/>
      <sz val="10"/>
      <color theme="1"/>
      <name val="Calibri"/>
      <family val="2"/>
    </font>
    <font>
      <sz val="11"/>
      <color theme="1"/>
      <name val="P"/>
      <family val="1"/>
      <charset val="136"/>
    </font>
    <font>
      <sz val="11"/>
      <color theme="1"/>
      <name val="맑은 고딕"/>
      <family val="1"/>
      <charset val="129"/>
    </font>
    <font>
      <sz val="11"/>
      <color theme="1"/>
      <name val="바탕"/>
      <family val="1"/>
      <charset val="129"/>
    </font>
    <font>
      <i/>
      <sz val="10"/>
      <color theme="1"/>
      <name val="맑은 고딕"/>
      <family val="2"/>
      <charset val="129"/>
    </font>
    <font>
      <sz val="10"/>
      <color theme="1"/>
      <name val="맑은 고딕"/>
      <family val="2"/>
      <charset val="129"/>
    </font>
    <font>
      <b/>
      <u/>
      <sz val="10"/>
      <color theme="1"/>
      <name val="Calibri"/>
      <family val="2"/>
    </font>
    <font>
      <b/>
      <u/>
      <sz val="10"/>
      <color theme="1"/>
      <name val="맑은 고딕"/>
      <family val="2"/>
      <charset val="129"/>
    </font>
    <font>
      <i/>
      <sz val="10"/>
      <color theme="2" tint="-0.499984740745262"/>
      <name val="Calibri"/>
      <family val="2"/>
    </font>
    <font>
      <i/>
      <sz val="10"/>
      <color theme="1"/>
      <name val="맑은 고딕"/>
      <family val="3"/>
      <charset val="129"/>
    </font>
    <font>
      <sz val="11"/>
      <color theme="1"/>
      <name val="맑은 고딕"/>
      <family val="2"/>
      <charset val="129"/>
      <scheme val="minor"/>
    </font>
    <font>
      <i/>
      <sz val="10"/>
      <name val="Calibri"/>
      <family val="2"/>
    </font>
    <font>
      <i/>
      <sz val="10"/>
      <name val="맑은 고딕"/>
      <family val="2"/>
      <charset val="129"/>
    </font>
    <font>
      <b/>
      <i/>
      <sz val="10"/>
      <color theme="1"/>
      <name val="Calibri"/>
      <family val="2"/>
    </font>
    <font>
      <b/>
      <i/>
      <sz val="10"/>
      <name val="Calibri"/>
      <family val="2"/>
    </font>
    <font>
      <b/>
      <sz val="10"/>
      <name val="Calibri"/>
      <family val="2"/>
    </font>
    <font>
      <i/>
      <sz val="10"/>
      <color theme="1"/>
      <name val="Calibri"/>
      <family val="2"/>
      <charset val="129"/>
    </font>
    <font>
      <b/>
      <sz val="11"/>
      <color rgb="FFFF0000"/>
      <name val="굴림"/>
      <family val="3"/>
      <charset val="129"/>
    </font>
    <font>
      <i/>
      <sz val="10"/>
      <color theme="3" tint="0.249977111117893"/>
      <name val="Calibri"/>
      <family val="2"/>
    </font>
    <font>
      <sz val="10"/>
      <color theme="1"/>
      <name val="Calibri"/>
      <family val="2"/>
      <charset val="129"/>
    </font>
    <font>
      <b/>
      <i/>
      <u/>
      <sz val="10"/>
      <color theme="1"/>
      <name val="Calibri"/>
      <family val="2"/>
    </font>
    <font>
      <i/>
      <sz val="10"/>
      <color rgb="FF0000FF"/>
      <name val="Calibri"/>
      <family val="2"/>
    </font>
    <font>
      <sz val="10"/>
      <color theme="2" tint="-0.249977111117893"/>
      <name val="Calibri"/>
      <family val="2"/>
    </font>
    <font>
      <b/>
      <sz val="10"/>
      <color theme="2" tint="-0.249977111117893"/>
      <name val="Calibri"/>
      <family val="2"/>
    </font>
    <font>
      <i/>
      <sz val="10"/>
      <color theme="2" tint="-0.249977111117893"/>
      <name val="Calibri"/>
      <family val="2"/>
    </font>
    <font>
      <b/>
      <i/>
      <sz val="10"/>
      <color theme="2" tint="-0.249977111117893"/>
      <name val="Calibri"/>
      <family val="2"/>
    </font>
    <font>
      <sz val="11"/>
      <color theme="1"/>
      <name val="Calibri"/>
      <family val="2"/>
    </font>
    <font>
      <b/>
      <sz val="11"/>
      <color theme="1"/>
      <name val="Calibri"/>
      <family val="2"/>
    </font>
    <font>
      <i/>
      <sz val="11"/>
      <color theme="1"/>
      <name val="Calibri"/>
      <family val="2"/>
    </font>
    <font>
      <i/>
      <sz val="11"/>
      <color theme="3" tint="0.249977111117893"/>
      <name val="Calibri"/>
      <family val="2"/>
    </font>
    <font>
      <sz val="11"/>
      <color theme="0"/>
      <name val="Calibri"/>
      <family val="2"/>
    </font>
    <font>
      <sz val="10"/>
      <color theme="0"/>
      <name val="Calibri"/>
      <family val="2"/>
    </font>
    <font>
      <b/>
      <sz val="10"/>
      <color theme="9" tint="-0.24994659260841701"/>
      <name val="Calibri"/>
      <family val="2"/>
    </font>
    <font>
      <sz val="10"/>
      <color theme="9" tint="-0.24994659260841701"/>
      <name val="Calibri"/>
      <family val="2"/>
    </font>
    <font>
      <b/>
      <sz val="18"/>
      <color theme="0"/>
      <name val="Calibri"/>
      <family val="2"/>
    </font>
    <font>
      <b/>
      <sz val="20"/>
      <color theme="0"/>
      <name val="Calibri"/>
      <family val="2"/>
    </font>
    <font>
      <sz val="11"/>
      <color theme="1"/>
      <name val="맑은 고딕"/>
      <family val="2"/>
      <scheme val="minor"/>
    </font>
    <font>
      <sz val="11"/>
      <color indexed="8"/>
      <name val="맑은 고딕"/>
      <family val="2"/>
      <scheme val="minor"/>
    </font>
    <font>
      <b/>
      <sz val="10"/>
      <color indexed="9"/>
      <name val="Arial"/>
      <family val="2"/>
    </font>
    <font>
      <sz val="10"/>
      <color indexed="8"/>
      <name val="Arial"/>
      <family val="2"/>
    </font>
    <font>
      <b/>
      <sz val="10"/>
      <color rgb="FFFFFFFF"/>
      <name val="맑은 고딕"/>
      <family val="2"/>
      <charset val="129"/>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s>
  <fills count="49">
    <fill>
      <patternFill patternType="none"/>
    </fill>
    <fill>
      <patternFill patternType="gray125"/>
    </fill>
    <fill>
      <patternFill patternType="solid">
        <fgColor theme="0"/>
        <bgColor indexed="64"/>
      </patternFill>
    </fill>
    <fill>
      <patternFill patternType="solid">
        <fgColor theme="3" tint="0.249977111117893"/>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rgb="FFDCDCDC"/>
        <bgColor indexed="64"/>
      </patternFill>
    </fill>
    <fill>
      <patternFill patternType="solid">
        <fgColor rgb="FFD9D9D9"/>
        <bgColor indexed="64"/>
      </patternFill>
    </fill>
    <fill>
      <patternFill patternType="solid">
        <fgColor theme="5" tint="0.79998168889431442"/>
        <bgColor indexed="64"/>
      </patternFill>
    </fill>
    <fill>
      <patternFill patternType="solid">
        <fgColor theme="3" tint="9.9978637043366805E-2"/>
        <bgColor indexed="64"/>
      </patternFill>
    </fill>
    <fill>
      <patternFill patternType="solid">
        <fgColor theme="3" tint="0.89999084444715716"/>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1"/>
        <bgColor indexed="64"/>
      </patternFill>
    </fill>
    <fill>
      <patternFill patternType="solid">
        <fgColor theme="4" tint="-0.249977111117893"/>
        <bgColor indexed="64"/>
      </patternFill>
    </fill>
    <fill>
      <patternFill patternType="solid">
        <fgColor indexed="18"/>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96">
    <border>
      <left/>
      <right/>
      <top/>
      <bottom/>
      <diagonal/>
    </border>
    <border>
      <left/>
      <right/>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medium">
        <color indexed="64"/>
      </top>
      <bottom/>
      <diagonal/>
    </border>
    <border>
      <left style="thin">
        <color rgb="FF808080"/>
      </left>
      <right style="thin">
        <color rgb="FF808080"/>
      </right>
      <top style="thin">
        <color rgb="FF808080"/>
      </top>
      <bottom style="thin">
        <color rgb="FF808080"/>
      </bottom>
      <diagonal/>
    </border>
    <border>
      <left style="thin">
        <color rgb="FF000000"/>
      </left>
      <right style="thin">
        <color rgb="FF808080"/>
      </right>
      <top style="thin">
        <color rgb="FF000000"/>
      </top>
      <bottom/>
      <diagonal/>
    </border>
    <border>
      <left style="thin">
        <color rgb="FF808080"/>
      </left>
      <right/>
      <top style="thin">
        <color rgb="FF000000"/>
      </top>
      <bottom style="thin">
        <color rgb="FF808080"/>
      </bottom>
      <diagonal/>
    </border>
    <border>
      <left/>
      <right style="thin">
        <color rgb="FF808080"/>
      </right>
      <top style="thin">
        <color rgb="FF000000"/>
      </top>
      <bottom style="thin">
        <color rgb="FF808080"/>
      </bottom>
      <diagonal/>
    </border>
    <border>
      <left/>
      <right style="thin">
        <color rgb="FF000000"/>
      </right>
      <top style="thin">
        <color rgb="FF000000"/>
      </top>
      <bottom style="thin">
        <color rgb="FF808080"/>
      </bottom>
      <diagonal/>
    </border>
    <border>
      <left style="thin">
        <color rgb="FF000000"/>
      </left>
      <right style="thin">
        <color rgb="FF808080"/>
      </right>
      <top/>
      <bottom style="thin">
        <color rgb="FF808080"/>
      </bottom>
      <diagonal/>
    </border>
    <border>
      <left style="thin">
        <color rgb="FF808080"/>
      </left>
      <right style="thin">
        <color rgb="FF000000"/>
      </right>
      <top style="thin">
        <color rgb="FF808080"/>
      </top>
      <bottom style="thin">
        <color rgb="FF808080"/>
      </bottom>
      <diagonal/>
    </border>
    <border>
      <left style="thin">
        <color rgb="FF000000"/>
      </left>
      <right style="thin">
        <color rgb="FF808080"/>
      </right>
      <top style="thin">
        <color rgb="FF808080"/>
      </top>
      <bottom style="thin">
        <color rgb="FF808080"/>
      </bottom>
      <diagonal/>
    </border>
    <border>
      <left style="thin">
        <color rgb="FF000000"/>
      </left>
      <right style="thin">
        <color rgb="FF808080"/>
      </right>
      <top style="thin">
        <color rgb="FF808080"/>
      </top>
      <bottom style="thin">
        <color rgb="FF000000"/>
      </bottom>
      <diagonal/>
    </border>
    <border>
      <left style="thin">
        <color rgb="FF808080"/>
      </left>
      <right style="thin">
        <color rgb="FF808080"/>
      </right>
      <top style="thin">
        <color rgb="FF808080"/>
      </top>
      <bottom style="thin">
        <color rgb="FF000000"/>
      </bottom>
      <diagonal/>
    </border>
    <border>
      <left style="thin">
        <color rgb="FF808080"/>
      </left>
      <right style="thin">
        <color rgb="FF000000"/>
      </right>
      <top style="thin">
        <color rgb="FF808080"/>
      </top>
      <bottom style="thin">
        <color rgb="FF000000"/>
      </bottom>
      <diagonal/>
    </border>
    <border>
      <left style="thin">
        <color rgb="FF000000"/>
      </left>
      <right style="thin">
        <color rgb="FF808080"/>
      </right>
      <top style="thin">
        <color rgb="FF000000"/>
      </top>
      <bottom style="thin">
        <color rgb="FF808080"/>
      </bottom>
      <diagonal/>
    </border>
    <border>
      <left style="thin">
        <color rgb="FF808080"/>
      </left>
      <right style="thin">
        <color rgb="FF808080"/>
      </right>
      <top style="thin">
        <color rgb="FF000000"/>
      </top>
      <bottom style="thin">
        <color rgb="FF808080"/>
      </bottom>
      <diagonal/>
    </border>
    <border>
      <left style="thin">
        <color rgb="FF808080"/>
      </left>
      <right style="thin">
        <color rgb="FF000000"/>
      </right>
      <top style="thin">
        <color rgb="FF000000"/>
      </top>
      <bottom style="thin">
        <color rgb="FF808080"/>
      </bottom>
      <diagonal/>
    </border>
    <border>
      <left style="thin">
        <color rgb="FF000000"/>
      </left>
      <right style="thin">
        <color rgb="FF808080"/>
      </right>
      <top style="thin">
        <color rgb="FF808080"/>
      </top>
      <bottom/>
      <diagonal/>
    </border>
    <border>
      <left style="thin">
        <color rgb="FF000000"/>
      </left>
      <right style="thin">
        <color rgb="FF808080"/>
      </right>
      <top/>
      <bottom/>
      <diagonal/>
    </border>
    <border>
      <left style="thin">
        <color rgb="FF000000"/>
      </left>
      <right/>
      <top style="thin">
        <color rgb="FF808080"/>
      </top>
      <bottom style="thin">
        <color rgb="FF000000"/>
      </bottom>
      <diagonal/>
    </border>
    <border>
      <left/>
      <right style="thin">
        <color rgb="FF808080"/>
      </right>
      <top style="thin">
        <color rgb="FF808080"/>
      </top>
      <bottom style="thin">
        <color rgb="FF000000"/>
      </bottom>
      <diagonal/>
    </border>
    <border>
      <left/>
      <right/>
      <top style="thin">
        <color rgb="FF000000"/>
      </top>
      <bottom style="thin">
        <color rgb="FF808080"/>
      </bottom>
      <diagonal/>
    </border>
    <border>
      <left style="thin">
        <color rgb="FF808080"/>
      </left>
      <right style="thin">
        <color rgb="FF808080"/>
      </right>
      <top style="thin">
        <color rgb="FF808080"/>
      </top>
      <bottom/>
      <diagonal/>
    </border>
    <border>
      <left style="thin">
        <color rgb="FF808080"/>
      </left>
      <right style="thin">
        <color rgb="FF808080"/>
      </right>
      <top/>
      <bottom/>
      <diagonal/>
    </border>
    <border>
      <left style="thin">
        <color rgb="FF808080"/>
      </left>
      <right style="thin">
        <color rgb="FF808080"/>
      </right>
      <top/>
      <bottom style="thin">
        <color rgb="FF808080"/>
      </bottom>
      <diagonal/>
    </border>
    <border>
      <left style="thin">
        <color rgb="FF808080"/>
      </left>
      <right/>
      <top style="thin">
        <color rgb="FF808080"/>
      </top>
      <bottom style="thin">
        <color rgb="FF808080"/>
      </bottom>
      <diagonal/>
    </border>
    <border>
      <left/>
      <right style="thin">
        <color rgb="FF808080"/>
      </right>
      <top style="thin">
        <color rgb="FF808080"/>
      </top>
      <bottom style="thin">
        <color rgb="FF808080"/>
      </bottom>
      <diagonal/>
    </border>
    <border>
      <left style="thin">
        <color rgb="FF808080"/>
      </left>
      <right/>
      <top style="thin">
        <color rgb="FF808080"/>
      </top>
      <bottom/>
      <diagonal/>
    </border>
    <border>
      <left/>
      <right style="thin">
        <color rgb="FF808080"/>
      </right>
      <top style="thin">
        <color rgb="FF808080"/>
      </top>
      <bottom/>
      <diagonal/>
    </border>
    <border>
      <left style="thin">
        <color rgb="FF808080"/>
      </left>
      <right/>
      <top/>
      <bottom/>
      <diagonal/>
    </border>
    <border>
      <left/>
      <right style="thin">
        <color rgb="FF808080"/>
      </right>
      <top/>
      <bottom/>
      <diagonal/>
    </border>
    <border>
      <left style="thin">
        <color rgb="FF808080"/>
      </left>
      <right/>
      <top/>
      <bottom style="thin">
        <color rgb="FF808080"/>
      </bottom>
      <diagonal/>
    </border>
    <border>
      <left/>
      <right style="thin">
        <color rgb="FF808080"/>
      </right>
      <top/>
      <bottom style="thin">
        <color rgb="FF808080"/>
      </bottom>
      <diagonal/>
    </border>
    <border>
      <left style="thin">
        <color rgb="FF808080"/>
      </left>
      <right/>
      <top style="thin">
        <color rgb="FF000000"/>
      </top>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808080"/>
      </bottom>
      <diagonal/>
    </border>
    <border>
      <left style="thin">
        <color rgb="FF808080"/>
      </left>
      <right style="thin">
        <color rgb="FF808080"/>
      </right>
      <top style="thin">
        <color rgb="FF000000"/>
      </top>
      <bottom/>
      <diagonal/>
    </border>
    <border>
      <left/>
      <right style="thin">
        <color rgb="FF808080"/>
      </right>
      <top style="thin">
        <color rgb="FF000000"/>
      </top>
      <bottom/>
      <diagonal/>
    </border>
    <border>
      <left style="thin">
        <color rgb="FF808080"/>
      </left>
      <right style="thin">
        <color rgb="FF000000"/>
      </right>
      <top style="thin">
        <color rgb="FF000000"/>
      </top>
      <bottom/>
      <diagonal/>
    </border>
    <border>
      <left style="thin">
        <color rgb="FF808080"/>
      </left>
      <right style="thin">
        <color rgb="FF000000"/>
      </right>
      <top/>
      <bottom/>
      <diagonal/>
    </border>
    <border>
      <left style="thin">
        <color rgb="FF808080"/>
      </left>
      <right style="thin">
        <color rgb="FF000000"/>
      </right>
      <top/>
      <bottom style="thin">
        <color rgb="FF808080"/>
      </bottom>
      <diagonal/>
    </border>
    <border>
      <left/>
      <right/>
      <top style="thin">
        <color rgb="FF808080"/>
      </top>
      <bottom style="thin">
        <color rgb="FF000000"/>
      </bottom>
      <diagonal/>
    </border>
    <border>
      <left style="dotted">
        <color indexed="64"/>
      </left>
      <right style="dotted">
        <color indexed="64"/>
      </right>
      <top style="dotted">
        <color indexed="64"/>
      </top>
      <bottom style="dotted">
        <color indexed="64"/>
      </bottom>
      <diagonal/>
    </border>
    <border>
      <left style="dotted">
        <color indexed="64"/>
      </left>
      <right style="dotted">
        <color indexed="64"/>
      </right>
      <top style="thin">
        <color indexed="64"/>
      </top>
      <bottom style="dotted">
        <color indexed="64"/>
      </bottom>
      <diagonal/>
    </border>
    <border>
      <left style="dotted">
        <color indexed="64"/>
      </left>
      <right style="thin">
        <color indexed="64"/>
      </right>
      <top style="thin">
        <color indexed="64"/>
      </top>
      <bottom style="dotted">
        <color indexed="64"/>
      </bottom>
      <diagonal/>
    </border>
    <border>
      <left style="dotted">
        <color indexed="64"/>
      </left>
      <right style="thin">
        <color indexed="64"/>
      </right>
      <top style="dotted">
        <color indexed="64"/>
      </top>
      <bottom style="dotted">
        <color indexed="64"/>
      </bottom>
      <diagonal/>
    </border>
    <border>
      <left style="dotted">
        <color indexed="64"/>
      </left>
      <right style="dotted">
        <color indexed="64"/>
      </right>
      <top style="dotted">
        <color indexed="64"/>
      </top>
      <bottom style="thin">
        <color indexed="64"/>
      </bottom>
      <diagonal/>
    </border>
    <border>
      <left style="dotted">
        <color indexed="64"/>
      </left>
      <right style="thin">
        <color indexed="64"/>
      </right>
      <top style="dotted">
        <color indexed="64"/>
      </top>
      <bottom style="thin">
        <color indexed="64"/>
      </bottom>
      <diagonal/>
    </border>
    <border>
      <left style="thin">
        <color indexed="64"/>
      </left>
      <right style="thin">
        <color indexed="64"/>
      </right>
      <top/>
      <bottom style="thin">
        <color theme="0"/>
      </bottom>
      <diagonal/>
    </border>
    <border>
      <left style="thin">
        <color theme="0"/>
      </left>
      <right/>
      <top style="thin">
        <color theme="0"/>
      </top>
      <bottom/>
      <diagonal/>
    </border>
    <border>
      <left/>
      <right style="thin">
        <color theme="0"/>
      </right>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indexed="64"/>
      </left>
      <right style="thin">
        <color theme="0"/>
      </right>
      <top/>
      <bottom style="thin">
        <color theme="0"/>
      </bottom>
      <diagonal/>
    </border>
    <border>
      <left style="thin">
        <color theme="0"/>
      </left>
      <right style="dotted">
        <color indexed="64"/>
      </right>
      <top style="thin">
        <color indexed="64"/>
      </top>
      <bottom style="dotted">
        <color indexed="64"/>
      </bottom>
      <diagonal/>
    </border>
    <border>
      <left style="thin">
        <color theme="0"/>
      </left>
      <right style="dotted">
        <color indexed="64"/>
      </right>
      <top style="dotted">
        <color indexed="64"/>
      </top>
      <bottom style="dotted">
        <color indexed="64"/>
      </bottom>
      <diagonal/>
    </border>
    <border>
      <left style="thin">
        <color theme="0"/>
      </left>
      <right style="dotted">
        <color indexed="64"/>
      </right>
      <top style="dotted">
        <color indexed="64"/>
      </top>
      <bottom style="thin">
        <color indexed="64"/>
      </bottom>
      <diagonal/>
    </border>
    <border>
      <left style="thin">
        <color indexed="64"/>
      </left>
      <right style="thin">
        <color theme="0"/>
      </right>
      <top style="thin">
        <color indexed="64"/>
      </top>
      <bottom style="dotted">
        <color indexed="64"/>
      </bottom>
      <diagonal/>
    </border>
    <border>
      <left style="thin">
        <color indexed="64"/>
      </left>
      <right style="thin">
        <color theme="0"/>
      </right>
      <top style="dotted">
        <color indexed="64"/>
      </top>
      <bottom style="dotted">
        <color indexed="64"/>
      </bottom>
      <diagonal/>
    </border>
    <border>
      <left style="thin">
        <color indexed="64"/>
      </left>
      <right style="thin">
        <color theme="0"/>
      </right>
      <top style="dotted">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theme="0"/>
      </right>
      <top/>
      <bottom/>
      <diagonal/>
    </border>
    <border>
      <left style="thin">
        <color theme="0"/>
      </left>
      <right/>
      <top/>
      <bottom/>
      <diagonal/>
    </border>
    <border>
      <left style="thin">
        <color theme="0"/>
      </left>
      <right style="thin">
        <color indexed="64"/>
      </right>
      <top/>
      <bottom style="thin">
        <color theme="0"/>
      </bottom>
      <diagonal/>
    </border>
    <border>
      <left style="thin">
        <color rgb="FF000000"/>
      </left>
      <right/>
      <top style="thin">
        <color rgb="FF000000"/>
      </top>
      <bottom/>
      <diagonal/>
    </border>
    <border>
      <left/>
      <right/>
      <top style="thin">
        <color rgb="FF000000"/>
      </top>
      <bottom/>
      <diagonal/>
    </border>
    <border>
      <left/>
      <right/>
      <top style="thin">
        <color rgb="FF808080"/>
      </top>
      <bottom style="thin">
        <color rgb="FF808080"/>
      </bottom>
      <diagonal/>
    </border>
    <border>
      <left style="thin">
        <color rgb="FF000000"/>
      </left>
      <right/>
      <top/>
      <bottom style="thin">
        <color rgb="FF808080"/>
      </bottom>
      <diagonal/>
    </border>
    <border>
      <left style="thin">
        <color rgb="FF000000"/>
      </left>
      <right style="thin">
        <color rgb="FF808080"/>
      </right>
      <top/>
      <bottom style="thin">
        <color rgb="FF000000"/>
      </bottom>
      <diagonal/>
    </border>
    <border>
      <left style="thin">
        <color rgb="FF808080"/>
      </left>
      <right/>
      <top style="thin">
        <color rgb="FF808080"/>
      </top>
      <bottom style="thin">
        <color rgb="FF000000"/>
      </bottom>
      <diagonal/>
    </border>
    <border>
      <left/>
      <right/>
      <top/>
      <bottom style="thin">
        <color theme="0"/>
      </bottom>
      <diagonal/>
    </border>
    <border>
      <left style="thin">
        <color theme="0"/>
      </left>
      <right/>
      <top/>
      <bottom style="thin">
        <color theme="0"/>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7">
    <xf numFmtId="0" fontId="0" fillId="0" borderId="0">
      <alignment vertical="center"/>
    </xf>
    <xf numFmtId="0" fontId="7" fillId="0" borderId="0" applyNumberFormat="0" applyFill="0" applyBorder="0" applyAlignment="0" applyProtection="0">
      <alignment vertical="center"/>
    </xf>
    <xf numFmtId="41" fontId="27" fillId="0" borderId="0" applyFont="0" applyFill="0" applyBorder="0" applyAlignment="0" applyProtection="0">
      <alignment vertical="center"/>
    </xf>
    <xf numFmtId="0" fontId="53" fillId="0" borderId="0"/>
    <xf numFmtId="0" fontId="54" fillId="0" borderId="0">
      <alignment vertical="center"/>
    </xf>
    <xf numFmtId="0" fontId="58" fillId="0" borderId="0" applyNumberFormat="0" applyFill="0" applyBorder="0" applyAlignment="0" applyProtection="0">
      <alignment vertical="center"/>
    </xf>
    <xf numFmtId="0" fontId="59" fillId="0" borderId="87" applyNumberFormat="0" applyFill="0" applyAlignment="0" applyProtection="0">
      <alignment vertical="center"/>
    </xf>
    <xf numFmtId="0" fontId="60" fillId="0" borderId="88" applyNumberFormat="0" applyFill="0" applyAlignment="0" applyProtection="0">
      <alignment vertical="center"/>
    </xf>
    <xf numFmtId="0" fontId="61" fillId="0" borderId="89" applyNumberFormat="0" applyFill="0" applyAlignment="0" applyProtection="0">
      <alignment vertical="center"/>
    </xf>
    <xf numFmtId="0" fontId="61" fillId="0" borderId="0" applyNumberFormat="0" applyFill="0" applyBorder="0" applyAlignment="0" applyProtection="0">
      <alignment vertical="center"/>
    </xf>
    <xf numFmtId="0" fontId="62" fillId="18" borderId="0" applyNumberFormat="0" applyBorder="0" applyAlignment="0" applyProtection="0">
      <alignment vertical="center"/>
    </xf>
    <xf numFmtId="0" fontId="63" fillId="19" borderId="0" applyNumberFormat="0" applyBorder="0" applyAlignment="0" applyProtection="0">
      <alignment vertical="center"/>
    </xf>
    <xf numFmtId="0" fontId="64" fillId="20" borderId="0" applyNumberFormat="0" applyBorder="0" applyAlignment="0" applyProtection="0">
      <alignment vertical="center"/>
    </xf>
    <xf numFmtId="0" fontId="65" fillId="21" borderId="90" applyNumberFormat="0" applyAlignment="0" applyProtection="0">
      <alignment vertical="center"/>
    </xf>
    <xf numFmtId="0" fontId="66" fillId="22" borderId="91" applyNumberFormat="0" applyAlignment="0" applyProtection="0">
      <alignment vertical="center"/>
    </xf>
    <xf numFmtId="0" fontId="67" fillId="22" borderId="90" applyNumberFormat="0" applyAlignment="0" applyProtection="0">
      <alignment vertical="center"/>
    </xf>
    <xf numFmtId="0" fontId="68" fillId="0" borderId="92" applyNumberFormat="0" applyFill="0" applyAlignment="0" applyProtection="0">
      <alignment vertical="center"/>
    </xf>
    <xf numFmtId="0" fontId="69" fillId="23" borderId="93" applyNumberFormat="0" applyAlignment="0" applyProtection="0">
      <alignment vertical="center"/>
    </xf>
    <xf numFmtId="0" fontId="70" fillId="0" borderId="0" applyNumberFormat="0" applyFill="0" applyBorder="0" applyAlignment="0" applyProtection="0">
      <alignment vertical="center"/>
    </xf>
    <xf numFmtId="0" fontId="27" fillId="24" borderId="94" applyNumberFormat="0" applyFont="0" applyAlignment="0" applyProtection="0">
      <alignment vertical="center"/>
    </xf>
    <xf numFmtId="0" fontId="71" fillId="0" borderId="0" applyNumberFormat="0" applyFill="0" applyBorder="0" applyAlignment="0" applyProtection="0">
      <alignment vertical="center"/>
    </xf>
    <xf numFmtId="0" fontId="72" fillId="0" borderId="95" applyNumberFormat="0" applyFill="0" applyAlignment="0" applyProtection="0">
      <alignment vertical="center"/>
    </xf>
    <xf numFmtId="0" fontId="73"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73"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73" fillId="33" borderId="0" applyNumberFormat="0" applyBorder="0" applyAlignment="0" applyProtection="0">
      <alignment vertical="center"/>
    </xf>
    <xf numFmtId="0" fontId="27" fillId="34" borderId="0" applyNumberFormat="0" applyBorder="0" applyAlignment="0" applyProtection="0">
      <alignment vertical="center"/>
    </xf>
    <xf numFmtId="0" fontId="27" fillId="35" borderId="0" applyNumberFormat="0" applyBorder="0" applyAlignment="0" applyProtection="0">
      <alignment vertical="center"/>
    </xf>
    <xf numFmtId="0" fontId="27" fillId="36" borderId="0" applyNumberFormat="0" applyBorder="0" applyAlignment="0" applyProtection="0">
      <alignment vertical="center"/>
    </xf>
    <xf numFmtId="0" fontId="73" fillId="37" borderId="0" applyNumberFormat="0" applyBorder="0" applyAlignment="0" applyProtection="0">
      <alignment vertical="center"/>
    </xf>
    <xf numFmtId="0" fontId="27" fillId="38" borderId="0" applyNumberFormat="0" applyBorder="0" applyAlignment="0" applyProtection="0">
      <alignment vertical="center"/>
    </xf>
    <xf numFmtId="0" fontId="27" fillId="39" borderId="0" applyNumberFormat="0" applyBorder="0" applyAlignment="0" applyProtection="0">
      <alignment vertical="center"/>
    </xf>
    <xf numFmtId="0" fontId="27" fillId="40" borderId="0" applyNumberFormat="0" applyBorder="0" applyAlignment="0" applyProtection="0">
      <alignment vertical="center"/>
    </xf>
    <xf numFmtId="0" fontId="73" fillId="41" borderId="0" applyNumberFormat="0" applyBorder="0" applyAlignment="0" applyProtection="0">
      <alignment vertical="center"/>
    </xf>
    <xf numFmtId="0" fontId="27" fillId="42" borderId="0" applyNumberFormat="0" applyBorder="0" applyAlignment="0" applyProtection="0">
      <alignment vertical="center"/>
    </xf>
    <xf numFmtId="0" fontId="27" fillId="43" borderId="0" applyNumberFormat="0" applyBorder="0" applyAlignment="0" applyProtection="0">
      <alignment vertical="center"/>
    </xf>
    <xf numFmtId="0" fontId="27" fillId="44" borderId="0" applyNumberFormat="0" applyBorder="0" applyAlignment="0" applyProtection="0">
      <alignment vertical="center"/>
    </xf>
    <xf numFmtId="0" fontId="73" fillId="45" borderId="0" applyNumberFormat="0" applyBorder="0" applyAlignment="0" applyProtection="0">
      <alignment vertical="center"/>
    </xf>
    <xf numFmtId="0" fontId="27" fillId="46" borderId="0" applyNumberFormat="0" applyBorder="0" applyAlignment="0" applyProtection="0">
      <alignment vertical="center"/>
    </xf>
    <xf numFmtId="0" fontId="27" fillId="47" borderId="0" applyNumberFormat="0" applyBorder="0" applyAlignment="0" applyProtection="0">
      <alignment vertical="center"/>
    </xf>
    <xf numFmtId="0" fontId="27" fillId="48" borderId="0" applyNumberFormat="0" applyBorder="0" applyAlignment="0" applyProtection="0">
      <alignment vertical="center"/>
    </xf>
    <xf numFmtId="0" fontId="27" fillId="0" borderId="0">
      <alignment vertical="center"/>
    </xf>
  </cellStyleXfs>
  <cellXfs count="466">
    <xf numFmtId="0" fontId="0" fillId="0" borderId="0" xfId="0">
      <alignment vertical="center"/>
    </xf>
    <xf numFmtId="0" fontId="0" fillId="2" borderId="0" xfId="0" applyFill="1">
      <alignment vertical="center"/>
    </xf>
    <xf numFmtId="0" fontId="0" fillId="2" borderId="0" xfId="0" quotePrefix="1" applyFill="1">
      <alignment vertical="center"/>
    </xf>
    <xf numFmtId="176" fontId="0" fillId="2" borderId="0" xfId="0" applyNumberFormat="1" applyFill="1">
      <alignment vertical="center"/>
    </xf>
    <xf numFmtId="176" fontId="0" fillId="2" borderId="0" xfId="0" applyNumberFormat="1" applyFill="1" applyAlignment="1">
      <alignment horizontal="centerContinuous" vertical="center"/>
    </xf>
    <xf numFmtId="176" fontId="2" fillId="2" borderId="0" xfId="0" applyNumberFormat="1" applyFont="1" applyFill="1">
      <alignment vertical="center"/>
    </xf>
    <xf numFmtId="176" fontId="3" fillId="3" borderId="2" xfId="0" applyNumberFormat="1" applyFont="1" applyFill="1" applyBorder="1" applyAlignment="1">
      <alignment horizontal="center" vertical="center"/>
    </xf>
    <xf numFmtId="176" fontId="3" fillId="3" borderId="3" xfId="0" applyNumberFormat="1" applyFont="1" applyFill="1" applyBorder="1" applyAlignment="1">
      <alignment horizontal="center" vertical="center"/>
    </xf>
    <xf numFmtId="176" fontId="3" fillId="3" borderId="4" xfId="0" applyNumberFormat="1" applyFont="1" applyFill="1" applyBorder="1" applyAlignment="1">
      <alignment horizontal="center" vertical="center"/>
    </xf>
    <xf numFmtId="176" fontId="0" fillId="2" borderId="0" xfId="0" applyNumberFormat="1" applyFill="1" applyAlignment="1">
      <alignment horizontal="center" vertical="center"/>
    </xf>
    <xf numFmtId="177" fontId="0" fillId="2" borderId="0" xfId="0" applyNumberFormat="1" applyFill="1">
      <alignment vertical="center"/>
    </xf>
    <xf numFmtId="176" fontId="0" fillId="2" borderId="5" xfId="0" applyNumberFormat="1" applyFill="1" applyBorder="1">
      <alignment vertical="center"/>
    </xf>
    <xf numFmtId="177" fontId="0" fillId="2" borderId="5" xfId="0" applyNumberFormat="1" applyFill="1" applyBorder="1">
      <alignment vertical="center"/>
    </xf>
    <xf numFmtId="176" fontId="0" fillId="2" borderId="1" xfId="0" applyNumberFormat="1" applyFill="1" applyBorder="1" applyAlignment="1">
      <alignment horizontal="center" vertical="center"/>
    </xf>
    <xf numFmtId="176" fontId="0" fillId="2" borderId="1" xfId="0" applyNumberFormat="1" applyFill="1" applyBorder="1">
      <alignment vertical="center"/>
    </xf>
    <xf numFmtId="177" fontId="0" fillId="2" borderId="1" xfId="0" applyNumberFormat="1" applyFill="1" applyBorder="1">
      <alignment vertical="center"/>
    </xf>
    <xf numFmtId="177" fontId="0" fillId="2" borderId="6" xfId="0" applyNumberFormat="1" applyFill="1" applyBorder="1">
      <alignment vertical="center"/>
    </xf>
    <xf numFmtId="176" fontId="2" fillId="2" borderId="7" xfId="0" applyNumberFormat="1" applyFont="1" applyFill="1" applyBorder="1">
      <alignment vertical="center"/>
    </xf>
    <xf numFmtId="176" fontId="2" fillId="2" borderId="8" xfId="0" applyNumberFormat="1" applyFont="1" applyFill="1" applyBorder="1">
      <alignment vertical="center"/>
    </xf>
    <xf numFmtId="176" fontId="2" fillId="2" borderId="9" xfId="0" applyNumberFormat="1" applyFont="1" applyFill="1" applyBorder="1">
      <alignment vertical="center"/>
    </xf>
    <xf numFmtId="176" fontId="0" fillId="2" borderId="10" xfId="0" applyNumberFormat="1" applyFill="1" applyBorder="1" applyAlignment="1">
      <alignment horizontal="center" vertical="center"/>
    </xf>
    <xf numFmtId="176" fontId="0" fillId="2" borderId="5" xfId="0" applyNumberFormat="1" applyFill="1" applyBorder="1" applyAlignment="1">
      <alignment horizontal="center" vertical="center"/>
    </xf>
    <xf numFmtId="176" fontId="0" fillId="2" borderId="6" xfId="0" applyNumberFormat="1" applyFill="1" applyBorder="1" applyAlignment="1">
      <alignment horizontal="center" vertical="center"/>
    </xf>
    <xf numFmtId="177" fontId="0" fillId="2" borderId="10" xfId="0" applyNumberFormat="1" applyFill="1" applyBorder="1">
      <alignment vertical="center"/>
    </xf>
    <xf numFmtId="176" fontId="0" fillId="5" borderId="0" xfId="0" applyNumberFormat="1" applyFill="1">
      <alignment vertical="center"/>
    </xf>
    <xf numFmtId="176" fontId="2" fillId="5" borderId="0" xfId="0" applyNumberFormat="1" applyFont="1" applyFill="1">
      <alignment vertical="center"/>
    </xf>
    <xf numFmtId="176" fontId="2" fillId="4" borderId="0" xfId="0" applyNumberFormat="1" applyFont="1" applyFill="1" applyAlignment="1">
      <alignment horizontal="centerContinuous" vertical="center"/>
    </xf>
    <xf numFmtId="176" fontId="0" fillId="2" borderId="0" xfId="0" applyNumberFormat="1" applyFill="1" applyAlignment="1">
      <alignment horizontal="left" vertical="center"/>
    </xf>
    <xf numFmtId="0" fontId="4" fillId="0" borderId="0" xfId="0" applyFont="1" applyAlignment="1">
      <alignment horizontal="center" vertical="center" wrapText="1"/>
    </xf>
    <xf numFmtId="0" fontId="4" fillId="0" borderId="0" xfId="0" applyFont="1" applyAlignment="1">
      <alignment horizontal="right" vertical="center" wrapText="1"/>
    </xf>
    <xf numFmtId="0" fontId="4" fillId="6" borderId="11" xfId="0" applyFont="1" applyFill="1" applyBorder="1" applyAlignment="1">
      <alignment horizontal="center" vertical="center" wrapText="1"/>
    </xf>
    <xf numFmtId="0" fontId="4" fillId="0" borderId="11" xfId="0" applyFont="1" applyBorder="1" applyAlignment="1">
      <alignment horizontal="center" vertical="center" wrapText="1"/>
    </xf>
    <xf numFmtId="3" fontId="4" fillId="0" borderId="11" xfId="0" applyNumberFormat="1" applyFont="1" applyBorder="1" applyAlignment="1">
      <alignment horizontal="right" vertical="center" wrapText="1"/>
    </xf>
    <xf numFmtId="10" fontId="4" fillId="0" borderId="11" xfId="0" applyNumberFormat="1" applyFont="1" applyBorder="1" applyAlignment="1">
      <alignment horizontal="right" vertical="center" wrapText="1"/>
    </xf>
    <xf numFmtId="0" fontId="4" fillId="0" borderId="11" xfId="0" applyFont="1" applyBorder="1" applyAlignment="1">
      <alignment horizontal="right" vertical="center" wrapText="1"/>
    </xf>
    <xf numFmtId="0" fontId="4" fillId="6" borderId="17" xfId="0" applyFont="1" applyFill="1" applyBorder="1" applyAlignment="1">
      <alignment horizontal="center" vertical="center" wrapText="1"/>
    </xf>
    <xf numFmtId="0" fontId="4" fillId="0" borderId="18" xfId="0" applyFont="1" applyBorder="1" applyAlignment="1">
      <alignment horizontal="center" vertical="center" wrapText="1"/>
    </xf>
    <xf numFmtId="10" fontId="4" fillId="0" borderId="17" xfId="0" applyNumberFormat="1" applyFont="1" applyBorder="1" applyAlignment="1">
      <alignment horizontal="right" vertical="center" wrapText="1"/>
    </xf>
    <xf numFmtId="0" fontId="4" fillId="0" borderId="19" xfId="0" applyFont="1" applyBorder="1" applyAlignment="1">
      <alignment horizontal="center" vertical="center" wrapText="1"/>
    </xf>
    <xf numFmtId="3" fontId="4" fillId="0" borderId="20" xfId="0" applyNumberFormat="1" applyFont="1" applyBorder="1" applyAlignment="1">
      <alignment horizontal="right" vertical="center" wrapText="1"/>
    </xf>
    <xf numFmtId="10" fontId="4" fillId="0" borderId="20" xfId="0" applyNumberFormat="1" applyFont="1" applyBorder="1" applyAlignment="1">
      <alignment horizontal="right" vertical="center" wrapText="1"/>
    </xf>
    <xf numFmtId="10" fontId="4" fillId="0" borderId="21" xfId="0" applyNumberFormat="1" applyFont="1" applyBorder="1" applyAlignment="1">
      <alignment horizontal="right" vertical="center" wrapText="1"/>
    </xf>
    <xf numFmtId="0" fontId="4" fillId="0" borderId="0" xfId="0" applyFont="1" applyAlignment="1">
      <alignment horizontal="right" wrapText="1"/>
    </xf>
    <xf numFmtId="0" fontId="4" fillId="7" borderId="11" xfId="0" applyFont="1" applyFill="1" applyBorder="1" applyAlignment="1">
      <alignment horizontal="center" vertical="center" wrapText="1"/>
    </xf>
    <xf numFmtId="0" fontId="4" fillId="7" borderId="17" xfId="0" applyFont="1" applyFill="1" applyBorder="1" applyAlignment="1">
      <alignment horizontal="center" vertical="center" wrapText="1"/>
    </xf>
    <xf numFmtId="0" fontId="4" fillId="6" borderId="22" xfId="0" applyFont="1" applyFill="1" applyBorder="1" applyAlignment="1">
      <alignment horizontal="center" vertical="center" wrapText="1"/>
    </xf>
    <xf numFmtId="0" fontId="4" fillId="6" borderId="23" xfId="0" applyFont="1" applyFill="1" applyBorder="1" applyAlignment="1">
      <alignment horizontal="center" vertical="center" wrapText="1"/>
    </xf>
    <xf numFmtId="0" fontId="4" fillId="6" borderId="24" xfId="0" applyFont="1" applyFill="1" applyBorder="1" applyAlignment="1">
      <alignment horizontal="center" vertical="center" wrapText="1"/>
    </xf>
    <xf numFmtId="3" fontId="4" fillId="0" borderId="17" xfId="0" applyNumberFormat="1" applyFont="1" applyBorder="1" applyAlignment="1">
      <alignment horizontal="right" vertical="center" wrapText="1"/>
    </xf>
    <xf numFmtId="3" fontId="4" fillId="0" borderId="21" xfId="0" applyNumberFormat="1" applyFont="1" applyBorder="1" applyAlignment="1">
      <alignment horizontal="right" vertical="center" wrapText="1"/>
    </xf>
    <xf numFmtId="10" fontId="5" fillId="0" borderId="17" xfId="0" applyNumberFormat="1" applyFont="1" applyBorder="1" applyAlignment="1">
      <alignment horizontal="right" vertical="center" wrapText="1"/>
    </xf>
    <xf numFmtId="0" fontId="6" fillId="0" borderId="0" xfId="0" applyFont="1" applyAlignment="1">
      <alignment horizontal="justify" vertical="center" wrapText="1"/>
    </xf>
    <xf numFmtId="0" fontId="4" fillId="0" borderId="18" xfId="0" applyFont="1" applyBorder="1" applyAlignment="1">
      <alignment vertical="center" wrapText="1"/>
    </xf>
    <xf numFmtId="0" fontId="4" fillId="0" borderId="19" xfId="0" applyFont="1" applyBorder="1" applyAlignment="1">
      <alignment vertical="center" wrapText="1"/>
    </xf>
    <xf numFmtId="0" fontId="4" fillId="0" borderId="0" xfId="0" applyFont="1" applyAlignment="1">
      <alignment horizontal="right" vertical="top" wrapText="1"/>
    </xf>
    <xf numFmtId="0" fontId="4" fillId="0" borderId="19" xfId="0" applyFont="1" applyBorder="1" applyAlignment="1">
      <alignment vertical="top" wrapText="1"/>
    </xf>
    <xf numFmtId="0" fontId="7" fillId="2" borderId="0" xfId="1" applyFill="1">
      <alignment vertical="center"/>
    </xf>
    <xf numFmtId="0" fontId="8" fillId="0" borderId="0" xfId="0" applyFont="1" applyAlignment="1">
      <alignment horizontal="left" vertical="center" wrapText="1"/>
    </xf>
    <xf numFmtId="0" fontId="4" fillId="0" borderId="17" xfId="0" applyFont="1" applyBorder="1" applyAlignment="1">
      <alignment horizontal="right" vertical="center" wrapText="1"/>
    </xf>
    <xf numFmtId="0" fontId="4" fillId="0" borderId="20" xfId="0" applyFont="1" applyBorder="1" applyAlignment="1">
      <alignment horizontal="right" vertical="center" wrapText="1"/>
    </xf>
    <xf numFmtId="0" fontId="4" fillId="0" borderId="21" xfId="0" applyFont="1" applyBorder="1" applyAlignment="1">
      <alignment horizontal="right" vertical="center" wrapText="1"/>
    </xf>
    <xf numFmtId="0" fontId="4" fillId="7" borderId="31" xfId="0" applyFont="1" applyFill="1" applyBorder="1" applyAlignment="1">
      <alignment horizontal="center" vertical="center" wrapText="1"/>
    </xf>
    <xf numFmtId="0" fontId="4" fillId="7" borderId="32" xfId="0" applyFont="1" applyFill="1" applyBorder="1" applyAlignment="1">
      <alignment horizontal="center" vertical="center" wrapText="1"/>
    </xf>
    <xf numFmtId="0" fontId="4" fillId="0" borderId="11" xfId="0" applyFont="1" applyBorder="1" applyAlignment="1">
      <alignment vertical="center" wrapText="1"/>
    </xf>
    <xf numFmtId="0" fontId="4" fillId="7" borderId="45" xfId="0" applyFont="1" applyFill="1" applyBorder="1" applyAlignment="1">
      <alignment horizontal="center" vertical="center" wrapText="1"/>
    </xf>
    <xf numFmtId="0" fontId="4" fillId="0" borderId="17" xfId="0" applyFont="1" applyBorder="1" applyAlignment="1">
      <alignment horizontal="center" vertical="center" wrapText="1"/>
    </xf>
    <xf numFmtId="0" fontId="4" fillId="0" borderId="20" xfId="0" applyFont="1" applyBorder="1" applyAlignment="1">
      <alignment horizontal="center" vertical="center" wrapText="1"/>
    </xf>
    <xf numFmtId="0" fontId="4" fillId="0" borderId="21" xfId="0" applyFont="1" applyBorder="1" applyAlignment="1">
      <alignment horizontal="center" vertical="center" wrapText="1"/>
    </xf>
    <xf numFmtId="3" fontId="0" fillId="2" borderId="0" xfId="0" applyNumberFormat="1" applyFill="1">
      <alignment vertical="center"/>
    </xf>
    <xf numFmtId="0" fontId="4" fillId="8" borderId="11" xfId="0" applyFont="1" applyFill="1" applyBorder="1" applyAlignment="1">
      <alignment vertical="center" wrapText="1"/>
    </xf>
    <xf numFmtId="0" fontId="4" fillId="8" borderId="11" xfId="0" applyFont="1" applyFill="1" applyBorder="1" applyAlignment="1">
      <alignment horizontal="center" vertical="center" wrapText="1"/>
    </xf>
    <xf numFmtId="3" fontId="4" fillId="8" borderId="11" xfId="0" applyNumberFormat="1" applyFont="1" applyFill="1" applyBorder="1" applyAlignment="1">
      <alignment horizontal="right" vertical="center" wrapText="1"/>
    </xf>
    <xf numFmtId="10" fontId="4" fillId="8" borderId="11" xfId="0" applyNumberFormat="1" applyFont="1" applyFill="1" applyBorder="1" applyAlignment="1">
      <alignment horizontal="right" vertical="center" wrapText="1"/>
    </xf>
    <xf numFmtId="0" fontId="4" fillId="8" borderId="17" xfId="0" applyFont="1" applyFill="1" applyBorder="1" applyAlignment="1">
      <alignment horizontal="center" vertical="center" wrapText="1"/>
    </xf>
    <xf numFmtId="0" fontId="4" fillId="8" borderId="11" xfId="0" applyFont="1" applyFill="1" applyBorder="1" applyAlignment="1">
      <alignment horizontal="right" vertical="center" wrapText="1"/>
    </xf>
    <xf numFmtId="0" fontId="0" fillId="5" borderId="0" xfId="0" applyFill="1">
      <alignment vertical="center"/>
    </xf>
    <xf numFmtId="178" fontId="10" fillId="2" borderId="0" xfId="0" applyNumberFormat="1" applyFont="1" applyFill="1">
      <alignment vertical="center"/>
    </xf>
    <xf numFmtId="178" fontId="10" fillId="9" borderId="0" xfId="0" applyNumberFormat="1" applyFont="1" applyFill="1">
      <alignment vertical="center"/>
    </xf>
    <xf numFmtId="178" fontId="11" fillId="9" borderId="0" xfId="0" applyNumberFormat="1" applyFont="1" applyFill="1">
      <alignment vertical="center"/>
    </xf>
    <xf numFmtId="178" fontId="10" fillId="10" borderId="0" xfId="0" applyNumberFormat="1" applyFont="1" applyFill="1">
      <alignment vertical="center"/>
    </xf>
    <xf numFmtId="178" fontId="10" fillId="8" borderId="51" xfId="0" applyNumberFormat="1" applyFont="1" applyFill="1" applyBorder="1" applyAlignment="1">
      <alignment horizontal="centerContinuous" vertical="center"/>
    </xf>
    <xf numFmtId="178" fontId="14" fillId="2" borderId="52" xfId="0" applyNumberFormat="1" applyFont="1" applyFill="1" applyBorder="1" applyAlignment="1">
      <alignment horizontal="centerContinuous" vertical="center"/>
    </xf>
    <xf numFmtId="178" fontId="10" fillId="2" borderId="53" xfId="0" applyNumberFormat="1" applyFont="1" applyFill="1" applyBorder="1" applyAlignment="1">
      <alignment horizontal="centerContinuous" vertical="center"/>
    </xf>
    <xf numFmtId="178" fontId="10" fillId="8" borderId="54" xfId="0" applyNumberFormat="1" applyFont="1" applyFill="1" applyBorder="1" applyAlignment="1">
      <alignment horizontal="centerContinuous" vertical="center"/>
    </xf>
    <xf numFmtId="178" fontId="10" fillId="11" borderId="55" xfId="0" applyNumberFormat="1" applyFont="1" applyFill="1" applyBorder="1" applyAlignment="1">
      <alignment horizontal="centerContinuous" vertical="center"/>
    </xf>
    <xf numFmtId="178" fontId="10" fillId="11" borderId="56" xfId="0" applyNumberFormat="1" applyFont="1" applyFill="1" applyBorder="1" applyAlignment="1">
      <alignment horizontal="centerContinuous" vertical="center"/>
    </xf>
    <xf numFmtId="178" fontId="10" fillId="9" borderId="1" xfId="0" applyNumberFormat="1" applyFont="1" applyFill="1" applyBorder="1">
      <alignment vertical="center"/>
    </xf>
    <xf numFmtId="178" fontId="10" fillId="10" borderId="1" xfId="0" applyNumberFormat="1" applyFont="1" applyFill="1" applyBorder="1">
      <alignment vertical="center"/>
    </xf>
    <xf numFmtId="178" fontId="11" fillId="9" borderId="57" xfId="0" applyNumberFormat="1" applyFont="1" applyFill="1" applyBorder="1" applyAlignment="1">
      <alignment horizontal="centerContinuous" vertical="center"/>
    </xf>
    <xf numFmtId="179" fontId="11" fillId="9" borderId="58" xfId="0" applyNumberFormat="1" applyFont="1" applyFill="1" applyBorder="1">
      <alignment vertical="center"/>
    </xf>
    <xf numFmtId="178" fontId="11" fillId="9" borderId="59" xfId="0" applyNumberFormat="1" applyFont="1" applyFill="1" applyBorder="1" applyAlignment="1">
      <alignment horizontal="centerContinuous" vertical="center"/>
    </xf>
    <xf numFmtId="178" fontId="11" fillId="9" borderId="60" xfId="0" applyNumberFormat="1" applyFont="1" applyFill="1" applyBorder="1" applyAlignment="1">
      <alignment horizontal="centerContinuous" vertical="center"/>
    </xf>
    <xf numFmtId="180" fontId="11" fillId="9" borderId="61" xfId="0" applyNumberFormat="1" applyFont="1" applyFill="1" applyBorder="1">
      <alignment vertical="center"/>
    </xf>
    <xf numFmtId="180" fontId="11" fillId="9" borderId="62" xfId="0" applyNumberFormat="1" applyFont="1" applyFill="1" applyBorder="1">
      <alignment vertical="center"/>
    </xf>
    <xf numFmtId="178" fontId="11" fillId="9" borderId="63" xfId="0" applyNumberFormat="1" applyFont="1" applyFill="1" applyBorder="1" applyAlignment="1">
      <alignment horizontal="centerContinuous" vertical="center"/>
    </xf>
    <xf numFmtId="179" fontId="11" fillId="9" borderId="62" xfId="0" applyNumberFormat="1" applyFont="1" applyFill="1" applyBorder="1">
      <alignment vertical="center"/>
    </xf>
    <xf numFmtId="178" fontId="11" fillId="9" borderId="62" xfId="0" applyNumberFormat="1" applyFont="1" applyFill="1" applyBorder="1" applyAlignment="1">
      <alignment horizontal="right" vertical="center"/>
    </xf>
    <xf numFmtId="3" fontId="4" fillId="0" borderId="11" xfId="0" applyNumberFormat="1" applyFont="1" applyBorder="1" applyAlignment="1">
      <alignment horizontal="right" vertical="top" wrapText="1"/>
    </xf>
    <xf numFmtId="3" fontId="4" fillId="0" borderId="17" xfId="0" applyNumberFormat="1" applyFont="1" applyBorder="1" applyAlignment="1">
      <alignment horizontal="right" vertical="top" wrapText="1"/>
    </xf>
    <xf numFmtId="3" fontId="4" fillId="0" borderId="20" xfId="0" applyNumberFormat="1" applyFont="1" applyBorder="1" applyAlignment="1">
      <alignment horizontal="right" vertical="top" wrapText="1"/>
    </xf>
    <xf numFmtId="3" fontId="4" fillId="0" borderId="21" xfId="0" applyNumberFormat="1" applyFont="1" applyBorder="1" applyAlignment="1">
      <alignment horizontal="right" vertical="top" wrapText="1"/>
    </xf>
    <xf numFmtId="0" fontId="4" fillId="0" borderId="18" xfId="0" applyFont="1" applyBorder="1" applyAlignment="1">
      <alignment vertical="top" wrapText="1"/>
    </xf>
    <xf numFmtId="178" fontId="10" fillId="2" borderId="0" xfId="0" applyNumberFormat="1" applyFont="1" applyFill="1" applyAlignment="1">
      <alignment horizontal="left" vertical="center" indent="1"/>
    </xf>
    <xf numFmtId="178" fontId="15" fillId="2" borderId="0" xfId="0" applyNumberFormat="1" applyFont="1" applyFill="1">
      <alignment vertical="center"/>
    </xf>
    <xf numFmtId="178" fontId="15" fillId="2" borderId="0" xfId="0" applyNumberFormat="1" applyFont="1" applyFill="1" applyAlignment="1">
      <alignment horizontal="left" vertical="center" indent="1"/>
    </xf>
    <xf numFmtId="178" fontId="16" fillId="2" borderId="0" xfId="0" applyNumberFormat="1" applyFont="1" applyFill="1">
      <alignment vertical="center"/>
    </xf>
    <xf numFmtId="178" fontId="16" fillId="2" borderId="0" xfId="0" applyNumberFormat="1" applyFont="1" applyFill="1" applyAlignment="1">
      <alignment horizontal="left" vertical="center" indent="1"/>
    </xf>
    <xf numFmtId="181" fontId="10" fillId="2" borderId="0" xfId="0" applyNumberFormat="1" applyFont="1" applyFill="1">
      <alignment vertical="center"/>
    </xf>
    <xf numFmtId="181" fontId="16" fillId="2" borderId="0" xfId="0" applyNumberFormat="1" applyFont="1" applyFill="1">
      <alignment vertical="center"/>
    </xf>
    <xf numFmtId="178" fontId="17" fillId="2" borderId="0" xfId="0" applyNumberFormat="1" applyFont="1" applyFill="1">
      <alignment vertical="center"/>
    </xf>
    <xf numFmtId="181" fontId="17" fillId="2" borderId="0" xfId="0" applyNumberFormat="1" applyFont="1" applyFill="1">
      <alignment vertical="center"/>
    </xf>
    <xf numFmtId="177" fontId="16" fillId="2" borderId="0" xfId="0" applyNumberFormat="1" applyFont="1" applyFill="1">
      <alignment vertical="center"/>
    </xf>
    <xf numFmtId="178" fontId="17" fillId="2" borderId="0" xfId="0" applyNumberFormat="1" applyFont="1" applyFill="1" applyAlignment="1">
      <alignment horizontal="left" vertical="center" indent="1"/>
    </xf>
    <xf numFmtId="178" fontId="10" fillId="2" borderId="0" xfId="0" applyNumberFormat="1" applyFont="1" applyFill="1" applyAlignment="1">
      <alignment horizontal="left" vertical="center" indent="2"/>
    </xf>
    <xf numFmtId="0" fontId="0" fillId="8" borderId="0" xfId="0" applyFill="1">
      <alignment vertical="center"/>
    </xf>
    <xf numFmtId="3" fontId="0" fillId="8" borderId="0" xfId="0" applyNumberFormat="1" applyFill="1">
      <alignment vertical="center"/>
    </xf>
    <xf numFmtId="0" fontId="0" fillId="12" borderId="0" xfId="0" applyFill="1">
      <alignment vertical="center"/>
    </xf>
    <xf numFmtId="3" fontId="0" fillId="12" borderId="0" xfId="0" applyNumberFormat="1" applyFill="1">
      <alignment vertical="center"/>
    </xf>
    <xf numFmtId="181" fontId="16" fillId="2" borderId="0" xfId="0" applyNumberFormat="1" applyFont="1" applyFill="1" applyAlignment="1">
      <alignment horizontal="right" vertical="center"/>
    </xf>
    <xf numFmtId="0" fontId="4" fillId="0" borderId="11" xfId="0" applyFont="1" applyBorder="1" applyAlignment="1">
      <alignment horizontal="right" vertical="top" wrapText="1"/>
    </xf>
    <xf numFmtId="0" fontId="4" fillId="0" borderId="17" xfId="0" applyFont="1" applyBorder="1" applyAlignment="1">
      <alignment horizontal="right" vertical="top" wrapText="1"/>
    </xf>
    <xf numFmtId="0" fontId="4" fillId="0" borderId="18" xfId="0" applyFont="1" applyBorder="1" applyAlignment="1">
      <alignment vertical="top" wrapText="1" indent="1"/>
    </xf>
    <xf numFmtId="0" fontId="4" fillId="0" borderId="20" xfId="0" applyFont="1" applyBorder="1" applyAlignment="1">
      <alignment horizontal="right" vertical="top" wrapText="1"/>
    </xf>
    <xf numFmtId="0" fontId="4" fillId="6" borderId="22" xfId="0" applyFont="1" applyFill="1" applyBorder="1" applyAlignment="1">
      <alignment horizontal="center" vertical="top" wrapText="1"/>
    </xf>
    <xf numFmtId="0" fontId="0" fillId="12" borderId="0" xfId="0" applyFill="1" applyAlignment="1">
      <alignment horizontal="left" vertical="center" indent="2"/>
    </xf>
    <xf numFmtId="0" fontId="18" fillId="2" borderId="0" xfId="0" applyFont="1" applyFill="1">
      <alignment vertical="center"/>
    </xf>
    <xf numFmtId="0" fontId="19" fillId="2" borderId="0" xfId="0" applyFont="1" applyFill="1">
      <alignment vertical="center"/>
    </xf>
    <xf numFmtId="0" fontId="20" fillId="2" borderId="0" xfId="0" applyFont="1" applyFill="1">
      <alignment vertical="center"/>
    </xf>
    <xf numFmtId="178" fontId="12" fillId="2" borderId="64" xfId="0" applyNumberFormat="1" applyFont="1" applyFill="1" applyBorder="1" applyAlignment="1">
      <alignment horizontal="centerContinuous" vertical="center"/>
    </xf>
    <xf numFmtId="178" fontId="10" fillId="2" borderId="65" xfId="0" applyNumberFormat="1" applyFont="1" applyFill="1" applyBorder="1" applyAlignment="1">
      <alignment horizontal="centerContinuous" vertical="center"/>
    </xf>
    <xf numFmtId="178" fontId="13" fillId="2" borderId="66" xfId="0" applyNumberFormat="1" applyFont="1" applyFill="1" applyBorder="1" applyAlignment="1">
      <alignment horizontal="centerContinuous" vertical="center"/>
    </xf>
    <xf numFmtId="178" fontId="12" fillId="2" borderId="67" xfId="0" applyNumberFormat="1" applyFont="1" applyFill="1" applyBorder="1" applyAlignment="1">
      <alignment horizontal="centerContinuous" vertical="center"/>
    </xf>
    <xf numFmtId="178" fontId="10" fillId="2" borderId="68" xfId="0" applyNumberFormat="1" applyFont="1" applyFill="1" applyBorder="1" applyAlignment="1">
      <alignment horizontal="centerContinuous" vertical="center"/>
    </xf>
    <xf numFmtId="178" fontId="13" fillId="2" borderId="69" xfId="0" applyNumberFormat="1" applyFont="1" applyFill="1" applyBorder="1" applyAlignment="1">
      <alignment horizontal="centerContinuous" vertical="center"/>
    </xf>
    <xf numFmtId="181" fontId="15" fillId="2" borderId="0" xfId="0" applyNumberFormat="1" applyFont="1" applyFill="1">
      <alignment vertical="center"/>
    </xf>
    <xf numFmtId="178" fontId="10" fillId="4" borderId="0" xfId="0" applyNumberFormat="1" applyFont="1" applyFill="1">
      <alignment vertical="center"/>
    </xf>
    <xf numFmtId="181" fontId="21" fillId="2" borderId="0" xfId="0" applyNumberFormat="1" applyFont="1" applyFill="1">
      <alignment vertical="center"/>
    </xf>
    <xf numFmtId="9" fontId="15" fillId="2" borderId="0" xfId="0" applyNumberFormat="1" applyFont="1" applyFill="1">
      <alignment vertical="center"/>
    </xf>
    <xf numFmtId="9" fontId="15" fillId="8" borderId="51" xfId="0" applyNumberFormat="1" applyFont="1" applyFill="1" applyBorder="1">
      <alignment vertical="center"/>
    </xf>
    <xf numFmtId="178" fontId="11" fillId="9" borderId="0" xfId="0" applyNumberFormat="1" applyFont="1" applyFill="1" applyAlignment="1">
      <alignment horizontal="center" vertical="center"/>
    </xf>
    <xf numFmtId="0" fontId="4" fillId="0" borderId="25" xfId="0" applyFont="1" applyBorder="1" applyAlignment="1">
      <alignment horizontal="center" vertical="center" wrapText="1"/>
    </xf>
    <xf numFmtId="0" fontId="4" fillId="0" borderId="26" xfId="0" applyFont="1" applyBorder="1" applyAlignment="1">
      <alignment horizontal="center" vertical="center" wrapText="1"/>
    </xf>
    <xf numFmtId="0" fontId="4" fillId="0" borderId="16" xfId="0" applyFont="1" applyBorder="1" applyAlignment="1">
      <alignment horizontal="center" vertical="center" wrapText="1"/>
    </xf>
    <xf numFmtId="182" fontId="17" fillId="2" borderId="0" xfId="0" applyNumberFormat="1" applyFont="1" applyFill="1">
      <alignment vertical="center"/>
    </xf>
    <xf numFmtId="182" fontId="15" fillId="2" borderId="0" xfId="0" applyNumberFormat="1" applyFont="1" applyFill="1">
      <alignment vertical="center"/>
    </xf>
    <xf numFmtId="178" fontId="15" fillId="2" borderId="0" xfId="0" applyNumberFormat="1" applyFont="1" applyFill="1" applyAlignment="1">
      <alignment horizontal="left" vertical="center" indent="2"/>
    </xf>
    <xf numFmtId="177" fontId="15" fillId="2" borderId="0" xfId="0" applyNumberFormat="1" applyFont="1" applyFill="1">
      <alignment vertical="center"/>
    </xf>
    <xf numFmtId="178" fontId="10" fillId="2" borderId="70" xfId="0" applyNumberFormat="1" applyFont="1" applyFill="1" applyBorder="1">
      <alignment vertical="center"/>
    </xf>
    <xf numFmtId="178" fontId="10" fillId="2" borderId="71" xfId="0" applyNumberFormat="1" applyFont="1" applyFill="1" applyBorder="1">
      <alignment vertical="center"/>
    </xf>
    <xf numFmtId="181" fontId="10" fillId="2" borderId="71" xfId="0" applyNumberFormat="1" applyFont="1" applyFill="1" applyBorder="1">
      <alignment vertical="center"/>
    </xf>
    <xf numFmtId="181" fontId="10" fillId="2" borderId="72" xfId="0" applyNumberFormat="1" applyFont="1" applyFill="1" applyBorder="1">
      <alignment vertical="center"/>
    </xf>
    <xf numFmtId="178" fontId="10" fillId="2" borderId="73" xfId="0" applyNumberFormat="1" applyFont="1" applyFill="1" applyBorder="1">
      <alignment vertical="center"/>
    </xf>
    <xf numFmtId="178" fontId="10" fillId="2" borderId="5" xfId="0" applyNumberFormat="1" applyFont="1" applyFill="1" applyBorder="1">
      <alignment vertical="center"/>
    </xf>
    <xf numFmtId="181" fontId="10" fillId="2" borderId="5" xfId="0" applyNumberFormat="1" applyFont="1" applyFill="1" applyBorder="1">
      <alignment vertical="center"/>
    </xf>
    <xf numFmtId="178" fontId="15" fillId="2" borderId="73" xfId="0" applyNumberFormat="1" applyFont="1" applyFill="1" applyBorder="1" applyAlignment="1">
      <alignment horizontal="left" vertical="center" indent="1"/>
    </xf>
    <xf numFmtId="181" fontId="15" fillId="2" borderId="5" xfId="0" applyNumberFormat="1" applyFont="1" applyFill="1" applyBorder="1">
      <alignment vertical="center"/>
    </xf>
    <xf numFmtId="178" fontId="10" fillId="2" borderId="74" xfId="0" applyNumberFormat="1" applyFont="1" applyFill="1" applyBorder="1">
      <alignment vertical="center"/>
    </xf>
    <xf numFmtId="178" fontId="10" fillId="2" borderId="1" xfId="0" applyNumberFormat="1" applyFont="1" applyFill="1" applyBorder="1">
      <alignment vertical="center"/>
    </xf>
    <xf numFmtId="181" fontId="10" fillId="2" borderId="1" xfId="0" applyNumberFormat="1" applyFont="1" applyFill="1" applyBorder="1">
      <alignment vertical="center"/>
    </xf>
    <xf numFmtId="178" fontId="23" fillId="2" borderId="71" xfId="0" applyNumberFormat="1" applyFont="1" applyFill="1" applyBorder="1">
      <alignment vertical="center"/>
    </xf>
    <xf numFmtId="178" fontId="14" fillId="8" borderId="56" xfId="0" applyNumberFormat="1" applyFont="1" applyFill="1" applyBorder="1">
      <alignment vertical="center"/>
    </xf>
    <xf numFmtId="178" fontId="17" fillId="2" borderId="1" xfId="0" applyNumberFormat="1" applyFont="1" applyFill="1" applyBorder="1">
      <alignment vertical="center"/>
    </xf>
    <xf numFmtId="181" fontId="17" fillId="2" borderId="1" xfId="0" applyNumberFormat="1" applyFont="1" applyFill="1" applyBorder="1">
      <alignment vertical="center"/>
    </xf>
    <xf numFmtId="178" fontId="17" fillId="2" borderId="0" xfId="0" applyNumberFormat="1" applyFont="1" applyFill="1" applyAlignment="1">
      <alignment horizontal="left" vertical="center"/>
    </xf>
    <xf numFmtId="178" fontId="11" fillId="9" borderId="75" xfId="0" applyNumberFormat="1" applyFont="1" applyFill="1" applyBorder="1">
      <alignment vertical="center"/>
    </xf>
    <xf numFmtId="178" fontId="11" fillId="9" borderId="77" xfId="0" applyNumberFormat="1" applyFont="1" applyFill="1" applyBorder="1" applyAlignment="1">
      <alignment horizontal="centerContinuous" vertical="center"/>
    </xf>
    <xf numFmtId="179" fontId="11" fillId="9" borderId="76" xfId="0" applyNumberFormat="1" applyFont="1" applyFill="1" applyBorder="1">
      <alignment vertical="center"/>
    </xf>
    <xf numFmtId="178" fontId="15" fillId="2" borderId="0" xfId="0" applyNumberFormat="1" applyFont="1" applyFill="1" applyAlignment="1">
      <alignment horizontal="left" vertical="center" indent="3"/>
    </xf>
    <xf numFmtId="178" fontId="17" fillId="2" borderId="1" xfId="0" applyNumberFormat="1" applyFont="1" applyFill="1" applyBorder="1" applyAlignment="1">
      <alignment horizontal="left" vertical="center"/>
    </xf>
    <xf numFmtId="178" fontId="25" fillId="2" borderId="0" xfId="0" applyNumberFormat="1" applyFont="1" applyFill="1">
      <alignment vertical="center"/>
    </xf>
    <xf numFmtId="178" fontId="25" fillId="2" borderId="0" xfId="0" applyNumberFormat="1" applyFont="1" applyFill="1" applyAlignment="1">
      <alignment horizontal="left" vertical="center" indent="2"/>
    </xf>
    <xf numFmtId="181" fontId="25" fillId="2" borderId="0" xfId="0" applyNumberFormat="1" applyFont="1" applyFill="1">
      <alignment vertical="center"/>
    </xf>
    <xf numFmtId="177" fontId="25" fillId="2" borderId="0" xfId="0" applyNumberFormat="1" applyFont="1" applyFill="1">
      <alignment vertical="center"/>
    </xf>
    <xf numFmtId="178" fontId="17" fillId="10" borderId="0" xfId="0" applyNumberFormat="1" applyFont="1" applyFill="1">
      <alignment vertical="center"/>
    </xf>
    <xf numFmtId="178" fontId="17" fillId="4" borderId="0" xfId="0" applyNumberFormat="1" applyFont="1" applyFill="1">
      <alignment vertical="center"/>
    </xf>
    <xf numFmtId="177" fontId="16" fillId="8" borderId="51" xfId="0" applyNumberFormat="1" applyFont="1" applyFill="1" applyBorder="1">
      <alignment vertical="center"/>
    </xf>
    <xf numFmtId="181" fontId="26" fillId="2" borderId="0" xfId="0" applyNumberFormat="1" applyFont="1" applyFill="1">
      <alignment vertical="center"/>
    </xf>
    <xf numFmtId="0" fontId="2" fillId="2" borderId="0" xfId="0" applyFont="1" applyFill="1">
      <alignment vertical="center"/>
    </xf>
    <xf numFmtId="3" fontId="2" fillId="2" borderId="0" xfId="0" applyNumberFormat="1" applyFont="1" applyFill="1">
      <alignment vertical="center"/>
    </xf>
    <xf numFmtId="0" fontId="0" fillId="2" borderId="0" xfId="0" applyFill="1" applyAlignment="1">
      <alignment horizontal="left" vertical="center" indent="1"/>
    </xf>
    <xf numFmtId="178" fontId="25" fillId="2" borderId="0" xfId="0" applyNumberFormat="1" applyFont="1" applyFill="1" applyAlignment="1">
      <alignment horizontal="left" vertical="center" indent="1"/>
    </xf>
    <xf numFmtId="177" fontId="15" fillId="8" borderId="51" xfId="0" applyNumberFormat="1" applyFont="1" applyFill="1" applyBorder="1">
      <alignment vertical="center"/>
    </xf>
    <xf numFmtId="184" fontId="15" fillId="2" borderId="0" xfId="0" applyNumberFormat="1" applyFont="1" applyFill="1">
      <alignment vertical="center"/>
    </xf>
    <xf numFmtId="178" fontId="28" fillId="2" borderId="0" xfId="0" applyNumberFormat="1" applyFont="1" applyFill="1">
      <alignment vertical="center"/>
    </xf>
    <xf numFmtId="178" fontId="28" fillId="2" borderId="0" xfId="0" applyNumberFormat="1" applyFont="1" applyFill="1" applyAlignment="1">
      <alignment horizontal="left" vertical="center" indent="1"/>
    </xf>
    <xf numFmtId="177" fontId="28" fillId="2" borderId="0" xfId="0" applyNumberFormat="1" applyFont="1" applyFill="1">
      <alignment vertical="center"/>
    </xf>
    <xf numFmtId="181" fontId="28" fillId="2" borderId="0" xfId="0" applyNumberFormat="1" applyFont="1" applyFill="1">
      <alignment vertical="center"/>
    </xf>
    <xf numFmtId="177" fontId="28" fillId="8" borderId="51" xfId="0" applyNumberFormat="1" applyFont="1" applyFill="1" applyBorder="1">
      <alignment vertical="center"/>
    </xf>
    <xf numFmtId="9" fontId="16" fillId="8" borderId="51" xfId="0" applyNumberFormat="1" applyFont="1" applyFill="1" applyBorder="1">
      <alignment vertical="center"/>
    </xf>
    <xf numFmtId="3" fontId="10" fillId="2" borderId="0" xfId="0" applyNumberFormat="1" applyFont="1" applyFill="1" applyAlignment="1">
      <alignment horizontal="left" vertical="center" indent="1"/>
    </xf>
    <xf numFmtId="178" fontId="30" fillId="2" borderId="0" xfId="0" applyNumberFormat="1" applyFont="1" applyFill="1">
      <alignment vertical="center"/>
    </xf>
    <xf numFmtId="181" fontId="30" fillId="2" borderId="0" xfId="0" applyNumberFormat="1" applyFont="1" applyFill="1">
      <alignment vertical="center"/>
    </xf>
    <xf numFmtId="177" fontId="30" fillId="2" borderId="0" xfId="0" applyNumberFormat="1" applyFont="1" applyFill="1">
      <alignment vertical="center"/>
    </xf>
    <xf numFmtId="178" fontId="28" fillId="2" borderId="0" xfId="0" applyNumberFormat="1" applyFont="1" applyFill="1" applyAlignment="1">
      <alignment horizontal="left" vertical="center" indent="2"/>
    </xf>
    <xf numFmtId="178" fontId="31" fillId="2" borderId="0" xfId="0" applyNumberFormat="1" applyFont="1" applyFill="1">
      <alignment vertical="center"/>
    </xf>
    <xf numFmtId="177" fontId="31" fillId="2" borderId="0" xfId="0" applyNumberFormat="1" applyFont="1" applyFill="1">
      <alignment vertical="center"/>
    </xf>
    <xf numFmtId="185" fontId="32" fillId="2" borderId="0" xfId="0" applyNumberFormat="1" applyFont="1" applyFill="1">
      <alignment vertical="center"/>
    </xf>
    <xf numFmtId="181" fontId="31" fillId="2" borderId="0" xfId="0" applyNumberFormat="1" applyFont="1" applyFill="1">
      <alignment vertical="center"/>
    </xf>
    <xf numFmtId="177" fontId="10" fillId="2" borderId="0" xfId="0" applyNumberFormat="1" applyFont="1" applyFill="1">
      <alignment vertical="center"/>
    </xf>
    <xf numFmtId="0" fontId="0" fillId="12" borderId="0" xfId="0" applyFill="1" applyAlignment="1">
      <alignment horizontal="left" vertical="center" indent="3"/>
    </xf>
    <xf numFmtId="185" fontId="15" fillId="8" borderId="51" xfId="0" applyNumberFormat="1" applyFont="1" applyFill="1" applyBorder="1">
      <alignment vertical="center"/>
    </xf>
    <xf numFmtId="181" fontId="33" fillId="2" borderId="0" xfId="0" applyNumberFormat="1" applyFont="1" applyFill="1">
      <alignment vertical="center"/>
    </xf>
    <xf numFmtId="0" fontId="0" fillId="0" borderId="78" xfId="0" applyBorder="1">
      <alignment vertical="center"/>
    </xf>
    <xf numFmtId="0" fontId="0" fillId="0" borderId="79" xfId="0" applyBorder="1">
      <alignment vertical="center"/>
    </xf>
    <xf numFmtId="0" fontId="0" fillId="0" borderId="42" xfId="0" applyBorder="1">
      <alignment vertical="center"/>
    </xf>
    <xf numFmtId="185" fontId="10" fillId="2" borderId="0" xfId="0" applyNumberFormat="1" applyFont="1" applyFill="1">
      <alignment vertical="center"/>
    </xf>
    <xf numFmtId="181" fontId="22" fillId="2" borderId="0" xfId="0" applyNumberFormat="1" applyFont="1" applyFill="1">
      <alignment vertical="center"/>
    </xf>
    <xf numFmtId="185" fontId="10" fillId="8" borderId="51" xfId="0" applyNumberFormat="1" applyFont="1" applyFill="1" applyBorder="1">
      <alignment vertical="center"/>
    </xf>
    <xf numFmtId="0" fontId="4" fillId="6" borderId="32" xfId="0" applyFont="1" applyFill="1" applyBorder="1" applyAlignment="1">
      <alignment horizontal="center" vertical="center" wrapText="1"/>
    </xf>
    <xf numFmtId="14" fontId="4" fillId="0" borderId="11" xfId="0" applyNumberFormat="1" applyFont="1" applyBorder="1" applyAlignment="1">
      <alignment horizontal="center" vertical="center" wrapText="1"/>
    </xf>
    <xf numFmtId="0" fontId="4" fillId="6" borderId="45" xfId="0" applyFont="1" applyFill="1" applyBorder="1" applyAlignment="1">
      <alignment horizontal="center" vertical="center" wrapText="1"/>
    </xf>
    <xf numFmtId="0" fontId="4" fillId="12" borderId="11" xfId="0" applyFont="1" applyFill="1" applyBorder="1" applyAlignment="1">
      <alignment horizontal="center" vertical="center" wrapText="1"/>
    </xf>
    <xf numFmtId="14" fontId="4" fillId="12" borderId="11" xfId="0" applyNumberFormat="1" applyFont="1" applyFill="1" applyBorder="1" applyAlignment="1">
      <alignment horizontal="center" vertical="center" wrapText="1"/>
    </xf>
    <xf numFmtId="3" fontId="4" fillId="12" borderId="11" xfId="0" applyNumberFormat="1" applyFont="1" applyFill="1" applyBorder="1" applyAlignment="1">
      <alignment horizontal="right" vertical="center" wrapText="1"/>
    </xf>
    <xf numFmtId="3" fontId="4" fillId="12" borderId="17" xfId="0" applyNumberFormat="1" applyFont="1" applyFill="1" applyBorder="1" applyAlignment="1">
      <alignment horizontal="right" vertical="center" wrapText="1"/>
    </xf>
    <xf numFmtId="0" fontId="4" fillId="12" borderId="17" xfId="0" applyFont="1" applyFill="1" applyBorder="1" applyAlignment="1">
      <alignment horizontal="right" vertical="center" wrapText="1"/>
    </xf>
    <xf numFmtId="0" fontId="4" fillId="12" borderId="11" xfId="0" applyFont="1" applyFill="1" applyBorder="1" applyAlignment="1">
      <alignment horizontal="right" vertical="center" wrapText="1"/>
    </xf>
    <xf numFmtId="3" fontId="34" fillId="0" borderId="11" xfId="0" applyNumberFormat="1" applyFont="1" applyBorder="1" applyAlignment="1">
      <alignment horizontal="right" vertical="center" wrapText="1"/>
    </xf>
    <xf numFmtId="3" fontId="34" fillId="0" borderId="17" xfId="0" applyNumberFormat="1" applyFont="1" applyBorder="1" applyAlignment="1">
      <alignment horizontal="right" vertical="center" wrapText="1"/>
    </xf>
    <xf numFmtId="3" fontId="34" fillId="0" borderId="20" xfId="0" applyNumberFormat="1" applyFont="1" applyBorder="1" applyAlignment="1">
      <alignment horizontal="right" vertical="center" wrapText="1"/>
    </xf>
    <xf numFmtId="3" fontId="34" fillId="0" borderId="21" xfId="0" applyNumberFormat="1" applyFont="1" applyBorder="1" applyAlignment="1">
      <alignment horizontal="right" vertical="center" wrapText="1"/>
    </xf>
    <xf numFmtId="185" fontId="12" fillId="8" borderId="51" xfId="0" applyNumberFormat="1" applyFont="1" applyFill="1" applyBorder="1">
      <alignment vertical="center"/>
    </xf>
    <xf numFmtId="177" fontId="35" fillId="8" borderId="51" xfId="0" applyNumberFormat="1" applyFont="1" applyFill="1" applyBorder="1">
      <alignment vertical="center"/>
    </xf>
    <xf numFmtId="9" fontId="35" fillId="8" borderId="51" xfId="0" applyNumberFormat="1" applyFont="1" applyFill="1" applyBorder="1">
      <alignment vertical="center"/>
    </xf>
    <xf numFmtId="186" fontId="10" fillId="2" borderId="0" xfId="0" applyNumberFormat="1" applyFont="1" applyFill="1">
      <alignment vertical="center"/>
    </xf>
    <xf numFmtId="183" fontId="15" fillId="2" borderId="0" xfId="0" applyNumberFormat="1" applyFont="1" applyFill="1" applyAlignment="1">
      <alignment horizontal="left" vertical="center" indent="1"/>
    </xf>
    <xf numFmtId="0" fontId="4" fillId="0" borderId="22" xfId="0" applyFont="1" applyBorder="1" applyAlignment="1">
      <alignment vertical="top" wrapText="1"/>
    </xf>
    <xf numFmtId="0" fontId="4" fillId="0" borderId="23" xfId="0" applyFont="1" applyBorder="1" applyAlignment="1">
      <alignment horizontal="right" vertical="top" wrapText="1"/>
    </xf>
    <xf numFmtId="3" fontId="4" fillId="0" borderId="23" xfId="0" applyNumberFormat="1" applyFont="1" applyBorder="1" applyAlignment="1">
      <alignment horizontal="right" vertical="top" wrapText="1"/>
    </xf>
    <xf numFmtId="3" fontId="4" fillId="0" borderId="24" xfId="0" applyNumberFormat="1" applyFont="1" applyBorder="1" applyAlignment="1">
      <alignment horizontal="right" vertical="top" wrapText="1"/>
    </xf>
    <xf numFmtId="0" fontId="4" fillId="0" borderId="21" xfId="0" applyFont="1" applyBorder="1" applyAlignment="1">
      <alignment horizontal="right" vertical="top" wrapText="1"/>
    </xf>
    <xf numFmtId="3" fontId="4" fillId="0" borderId="17" xfId="0" applyNumberFormat="1" applyFont="1" applyBorder="1" applyAlignment="1">
      <alignment horizontal="right" wrapText="1"/>
    </xf>
    <xf numFmtId="0" fontId="4" fillId="0" borderId="17" xfId="0" applyFont="1" applyBorder="1" applyAlignment="1">
      <alignment horizontal="right" wrapText="1"/>
    </xf>
    <xf numFmtId="181" fontId="36" fillId="2" borderId="0" xfId="0" applyNumberFormat="1" applyFont="1" applyFill="1">
      <alignment vertical="center"/>
    </xf>
    <xf numFmtId="185" fontId="17" fillId="2" borderId="0" xfId="0" applyNumberFormat="1" applyFont="1" applyFill="1">
      <alignment vertical="center"/>
    </xf>
    <xf numFmtId="177" fontId="17" fillId="2" borderId="0" xfId="0" applyNumberFormat="1" applyFont="1" applyFill="1">
      <alignment vertical="center"/>
    </xf>
    <xf numFmtId="0" fontId="4" fillId="6" borderId="11" xfId="0" applyFont="1" applyFill="1" applyBorder="1" applyAlignment="1">
      <alignment horizontal="center" vertical="top" wrapText="1"/>
    </xf>
    <xf numFmtId="3" fontId="4" fillId="0" borderId="20" xfId="0" applyNumberFormat="1" applyFont="1" applyBorder="1" applyAlignment="1">
      <alignment horizontal="right" wrapText="1"/>
    </xf>
    <xf numFmtId="3" fontId="4" fillId="0" borderId="21" xfId="0" applyNumberFormat="1" applyFont="1" applyBorder="1" applyAlignment="1">
      <alignment horizontal="right" wrapText="1"/>
    </xf>
    <xf numFmtId="187" fontId="17" fillId="2" borderId="0" xfId="0" applyNumberFormat="1" applyFont="1" applyFill="1">
      <alignment vertical="center"/>
    </xf>
    <xf numFmtId="187" fontId="10" fillId="2" borderId="0" xfId="0" applyNumberFormat="1" applyFont="1" applyFill="1" applyAlignment="1">
      <alignment horizontal="left" vertical="center" indent="1"/>
    </xf>
    <xf numFmtId="187" fontId="30" fillId="2" borderId="70" xfId="0" applyNumberFormat="1" applyFont="1" applyFill="1" applyBorder="1">
      <alignment vertical="center"/>
    </xf>
    <xf numFmtId="187" fontId="30" fillId="2" borderId="71" xfId="0" applyNumberFormat="1" applyFont="1" applyFill="1" applyBorder="1">
      <alignment vertical="center"/>
    </xf>
    <xf numFmtId="187" fontId="37" fillId="2" borderId="71" xfId="0" applyNumberFormat="1" applyFont="1" applyFill="1" applyBorder="1" applyAlignment="1">
      <alignment horizontal="right" vertical="center"/>
    </xf>
    <xf numFmtId="187" fontId="37" fillId="2" borderId="72" xfId="0" applyNumberFormat="1" applyFont="1" applyFill="1" applyBorder="1" applyAlignment="1">
      <alignment horizontal="right" vertical="center"/>
    </xf>
    <xf numFmtId="187" fontId="15" fillId="2" borderId="73" xfId="0" applyNumberFormat="1" applyFont="1" applyFill="1" applyBorder="1" applyAlignment="1">
      <alignment horizontal="left" vertical="center" indent="1"/>
    </xf>
    <xf numFmtId="187" fontId="15" fillId="2" borderId="0" xfId="0" applyNumberFormat="1" applyFont="1" applyFill="1">
      <alignment vertical="center"/>
    </xf>
    <xf numFmtId="187" fontId="38" fillId="2" borderId="0" xfId="0" applyNumberFormat="1" applyFont="1" applyFill="1">
      <alignment vertical="center"/>
    </xf>
    <xf numFmtId="177" fontId="38" fillId="2" borderId="5" xfId="0" applyNumberFormat="1" applyFont="1" applyFill="1" applyBorder="1">
      <alignment vertical="center"/>
    </xf>
    <xf numFmtId="187" fontId="15" fillId="2" borderId="0" xfId="0" applyNumberFormat="1" applyFont="1" applyFill="1" applyAlignment="1">
      <alignment horizontal="right" vertical="center"/>
    </xf>
    <xf numFmtId="187" fontId="30" fillId="2" borderId="74" xfId="0" applyNumberFormat="1" applyFont="1" applyFill="1" applyBorder="1">
      <alignment vertical="center"/>
    </xf>
    <xf numFmtId="187" fontId="15" fillId="2" borderId="1" xfId="0" applyNumberFormat="1" applyFont="1" applyFill="1" applyBorder="1">
      <alignment vertical="center"/>
    </xf>
    <xf numFmtId="187" fontId="15" fillId="2" borderId="1" xfId="0" applyNumberFormat="1" applyFont="1" applyFill="1" applyBorder="1" applyAlignment="1">
      <alignment horizontal="right" vertical="center"/>
    </xf>
    <xf numFmtId="177" fontId="38" fillId="2" borderId="6" xfId="0" applyNumberFormat="1" applyFont="1" applyFill="1" applyBorder="1">
      <alignment vertical="center"/>
    </xf>
    <xf numFmtId="187" fontId="10" fillId="2" borderId="0" xfId="2" applyNumberFormat="1" applyFont="1" applyFill="1" applyBorder="1">
      <alignment vertical="center"/>
    </xf>
    <xf numFmtId="187" fontId="17" fillId="2" borderId="0" xfId="0" applyNumberFormat="1" applyFont="1" applyFill="1" applyAlignment="1">
      <alignment horizontal="left" vertical="center" indent="1"/>
    </xf>
    <xf numFmtId="187" fontId="10" fillId="2" borderId="0" xfId="0" applyNumberFormat="1" applyFont="1" applyFill="1" applyAlignment="1">
      <alignment horizontal="left" vertical="center" indent="2"/>
    </xf>
    <xf numFmtId="187" fontId="16" fillId="2" borderId="0" xfId="0" applyNumberFormat="1" applyFont="1" applyFill="1">
      <alignment vertical="center"/>
    </xf>
    <xf numFmtId="178" fontId="17" fillId="2" borderId="71" xfId="0" applyNumberFormat="1" applyFont="1" applyFill="1" applyBorder="1">
      <alignment vertical="center"/>
    </xf>
    <xf numFmtId="178" fontId="17" fillId="2" borderId="72" xfId="0" applyNumberFormat="1" applyFont="1" applyFill="1" applyBorder="1">
      <alignment vertical="center"/>
    </xf>
    <xf numFmtId="178" fontId="17" fillId="2" borderId="73" xfId="0" applyNumberFormat="1" applyFont="1" applyFill="1" applyBorder="1">
      <alignment vertical="center"/>
    </xf>
    <xf numFmtId="183" fontId="10" fillId="2" borderId="5" xfId="0" applyNumberFormat="1" applyFont="1" applyFill="1" applyBorder="1">
      <alignment vertical="center"/>
    </xf>
    <xf numFmtId="178" fontId="10" fillId="2" borderId="6" xfId="0" applyNumberFormat="1" applyFont="1" applyFill="1" applyBorder="1" applyAlignment="1">
      <alignment horizontal="centerContinuous" vertical="center"/>
    </xf>
    <xf numFmtId="178" fontId="39" fillId="2" borderId="0" xfId="0" applyNumberFormat="1" applyFont="1" applyFill="1">
      <alignment vertical="center"/>
    </xf>
    <xf numFmtId="178" fontId="40" fillId="2" borderId="0" xfId="0" applyNumberFormat="1" applyFont="1" applyFill="1">
      <alignment vertical="center"/>
    </xf>
    <xf numFmtId="178" fontId="41" fillId="2" borderId="0" xfId="0" applyNumberFormat="1" applyFont="1" applyFill="1">
      <alignment vertical="center"/>
    </xf>
    <xf numFmtId="178" fontId="42" fillId="2" borderId="0" xfId="0" applyNumberFormat="1" applyFont="1" applyFill="1">
      <alignment vertical="center"/>
    </xf>
    <xf numFmtId="0" fontId="43" fillId="2" borderId="0" xfId="0" applyFont="1" applyFill="1">
      <alignment vertical="center"/>
    </xf>
    <xf numFmtId="0" fontId="44" fillId="2" borderId="0" xfId="0" applyFont="1" applyFill="1">
      <alignment vertical="center"/>
    </xf>
    <xf numFmtId="0" fontId="45" fillId="2" borderId="0" xfId="0" applyFont="1" applyFill="1">
      <alignment vertical="center"/>
    </xf>
    <xf numFmtId="184" fontId="43" fillId="2" borderId="0" xfId="0" applyNumberFormat="1" applyFont="1" applyFill="1">
      <alignment vertical="center"/>
    </xf>
    <xf numFmtId="184" fontId="11" fillId="9" borderId="0" xfId="0" applyNumberFormat="1" applyFont="1" applyFill="1">
      <alignment vertical="center"/>
    </xf>
    <xf numFmtId="184" fontId="44" fillId="2" borderId="0" xfId="0" applyNumberFormat="1" applyFont="1" applyFill="1">
      <alignment vertical="center"/>
    </xf>
    <xf numFmtId="183" fontId="44" fillId="2" borderId="0" xfId="0" applyNumberFormat="1" applyFont="1" applyFill="1">
      <alignment vertical="center"/>
    </xf>
    <xf numFmtId="183" fontId="43" fillId="2" borderId="0" xfId="0" applyNumberFormat="1" applyFont="1" applyFill="1">
      <alignment vertical="center"/>
    </xf>
    <xf numFmtId="182" fontId="43" fillId="2" borderId="0" xfId="0" applyNumberFormat="1" applyFont="1" applyFill="1">
      <alignment vertical="center"/>
    </xf>
    <xf numFmtId="0" fontId="45" fillId="2" borderId="1" xfId="0" applyFont="1" applyFill="1" applyBorder="1" applyAlignment="1">
      <alignment horizontal="left" vertical="center" indent="1"/>
    </xf>
    <xf numFmtId="0" fontId="45" fillId="2" borderId="1" xfId="0" applyFont="1" applyFill="1" applyBorder="1">
      <alignment vertical="center"/>
    </xf>
    <xf numFmtId="183" fontId="45" fillId="2" borderId="1" xfId="0" applyNumberFormat="1" applyFont="1" applyFill="1" applyBorder="1">
      <alignment vertical="center"/>
    </xf>
    <xf numFmtId="177" fontId="45" fillId="2" borderId="1" xfId="0" applyNumberFormat="1" applyFont="1" applyFill="1" applyBorder="1">
      <alignment vertical="center"/>
    </xf>
    <xf numFmtId="0" fontId="43" fillId="2" borderId="1" xfId="0" applyFont="1" applyFill="1" applyBorder="1">
      <alignment vertical="center"/>
    </xf>
    <xf numFmtId="177" fontId="43" fillId="2" borderId="1" xfId="0" applyNumberFormat="1" applyFont="1" applyFill="1" applyBorder="1">
      <alignment vertical="center"/>
    </xf>
    <xf numFmtId="182" fontId="44" fillId="2" borderId="0" xfId="0" applyNumberFormat="1" applyFont="1" applyFill="1">
      <alignment vertical="center"/>
    </xf>
    <xf numFmtId="178" fontId="11" fillId="2" borderId="0" xfId="0" applyNumberFormat="1" applyFont="1" applyFill="1" applyAlignment="1">
      <alignment horizontal="center" vertical="center"/>
    </xf>
    <xf numFmtId="180" fontId="11" fillId="2" borderId="62" xfId="0" applyNumberFormat="1" applyFont="1" applyFill="1" applyBorder="1">
      <alignment vertical="center"/>
    </xf>
    <xf numFmtId="178" fontId="11" fillId="9" borderId="85" xfId="0" applyNumberFormat="1" applyFont="1" applyFill="1" applyBorder="1" applyAlignment="1">
      <alignment horizontal="centerContinuous" vertical="center"/>
    </xf>
    <xf numFmtId="178" fontId="11" fillId="9" borderId="84" xfId="0" applyNumberFormat="1" applyFont="1" applyFill="1" applyBorder="1" applyAlignment="1">
      <alignment horizontal="center" vertical="center"/>
    </xf>
    <xf numFmtId="11" fontId="45" fillId="2" borderId="0" xfId="0" applyNumberFormat="1" applyFont="1" applyFill="1">
      <alignment vertical="center"/>
    </xf>
    <xf numFmtId="177" fontId="45" fillId="8" borderId="0" xfId="0" applyNumberFormat="1" applyFont="1" applyFill="1">
      <alignment vertical="center"/>
    </xf>
    <xf numFmtId="189" fontId="44" fillId="2" borderId="0" xfId="0" applyNumberFormat="1" applyFont="1" applyFill="1">
      <alignment vertical="center"/>
    </xf>
    <xf numFmtId="177" fontId="46" fillId="8" borderId="0" xfId="0" applyNumberFormat="1" applyFont="1" applyFill="1">
      <alignment vertical="center"/>
    </xf>
    <xf numFmtId="189" fontId="43" fillId="2" borderId="0" xfId="0" applyNumberFormat="1" applyFont="1" applyFill="1">
      <alignment vertical="center"/>
    </xf>
    <xf numFmtId="177" fontId="45" fillId="8" borderId="1" xfId="0" applyNumberFormat="1" applyFont="1" applyFill="1" applyBorder="1">
      <alignment vertical="center"/>
    </xf>
    <xf numFmtId="0" fontId="44" fillId="2" borderId="1" xfId="0" applyFont="1" applyFill="1" applyBorder="1">
      <alignment vertical="center"/>
    </xf>
    <xf numFmtId="182" fontId="44" fillId="2" borderId="1" xfId="0" applyNumberFormat="1" applyFont="1" applyFill="1" applyBorder="1">
      <alignment vertical="center"/>
    </xf>
    <xf numFmtId="183" fontId="43" fillId="2" borderId="1" xfId="0" applyNumberFormat="1" applyFont="1" applyFill="1" applyBorder="1">
      <alignment vertical="center"/>
    </xf>
    <xf numFmtId="184" fontId="17" fillId="2" borderId="71" xfId="0" applyNumberFormat="1" applyFont="1" applyFill="1" applyBorder="1">
      <alignment vertical="center"/>
    </xf>
    <xf numFmtId="184" fontId="10" fillId="2" borderId="0" xfId="0" applyNumberFormat="1" applyFont="1" applyFill="1" applyAlignment="1">
      <alignment horizontal="left" vertical="center" indent="1"/>
    </xf>
    <xf numFmtId="184" fontId="10" fillId="2" borderId="1" xfId="0" applyNumberFormat="1" applyFont="1" applyFill="1" applyBorder="1" applyAlignment="1">
      <alignment horizontal="left" vertical="center" indent="2"/>
    </xf>
    <xf numFmtId="184" fontId="43" fillId="2" borderId="1" xfId="0" applyNumberFormat="1" applyFont="1" applyFill="1" applyBorder="1">
      <alignment vertical="center"/>
    </xf>
    <xf numFmtId="184" fontId="43" fillId="2" borderId="1" xfId="0" applyNumberFormat="1" applyFont="1" applyFill="1" applyBorder="1" applyAlignment="1">
      <alignment horizontal="left" vertical="center" indent="1"/>
    </xf>
    <xf numFmtId="185" fontId="44" fillId="2" borderId="0" xfId="0" applyNumberFormat="1" applyFont="1" applyFill="1">
      <alignment vertical="center"/>
    </xf>
    <xf numFmtId="185" fontId="43" fillId="2" borderId="0" xfId="0" applyNumberFormat="1" applyFont="1" applyFill="1">
      <alignment vertical="center"/>
    </xf>
    <xf numFmtId="185" fontId="43" fillId="2" borderId="1" xfId="0" applyNumberFormat="1" applyFont="1" applyFill="1" applyBorder="1">
      <alignment vertical="center"/>
    </xf>
    <xf numFmtId="178" fontId="44" fillId="2" borderId="0" xfId="0" applyNumberFormat="1" applyFont="1" applyFill="1">
      <alignment vertical="center"/>
    </xf>
    <xf numFmtId="183" fontId="44" fillId="2" borderId="0" xfId="0" applyNumberFormat="1" applyFont="1" applyFill="1" applyAlignment="1">
      <alignment horizontal="centerContinuous" vertical="center"/>
    </xf>
    <xf numFmtId="177" fontId="43" fillId="2" borderId="1" xfId="0" applyNumberFormat="1" applyFont="1" applyFill="1" applyBorder="1" applyAlignment="1">
      <alignment horizontal="center" vertical="center"/>
    </xf>
    <xf numFmtId="183" fontId="44" fillId="2" borderId="5" xfId="0" applyNumberFormat="1" applyFont="1" applyFill="1" applyBorder="1">
      <alignment vertical="center"/>
    </xf>
    <xf numFmtId="183" fontId="47" fillId="2" borderId="6" xfId="0" applyNumberFormat="1" applyFont="1" applyFill="1" applyBorder="1">
      <alignment vertical="center"/>
    </xf>
    <xf numFmtId="177" fontId="43" fillId="2" borderId="5" xfId="0" applyNumberFormat="1" applyFont="1" applyFill="1" applyBorder="1" applyAlignment="1">
      <alignment horizontal="center" vertical="center"/>
    </xf>
    <xf numFmtId="178" fontId="43" fillId="2" borderId="70" xfId="0" applyNumberFormat="1" applyFont="1" applyFill="1" applyBorder="1" applyAlignment="1">
      <alignment horizontal="center" vertical="center"/>
    </xf>
    <xf numFmtId="178" fontId="43" fillId="2" borderId="72" xfId="0" applyNumberFormat="1" applyFont="1" applyFill="1" applyBorder="1" applyAlignment="1">
      <alignment horizontal="center" vertical="center"/>
    </xf>
    <xf numFmtId="178" fontId="43" fillId="2" borderId="74" xfId="0" applyNumberFormat="1" applyFont="1" applyFill="1" applyBorder="1" applyAlignment="1">
      <alignment horizontal="center" vertical="center"/>
    </xf>
    <xf numFmtId="178" fontId="43" fillId="2" borderId="6" xfId="0" applyNumberFormat="1" applyFont="1" applyFill="1" applyBorder="1" applyAlignment="1">
      <alignment horizontal="center" vertical="center"/>
    </xf>
    <xf numFmtId="177" fontId="43" fillId="2" borderId="72" xfId="0" applyNumberFormat="1" applyFont="1" applyFill="1" applyBorder="1" applyAlignment="1">
      <alignment horizontal="center" vertical="center"/>
    </xf>
    <xf numFmtId="178" fontId="43" fillId="2" borderId="71" xfId="0" applyNumberFormat="1" applyFont="1" applyFill="1" applyBorder="1" applyAlignment="1">
      <alignment horizontal="center" vertical="center"/>
    </xf>
    <xf numFmtId="178" fontId="43" fillId="2" borderId="0" xfId="0" applyNumberFormat="1" applyFont="1" applyFill="1" applyAlignment="1">
      <alignment horizontal="center" vertical="center"/>
    </xf>
    <xf numFmtId="177" fontId="43" fillId="2" borderId="6" xfId="0" applyNumberFormat="1" applyFont="1" applyFill="1" applyBorder="1" applyAlignment="1">
      <alignment horizontal="center" vertical="center"/>
    </xf>
    <xf numFmtId="178" fontId="43" fillId="2" borderId="1" xfId="0" applyNumberFormat="1" applyFont="1" applyFill="1" applyBorder="1" applyAlignment="1">
      <alignment horizontal="center" vertical="center"/>
    </xf>
    <xf numFmtId="177" fontId="44" fillId="13" borderId="1" xfId="0" applyNumberFormat="1" applyFont="1" applyFill="1" applyBorder="1" applyAlignment="1">
      <alignment horizontal="center" vertical="center"/>
    </xf>
    <xf numFmtId="178" fontId="44" fillId="13" borderId="71" xfId="0" applyNumberFormat="1" applyFont="1" applyFill="1" applyBorder="1" applyAlignment="1">
      <alignment horizontal="center" vertical="center"/>
    </xf>
    <xf numFmtId="178" fontId="44" fillId="13" borderId="0" xfId="0" applyNumberFormat="1" applyFont="1" applyFill="1" applyAlignment="1">
      <alignment horizontal="center" vertical="center"/>
    </xf>
    <xf numFmtId="178" fontId="44" fillId="13" borderId="1" xfId="0" applyNumberFormat="1" applyFont="1" applyFill="1" applyBorder="1" applyAlignment="1">
      <alignment horizontal="center" vertical="center"/>
    </xf>
    <xf numFmtId="177" fontId="44" fillId="13" borderId="5" xfId="0" applyNumberFormat="1" applyFont="1" applyFill="1" applyBorder="1" applyAlignment="1">
      <alignment horizontal="center" vertical="center"/>
    </xf>
    <xf numFmtId="178" fontId="44" fillId="13" borderId="73" xfId="0" applyNumberFormat="1" applyFont="1" applyFill="1" applyBorder="1" applyAlignment="1">
      <alignment horizontal="center" vertical="center"/>
    </xf>
    <xf numFmtId="178" fontId="44" fillId="13" borderId="5" xfId="0" applyNumberFormat="1" applyFont="1" applyFill="1" applyBorder="1" applyAlignment="1">
      <alignment horizontal="center" vertical="center"/>
    </xf>
    <xf numFmtId="178" fontId="48" fillId="2" borderId="0" xfId="0" applyNumberFormat="1" applyFont="1" applyFill="1">
      <alignment vertical="center"/>
    </xf>
    <xf numFmtId="188" fontId="48" fillId="2" borderId="0" xfId="0" applyNumberFormat="1" applyFont="1" applyFill="1">
      <alignment vertical="center"/>
    </xf>
    <xf numFmtId="178" fontId="17" fillId="10" borderId="0" xfId="0" applyNumberFormat="1" applyFont="1" applyFill="1" applyAlignment="1">
      <alignment horizontal="right" vertical="center"/>
    </xf>
    <xf numFmtId="181" fontId="49" fillId="2" borderId="0" xfId="0" applyNumberFormat="1" applyFont="1" applyFill="1">
      <alignment vertical="center"/>
    </xf>
    <xf numFmtId="181" fontId="50" fillId="2" borderId="0" xfId="0" applyNumberFormat="1" applyFont="1" applyFill="1">
      <alignment vertical="center"/>
    </xf>
    <xf numFmtId="185" fontId="50" fillId="2" borderId="0" xfId="0" applyNumberFormat="1" applyFont="1" applyFill="1">
      <alignment vertical="center"/>
    </xf>
    <xf numFmtId="185" fontId="50" fillId="8" borderId="51" xfId="0" applyNumberFormat="1" applyFont="1" applyFill="1" applyBorder="1">
      <alignment vertical="center"/>
    </xf>
    <xf numFmtId="185" fontId="49" fillId="2" borderId="0" xfId="0" applyNumberFormat="1" applyFont="1" applyFill="1">
      <alignment vertical="center"/>
    </xf>
    <xf numFmtId="185" fontId="12" fillId="2" borderId="0" xfId="0" applyNumberFormat="1" applyFont="1" applyFill="1">
      <alignment vertical="center"/>
    </xf>
    <xf numFmtId="183" fontId="50" fillId="2" borderId="0" xfId="0" applyNumberFormat="1" applyFont="1" applyFill="1">
      <alignment vertical="center"/>
    </xf>
    <xf numFmtId="178" fontId="50" fillId="2" borderId="0" xfId="0" applyNumberFormat="1" applyFont="1" applyFill="1">
      <alignment vertical="center"/>
    </xf>
    <xf numFmtId="181" fontId="49" fillId="2" borderId="1" xfId="0" applyNumberFormat="1" applyFont="1" applyFill="1" applyBorder="1">
      <alignment vertical="center"/>
    </xf>
    <xf numFmtId="0" fontId="0" fillId="14" borderId="0" xfId="0" applyFill="1">
      <alignment vertical="center"/>
    </xf>
    <xf numFmtId="0" fontId="3" fillId="15" borderId="0" xfId="0" applyFont="1" applyFill="1" applyAlignment="1">
      <alignment horizontal="centerContinuous" vertical="center"/>
    </xf>
    <xf numFmtId="0" fontId="3" fillId="15" borderId="0" xfId="0" applyFont="1" applyFill="1" applyAlignment="1">
      <alignment horizontal="center" vertical="center"/>
    </xf>
    <xf numFmtId="190" fontId="0" fillId="0" borderId="0" xfId="0" applyNumberFormat="1">
      <alignment vertical="center"/>
    </xf>
    <xf numFmtId="49" fontId="0" fillId="0" borderId="0" xfId="0" applyNumberFormat="1" applyAlignment="1">
      <alignment horizontal="right" vertical="center"/>
    </xf>
    <xf numFmtId="178" fontId="0" fillId="0" borderId="0" xfId="0" applyNumberFormat="1">
      <alignment vertical="center"/>
    </xf>
    <xf numFmtId="191" fontId="0" fillId="0" borderId="0" xfId="0" applyNumberFormat="1">
      <alignment vertical="center"/>
    </xf>
    <xf numFmtId="0" fontId="53" fillId="0" borderId="0" xfId="3"/>
    <xf numFmtId="176" fontId="3" fillId="3" borderId="70" xfId="0" applyNumberFormat="1" applyFont="1" applyFill="1" applyBorder="1">
      <alignment vertical="center"/>
    </xf>
    <xf numFmtId="176" fontId="3" fillId="3" borderId="71" xfId="0" applyNumberFormat="1" applyFont="1" applyFill="1" applyBorder="1">
      <alignment vertical="center"/>
    </xf>
    <xf numFmtId="176" fontId="3" fillId="3" borderId="72" xfId="0" applyNumberFormat="1" applyFont="1" applyFill="1" applyBorder="1">
      <alignment vertical="center"/>
    </xf>
    <xf numFmtId="176" fontId="0" fillId="2" borderId="1" xfId="0" applyNumberFormat="1" applyFill="1" applyBorder="1" applyAlignment="1">
      <alignment horizontal="left" vertical="center"/>
    </xf>
    <xf numFmtId="176" fontId="0" fillId="2" borderId="6" xfId="0" applyNumberFormat="1" applyFill="1" applyBorder="1">
      <alignment vertical="center"/>
    </xf>
    <xf numFmtId="177" fontId="0" fillId="2" borderId="0" xfId="0" applyNumberFormat="1" applyFill="1" applyAlignment="1">
      <alignment horizontal="left" vertical="center"/>
    </xf>
    <xf numFmtId="0" fontId="55" fillId="16" borderId="86" xfId="4" applyFont="1" applyFill="1" applyBorder="1" applyAlignment="1">
      <alignment horizontal="center" vertical="center"/>
    </xf>
    <xf numFmtId="192" fontId="56" fillId="0" borderId="86" xfId="4" applyNumberFormat="1" applyFont="1" applyBorder="1" applyAlignment="1">
      <alignment horizontal="center" vertical="center"/>
    </xf>
    <xf numFmtId="3" fontId="56" fillId="0" borderId="86" xfId="4" applyNumberFormat="1" applyFont="1" applyBorder="1" applyAlignment="1">
      <alignment horizontal="right" vertical="center"/>
    </xf>
    <xf numFmtId="0" fontId="57" fillId="16" borderId="86" xfId="4" applyFont="1" applyFill="1" applyBorder="1" applyAlignment="1">
      <alignment horizontal="center" vertical="center"/>
    </xf>
    <xf numFmtId="3" fontId="56" fillId="0" borderId="86" xfId="0" applyNumberFormat="1" applyFont="1" applyBorder="1" applyAlignment="1">
      <alignment horizontal="right" vertical="center"/>
    </xf>
    <xf numFmtId="184" fontId="0" fillId="2" borderId="0" xfId="0" applyNumberFormat="1" applyFill="1">
      <alignment vertical="center"/>
    </xf>
    <xf numFmtId="176" fontId="2" fillId="2" borderId="0" xfId="0" applyNumberFormat="1" applyFont="1" applyFill="1" applyAlignment="1">
      <alignment horizontal="left" vertical="center" indent="1"/>
    </xf>
    <xf numFmtId="184" fontId="2" fillId="2" borderId="0" xfId="0" applyNumberFormat="1" applyFont="1" applyFill="1" applyAlignment="1">
      <alignment horizontal="center" vertical="center"/>
    </xf>
    <xf numFmtId="176" fontId="0" fillId="17" borderId="0" xfId="0" applyNumberFormat="1" applyFill="1">
      <alignment vertical="center"/>
    </xf>
    <xf numFmtId="176" fontId="0" fillId="8" borderId="0" xfId="0" applyNumberFormat="1" applyFill="1">
      <alignment vertical="center"/>
    </xf>
    <xf numFmtId="0" fontId="4" fillId="0" borderId="0" xfId="0" applyFont="1" applyAlignment="1">
      <alignment vertical="center" wrapText="1"/>
    </xf>
    <xf numFmtId="3" fontId="4" fillId="0" borderId="0" xfId="0" applyNumberFormat="1" applyFont="1" applyAlignment="1">
      <alignment horizontal="right" vertical="center" wrapText="1"/>
    </xf>
    <xf numFmtId="10" fontId="4" fillId="0" borderId="0" xfId="0" applyNumberFormat="1" applyFont="1" applyAlignment="1">
      <alignment horizontal="right" vertical="center" wrapText="1"/>
    </xf>
    <xf numFmtId="182" fontId="0" fillId="2" borderId="0" xfId="0" applyNumberFormat="1" applyFill="1">
      <alignment vertical="center"/>
    </xf>
    <xf numFmtId="0" fontId="4" fillId="6" borderId="23" xfId="0" applyFont="1" applyFill="1" applyBorder="1" applyAlignment="1">
      <alignment horizontal="center" vertical="top" wrapText="1"/>
    </xf>
    <xf numFmtId="0" fontId="4" fillId="6" borderId="24" xfId="0" applyFont="1" applyFill="1" applyBorder="1" applyAlignment="1">
      <alignment horizontal="center" vertical="top" wrapText="1"/>
    </xf>
    <xf numFmtId="0" fontId="4" fillId="0" borderId="18" xfId="0" applyFont="1" applyBorder="1" applyAlignment="1">
      <alignment horizontal="center" vertical="top" wrapText="1"/>
    </xf>
    <xf numFmtId="0" fontId="4" fillId="0" borderId="19" xfId="0" applyFont="1" applyBorder="1" applyAlignment="1">
      <alignment horizontal="center" vertical="top" wrapText="1"/>
    </xf>
    <xf numFmtId="4" fontId="4" fillId="0" borderId="11" xfId="0" applyNumberFormat="1" applyFont="1" applyBorder="1" applyAlignment="1">
      <alignment horizontal="right" vertical="center" wrapText="1"/>
    </xf>
    <xf numFmtId="4" fontId="4" fillId="0" borderId="17" xfId="0" applyNumberFormat="1" applyFont="1" applyBorder="1" applyAlignment="1">
      <alignment horizontal="right" vertical="center" wrapText="1"/>
    </xf>
    <xf numFmtId="192" fontId="56" fillId="0" borderId="86" xfId="0" applyNumberFormat="1" applyFont="1" applyBorder="1" applyAlignment="1">
      <alignment horizontal="center" vertical="center"/>
    </xf>
    <xf numFmtId="181" fontId="12" fillId="2" borderId="0" xfId="0" applyNumberFormat="1" applyFont="1" applyFill="1">
      <alignment vertical="center"/>
    </xf>
    <xf numFmtId="178" fontId="22" fillId="2" borderId="0" xfId="0" applyNumberFormat="1" applyFont="1" applyFill="1" applyAlignment="1">
      <alignment horizontal="left" vertical="center"/>
    </xf>
    <xf numFmtId="177" fontId="43" fillId="2" borderId="0" xfId="0" applyNumberFormat="1" applyFont="1" applyFill="1">
      <alignment vertical="center"/>
    </xf>
    <xf numFmtId="185" fontId="28" fillId="8" borderId="51" xfId="0" applyNumberFormat="1" applyFont="1" applyFill="1" applyBorder="1">
      <alignment vertical="center"/>
    </xf>
    <xf numFmtId="9" fontId="0" fillId="2" borderId="0" xfId="0" applyNumberFormat="1" applyFill="1">
      <alignment vertical="center"/>
    </xf>
    <xf numFmtId="10" fontId="0" fillId="2" borderId="0" xfId="0" applyNumberFormat="1" applyFill="1">
      <alignment vertical="center"/>
    </xf>
    <xf numFmtId="178" fontId="10" fillId="2" borderId="0" xfId="0" applyNumberFormat="1" applyFont="1" applyFill="1" applyAlignment="1">
      <alignment horizontal="left" vertical="center"/>
    </xf>
    <xf numFmtId="14" fontId="0" fillId="0" borderId="0" xfId="0" applyNumberFormat="1">
      <alignment vertical="center"/>
    </xf>
    <xf numFmtId="3" fontId="0" fillId="0" borderId="0" xfId="0" applyNumberFormat="1">
      <alignment vertical="center"/>
    </xf>
    <xf numFmtId="193" fontId="0" fillId="2" borderId="0" xfId="0" applyNumberFormat="1" applyFill="1">
      <alignment vertical="center"/>
    </xf>
    <xf numFmtId="183" fontId="12" fillId="2" borderId="0" xfId="0" applyNumberFormat="1" applyFont="1" applyFill="1">
      <alignment vertical="center"/>
    </xf>
    <xf numFmtId="178" fontId="12" fillId="2" borderId="0" xfId="0" applyNumberFormat="1" applyFont="1" applyFill="1">
      <alignment vertical="center"/>
    </xf>
    <xf numFmtId="178" fontId="12" fillId="2" borderId="1" xfId="0" applyNumberFormat="1" applyFont="1" applyFill="1" applyBorder="1">
      <alignment vertical="center"/>
    </xf>
    <xf numFmtId="10" fontId="2" fillId="2" borderId="0" xfId="0" applyNumberFormat="1" applyFont="1" applyFill="1">
      <alignment vertical="center"/>
    </xf>
    <xf numFmtId="178" fontId="52" fillId="9" borderId="0" xfId="0" applyNumberFormat="1" applyFont="1" applyFill="1" applyAlignment="1"/>
    <xf numFmtId="183" fontId="44" fillId="2" borderId="71" xfId="0" applyNumberFormat="1" applyFont="1" applyFill="1" applyBorder="1" applyAlignment="1">
      <alignment horizontal="center" vertical="center" textRotation="90"/>
    </xf>
    <xf numFmtId="183" fontId="44" fillId="2" borderId="0" xfId="0" applyNumberFormat="1" applyFont="1" applyFill="1" applyAlignment="1">
      <alignment horizontal="center" vertical="center" textRotation="90"/>
    </xf>
    <xf numFmtId="183" fontId="44" fillId="2" borderId="1" xfId="0" applyNumberFormat="1" applyFont="1" applyFill="1" applyBorder="1" applyAlignment="1">
      <alignment horizontal="center" vertical="center" textRotation="90"/>
    </xf>
    <xf numFmtId="0" fontId="3" fillId="15" borderId="0" xfId="0" applyFont="1" applyFill="1" applyAlignment="1">
      <alignment horizontal="left" vertical="center"/>
    </xf>
    <xf numFmtId="178" fontId="11" fillId="9" borderId="0" xfId="0" applyNumberFormat="1" applyFont="1" applyFill="1" applyAlignment="1">
      <alignment horizontal="center" vertical="center"/>
    </xf>
    <xf numFmtId="178" fontId="51" fillId="9" borderId="0" xfId="0" applyNumberFormat="1" applyFont="1" applyFill="1" applyAlignment="1"/>
    <xf numFmtId="0" fontId="9" fillId="5" borderId="0" xfId="0" applyFont="1" applyFill="1" applyAlignment="1">
      <alignment horizontal="center" vertical="center"/>
    </xf>
    <xf numFmtId="3" fontId="4" fillId="0" borderId="30" xfId="0" applyNumberFormat="1" applyFont="1" applyBorder="1" applyAlignment="1">
      <alignment horizontal="right" vertical="center" wrapText="1"/>
    </xf>
    <xf numFmtId="3" fontId="4" fillId="0" borderId="32" xfId="0" applyNumberFormat="1" applyFont="1" applyBorder="1" applyAlignment="1">
      <alignment horizontal="right" vertical="center" wrapText="1"/>
    </xf>
    <xf numFmtId="10" fontId="4" fillId="0" borderId="30" xfId="0" applyNumberFormat="1" applyFont="1" applyBorder="1" applyAlignment="1">
      <alignment horizontal="right" vertical="center" wrapText="1"/>
    </xf>
    <xf numFmtId="10" fontId="4" fillId="0" borderId="32" xfId="0" applyNumberFormat="1" applyFont="1" applyBorder="1" applyAlignment="1">
      <alignment horizontal="right" vertical="center" wrapText="1"/>
    </xf>
    <xf numFmtId="0" fontId="4" fillId="0" borderId="30" xfId="0" applyFont="1" applyBorder="1" applyAlignment="1">
      <alignment vertical="center" wrapText="1"/>
    </xf>
    <xf numFmtId="0" fontId="4" fillId="0" borderId="32" xfId="0" applyFont="1" applyBorder="1" applyAlignment="1">
      <alignment vertical="center" wrapText="1"/>
    </xf>
    <xf numFmtId="0" fontId="4" fillId="0" borderId="30" xfId="0" applyFont="1" applyBorder="1" applyAlignment="1">
      <alignment horizontal="center" vertical="center" wrapText="1"/>
    </xf>
    <xf numFmtId="0" fontId="4" fillId="0" borderId="32" xfId="0" applyFont="1" applyBorder="1" applyAlignment="1">
      <alignment horizontal="center" vertical="center" wrapText="1"/>
    </xf>
    <xf numFmtId="0" fontId="4" fillId="6" borderId="13" xfId="0" applyFont="1" applyFill="1" applyBorder="1" applyAlignment="1">
      <alignment horizontal="center" vertical="center" wrapText="1"/>
    </xf>
    <xf numFmtId="0" fontId="4" fillId="6" borderId="14" xfId="0" applyFont="1" applyFill="1" applyBorder="1" applyAlignment="1">
      <alignment horizontal="center" vertical="center" wrapText="1"/>
    </xf>
    <xf numFmtId="0" fontId="4" fillId="6" borderId="15" xfId="0" applyFont="1" applyFill="1" applyBorder="1" applyAlignment="1">
      <alignment horizontal="center" vertical="center" wrapText="1"/>
    </xf>
    <xf numFmtId="0" fontId="4" fillId="0" borderId="25" xfId="0" applyFont="1" applyBorder="1" applyAlignment="1">
      <alignment horizontal="center" vertical="center" wrapText="1"/>
    </xf>
    <xf numFmtId="0" fontId="4" fillId="0" borderId="26" xfId="0" applyFont="1" applyBorder="1" applyAlignment="1">
      <alignment horizontal="center" vertical="center" wrapText="1"/>
    </xf>
    <xf numFmtId="0" fontId="4" fillId="0" borderId="16" xfId="0" applyFont="1" applyBorder="1" applyAlignment="1">
      <alignment horizontal="center" vertical="center" wrapText="1"/>
    </xf>
    <xf numFmtId="14" fontId="4" fillId="0" borderId="30" xfId="0" applyNumberFormat="1" applyFont="1" applyBorder="1" applyAlignment="1">
      <alignment horizontal="center" vertical="center" wrapText="1"/>
    </xf>
    <xf numFmtId="14" fontId="4" fillId="0" borderId="31" xfId="0" applyNumberFormat="1" applyFont="1" applyBorder="1" applyAlignment="1">
      <alignment horizontal="center" vertical="center" wrapText="1"/>
    </xf>
    <xf numFmtId="14" fontId="4" fillId="0" borderId="32" xfId="0" applyNumberFormat="1" applyFont="1" applyBorder="1" applyAlignment="1">
      <alignment horizontal="center" vertical="center" wrapText="1"/>
    </xf>
    <xf numFmtId="0" fontId="4" fillId="0" borderId="27" xfId="0" applyFont="1" applyBorder="1" applyAlignment="1">
      <alignment horizontal="center" vertical="center" wrapText="1"/>
    </xf>
    <xf numFmtId="0" fontId="4" fillId="0" borderId="50" xfId="0" applyFont="1" applyBorder="1" applyAlignment="1">
      <alignment horizontal="center" vertical="center" wrapText="1"/>
    </xf>
    <xf numFmtId="0" fontId="4" fillId="0" borderId="28" xfId="0" applyFont="1" applyBorder="1" applyAlignment="1">
      <alignment horizontal="center" vertical="center" wrapText="1"/>
    </xf>
    <xf numFmtId="0" fontId="4" fillId="6" borderId="12" xfId="0" applyFont="1" applyFill="1" applyBorder="1" applyAlignment="1">
      <alignment horizontal="center" vertical="center" wrapText="1"/>
    </xf>
    <xf numFmtId="0" fontId="4" fillId="6" borderId="16" xfId="0" applyFont="1" applyFill="1" applyBorder="1" applyAlignment="1">
      <alignment horizontal="center" vertical="center" wrapText="1"/>
    </xf>
    <xf numFmtId="0" fontId="4" fillId="6" borderId="13" xfId="0" applyFont="1" applyFill="1" applyBorder="1" applyAlignment="1">
      <alignment horizontal="center" vertical="top" wrapText="1"/>
    </xf>
    <xf numFmtId="0" fontId="4" fillId="6" borderId="15" xfId="0" applyFont="1" applyFill="1" applyBorder="1" applyAlignment="1">
      <alignment horizontal="center" vertical="top" wrapText="1"/>
    </xf>
    <xf numFmtId="0" fontId="4" fillId="6" borderId="29" xfId="0" applyFont="1" applyFill="1" applyBorder="1" applyAlignment="1">
      <alignment horizontal="center" vertical="center" wrapText="1"/>
    </xf>
    <xf numFmtId="0" fontId="4" fillId="6" borderId="29" xfId="0" applyFont="1" applyFill="1" applyBorder="1" applyAlignment="1">
      <alignment horizontal="center" vertical="top" wrapText="1"/>
    </xf>
    <xf numFmtId="0" fontId="4" fillId="6" borderId="26" xfId="0" applyFont="1" applyFill="1" applyBorder="1" applyAlignment="1">
      <alignment horizontal="center" vertical="center" wrapText="1"/>
    </xf>
    <xf numFmtId="0" fontId="4" fillId="7" borderId="12" xfId="0" applyFont="1" applyFill="1" applyBorder="1" applyAlignment="1">
      <alignment horizontal="center" vertical="center" wrapText="1"/>
    </xf>
    <xf numFmtId="0" fontId="4" fillId="7" borderId="26" xfId="0" applyFont="1" applyFill="1" applyBorder="1" applyAlignment="1">
      <alignment horizontal="center" vertical="center" wrapText="1"/>
    </xf>
    <xf numFmtId="0" fontId="4" fillId="7" borderId="16" xfId="0" applyFont="1" applyFill="1" applyBorder="1" applyAlignment="1">
      <alignment horizontal="center" vertical="center" wrapText="1"/>
    </xf>
    <xf numFmtId="0" fontId="4" fillId="7" borderId="45" xfId="0" applyFont="1" applyFill="1" applyBorder="1" applyAlignment="1">
      <alignment horizontal="center" vertical="center" wrapText="1"/>
    </xf>
    <xf numFmtId="0" fontId="4" fillId="7" borderId="31" xfId="0" applyFont="1" applyFill="1" applyBorder="1" applyAlignment="1">
      <alignment horizontal="center" vertical="center" wrapText="1"/>
    </xf>
    <xf numFmtId="0" fontId="4" fillId="7" borderId="32" xfId="0" applyFont="1" applyFill="1" applyBorder="1" applyAlignment="1">
      <alignment horizontal="center" vertical="center" wrapText="1"/>
    </xf>
    <xf numFmtId="0" fontId="4" fillId="7" borderId="41" xfId="0" applyFont="1" applyFill="1" applyBorder="1" applyAlignment="1">
      <alignment horizontal="center" vertical="center" wrapText="1"/>
    </xf>
    <xf numFmtId="0" fontId="4" fillId="7" borderId="46" xfId="0" applyFont="1" applyFill="1" applyBorder="1" applyAlignment="1">
      <alignment horizontal="center" vertical="center" wrapText="1"/>
    </xf>
    <xf numFmtId="0" fontId="4" fillId="7" borderId="39" xfId="0" applyFont="1" applyFill="1" applyBorder="1" applyAlignment="1">
      <alignment horizontal="center" vertical="center" wrapText="1"/>
    </xf>
    <xf numFmtId="0" fontId="4" fillId="7" borderId="40" xfId="0" applyFont="1" applyFill="1" applyBorder="1" applyAlignment="1">
      <alignment horizontal="center" vertical="center" wrapText="1"/>
    </xf>
    <xf numFmtId="0" fontId="4" fillId="7" borderId="13" xfId="0" applyFont="1" applyFill="1" applyBorder="1" applyAlignment="1">
      <alignment horizontal="center" vertical="center" wrapText="1"/>
    </xf>
    <xf numFmtId="0" fontId="4" fillId="7" borderId="29" xfId="0" applyFont="1" applyFill="1" applyBorder="1" applyAlignment="1">
      <alignment horizontal="center" vertical="center" wrapText="1"/>
    </xf>
    <xf numFmtId="0" fontId="4" fillId="7" borderId="14" xfId="0" applyFont="1" applyFill="1" applyBorder="1" applyAlignment="1">
      <alignment horizontal="center" vertical="center" wrapText="1"/>
    </xf>
    <xf numFmtId="0" fontId="4" fillId="7" borderId="47" xfId="0" applyFont="1" applyFill="1" applyBorder="1" applyAlignment="1">
      <alignment horizontal="center" vertical="center" wrapText="1"/>
    </xf>
    <xf numFmtId="0" fontId="4" fillId="7" borderId="48" xfId="0" applyFont="1" applyFill="1" applyBorder="1" applyAlignment="1">
      <alignment horizontal="center" vertical="center" wrapText="1"/>
    </xf>
    <xf numFmtId="0" fontId="4" fillId="7" borderId="49" xfId="0" applyFont="1" applyFill="1" applyBorder="1" applyAlignment="1">
      <alignment horizontal="center" vertical="center" wrapText="1"/>
    </xf>
    <xf numFmtId="0" fontId="4" fillId="7" borderId="33" xfId="0" applyFont="1" applyFill="1" applyBorder="1" applyAlignment="1">
      <alignment horizontal="center" vertical="center" wrapText="1"/>
    </xf>
    <xf numFmtId="0" fontId="4" fillId="7" borderId="34" xfId="0" applyFont="1" applyFill="1" applyBorder="1" applyAlignment="1">
      <alignment horizontal="center" vertical="center" wrapText="1"/>
    </xf>
    <xf numFmtId="0" fontId="4" fillId="6" borderId="41" xfId="0" applyFont="1" applyFill="1" applyBorder="1" applyAlignment="1">
      <alignment horizontal="center" vertical="center" wrapText="1"/>
    </xf>
    <xf numFmtId="0" fontId="4" fillId="6" borderId="42" xfId="0" applyFont="1" applyFill="1" applyBorder="1" applyAlignment="1">
      <alignment horizontal="center" vertical="center" wrapText="1"/>
    </xf>
    <xf numFmtId="0" fontId="4" fillId="6" borderId="37" xfId="0" applyFont="1" applyFill="1" applyBorder="1" applyAlignment="1">
      <alignment horizontal="center" vertical="center" wrapText="1"/>
    </xf>
    <xf numFmtId="0" fontId="4" fillId="6" borderId="43" xfId="0" applyFont="1" applyFill="1" applyBorder="1" applyAlignment="1">
      <alignment horizontal="center" vertical="center" wrapText="1"/>
    </xf>
    <xf numFmtId="0" fontId="4" fillId="6" borderId="39" xfId="0" applyFont="1" applyFill="1" applyBorder="1" applyAlignment="1">
      <alignment horizontal="center" vertical="center" wrapText="1"/>
    </xf>
    <xf numFmtId="0" fontId="4" fillId="6" borderId="44" xfId="0" applyFont="1" applyFill="1" applyBorder="1" applyAlignment="1">
      <alignment horizontal="center" vertical="center" wrapText="1"/>
    </xf>
    <xf numFmtId="0" fontId="4" fillId="6" borderId="35" xfId="0" applyFont="1" applyFill="1" applyBorder="1" applyAlignment="1">
      <alignment horizontal="center" vertical="center" wrapText="1"/>
    </xf>
    <xf numFmtId="0" fontId="4" fillId="6" borderId="36" xfId="0" applyFont="1" applyFill="1" applyBorder="1" applyAlignment="1">
      <alignment horizontal="center" vertical="center" wrapText="1"/>
    </xf>
    <xf numFmtId="0" fontId="4" fillId="6" borderId="38" xfId="0" applyFont="1" applyFill="1" applyBorder="1" applyAlignment="1">
      <alignment horizontal="center" vertical="center" wrapText="1"/>
    </xf>
    <xf numFmtId="0" fontId="4" fillId="6" borderId="40" xfId="0" applyFont="1" applyFill="1" applyBorder="1" applyAlignment="1">
      <alignment horizontal="center" vertical="center" wrapText="1"/>
    </xf>
    <xf numFmtId="0" fontId="4" fillId="7" borderId="15" xfId="0" applyFont="1" applyFill="1" applyBorder="1" applyAlignment="1">
      <alignment horizontal="center" vertical="center" wrapText="1"/>
    </xf>
    <xf numFmtId="0" fontId="4" fillId="6" borderId="45" xfId="0" applyFont="1" applyFill="1" applyBorder="1" applyAlignment="1">
      <alignment horizontal="center" vertical="center" wrapText="1"/>
    </xf>
    <xf numFmtId="0" fontId="4" fillId="6" borderId="32" xfId="0" applyFont="1" applyFill="1" applyBorder="1" applyAlignment="1">
      <alignment horizontal="center" vertical="center" wrapText="1"/>
    </xf>
    <xf numFmtId="0" fontId="4" fillId="6" borderId="47" xfId="0" applyFont="1" applyFill="1" applyBorder="1" applyAlignment="1">
      <alignment horizontal="center" vertical="center" wrapText="1"/>
    </xf>
    <xf numFmtId="0" fontId="4" fillId="6" borderId="49" xfId="0" applyFont="1" applyFill="1" applyBorder="1" applyAlignment="1">
      <alignment horizontal="center" vertical="center" wrapText="1"/>
    </xf>
    <xf numFmtId="0" fontId="4" fillId="0" borderId="25" xfId="0" applyFont="1" applyBorder="1" applyAlignment="1">
      <alignment vertical="center" wrapText="1"/>
    </xf>
    <xf numFmtId="0" fontId="4" fillId="0" borderId="26" xfId="0" applyFont="1" applyBorder="1" applyAlignment="1">
      <alignment vertical="center" wrapText="1"/>
    </xf>
    <xf numFmtId="0" fontId="4" fillId="0" borderId="16" xfId="0" applyFont="1" applyBorder="1" applyAlignment="1">
      <alignment vertical="center" wrapText="1"/>
    </xf>
    <xf numFmtId="0" fontId="4" fillId="0" borderId="33" xfId="0" applyFont="1" applyBorder="1" applyAlignment="1">
      <alignment horizontal="center" vertical="center" wrapText="1"/>
    </xf>
    <xf numFmtId="0" fontId="4" fillId="0" borderId="80" xfId="0" applyFont="1" applyBorder="1" applyAlignment="1">
      <alignment horizontal="center" vertical="center" wrapText="1"/>
    </xf>
    <xf numFmtId="0" fontId="4" fillId="0" borderId="34" xfId="0" applyFont="1" applyBorder="1" applyAlignment="1">
      <alignment horizontal="center" vertical="center" wrapText="1"/>
    </xf>
    <xf numFmtId="0" fontId="4" fillId="0" borderId="82" xfId="0" applyFont="1" applyBorder="1" applyAlignment="1">
      <alignment vertical="center" wrapText="1"/>
    </xf>
    <xf numFmtId="0" fontId="4" fillId="0" borderId="83" xfId="0" applyFont="1" applyBorder="1" applyAlignment="1">
      <alignment horizontal="center" vertical="center" wrapText="1"/>
    </xf>
    <xf numFmtId="0" fontId="4" fillId="6" borderId="78" xfId="0" applyFont="1" applyFill="1" applyBorder="1" applyAlignment="1">
      <alignment horizontal="center" vertical="center" wrapText="1"/>
    </xf>
    <xf numFmtId="0" fontId="4" fillId="6" borderId="46" xfId="0" applyFont="1" applyFill="1" applyBorder="1" applyAlignment="1">
      <alignment horizontal="center" vertical="center" wrapText="1"/>
    </xf>
    <xf numFmtId="0" fontId="4" fillId="6" borderId="81" xfId="0" applyFont="1" applyFill="1" applyBorder="1" applyAlignment="1">
      <alignment horizontal="center" vertical="center" wrapText="1"/>
    </xf>
  </cellXfs>
  <cellStyles count="47">
    <cellStyle name="20% - 강조색1" xfId="23" builtinId="30" customBuiltin="1"/>
    <cellStyle name="20% - 강조색2" xfId="27" builtinId="34" customBuiltin="1"/>
    <cellStyle name="20% - 강조색3" xfId="31" builtinId="38" customBuiltin="1"/>
    <cellStyle name="20% - 강조색4" xfId="35" builtinId="42" customBuiltin="1"/>
    <cellStyle name="20% - 강조색5" xfId="39" builtinId="46" customBuiltin="1"/>
    <cellStyle name="20% - 강조색6" xfId="43" builtinId="50" customBuiltin="1"/>
    <cellStyle name="40% - 강조색1" xfId="24" builtinId="31" customBuiltin="1"/>
    <cellStyle name="40% - 강조색2" xfId="28" builtinId="35" customBuiltin="1"/>
    <cellStyle name="40% - 강조색3" xfId="32" builtinId="39" customBuiltin="1"/>
    <cellStyle name="40% - 강조색4" xfId="36" builtinId="43" customBuiltin="1"/>
    <cellStyle name="40% - 강조색5" xfId="40" builtinId="47" customBuiltin="1"/>
    <cellStyle name="40% - 강조색6" xfId="44" builtinId="51" customBuiltin="1"/>
    <cellStyle name="60% - 강조색1" xfId="25" builtinId="32" customBuiltin="1"/>
    <cellStyle name="60% - 강조색2" xfId="29" builtinId="36" customBuiltin="1"/>
    <cellStyle name="60% - 강조색3" xfId="33" builtinId="40" customBuiltin="1"/>
    <cellStyle name="60% - 강조색4" xfId="37" builtinId="44" customBuiltin="1"/>
    <cellStyle name="60% - 강조색5" xfId="41" builtinId="48" customBuiltin="1"/>
    <cellStyle name="60% - 강조색6" xfId="45" builtinId="52" customBuiltin="1"/>
    <cellStyle name="Normal 3" xfId="46" xr:uid="{97883AB1-EB9E-4EE7-9532-993C348909CC}"/>
    <cellStyle name="Normal 6" xfId="3" xr:uid="{07FC50D5-34F7-4CB4-A293-C8548B6F7D21}"/>
    <cellStyle name="강조색1" xfId="22" builtinId="29" customBuiltin="1"/>
    <cellStyle name="강조색2" xfId="26" builtinId="33" customBuiltin="1"/>
    <cellStyle name="강조색3" xfId="30" builtinId="37" customBuiltin="1"/>
    <cellStyle name="강조색4" xfId="34" builtinId="41" customBuiltin="1"/>
    <cellStyle name="강조색5" xfId="38" builtinId="45" customBuiltin="1"/>
    <cellStyle name="강조색6" xfId="42" builtinId="49" customBuiltin="1"/>
    <cellStyle name="경고문" xfId="18" builtinId="11" customBuiltin="1"/>
    <cellStyle name="계산" xfId="15" builtinId="22" customBuiltin="1"/>
    <cellStyle name="나쁨" xfId="11" builtinId="27" customBuiltin="1"/>
    <cellStyle name="메모" xfId="19" builtinId="10" customBuiltin="1"/>
    <cellStyle name="보통" xfId="12" builtinId="28" customBuiltin="1"/>
    <cellStyle name="설명 텍스트" xfId="20" builtinId="53" customBuiltin="1"/>
    <cellStyle name="셀 확인" xfId="17" builtinId="23" customBuiltin="1"/>
    <cellStyle name="쉼표 [0]" xfId="2" builtinId="6"/>
    <cellStyle name="연결된 셀" xfId="16" builtinId="24" customBuiltin="1"/>
    <cellStyle name="요약" xfId="21" builtinId="25" customBuiltin="1"/>
    <cellStyle name="입력" xfId="13" builtinId="20" customBuiltin="1"/>
    <cellStyle name="제목" xfId="5" builtinId="15" customBuiltin="1"/>
    <cellStyle name="제목 1" xfId="6" builtinId="16" customBuiltin="1"/>
    <cellStyle name="제목 2" xfId="7" builtinId="17" customBuiltin="1"/>
    <cellStyle name="제목 3" xfId="8" builtinId="18" customBuiltin="1"/>
    <cellStyle name="제목 4" xfId="9" builtinId="19" customBuiltin="1"/>
    <cellStyle name="좋음" xfId="10" builtinId="26" customBuiltin="1"/>
    <cellStyle name="출력" xfId="14" builtinId="21" customBuiltin="1"/>
    <cellStyle name="표준" xfId="0" builtinId="0"/>
    <cellStyle name="표준 2" xfId="4" xr:uid="{E53340A4-DD91-42B7-BCD0-F7B6A91ED336}"/>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06/relationships/rdRichValue" Target="richData/rdrichvalue.xml"/><Relationship Id="rId3" Type="http://schemas.openxmlformats.org/officeDocument/2006/relationships/worksheet" Target="worksheets/sheet3.xml"/><Relationship Id="rId21" Type="http://schemas.microsoft.com/office/2017/06/relationships/rdSupportingPropertyBagStructure" Target="richData/rdsupportingpropertybag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ichStyles" Target="richData/rich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styles" Target="styles.xml"/><Relationship Id="rId23" Type="http://schemas.microsoft.com/office/2017/06/relationships/rdRichValueTypes" Target="richData/rdRichValueTypes.xml"/><Relationship Id="rId10" Type="http://schemas.openxmlformats.org/officeDocument/2006/relationships/worksheet" Target="worksheets/sheet10.xml"/><Relationship Id="rId19"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microsoft.com/office/2017/06/relationships/rdSupportingPropertyBag" Target="richData/rdsupportingpropertybag.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'Chart pack'!$B$28</c:f>
              <c:strCache>
                <c:ptCount val="1"/>
                <c:pt idx="0">
                  <c:v>삼성전자(DS부문)</c:v>
                </c:pt>
              </c:strCache>
            </c:strRef>
          </c:tx>
          <c:spPr>
            <a:ln w="28575" cap="rnd">
              <a:solidFill>
                <a:schemeClr val="accent1"/>
              </a:solidFill>
              <a:round/>
            </a:ln>
            <a:effectLst/>
          </c:spPr>
          <c:marker>
            <c:symbol val="none"/>
          </c:marker>
          <c:cat>
            <c:strRef>
              <c:f>'Chart pack'!$C$27:$I$27</c:f>
              <c:strCache>
                <c:ptCount val="7"/>
                <c:pt idx="0">
                  <c:v>1Q 24</c:v>
                </c:pt>
                <c:pt idx="1">
                  <c:v>2Q 24</c:v>
                </c:pt>
                <c:pt idx="2">
                  <c:v>3Q 24</c:v>
                </c:pt>
                <c:pt idx="3">
                  <c:v>4Q 24</c:v>
                </c:pt>
                <c:pt idx="4">
                  <c:v>1Q 25</c:v>
                </c:pt>
                <c:pt idx="5">
                  <c:v>2Q 25</c:v>
                </c:pt>
                <c:pt idx="6">
                  <c:v>3Q 25</c:v>
                </c:pt>
              </c:strCache>
            </c:strRef>
          </c:cat>
          <c:val>
            <c:numRef>
              <c:f>'Chart pack'!$C$28:$I$28</c:f>
              <c:numCache>
                <c:formatCode>0.0%</c:formatCode>
                <c:ptCount val="7"/>
                <c:pt idx="0">
                  <c:v>8.2637811083320481E-2</c:v>
                </c:pt>
                <c:pt idx="1">
                  <c:v>0.1977098088061654</c:v>
                </c:pt>
                <c:pt idx="2">
                  <c:v>0.12586386022958335</c:v>
                </c:pt>
                <c:pt idx="3">
                  <c:v>0.13590561283633734</c:v>
                </c:pt>
                <c:pt idx="4">
                  <c:v>4.3989603917964921E-2</c:v>
                </c:pt>
                <c:pt idx="5">
                  <c:v>1.2562220882037067E-2</c:v>
                </c:pt>
                <c:pt idx="6">
                  <c:v>0.21111060683513772</c:v>
                </c:pt>
              </c:numCache>
            </c:numRef>
          </c:val>
          <c:smooth val="0"/>
          <c:extLst>
            <c:ext xmlns:c16="http://schemas.microsoft.com/office/drawing/2014/chart" uri="{C3380CC4-5D6E-409C-BE32-E72D297353CC}">
              <c16:uniqueId val="{00000000-578F-4A08-8EFE-85010B2C1910}"/>
            </c:ext>
          </c:extLst>
        </c:ser>
        <c:ser>
          <c:idx val="1"/>
          <c:order val="1"/>
          <c:tx>
            <c:strRef>
              <c:f>'Chart pack'!$B$29</c:f>
              <c:strCache>
                <c:ptCount val="1"/>
                <c:pt idx="0">
                  <c:v>SK하이닉스</c:v>
                </c:pt>
              </c:strCache>
            </c:strRef>
          </c:tx>
          <c:spPr>
            <a:ln w="28575" cap="rnd">
              <a:solidFill>
                <a:schemeClr val="accent2"/>
              </a:solidFill>
              <a:round/>
            </a:ln>
            <a:effectLst/>
          </c:spPr>
          <c:marker>
            <c:symbol val="none"/>
          </c:marker>
          <c:cat>
            <c:strRef>
              <c:f>'Chart pack'!$C$27:$I$27</c:f>
              <c:strCache>
                <c:ptCount val="7"/>
                <c:pt idx="0">
                  <c:v>1Q 24</c:v>
                </c:pt>
                <c:pt idx="1">
                  <c:v>2Q 24</c:v>
                </c:pt>
                <c:pt idx="2">
                  <c:v>3Q 24</c:v>
                </c:pt>
                <c:pt idx="3">
                  <c:v>4Q 24</c:v>
                </c:pt>
                <c:pt idx="4">
                  <c:v>1Q 25</c:v>
                </c:pt>
                <c:pt idx="5">
                  <c:v>2Q 25</c:v>
                </c:pt>
                <c:pt idx="6">
                  <c:v>3Q 25</c:v>
                </c:pt>
              </c:strCache>
            </c:strRef>
          </c:cat>
          <c:val>
            <c:numRef>
              <c:f>'Chart pack'!$C$29:$I$29</c:f>
              <c:numCache>
                <c:formatCode>0.0%</c:formatCode>
                <c:ptCount val="7"/>
                <c:pt idx="0">
                  <c:v>0.23219005152057209</c:v>
                </c:pt>
                <c:pt idx="1">
                  <c:v>0.33297510152979393</c:v>
                </c:pt>
                <c:pt idx="2">
                  <c:v>0.4</c:v>
                </c:pt>
                <c:pt idx="3">
                  <c:v>0.41</c:v>
                </c:pt>
                <c:pt idx="4">
                  <c:v>0.42</c:v>
                </c:pt>
                <c:pt idx="5">
                  <c:v>0.41</c:v>
                </c:pt>
                <c:pt idx="6">
                  <c:v>0.47</c:v>
                </c:pt>
              </c:numCache>
            </c:numRef>
          </c:val>
          <c:smooth val="0"/>
          <c:extLst>
            <c:ext xmlns:c16="http://schemas.microsoft.com/office/drawing/2014/chart" uri="{C3380CC4-5D6E-409C-BE32-E72D297353CC}">
              <c16:uniqueId val="{00000001-578F-4A08-8EFE-85010B2C1910}"/>
            </c:ext>
          </c:extLst>
        </c:ser>
        <c:dLbls>
          <c:showLegendKey val="0"/>
          <c:showVal val="0"/>
          <c:showCatName val="0"/>
          <c:showSerName val="0"/>
          <c:showPercent val="0"/>
          <c:showBubbleSize val="0"/>
        </c:dLbls>
        <c:smooth val="0"/>
        <c:axId val="509141151"/>
        <c:axId val="509142111"/>
      </c:lineChart>
      <c:catAx>
        <c:axId val="509141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509142111"/>
        <c:crosses val="autoZero"/>
        <c:auto val="1"/>
        <c:lblAlgn val="ctr"/>
        <c:lblOffset val="100"/>
        <c:noMultiLvlLbl val="0"/>
      </c:catAx>
      <c:valAx>
        <c:axId val="50914211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5091411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PRICE!$B$1</c:f>
              <c:strCache>
                <c:ptCount val="1"/>
                <c:pt idx="0">
                  <c:v>삼성전자</c:v>
                </c:pt>
              </c:strCache>
            </c:strRef>
          </c:tx>
          <c:spPr>
            <a:ln w="28575" cap="rnd">
              <a:solidFill>
                <a:schemeClr val="accent1"/>
              </a:solidFill>
              <a:round/>
            </a:ln>
            <a:effectLst/>
          </c:spPr>
          <c:marker>
            <c:symbol val="none"/>
          </c:marker>
          <c:cat>
            <c:strRef>
              <c:f>PRICE!$A$2:$A$244</c:f>
              <c:strCache>
                <c:ptCount val="243"/>
                <c:pt idx="0">
                  <c:v>2024/12/10</c:v>
                </c:pt>
                <c:pt idx="1">
                  <c:v>2024/12/11</c:v>
                </c:pt>
                <c:pt idx="2">
                  <c:v>2024/12/12</c:v>
                </c:pt>
                <c:pt idx="3">
                  <c:v>2024/12/13</c:v>
                </c:pt>
                <c:pt idx="4">
                  <c:v>2024/12/16</c:v>
                </c:pt>
                <c:pt idx="5">
                  <c:v>2024/12/17</c:v>
                </c:pt>
                <c:pt idx="6">
                  <c:v>2024/12/18</c:v>
                </c:pt>
                <c:pt idx="7">
                  <c:v>2024/12/19</c:v>
                </c:pt>
                <c:pt idx="8">
                  <c:v>2024/12/20</c:v>
                </c:pt>
                <c:pt idx="9">
                  <c:v>2024/12/23</c:v>
                </c:pt>
                <c:pt idx="10">
                  <c:v>2024/12/24</c:v>
                </c:pt>
                <c:pt idx="11">
                  <c:v>2024/12/26</c:v>
                </c:pt>
                <c:pt idx="12">
                  <c:v>2024/12/27</c:v>
                </c:pt>
                <c:pt idx="13">
                  <c:v>2024/12/30</c:v>
                </c:pt>
                <c:pt idx="14">
                  <c:v>2025/01/02</c:v>
                </c:pt>
                <c:pt idx="15">
                  <c:v>2025/01/03</c:v>
                </c:pt>
                <c:pt idx="16">
                  <c:v>2025/01/06</c:v>
                </c:pt>
                <c:pt idx="17">
                  <c:v>2025/01/07</c:v>
                </c:pt>
                <c:pt idx="18">
                  <c:v>2025/01/08</c:v>
                </c:pt>
                <c:pt idx="19">
                  <c:v>2025/01/09</c:v>
                </c:pt>
                <c:pt idx="20">
                  <c:v>2025/01/10</c:v>
                </c:pt>
                <c:pt idx="21">
                  <c:v>2025/01/13</c:v>
                </c:pt>
                <c:pt idx="22">
                  <c:v>2025/01/14</c:v>
                </c:pt>
                <c:pt idx="23">
                  <c:v>2025/01/15</c:v>
                </c:pt>
                <c:pt idx="24">
                  <c:v>2025/01/16</c:v>
                </c:pt>
                <c:pt idx="25">
                  <c:v>2025/01/17</c:v>
                </c:pt>
                <c:pt idx="26">
                  <c:v>2025/01/20</c:v>
                </c:pt>
                <c:pt idx="27">
                  <c:v>2025/01/21</c:v>
                </c:pt>
                <c:pt idx="28">
                  <c:v>2025/01/22</c:v>
                </c:pt>
                <c:pt idx="29">
                  <c:v>2025/01/23</c:v>
                </c:pt>
                <c:pt idx="30">
                  <c:v>2025/01/24</c:v>
                </c:pt>
                <c:pt idx="31">
                  <c:v>2025/01/31</c:v>
                </c:pt>
                <c:pt idx="32">
                  <c:v>2025/02/03</c:v>
                </c:pt>
                <c:pt idx="33">
                  <c:v>2025/02/04</c:v>
                </c:pt>
                <c:pt idx="34">
                  <c:v>2025/02/05</c:v>
                </c:pt>
                <c:pt idx="35">
                  <c:v>2025/02/06</c:v>
                </c:pt>
                <c:pt idx="36">
                  <c:v>2025/02/07</c:v>
                </c:pt>
                <c:pt idx="37">
                  <c:v>2025/02/10</c:v>
                </c:pt>
                <c:pt idx="38">
                  <c:v>2025/02/11</c:v>
                </c:pt>
                <c:pt idx="39">
                  <c:v>2025/02/12</c:v>
                </c:pt>
                <c:pt idx="40">
                  <c:v>2025/02/13</c:v>
                </c:pt>
                <c:pt idx="41">
                  <c:v>2025/02/14</c:v>
                </c:pt>
                <c:pt idx="42">
                  <c:v>2025/02/17</c:v>
                </c:pt>
                <c:pt idx="43">
                  <c:v>2025/02/18</c:v>
                </c:pt>
                <c:pt idx="44">
                  <c:v>2025/02/19</c:v>
                </c:pt>
                <c:pt idx="45">
                  <c:v>2025/02/20</c:v>
                </c:pt>
                <c:pt idx="46">
                  <c:v>2025/02/21</c:v>
                </c:pt>
                <c:pt idx="47">
                  <c:v>2025/02/24</c:v>
                </c:pt>
                <c:pt idx="48">
                  <c:v>2025/02/25</c:v>
                </c:pt>
                <c:pt idx="49">
                  <c:v>2025/02/26</c:v>
                </c:pt>
                <c:pt idx="50">
                  <c:v>2025/02/27</c:v>
                </c:pt>
                <c:pt idx="51">
                  <c:v>2025/02/28</c:v>
                </c:pt>
                <c:pt idx="52">
                  <c:v>2025/03/04</c:v>
                </c:pt>
                <c:pt idx="53">
                  <c:v>2025/03/05</c:v>
                </c:pt>
                <c:pt idx="54">
                  <c:v>2025/03/06</c:v>
                </c:pt>
                <c:pt idx="55">
                  <c:v>2025/03/07</c:v>
                </c:pt>
                <c:pt idx="56">
                  <c:v>2025/03/10</c:v>
                </c:pt>
                <c:pt idx="57">
                  <c:v>2025/03/11</c:v>
                </c:pt>
                <c:pt idx="58">
                  <c:v>2025/03/12</c:v>
                </c:pt>
                <c:pt idx="59">
                  <c:v>2025/03/13</c:v>
                </c:pt>
                <c:pt idx="60">
                  <c:v>2025/03/14</c:v>
                </c:pt>
                <c:pt idx="61">
                  <c:v>2025/03/17</c:v>
                </c:pt>
                <c:pt idx="62">
                  <c:v>2025/03/18</c:v>
                </c:pt>
                <c:pt idx="63">
                  <c:v>2025/03/19</c:v>
                </c:pt>
                <c:pt idx="64">
                  <c:v>2025/03/20</c:v>
                </c:pt>
                <c:pt idx="65">
                  <c:v>2025/03/21</c:v>
                </c:pt>
                <c:pt idx="66">
                  <c:v>2025/03/24</c:v>
                </c:pt>
                <c:pt idx="67">
                  <c:v>2025/03/25</c:v>
                </c:pt>
                <c:pt idx="68">
                  <c:v>2025/03/26</c:v>
                </c:pt>
                <c:pt idx="69">
                  <c:v>2025/03/27</c:v>
                </c:pt>
                <c:pt idx="70">
                  <c:v>2025/03/28</c:v>
                </c:pt>
                <c:pt idx="71">
                  <c:v>2025/03/31</c:v>
                </c:pt>
                <c:pt idx="72">
                  <c:v>2025/04/01</c:v>
                </c:pt>
                <c:pt idx="73">
                  <c:v>2025/04/02</c:v>
                </c:pt>
                <c:pt idx="74">
                  <c:v>2025/04/03</c:v>
                </c:pt>
                <c:pt idx="75">
                  <c:v>2025/04/04</c:v>
                </c:pt>
                <c:pt idx="76">
                  <c:v>2025/04/07</c:v>
                </c:pt>
                <c:pt idx="77">
                  <c:v>2025/04/08</c:v>
                </c:pt>
                <c:pt idx="78">
                  <c:v>2025/04/09</c:v>
                </c:pt>
                <c:pt idx="79">
                  <c:v>2025/04/10</c:v>
                </c:pt>
                <c:pt idx="80">
                  <c:v>2025/04/11</c:v>
                </c:pt>
                <c:pt idx="81">
                  <c:v>2025/04/14</c:v>
                </c:pt>
                <c:pt idx="82">
                  <c:v>2025/04/15</c:v>
                </c:pt>
                <c:pt idx="83">
                  <c:v>2025/04/16</c:v>
                </c:pt>
                <c:pt idx="84">
                  <c:v>2025/04/17</c:v>
                </c:pt>
                <c:pt idx="85">
                  <c:v>2025/04/18</c:v>
                </c:pt>
                <c:pt idx="86">
                  <c:v>2025/04/21</c:v>
                </c:pt>
                <c:pt idx="87">
                  <c:v>2025/04/22</c:v>
                </c:pt>
                <c:pt idx="88">
                  <c:v>2025/04/23</c:v>
                </c:pt>
                <c:pt idx="89">
                  <c:v>2025/04/24</c:v>
                </c:pt>
                <c:pt idx="90">
                  <c:v>2025/04/25</c:v>
                </c:pt>
                <c:pt idx="91">
                  <c:v>2025/04/28</c:v>
                </c:pt>
                <c:pt idx="92">
                  <c:v>2025/04/29</c:v>
                </c:pt>
                <c:pt idx="93">
                  <c:v>2025/04/30</c:v>
                </c:pt>
                <c:pt idx="94">
                  <c:v>2025/05/02</c:v>
                </c:pt>
                <c:pt idx="95">
                  <c:v>2025/05/07</c:v>
                </c:pt>
                <c:pt idx="96">
                  <c:v>2025/05/08</c:v>
                </c:pt>
                <c:pt idx="97">
                  <c:v>2025/05/09</c:v>
                </c:pt>
                <c:pt idx="98">
                  <c:v>2025/05/12</c:v>
                </c:pt>
                <c:pt idx="99">
                  <c:v>2025/05/13</c:v>
                </c:pt>
                <c:pt idx="100">
                  <c:v>2025/05/14</c:v>
                </c:pt>
                <c:pt idx="101">
                  <c:v>2025/05/15</c:v>
                </c:pt>
                <c:pt idx="102">
                  <c:v>2025/05/16</c:v>
                </c:pt>
                <c:pt idx="103">
                  <c:v>2025/05/19</c:v>
                </c:pt>
                <c:pt idx="104">
                  <c:v>2025/05/20</c:v>
                </c:pt>
                <c:pt idx="105">
                  <c:v>2025/05/21</c:v>
                </c:pt>
                <c:pt idx="106">
                  <c:v>2025/05/22</c:v>
                </c:pt>
                <c:pt idx="107">
                  <c:v>2025/05/23</c:v>
                </c:pt>
                <c:pt idx="108">
                  <c:v>2025/05/26</c:v>
                </c:pt>
                <c:pt idx="109">
                  <c:v>2025/05/27</c:v>
                </c:pt>
                <c:pt idx="110">
                  <c:v>2025/05/28</c:v>
                </c:pt>
                <c:pt idx="111">
                  <c:v>2025/05/29</c:v>
                </c:pt>
                <c:pt idx="112">
                  <c:v>2025/05/30</c:v>
                </c:pt>
                <c:pt idx="113">
                  <c:v>2025/06/02</c:v>
                </c:pt>
                <c:pt idx="114">
                  <c:v>2025/06/04</c:v>
                </c:pt>
                <c:pt idx="115">
                  <c:v>2025/06/05</c:v>
                </c:pt>
                <c:pt idx="116">
                  <c:v>2025/06/09</c:v>
                </c:pt>
                <c:pt idx="117">
                  <c:v>2025/06/10</c:v>
                </c:pt>
                <c:pt idx="118">
                  <c:v>2025/06/11</c:v>
                </c:pt>
                <c:pt idx="119">
                  <c:v>2025/06/12</c:v>
                </c:pt>
                <c:pt idx="120">
                  <c:v>2025/06/13</c:v>
                </c:pt>
                <c:pt idx="121">
                  <c:v>2025/06/16</c:v>
                </c:pt>
                <c:pt idx="122">
                  <c:v>2025/06/17</c:v>
                </c:pt>
                <c:pt idx="123">
                  <c:v>2025/06/18</c:v>
                </c:pt>
                <c:pt idx="124">
                  <c:v>2025/06/19</c:v>
                </c:pt>
                <c:pt idx="125">
                  <c:v>2025/06/20</c:v>
                </c:pt>
                <c:pt idx="126">
                  <c:v>2025/06/23</c:v>
                </c:pt>
                <c:pt idx="127">
                  <c:v>2025/06/24</c:v>
                </c:pt>
                <c:pt idx="128">
                  <c:v>2025/06/25</c:v>
                </c:pt>
                <c:pt idx="129">
                  <c:v>2025/06/26</c:v>
                </c:pt>
                <c:pt idx="130">
                  <c:v>2025/06/27</c:v>
                </c:pt>
                <c:pt idx="131">
                  <c:v>2025/06/30</c:v>
                </c:pt>
                <c:pt idx="132">
                  <c:v>2025/07/01</c:v>
                </c:pt>
                <c:pt idx="133">
                  <c:v>2025/07/02</c:v>
                </c:pt>
                <c:pt idx="134">
                  <c:v>2025/07/03</c:v>
                </c:pt>
                <c:pt idx="135">
                  <c:v>2025/07/04</c:v>
                </c:pt>
                <c:pt idx="136">
                  <c:v>2025/07/07</c:v>
                </c:pt>
                <c:pt idx="137">
                  <c:v>2025/07/08</c:v>
                </c:pt>
                <c:pt idx="138">
                  <c:v>2025/07/09</c:v>
                </c:pt>
                <c:pt idx="139">
                  <c:v>2025/07/10</c:v>
                </c:pt>
                <c:pt idx="140">
                  <c:v>2025/07/11</c:v>
                </c:pt>
                <c:pt idx="141">
                  <c:v>2025/07/14</c:v>
                </c:pt>
                <c:pt idx="142">
                  <c:v>2025/07/15</c:v>
                </c:pt>
                <c:pt idx="143">
                  <c:v>2025/07/16</c:v>
                </c:pt>
                <c:pt idx="144">
                  <c:v>2025/07/17</c:v>
                </c:pt>
                <c:pt idx="145">
                  <c:v>2025/07/18</c:v>
                </c:pt>
                <c:pt idx="146">
                  <c:v>2025/07/21</c:v>
                </c:pt>
                <c:pt idx="147">
                  <c:v>2025/07/22</c:v>
                </c:pt>
                <c:pt idx="148">
                  <c:v>2025/07/23</c:v>
                </c:pt>
                <c:pt idx="149">
                  <c:v>2025/07/24</c:v>
                </c:pt>
                <c:pt idx="150">
                  <c:v>2025/07/25</c:v>
                </c:pt>
                <c:pt idx="151">
                  <c:v>2025/07/28</c:v>
                </c:pt>
                <c:pt idx="152">
                  <c:v>2025/07/29</c:v>
                </c:pt>
                <c:pt idx="153">
                  <c:v>2025/07/30</c:v>
                </c:pt>
                <c:pt idx="154">
                  <c:v>2025/07/31</c:v>
                </c:pt>
                <c:pt idx="155">
                  <c:v>2025/08/01</c:v>
                </c:pt>
                <c:pt idx="156">
                  <c:v>2025/08/04</c:v>
                </c:pt>
                <c:pt idx="157">
                  <c:v>2025/08/05</c:v>
                </c:pt>
                <c:pt idx="158">
                  <c:v>2025/08/06</c:v>
                </c:pt>
                <c:pt idx="159">
                  <c:v>2025/08/07</c:v>
                </c:pt>
                <c:pt idx="160">
                  <c:v>2025/08/08</c:v>
                </c:pt>
                <c:pt idx="161">
                  <c:v>2025/08/11</c:v>
                </c:pt>
                <c:pt idx="162">
                  <c:v>2025/08/12</c:v>
                </c:pt>
                <c:pt idx="163">
                  <c:v>2025/08/13</c:v>
                </c:pt>
                <c:pt idx="164">
                  <c:v>2025/08/14</c:v>
                </c:pt>
                <c:pt idx="165">
                  <c:v>2025/08/18</c:v>
                </c:pt>
                <c:pt idx="166">
                  <c:v>2025/08/19</c:v>
                </c:pt>
                <c:pt idx="167">
                  <c:v>2025/08/20</c:v>
                </c:pt>
                <c:pt idx="168">
                  <c:v>2025/08/21</c:v>
                </c:pt>
                <c:pt idx="169">
                  <c:v>2025/08/22</c:v>
                </c:pt>
                <c:pt idx="170">
                  <c:v>2025/08/25</c:v>
                </c:pt>
                <c:pt idx="171">
                  <c:v>2025/08/26</c:v>
                </c:pt>
                <c:pt idx="172">
                  <c:v>2025/08/27</c:v>
                </c:pt>
                <c:pt idx="173">
                  <c:v>2025/08/28</c:v>
                </c:pt>
                <c:pt idx="174">
                  <c:v>2025/08/29</c:v>
                </c:pt>
                <c:pt idx="175">
                  <c:v>2025/09/01</c:v>
                </c:pt>
                <c:pt idx="176">
                  <c:v>2025/09/02</c:v>
                </c:pt>
                <c:pt idx="177">
                  <c:v>2025/09/03</c:v>
                </c:pt>
                <c:pt idx="178">
                  <c:v>2025/09/04</c:v>
                </c:pt>
                <c:pt idx="179">
                  <c:v>2025/09/05</c:v>
                </c:pt>
                <c:pt idx="180">
                  <c:v>2025/09/08</c:v>
                </c:pt>
                <c:pt idx="181">
                  <c:v>2025/09/09</c:v>
                </c:pt>
                <c:pt idx="182">
                  <c:v>2025/09/10</c:v>
                </c:pt>
                <c:pt idx="183">
                  <c:v>2025/09/11</c:v>
                </c:pt>
                <c:pt idx="184">
                  <c:v>2025/09/12</c:v>
                </c:pt>
                <c:pt idx="185">
                  <c:v>2025/09/15</c:v>
                </c:pt>
                <c:pt idx="186">
                  <c:v>2025/09/16</c:v>
                </c:pt>
                <c:pt idx="187">
                  <c:v>2025/09/17</c:v>
                </c:pt>
                <c:pt idx="188">
                  <c:v>2025/09/18</c:v>
                </c:pt>
                <c:pt idx="189">
                  <c:v>2025/09/19</c:v>
                </c:pt>
                <c:pt idx="190">
                  <c:v>2025/09/22</c:v>
                </c:pt>
                <c:pt idx="191">
                  <c:v>2025/09/23</c:v>
                </c:pt>
                <c:pt idx="192">
                  <c:v>2025/09/24</c:v>
                </c:pt>
                <c:pt idx="193">
                  <c:v>2025/09/25</c:v>
                </c:pt>
                <c:pt idx="194">
                  <c:v>2025/09/26</c:v>
                </c:pt>
                <c:pt idx="195">
                  <c:v>2025/09/29</c:v>
                </c:pt>
                <c:pt idx="196">
                  <c:v>2025/09/30</c:v>
                </c:pt>
                <c:pt idx="197">
                  <c:v>2025/10/01</c:v>
                </c:pt>
                <c:pt idx="198">
                  <c:v>2025/10/02</c:v>
                </c:pt>
                <c:pt idx="199">
                  <c:v>2025/10/10</c:v>
                </c:pt>
                <c:pt idx="200">
                  <c:v>2025/10/13</c:v>
                </c:pt>
                <c:pt idx="201">
                  <c:v>2025/10/14</c:v>
                </c:pt>
                <c:pt idx="202">
                  <c:v>2025/10/15</c:v>
                </c:pt>
                <c:pt idx="203">
                  <c:v>2025/10/16</c:v>
                </c:pt>
                <c:pt idx="204">
                  <c:v>2025/10/17</c:v>
                </c:pt>
                <c:pt idx="205">
                  <c:v>2025/10/20</c:v>
                </c:pt>
                <c:pt idx="206">
                  <c:v>2025/10/21</c:v>
                </c:pt>
                <c:pt idx="207">
                  <c:v>2025/10/22</c:v>
                </c:pt>
                <c:pt idx="208">
                  <c:v>2025/10/23</c:v>
                </c:pt>
                <c:pt idx="209">
                  <c:v>2025/10/24</c:v>
                </c:pt>
                <c:pt idx="210">
                  <c:v>2025/10/27</c:v>
                </c:pt>
                <c:pt idx="211">
                  <c:v>2025/10/28</c:v>
                </c:pt>
                <c:pt idx="212">
                  <c:v>2025/10/29</c:v>
                </c:pt>
                <c:pt idx="213">
                  <c:v>2025/10/30</c:v>
                </c:pt>
                <c:pt idx="214">
                  <c:v>2025/10/31</c:v>
                </c:pt>
                <c:pt idx="215">
                  <c:v>2025/11/03</c:v>
                </c:pt>
                <c:pt idx="216">
                  <c:v>2025/11/04</c:v>
                </c:pt>
                <c:pt idx="217">
                  <c:v>2025/11/05</c:v>
                </c:pt>
                <c:pt idx="218">
                  <c:v>2025/11/06</c:v>
                </c:pt>
                <c:pt idx="219">
                  <c:v>2025/11/07</c:v>
                </c:pt>
                <c:pt idx="220">
                  <c:v>2025/11/10</c:v>
                </c:pt>
                <c:pt idx="221">
                  <c:v>2025/11/11</c:v>
                </c:pt>
                <c:pt idx="222">
                  <c:v>2025/11/12</c:v>
                </c:pt>
                <c:pt idx="223">
                  <c:v>2025/11/13</c:v>
                </c:pt>
                <c:pt idx="224">
                  <c:v>2025/11/14</c:v>
                </c:pt>
                <c:pt idx="225">
                  <c:v>2025/11/17</c:v>
                </c:pt>
                <c:pt idx="226">
                  <c:v>2025/11/18</c:v>
                </c:pt>
                <c:pt idx="227">
                  <c:v>2025/11/19</c:v>
                </c:pt>
                <c:pt idx="228">
                  <c:v>2025/11/20</c:v>
                </c:pt>
                <c:pt idx="229">
                  <c:v>2025/11/21</c:v>
                </c:pt>
                <c:pt idx="230">
                  <c:v>2025/11/24</c:v>
                </c:pt>
                <c:pt idx="231">
                  <c:v>2025/11/25</c:v>
                </c:pt>
                <c:pt idx="232">
                  <c:v>2025/11/26</c:v>
                </c:pt>
                <c:pt idx="233">
                  <c:v>2025/11/27</c:v>
                </c:pt>
                <c:pt idx="234">
                  <c:v>2025/11/28</c:v>
                </c:pt>
                <c:pt idx="235">
                  <c:v>2025/12/01</c:v>
                </c:pt>
                <c:pt idx="236">
                  <c:v>2025/12/02</c:v>
                </c:pt>
                <c:pt idx="237">
                  <c:v>2025/12/03</c:v>
                </c:pt>
                <c:pt idx="238">
                  <c:v>2025/12/04</c:v>
                </c:pt>
                <c:pt idx="239">
                  <c:v>2025/12/05</c:v>
                </c:pt>
                <c:pt idx="240">
                  <c:v>2025/12/08</c:v>
                </c:pt>
                <c:pt idx="241">
                  <c:v>2025/12/09</c:v>
                </c:pt>
                <c:pt idx="242">
                  <c:v>2025/12/10</c:v>
                </c:pt>
              </c:strCache>
            </c:strRef>
          </c:cat>
          <c:val>
            <c:numRef>
              <c:f>PRICE!$C$2:$C$244</c:f>
              <c:numCache>
                <c:formatCode>#,##0</c:formatCode>
                <c:ptCount val="243"/>
                <c:pt idx="0">
                  <c:v>100</c:v>
                </c:pt>
                <c:pt idx="1">
                  <c:v>100</c:v>
                </c:pt>
                <c:pt idx="2">
                  <c:v>103.51851851851852</c:v>
                </c:pt>
                <c:pt idx="3">
                  <c:v>103.88888888888889</c:v>
                </c:pt>
                <c:pt idx="4">
                  <c:v>102.96296296296296</c:v>
                </c:pt>
                <c:pt idx="5">
                  <c:v>100.37037037037038</c:v>
                </c:pt>
                <c:pt idx="6">
                  <c:v>101.66666666666667</c:v>
                </c:pt>
                <c:pt idx="7">
                  <c:v>98.333333333333329</c:v>
                </c:pt>
                <c:pt idx="8">
                  <c:v>98.148148148148138</c:v>
                </c:pt>
                <c:pt idx="9">
                  <c:v>99.074074074074076</c:v>
                </c:pt>
                <c:pt idx="10">
                  <c:v>100.74074074074075</c:v>
                </c:pt>
                <c:pt idx="11">
                  <c:v>99.259259259259267</c:v>
                </c:pt>
                <c:pt idx="12">
                  <c:v>99.444444444444457</c:v>
                </c:pt>
                <c:pt idx="13">
                  <c:v>98.518518518518533</c:v>
                </c:pt>
                <c:pt idx="14">
                  <c:v>98.8888888888889</c:v>
                </c:pt>
                <c:pt idx="15">
                  <c:v>100.74074074074076</c:v>
                </c:pt>
                <c:pt idx="16">
                  <c:v>103.51851851851855</c:v>
                </c:pt>
                <c:pt idx="17">
                  <c:v>102.59259259259262</c:v>
                </c:pt>
                <c:pt idx="18">
                  <c:v>106.11111111111114</c:v>
                </c:pt>
                <c:pt idx="19">
                  <c:v>103.88888888888891</c:v>
                </c:pt>
                <c:pt idx="20">
                  <c:v>102.40740740740743</c:v>
                </c:pt>
                <c:pt idx="21">
                  <c:v>100.1851851851852</c:v>
                </c:pt>
                <c:pt idx="22">
                  <c:v>99.814814814814824</c:v>
                </c:pt>
                <c:pt idx="23">
                  <c:v>99.444444444444457</c:v>
                </c:pt>
                <c:pt idx="24">
                  <c:v>100.55555555555557</c:v>
                </c:pt>
                <c:pt idx="25">
                  <c:v>99.444444444444457</c:v>
                </c:pt>
                <c:pt idx="26">
                  <c:v>98.8888888888889</c:v>
                </c:pt>
                <c:pt idx="27">
                  <c:v>99.074074074074076</c:v>
                </c:pt>
                <c:pt idx="28">
                  <c:v>100.55555555555556</c:v>
                </c:pt>
                <c:pt idx="29">
                  <c:v>99.444444444444443</c:v>
                </c:pt>
                <c:pt idx="30">
                  <c:v>99.444444444444443</c:v>
                </c:pt>
                <c:pt idx="31">
                  <c:v>97.037037037037038</c:v>
                </c:pt>
                <c:pt idx="32">
                  <c:v>94.444444444444443</c:v>
                </c:pt>
                <c:pt idx="33">
                  <c:v>97.592592592592595</c:v>
                </c:pt>
                <c:pt idx="34">
                  <c:v>97.962962962962976</c:v>
                </c:pt>
                <c:pt idx="35">
                  <c:v>100.00000000000001</c:v>
                </c:pt>
                <c:pt idx="36">
                  <c:v>99.444444444444457</c:v>
                </c:pt>
                <c:pt idx="37">
                  <c:v>102.96296296296298</c:v>
                </c:pt>
                <c:pt idx="38">
                  <c:v>103.14814814814817</c:v>
                </c:pt>
                <c:pt idx="39">
                  <c:v>103.33333333333336</c:v>
                </c:pt>
                <c:pt idx="40">
                  <c:v>103.33333333333336</c:v>
                </c:pt>
                <c:pt idx="41">
                  <c:v>103.70370370370372</c:v>
                </c:pt>
                <c:pt idx="42">
                  <c:v>103.70370370370372</c:v>
                </c:pt>
                <c:pt idx="43">
                  <c:v>105.37037037037038</c:v>
                </c:pt>
                <c:pt idx="44">
                  <c:v>108.70370370370371</c:v>
                </c:pt>
                <c:pt idx="45">
                  <c:v>108.14814814814815</c:v>
                </c:pt>
                <c:pt idx="46">
                  <c:v>107.77777777777779</c:v>
                </c:pt>
                <c:pt idx="47">
                  <c:v>106.11111111111113</c:v>
                </c:pt>
                <c:pt idx="48">
                  <c:v>105.92592592592594</c:v>
                </c:pt>
                <c:pt idx="49">
                  <c:v>104.81481481481482</c:v>
                </c:pt>
                <c:pt idx="50">
                  <c:v>104.25925925925927</c:v>
                </c:pt>
                <c:pt idx="51">
                  <c:v>100.92592592592592</c:v>
                </c:pt>
                <c:pt idx="52">
                  <c:v>100.92592592592592</c:v>
                </c:pt>
                <c:pt idx="53">
                  <c:v>100</c:v>
                </c:pt>
                <c:pt idx="54">
                  <c:v>100.55555555555556</c:v>
                </c:pt>
                <c:pt idx="55">
                  <c:v>99.444444444444443</c:v>
                </c:pt>
                <c:pt idx="56">
                  <c:v>99.444444444444443</c:v>
                </c:pt>
                <c:pt idx="57">
                  <c:v>99.259259259259252</c:v>
                </c:pt>
                <c:pt idx="58">
                  <c:v>101.66666666666666</c:v>
                </c:pt>
                <c:pt idx="59">
                  <c:v>101.29629629629629</c:v>
                </c:pt>
                <c:pt idx="60">
                  <c:v>101.29629629629629</c:v>
                </c:pt>
                <c:pt idx="61">
                  <c:v>106.66666666666666</c:v>
                </c:pt>
                <c:pt idx="62">
                  <c:v>106.66666666666666</c:v>
                </c:pt>
                <c:pt idx="63">
                  <c:v>108.33333333333333</c:v>
                </c:pt>
                <c:pt idx="64">
                  <c:v>111.48148148148147</c:v>
                </c:pt>
                <c:pt idx="65">
                  <c:v>114.25925925925925</c:v>
                </c:pt>
                <c:pt idx="66">
                  <c:v>112.03703703703702</c:v>
                </c:pt>
                <c:pt idx="67">
                  <c:v>110.74074074074073</c:v>
                </c:pt>
                <c:pt idx="68">
                  <c:v>113.7037037037037</c:v>
                </c:pt>
                <c:pt idx="69">
                  <c:v>114.44444444444444</c:v>
                </c:pt>
                <c:pt idx="70">
                  <c:v>111.48148148148148</c:v>
                </c:pt>
                <c:pt idx="71">
                  <c:v>107.03703703703704</c:v>
                </c:pt>
                <c:pt idx="72">
                  <c:v>108.8888888888889</c:v>
                </c:pt>
                <c:pt idx="73">
                  <c:v>108.8888888888889</c:v>
                </c:pt>
                <c:pt idx="74">
                  <c:v>106.66666666666667</c:v>
                </c:pt>
                <c:pt idx="75">
                  <c:v>103.8888888888889</c:v>
                </c:pt>
                <c:pt idx="76">
                  <c:v>98.518518518518533</c:v>
                </c:pt>
                <c:pt idx="77">
                  <c:v>99.074074074074105</c:v>
                </c:pt>
                <c:pt idx="78">
                  <c:v>98.148148148148181</c:v>
                </c:pt>
                <c:pt idx="79">
                  <c:v>104.44444444444447</c:v>
                </c:pt>
                <c:pt idx="80">
                  <c:v>102.22222222222224</c:v>
                </c:pt>
                <c:pt idx="81">
                  <c:v>104.0740740740741</c:v>
                </c:pt>
                <c:pt idx="82">
                  <c:v>104.81481481481484</c:v>
                </c:pt>
                <c:pt idx="83">
                  <c:v>101.29629629629632</c:v>
                </c:pt>
                <c:pt idx="84">
                  <c:v>102.03703703703707</c:v>
                </c:pt>
                <c:pt idx="85">
                  <c:v>102.40740740740743</c:v>
                </c:pt>
                <c:pt idx="86">
                  <c:v>102.59259259259262</c:v>
                </c:pt>
                <c:pt idx="87">
                  <c:v>101.85185185185189</c:v>
                </c:pt>
                <c:pt idx="88">
                  <c:v>103.14814814814818</c:v>
                </c:pt>
                <c:pt idx="89">
                  <c:v>103.14814814814818</c:v>
                </c:pt>
                <c:pt idx="90">
                  <c:v>103.14814814814818</c:v>
                </c:pt>
                <c:pt idx="91">
                  <c:v>103.33333333333337</c:v>
                </c:pt>
                <c:pt idx="92">
                  <c:v>103.33333333333337</c:v>
                </c:pt>
                <c:pt idx="93">
                  <c:v>102.77777777777781</c:v>
                </c:pt>
                <c:pt idx="94">
                  <c:v>100.55555555555559</c:v>
                </c:pt>
                <c:pt idx="95">
                  <c:v>101.11111111111116</c:v>
                </c:pt>
                <c:pt idx="96">
                  <c:v>101.11111111111116</c:v>
                </c:pt>
                <c:pt idx="97">
                  <c:v>101.48148148148152</c:v>
                </c:pt>
                <c:pt idx="98">
                  <c:v>106.66666666666671</c:v>
                </c:pt>
                <c:pt idx="99">
                  <c:v>105.37037037037041</c:v>
                </c:pt>
                <c:pt idx="100">
                  <c:v>106.29629629629635</c:v>
                </c:pt>
                <c:pt idx="101">
                  <c:v>106.11111111111116</c:v>
                </c:pt>
                <c:pt idx="102">
                  <c:v>105.18518518518523</c:v>
                </c:pt>
                <c:pt idx="103">
                  <c:v>103.33333333333339</c:v>
                </c:pt>
                <c:pt idx="104">
                  <c:v>103.51851851851858</c:v>
                </c:pt>
                <c:pt idx="105">
                  <c:v>103.14814814814821</c:v>
                </c:pt>
                <c:pt idx="106">
                  <c:v>101.29629629629636</c:v>
                </c:pt>
                <c:pt idx="107">
                  <c:v>100.37037037037044</c:v>
                </c:pt>
                <c:pt idx="108">
                  <c:v>101.29629629629636</c:v>
                </c:pt>
                <c:pt idx="109">
                  <c:v>99.814814814814881</c:v>
                </c:pt>
                <c:pt idx="110">
                  <c:v>103.51851851851859</c:v>
                </c:pt>
                <c:pt idx="111">
                  <c:v>103.88888888888896</c:v>
                </c:pt>
                <c:pt idx="112">
                  <c:v>104.07407407407413</c:v>
                </c:pt>
                <c:pt idx="113">
                  <c:v>105.18518518518525</c:v>
                </c:pt>
                <c:pt idx="114">
                  <c:v>107.03703703703711</c:v>
                </c:pt>
                <c:pt idx="115">
                  <c:v>109.44444444444451</c:v>
                </c:pt>
                <c:pt idx="116">
                  <c:v>110.7407407407408</c:v>
                </c:pt>
                <c:pt idx="117">
                  <c:v>109.62962962962969</c:v>
                </c:pt>
                <c:pt idx="118">
                  <c:v>110.92592592592599</c:v>
                </c:pt>
                <c:pt idx="119">
                  <c:v>110.18518518518526</c:v>
                </c:pt>
                <c:pt idx="120">
                  <c:v>107.96296296296303</c:v>
                </c:pt>
                <c:pt idx="121">
                  <c:v>105.92592592592599</c:v>
                </c:pt>
                <c:pt idx="122">
                  <c:v>107.59259259259268</c:v>
                </c:pt>
                <c:pt idx="123">
                  <c:v>110.74074074074085</c:v>
                </c:pt>
                <c:pt idx="124">
                  <c:v>109.62962962962973</c:v>
                </c:pt>
                <c:pt idx="125">
                  <c:v>110.18518518518529</c:v>
                </c:pt>
                <c:pt idx="126">
                  <c:v>107.4074074074075</c:v>
                </c:pt>
                <c:pt idx="127">
                  <c:v>112.03703703703714</c:v>
                </c:pt>
                <c:pt idx="128">
                  <c:v>113.51851851851862</c:v>
                </c:pt>
                <c:pt idx="129">
                  <c:v>111.48148148148158</c:v>
                </c:pt>
                <c:pt idx="130">
                  <c:v>112.59259259259268</c:v>
                </c:pt>
                <c:pt idx="131">
                  <c:v>110.74074074074082</c:v>
                </c:pt>
                <c:pt idx="132">
                  <c:v>111.48148148148157</c:v>
                </c:pt>
                <c:pt idx="133">
                  <c:v>112.59259259259267</c:v>
                </c:pt>
                <c:pt idx="134">
                  <c:v>118.14814814814824</c:v>
                </c:pt>
                <c:pt idx="135">
                  <c:v>117.22222222222231</c:v>
                </c:pt>
                <c:pt idx="136">
                  <c:v>114.25925925925935</c:v>
                </c:pt>
                <c:pt idx="137">
                  <c:v>113.70370370370379</c:v>
                </c:pt>
                <c:pt idx="138">
                  <c:v>111.85185185185195</c:v>
                </c:pt>
                <c:pt idx="139">
                  <c:v>112.96296296296305</c:v>
                </c:pt>
                <c:pt idx="140">
                  <c:v>115.92592592592599</c:v>
                </c:pt>
                <c:pt idx="141">
                  <c:v>115.74074074074082</c:v>
                </c:pt>
                <c:pt idx="142">
                  <c:v>117.96296296296306</c:v>
                </c:pt>
                <c:pt idx="143">
                  <c:v>119.81481481481492</c:v>
                </c:pt>
                <c:pt idx="144">
                  <c:v>123.51851851851863</c:v>
                </c:pt>
                <c:pt idx="145">
                  <c:v>124.25925925925937</c:v>
                </c:pt>
                <c:pt idx="146">
                  <c:v>125.55555555555566</c:v>
                </c:pt>
                <c:pt idx="147">
                  <c:v>122.22222222222231</c:v>
                </c:pt>
                <c:pt idx="148">
                  <c:v>122.96296296296306</c:v>
                </c:pt>
                <c:pt idx="149">
                  <c:v>122.22222222222233</c:v>
                </c:pt>
                <c:pt idx="150">
                  <c:v>122.03703703703715</c:v>
                </c:pt>
                <c:pt idx="151">
                  <c:v>130.37037037037049</c:v>
                </c:pt>
                <c:pt idx="152">
                  <c:v>130.74074074074088</c:v>
                </c:pt>
                <c:pt idx="153">
                  <c:v>134.4444444444446</c:v>
                </c:pt>
                <c:pt idx="154">
                  <c:v>132.22222222222237</c:v>
                </c:pt>
                <c:pt idx="155">
                  <c:v>127.59259259259274</c:v>
                </c:pt>
                <c:pt idx="156">
                  <c:v>129.07407407407422</c:v>
                </c:pt>
                <c:pt idx="157">
                  <c:v>129.4444444444446</c:v>
                </c:pt>
                <c:pt idx="158">
                  <c:v>127.40740740740756</c:v>
                </c:pt>
                <c:pt idx="159">
                  <c:v>130.55555555555571</c:v>
                </c:pt>
                <c:pt idx="160">
                  <c:v>132.9629629629631</c:v>
                </c:pt>
                <c:pt idx="161">
                  <c:v>131.48148148148161</c:v>
                </c:pt>
                <c:pt idx="162">
                  <c:v>131.6666666666668</c:v>
                </c:pt>
                <c:pt idx="163">
                  <c:v>133.14814814814829</c:v>
                </c:pt>
                <c:pt idx="164">
                  <c:v>132.59259259259275</c:v>
                </c:pt>
                <c:pt idx="165">
                  <c:v>129.62962962962979</c:v>
                </c:pt>
                <c:pt idx="166">
                  <c:v>129.62962962962979</c:v>
                </c:pt>
                <c:pt idx="167">
                  <c:v>130.55555555555571</c:v>
                </c:pt>
                <c:pt idx="168">
                  <c:v>130.74074074074088</c:v>
                </c:pt>
                <c:pt idx="169">
                  <c:v>132.22222222222234</c:v>
                </c:pt>
                <c:pt idx="170">
                  <c:v>132.40740740740753</c:v>
                </c:pt>
                <c:pt idx="171">
                  <c:v>130.1851851851853</c:v>
                </c:pt>
                <c:pt idx="172">
                  <c:v>130.74074074074088</c:v>
                </c:pt>
                <c:pt idx="173">
                  <c:v>128.88888888888903</c:v>
                </c:pt>
                <c:pt idx="174">
                  <c:v>129.07407407407422</c:v>
                </c:pt>
                <c:pt idx="175">
                  <c:v>125.18518518518532</c:v>
                </c:pt>
                <c:pt idx="176">
                  <c:v>127.9629629629631</c:v>
                </c:pt>
                <c:pt idx="177">
                  <c:v>129.25925925925941</c:v>
                </c:pt>
                <c:pt idx="178">
                  <c:v>129.81481481481498</c:v>
                </c:pt>
                <c:pt idx="179">
                  <c:v>128.70370370370387</c:v>
                </c:pt>
                <c:pt idx="180">
                  <c:v>129.81481481481498</c:v>
                </c:pt>
                <c:pt idx="181">
                  <c:v>132.40740740740756</c:v>
                </c:pt>
                <c:pt idx="182">
                  <c:v>134.4444444444446</c:v>
                </c:pt>
                <c:pt idx="183">
                  <c:v>135.92592592592607</c:v>
                </c:pt>
                <c:pt idx="184">
                  <c:v>139.62962962962976</c:v>
                </c:pt>
                <c:pt idx="185">
                  <c:v>141.6666666666668</c:v>
                </c:pt>
                <c:pt idx="186">
                  <c:v>147.03703703703718</c:v>
                </c:pt>
                <c:pt idx="187">
                  <c:v>144.81481481481495</c:v>
                </c:pt>
                <c:pt idx="188">
                  <c:v>149.07407407407419</c:v>
                </c:pt>
                <c:pt idx="189">
                  <c:v>147.59259259259272</c:v>
                </c:pt>
                <c:pt idx="190">
                  <c:v>154.62962962962976</c:v>
                </c:pt>
                <c:pt idx="191">
                  <c:v>156.85185185185196</c:v>
                </c:pt>
                <c:pt idx="192">
                  <c:v>158.14814814814827</c:v>
                </c:pt>
                <c:pt idx="193">
                  <c:v>159.44444444444454</c:v>
                </c:pt>
                <c:pt idx="194">
                  <c:v>154.25925925925935</c:v>
                </c:pt>
                <c:pt idx="195">
                  <c:v>155.92592592592604</c:v>
                </c:pt>
                <c:pt idx="196">
                  <c:v>155.37037037037047</c:v>
                </c:pt>
                <c:pt idx="197">
                  <c:v>159.25925925925938</c:v>
                </c:pt>
                <c:pt idx="198">
                  <c:v>164.81481481481495</c:v>
                </c:pt>
                <c:pt idx="199">
                  <c:v>174.81481481481498</c:v>
                </c:pt>
                <c:pt idx="200">
                  <c:v>172.77777777777794</c:v>
                </c:pt>
                <c:pt idx="201">
                  <c:v>169.62962962962979</c:v>
                </c:pt>
                <c:pt idx="202">
                  <c:v>175.92592592592609</c:v>
                </c:pt>
                <c:pt idx="203">
                  <c:v>180.92592592592609</c:v>
                </c:pt>
                <c:pt idx="204">
                  <c:v>181.29629629629648</c:v>
                </c:pt>
                <c:pt idx="205">
                  <c:v>181.66666666666686</c:v>
                </c:pt>
                <c:pt idx="206">
                  <c:v>180.55555555555574</c:v>
                </c:pt>
                <c:pt idx="207">
                  <c:v>182.59259259259278</c:v>
                </c:pt>
                <c:pt idx="208">
                  <c:v>178.70370370370389</c:v>
                </c:pt>
                <c:pt idx="209">
                  <c:v>182.96296296296316</c:v>
                </c:pt>
                <c:pt idx="210">
                  <c:v>188.88888888888911</c:v>
                </c:pt>
                <c:pt idx="211">
                  <c:v>184.25925925925947</c:v>
                </c:pt>
                <c:pt idx="212">
                  <c:v>186.11111111111134</c:v>
                </c:pt>
                <c:pt idx="213">
                  <c:v>192.777777777778</c:v>
                </c:pt>
                <c:pt idx="214">
                  <c:v>199.0740740740743</c:v>
                </c:pt>
                <c:pt idx="215">
                  <c:v>205.74074074074099</c:v>
                </c:pt>
                <c:pt idx="216">
                  <c:v>194.25925925925949</c:v>
                </c:pt>
                <c:pt idx="217">
                  <c:v>186.29629629629653</c:v>
                </c:pt>
                <c:pt idx="218">
                  <c:v>183.70370370370395</c:v>
                </c:pt>
                <c:pt idx="219">
                  <c:v>181.29629629629656</c:v>
                </c:pt>
                <c:pt idx="220">
                  <c:v>186.29629629629659</c:v>
                </c:pt>
                <c:pt idx="221">
                  <c:v>191.666666666667</c:v>
                </c:pt>
                <c:pt idx="222">
                  <c:v>190.92592592592624</c:v>
                </c:pt>
                <c:pt idx="223">
                  <c:v>190.37037037037067</c:v>
                </c:pt>
                <c:pt idx="224">
                  <c:v>180.00000000000028</c:v>
                </c:pt>
                <c:pt idx="225">
                  <c:v>186.29629629629659</c:v>
                </c:pt>
                <c:pt idx="226">
                  <c:v>181.1111111111114</c:v>
                </c:pt>
                <c:pt idx="227">
                  <c:v>178.70370370370401</c:v>
                </c:pt>
                <c:pt idx="228">
                  <c:v>186.29629629629662</c:v>
                </c:pt>
                <c:pt idx="229">
                  <c:v>175.55555555555586</c:v>
                </c:pt>
                <c:pt idx="230">
                  <c:v>179.07407407407439</c:v>
                </c:pt>
                <c:pt idx="231">
                  <c:v>183.88888888888923</c:v>
                </c:pt>
                <c:pt idx="232">
                  <c:v>190.37037037037069</c:v>
                </c:pt>
                <c:pt idx="233">
                  <c:v>191.666666666667</c:v>
                </c:pt>
                <c:pt idx="234">
                  <c:v>186.11111111111143</c:v>
                </c:pt>
                <c:pt idx="235">
                  <c:v>186.66666666666697</c:v>
                </c:pt>
                <c:pt idx="236">
                  <c:v>191.48148148148178</c:v>
                </c:pt>
                <c:pt idx="237">
                  <c:v>193.51851851851885</c:v>
                </c:pt>
                <c:pt idx="238">
                  <c:v>194.62962962962993</c:v>
                </c:pt>
                <c:pt idx="239">
                  <c:v>200.74074074074107</c:v>
                </c:pt>
                <c:pt idx="240">
                  <c:v>202.77777777777811</c:v>
                </c:pt>
                <c:pt idx="241">
                  <c:v>200.74074074074107</c:v>
                </c:pt>
                <c:pt idx="242">
                  <c:v>200.00000000000034</c:v>
                </c:pt>
              </c:numCache>
            </c:numRef>
          </c:val>
          <c:smooth val="0"/>
          <c:extLst>
            <c:ext xmlns:c16="http://schemas.microsoft.com/office/drawing/2014/chart" uri="{C3380CC4-5D6E-409C-BE32-E72D297353CC}">
              <c16:uniqueId val="{00000000-96D9-4760-9C6A-289E9018F071}"/>
            </c:ext>
          </c:extLst>
        </c:ser>
        <c:ser>
          <c:idx val="1"/>
          <c:order val="1"/>
          <c:tx>
            <c:strRef>
              <c:f>PRICE!$D$1</c:f>
              <c:strCache>
                <c:ptCount val="1"/>
                <c:pt idx="0">
                  <c:v>SK하이닉스</c:v>
                </c:pt>
              </c:strCache>
            </c:strRef>
          </c:tx>
          <c:spPr>
            <a:ln w="28575" cap="rnd">
              <a:solidFill>
                <a:schemeClr val="accent2"/>
              </a:solidFill>
              <a:round/>
            </a:ln>
            <a:effectLst/>
          </c:spPr>
          <c:marker>
            <c:symbol val="none"/>
          </c:marker>
          <c:cat>
            <c:strRef>
              <c:f>PRICE!$A$2:$A$244</c:f>
              <c:strCache>
                <c:ptCount val="243"/>
                <c:pt idx="0">
                  <c:v>2024/12/10</c:v>
                </c:pt>
                <c:pt idx="1">
                  <c:v>2024/12/11</c:v>
                </c:pt>
                <c:pt idx="2">
                  <c:v>2024/12/12</c:v>
                </c:pt>
                <c:pt idx="3">
                  <c:v>2024/12/13</c:v>
                </c:pt>
                <c:pt idx="4">
                  <c:v>2024/12/16</c:v>
                </c:pt>
                <c:pt idx="5">
                  <c:v>2024/12/17</c:v>
                </c:pt>
                <c:pt idx="6">
                  <c:v>2024/12/18</c:v>
                </c:pt>
                <c:pt idx="7">
                  <c:v>2024/12/19</c:v>
                </c:pt>
                <c:pt idx="8">
                  <c:v>2024/12/20</c:v>
                </c:pt>
                <c:pt idx="9">
                  <c:v>2024/12/23</c:v>
                </c:pt>
                <c:pt idx="10">
                  <c:v>2024/12/24</c:v>
                </c:pt>
                <c:pt idx="11">
                  <c:v>2024/12/26</c:v>
                </c:pt>
                <c:pt idx="12">
                  <c:v>2024/12/27</c:v>
                </c:pt>
                <c:pt idx="13">
                  <c:v>2024/12/30</c:v>
                </c:pt>
                <c:pt idx="14">
                  <c:v>2025/01/02</c:v>
                </c:pt>
                <c:pt idx="15">
                  <c:v>2025/01/03</c:v>
                </c:pt>
                <c:pt idx="16">
                  <c:v>2025/01/06</c:v>
                </c:pt>
                <c:pt idx="17">
                  <c:v>2025/01/07</c:v>
                </c:pt>
                <c:pt idx="18">
                  <c:v>2025/01/08</c:v>
                </c:pt>
                <c:pt idx="19">
                  <c:v>2025/01/09</c:v>
                </c:pt>
                <c:pt idx="20">
                  <c:v>2025/01/10</c:v>
                </c:pt>
                <c:pt idx="21">
                  <c:v>2025/01/13</c:v>
                </c:pt>
                <c:pt idx="22">
                  <c:v>2025/01/14</c:v>
                </c:pt>
                <c:pt idx="23">
                  <c:v>2025/01/15</c:v>
                </c:pt>
                <c:pt idx="24">
                  <c:v>2025/01/16</c:v>
                </c:pt>
                <c:pt idx="25">
                  <c:v>2025/01/17</c:v>
                </c:pt>
                <c:pt idx="26">
                  <c:v>2025/01/20</c:v>
                </c:pt>
                <c:pt idx="27">
                  <c:v>2025/01/21</c:v>
                </c:pt>
                <c:pt idx="28">
                  <c:v>2025/01/22</c:v>
                </c:pt>
                <c:pt idx="29">
                  <c:v>2025/01/23</c:v>
                </c:pt>
                <c:pt idx="30">
                  <c:v>2025/01/24</c:v>
                </c:pt>
                <c:pt idx="31">
                  <c:v>2025/01/31</c:v>
                </c:pt>
                <c:pt idx="32">
                  <c:v>2025/02/03</c:v>
                </c:pt>
                <c:pt idx="33">
                  <c:v>2025/02/04</c:v>
                </c:pt>
                <c:pt idx="34">
                  <c:v>2025/02/05</c:v>
                </c:pt>
                <c:pt idx="35">
                  <c:v>2025/02/06</c:v>
                </c:pt>
                <c:pt idx="36">
                  <c:v>2025/02/07</c:v>
                </c:pt>
                <c:pt idx="37">
                  <c:v>2025/02/10</c:v>
                </c:pt>
                <c:pt idx="38">
                  <c:v>2025/02/11</c:v>
                </c:pt>
                <c:pt idx="39">
                  <c:v>2025/02/12</c:v>
                </c:pt>
                <c:pt idx="40">
                  <c:v>2025/02/13</c:v>
                </c:pt>
                <c:pt idx="41">
                  <c:v>2025/02/14</c:v>
                </c:pt>
                <c:pt idx="42">
                  <c:v>2025/02/17</c:v>
                </c:pt>
                <c:pt idx="43">
                  <c:v>2025/02/18</c:v>
                </c:pt>
                <c:pt idx="44">
                  <c:v>2025/02/19</c:v>
                </c:pt>
                <c:pt idx="45">
                  <c:v>2025/02/20</c:v>
                </c:pt>
                <c:pt idx="46">
                  <c:v>2025/02/21</c:v>
                </c:pt>
                <c:pt idx="47">
                  <c:v>2025/02/24</c:v>
                </c:pt>
                <c:pt idx="48">
                  <c:v>2025/02/25</c:v>
                </c:pt>
                <c:pt idx="49">
                  <c:v>2025/02/26</c:v>
                </c:pt>
                <c:pt idx="50">
                  <c:v>2025/02/27</c:v>
                </c:pt>
                <c:pt idx="51">
                  <c:v>2025/02/28</c:v>
                </c:pt>
                <c:pt idx="52">
                  <c:v>2025/03/04</c:v>
                </c:pt>
                <c:pt idx="53">
                  <c:v>2025/03/05</c:v>
                </c:pt>
                <c:pt idx="54">
                  <c:v>2025/03/06</c:v>
                </c:pt>
                <c:pt idx="55">
                  <c:v>2025/03/07</c:v>
                </c:pt>
                <c:pt idx="56">
                  <c:v>2025/03/10</c:v>
                </c:pt>
                <c:pt idx="57">
                  <c:v>2025/03/11</c:v>
                </c:pt>
                <c:pt idx="58">
                  <c:v>2025/03/12</c:v>
                </c:pt>
                <c:pt idx="59">
                  <c:v>2025/03/13</c:v>
                </c:pt>
                <c:pt idx="60">
                  <c:v>2025/03/14</c:v>
                </c:pt>
                <c:pt idx="61">
                  <c:v>2025/03/17</c:v>
                </c:pt>
                <c:pt idx="62">
                  <c:v>2025/03/18</c:v>
                </c:pt>
                <c:pt idx="63">
                  <c:v>2025/03/19</c:v>
                </c:pt>
                <c:pt idx="64">
                  <c:v>2025/03/20</c:v>
                </c:pt>
                <c:pt idx="65">
                  <c:v>2025/03/21</c:v>
                </c:pt>
                <c:pt idx="66">
                  <c:v>2025/03/24</c:v>
                </c:pt>
                <c:pt idx="67">
                  <c:v>2025/03/25</c:v>
                </c:pt>
                <c:pt idx="68">
                  <c:v>2025/03/26</c:v>
                </c:pt>
                <c:pt idx="69">
                  <c:v>2025/03/27</c:v>
                </c:pt>
                <c:pt idx="70">
                  <c:v>2025/03/28</c:v>
                </c:pt>
                <c:pt idx="71">
                  <c:v>2025/03/31</c:v>
                </c:pt>
                <c:pt idx="72">
                  <c:v>2025/04/01</c:v>
                </c:pt>
                <c:pt idx="73">
                  <c:v>2025/04/02</c:v>
                </c:pt>
                <c:pt idx="74">
                  <c:v>2025/04/03</c:v>
                </c:pt>
                <c:pt idx="75">
                  <c:v>2025/04/04</c:v>
                </c:pt>
                <c:pt idx="76">
                  <c:v>2025/04/07</c:v>
                </c:pt>
                <c:pt idx="77">
                  <c:v>2025/04/08</c:v>
                </c:pt>
                <c:pt idx="78">
                  <c:v>2025/04/09</c:v>
                </c:pt>
                <c:pt idx="79">
                  <c:v>2025/04/10</c:v>
                </c:pt>
                <c:pt idx="80">
                  <c:v>2025/04/11</c:v>
                </c:pt>
                <c:pt idx="81">
                  <c:v>2025/04/14</c:v>
                </c:pt>
                <c:pt idx="82">
                  <c:v>2025/04/15</c:v>
                </c:pt>
                <c:pt idx="83">
                  <c:v>2025/04/16</c:v>
                </c:pt>
                <c:pt idx="84">
                  <c:v>2025/04/17</c:v>
                </c:pt>
                <c:pt idx="85">
                  <c:v>2025/04/18</c:v>
                </c:pt>
                <c:pt idx="86">
                  <c:v>2025/04/21</c:v>
                </c:pt>
                <c:pt idx="87">
                  <c:v>2025/04/22</c:v>
                </c:pt>
                <c:pt idx="88">
                  <c:v>2025/04/23</c:v>
                </c:pt>
                <c:pt idx="89">
                  <c:v>2025/04/24</c:v>
                </c:pt>
                <c:pt idx="90">
                  <c:v>2025/04/25</c:v>
                </c:pt>
                <c:pt idx="91">
                  <c:v>2025/04/28</c:v>
                </c:pt>
                <c:pt idx="92">
                  <c:v>2025/04/29</c:v>
                </c:pt>
                <c:pt idx="93">
                  <c:v>2025/04/30</c:v>
                </c:pt>
                <c:pt idx="94">
                  <c:v>2025/05/02</c:v>
                </c:pt>
                <c:pt idx="95">
                  <c:v>2025/05/07</c:v>
                </c:pt>
                <c:pt idx="96">
                  <c:v>2025/05/08</c:v>
                </c:pt>
                <c:pt idx="97">
                  <c:v>2025/05/09</c:v>
                </c:pt>
                <c:pt idx="98">
                  <c:v>2025/05/12</c:v>
                </c:pt>
                <c:pt idx="99">
                  <c:v>2025/05/13</c:v>
                </c:pt>
                <c:pt idx="100">
                  <c:v>2025/05/14</c:v>
                </c:pt>
                <c:pt idx="101">
                  <c:v>2025/05/15</c:v>
                </c:pt>
                <c:pt idx="102">
                  <c:v>2025/05/16</c:v>
                </c:pt>
                <c:pt idx="103">
                  <c:v>2025/05/19</c:v>
                </c:pt>
                <c:pt idx="104">
                  <c:v>2025/05/20</c:v>
                </c:pt>
                <c:pt idx="105">
                  <c:v>2025/05/21</c:v>
                </c:pt>
                <c:pt idx="106">
                  <c:v>2025/05/22</c:v>
                </c:pt>
                <c:pt idx="107">
                  <c:v>2025/05/23</c:v>
                </c:pt>
                <c:pt idx="108">
                  <c:v>2025/05/26</c:v>
                </c:pt>
                <c:pt idx="109">
                  <c:v>2025/05/27</c:v>
                </c:pt>
                <c:pt idx="110">
                  <c:v>2025/05/28</c:v>
                </c:pt>
                <c:pt idx="111">
                  <c:v>2025/05/29</c:v>
                </c:pt>
                <c:pt idx="112">
                  <c:v>2025/05/30</c:v>
                </c:pt>
                <c:pt idx="113">
                  <c:v>2025/06/02</c:v>
                </c:pt>
                <c:pt idx="114">
                  <c:v>2025/06/04</c:v>
                </c:pt>
                <c:pt idx="115">
                  <c:v>2025/06/05</c:v>
                </c:pt>
                <c:pt idx="116">
                  <c:v>2025/06/09</c:v>
                </c:pt>
                <c:pt idx="117">
                  <c:v>2025/06/10</c:v>
                </c:pt>
                <c:pt idx="118">
                  <c:v>2025/06/11</c:v>
                </c:pt>
                <c:pt idx="119">
                  <c:v>2025/06/12</c:v>
                </c:pt>
                <c:pt idx="120">
                  <c:v>2025/06/13</c:v>
                </c:pt>
                <c:pt idx="121">
                  <c:v>2025/06/16</c:v>
                </c:pt>
                <c:pt idx="122">
                  <c:v>2025/06/17</c:v>
                </c:pt>
                <c:pt idx="123">
                  <c:v>2025/06/18</c:v>
                </c:pt>
                <c:pt idx="124">
                  <c:v>2025/06/19</c:v>
                </c:pt>
                <c:pt idx="125">
                  <c:v>2025/06/20</c:v>
                </c:pt>
                <c:pt idx="126">
                  <c:v>2025/06/23</c:v>
                </c:pt>
                <c:pt idx="127">
                  <c:v>2025/06/24</c:v>
                </c:pt>
                <c:pt idx="128">
                  <c:v>2025/06/25</c:v>
                </c:pt>
                <c:pt idx="129">
                  <c:v>2025/06/26</c:v>
                </c:pt>
                <c:pt idx="130">
                  <c:v>2025/06/27</c:v>
                </c:pt>
                <c:pt idx="131">
                  <c:v>2025/06/30</c:v>
                </c:pt>
                <c:pt idx="132">
                  <c:v>2025/07/01</c:v>
                </c:pt>
                <c:pt idx="133">
                  <c:v>2025/07/02</c:v>
                </c:pt>
                <c:pt idx="134">
                  <c:v>2025/07/03</c:v>
                </c:pt>
                <c:pt idx="135">
                  <c:v>2025/07/04</c:v>
                </c:pt>
                <c:pt idx="136">
                  <c:v>2025/07/07</c:v>
                </c:pt>
                <c:pt idx="137">
                  <c:v>2025/07/08</c:v>
                </c:pt>
                <c:pt idx="138">
                  <c:v>2025/07/09</c:v>
                </c:pt>
                <c:pt idx="139">
                  <c:v>2025/07/10</c:v>
                </c:pt>
                <c:pt idx="140">
                  <c:v>2025/07/11</c:v>
                </c:pt>
                <c:pt idx="141">
                  <c:v>2025/07/14</c:v>
                </c:pt>
                <c:pt idx="142">
                  <c:v>2025/07/15</c:v>
                </c:pt>
                <c:pt idx="143">
                  <c:v>2025/07/16</c:v>
                </c:pt>
                <c:pt idx="144">
                  <c:v>2025/07/17</c:v>
                </c:pt>
                <c:pt idx="145">
                  <c:v>2025/07/18</c:v>
                </c:pt>
                <c:pt idx="146">
                  <c:v>2025/07/21</c:v>
                </c:pt>
                <c:pt idx="147">
                  <c:v>2025/07/22</c:v>
                </c:pt>
                <c:pt idx="148">
                  <c:v>2025/07/23</c:v>
                </c:pt>
                <c:pt idx="149">
                  <c:v>2025/07/24</c:v>
                </c:pt>
                <c:pt idx="150">
                  <c:v>2025/07/25</c:v>
                </c:pt>
                <c:pt idx="151">
                  <c:v>2025/07/28</c:v>
                </c:pt>
                <c:pt idx="152">
                  <c:v>2025/07/29</c:v>
                </c:pt>
                <c:pt idx="153">
                  <c:v>2025/07/30</c:v>
                </c:pt>
                <c:pt idx="154">
                  <c:v>2025/07/31</c:v>
                </c:pt>
                <c:pt idx="155">
                  <c:v>2025/08/01</c:v>
                </c:pt>
                <c:pt idx="156">
                  <c:v>2025/08/04</c:v>
                </c:pt>
                <c:pt idx="157">
                  <c:v>2025/08/05</c:v>
                </c:pt>
                <c:pt idx="158">
                  <c:v>2025/08/06</c:v>
                </c:pt>
                <c:pt idx="159">
                  <c:v>2025/08/07</c:v>
                </c:pt>
                <c:pt idx="160">
                  <c:v>2025/08/08</c:v>
                </c:pt>
                <c:pt idx="161">
                  <c:v>2025/08/11</c:v>
                </c:pt>
                <c:pt idx="162">
                  <c:v>2025/08/12</c:v>
                </c:pt>
                <c:pt idx="163">
                  <c:v>2025/08/13</c:v>
                </c:pt>
                <c:pt idx="164">
                  <c:v>2025/08/14</c:v>
                </c:pt>
                <c:pt idx="165">
                  <c:v>2025/08/18</c:v>
                </c:pt>
                <c:pt idx="166">
                  <c:v>2025/08/19</c:v>
                </c:pt>
                <c:pt idx="167">
                  <c:v>2025/08/20</c:v>
                </c:pt>
                <c:pt idx="168">
                  <c:v>2025/08/21</c:v>
                </c:pt>
                <c:pt idx="169">
                  <c:v>2025/08/22</c:v>
                </c:pt>
                <c:pt idx="170">
                  <c:v>2025/08/25</c:v>
                </c:pt>
                <c:pt idx="171">
                  <c:v>2025/08/26</c:v>
                </c:pt>
                <c:pt idx="172">
                  <c:v>2025/08/27</c:v>
                </c:pt>
                <c:pt idx="173">
                  <c:v>2025/08/28</c:v>
                </c:pt>
                <c:pt idx="174">
                  <c:v>2025/08/29</c:v>
                </c:pt>
                <c:pt idx="175">
                  <c:v>2025/09/01</c:v>
                </c:pt>
                <c:pt idx="176">
                  <c:v>2025/09/02</c:v>
                </c:pt>
                <c:pt idx="177">
                  <c:v>2025/09/03</c:v>
                </c:pt>
                <c:pt idx="178">
                  <c:v>2025/09/04</c:v>
                </c:pt>
                <c:pt idx="179">
                  <c:v>2025/09/05</c:v>
                </c:pt>
                <c:pt idx="180">
                  <c:v>2025/09/08</c:v>
                </c:pt>
                <c:pt idx="181">
                  <c:v>2025/09/09</c:v>
                </c:pt>
                <c:pt idx="182">
                  <c:v>2025/09/10</c:v>
                </c:pt>
                <c:pt idx="183">
                  <c:v>2025/09/11</c:v>
                </c:pt>
                <c:pt idx="184">
                  <c:v>2025/09/12</c:v>
                </c:pt>
                <c:pt idx="185">
                  <c:v>2025/09/15</c:v>
                </c:pt>
                <c:pt idx="186">
                  <c:v>2025/09/16</c:v>
                </c:pt>
                <c:pt idx="187">
                  <c:v>2025/09/17</c:v>
                </c:pt>
                <c:pt idx="188">
                  <c:v>2025/09/18</c:v>
                </c:pt>
                <c:pt idx="189">
                  <c:v>2025/09/19</c:v>
                </c:pt>
                <c:pt idx="190">
                  <c:v>2025/09/22</c:v>
                </c:pt>
                <c:pt idx="191">
                  <c:v>2025/09/23</c:v>
                </c:pt>
                <c:pt idx="192">
                  <c:v>2025/09/24</c:v>
                </c:pt>
                <c:pt idx="193">
                  <c:v>2025/09/25</c:v>
                </c:pt>
                <c:pt idx="194">
                  <c:v>2025/09/26</c:v>
                </c:pt>
                <c:pt idx="195">
                  <c:v>2025/09/29</c:v>
                </c:pt>
                <c:pt idx="196">
                  <c:v>2025/09/30</c:v>
                </c:pt>
                <c:pt idx="197">
                  <c:v>2025/10/01</c:v>
                </c:pt>
                <c:pt idx="198">
                  <c:v>2025/10/02</c:v>
                </c:pt>
                <c:pt idx="199">
                  <c:v>2025/10/10</c:v>
                </c:pt>
                <c:pt idx="200">
                  <c:v>2025/10/13</c:v>
                </c:pt>
                <c:pt idx="201">
                  <c:v>2025/10/14</c:v>
                </c:pt>
                <c:pt idx="202">
                  <c:v>2025/10/15</c:v>
                </c:pt>
                <c:pt idx="203">
                  <c:v>2025/10/16</c:v>
                </c:pt>
                <c:pt idx="204">
                  <c:v>2025/10/17</c:v>
                </c:pt>
                <c:pt idx="205">
                  <c:v>2025/10/20</c:v>
                </c:pt>
                <c:pt idx="206">
                  <c:v>2025/10/21</c:v>
                </c:pt>
                <c:pt idx="207">
                  <c:v>2025/10/22</c:v>
                </c:pt>
                <c:pt idx="208">
                  <c:v>2025/10/23</c:v>
                </c:pt>
                <c:pt idx="209">
                  <c:v>2025/10/24</c:v>
                </c:pt>
                <c:pt idx="210">
                  <c:v>2025/10/27</c:v>
                </c:pt>
                <c:pt idx="211">
                  <c:v>2025/10/28</c:v>
                </c:pt>
                <c:pt idx="212">
                  <c:v>2025/10/29</c:v>
                </c:pt>
                <c:pt idx="213">
                  <c:v>2025/10/30</c:v>
                </c:pt>
                <c:pt idx="214">
                  <c:v>2025/10/31</c:v>
                </c:pt>
                <c:pt idx="215">
                  <c:v>2025/11/03</c:v>
                </c:pt>
                <c:pt idx="216">
                  <c:v>2025/11/04</c:v>
                </c:pt>
                <c:pt idx="217">
                  <c:v>2025/11/05</c:v>
                </c:pt>
                <c:pt idx="218">
                  <c:v>2025/11/06</c:v>
                </c:pt>
                <c:pt idx="219">
                  <c:v>2025/11/07</c:v>
                </c:pt>
                <c:pt idx="220">
                  <c:v>2025/11/10</c:v>
                </c:pt>
                <c:pt idx="221">
                  <c:v>2025/11/11</c:v>
                </c:pt>
                <c:pt idx="222">
                  <c:v>2025/11/12</c:v>
                </c:pt>
                <c:pt idx="223">
                  <c:v>2025/11/13</c:v>
                </c:pt>
                <c:pt idx="224">
                  <c:v>2025/11/14</c:v>
                </c:pt>
                <c:pt idx="225">
                  <c:v>2025/11/17</c:v>
                </c:pt>
                <c:pt idx="226">
                  <c:v>2025/11/18</c:v>
                </c:pt>
                <c:pt idx="227">
                  <c:v>2025/11/19</c:v>
                </c:pt>
                <c:pt idx="228">
                  <c:v>2025/11/20</c:v>
                </c:pt>
                <c:pt idx="229">
                  <c:v>2025/11/21</c:v>
                </c:pt>
                <c:pt idx="230">
                  <c:v>2025/11/24</c:v>
                </c:pt>
                <c:pt idx="231">
                  <c:v>2025/11/25</c:v>
                </c:pt>
                <c:pt idx="232">
                  <c:v>2025/11/26</c:v>
                </c:pt>
                <c:pt idx="233">
                  <c:v>2025/11/27</c:v>
                </c:pt>
                <c:pt idx="234">
                  <c:v>2025/11/28</c:v>
                </c:pt>
                <c:pt idx="235">
                  <c:v>2025/12/01</c:v>
                </c:pt>
                <c:pt idx="236">
                  <c:v>2025/12/02</c:v>
                </c:pt>
                <c:pt idx="237">
                  <c:v>2025/12/03</c:v>
                </c:pt>
                <c:pt idx="238">
                  <c:v>2025/12/04</c:v>
                </c:pt>
                <c:pt idx="239">
                  <c:v>2025/12/05</c:v>
                </c:pt>
                <c:pt idx="240">
                  <c:v>2025/12/08</c:v>
                </c:pt>
                <c:pt idx="241">
                  <c:v>2025/12/09</c:v>
                </c:pt>
                <c:pt idx="242">
                  <c:v>2025/12/10</c:v>
                </c:pt>
              </c:strCache>
            </c:strRef>
          </c:cat>
          <c:val>
            <c:numRef>
              <c:f>PRICE!$E$2:$E$244</c:f>
              <c:numCache>
                <c:formatCode>#,##0</c:formatCode>
                <c:ptCount val="243"/>
                <c:pt idx="0">
                  <c:v>100</c:v>
                </c:pt>
                <c:pt idx="1">
                  <c:v>100.82159624413146</c:v>
                </c:pt>
                <c:pt idx="2">
                  <c:v>103.34507042253522</c:v>
                </c:pt>
                <c:pt idx="3">
                  <c:v>102.99295774647888</c:v>
                </c:pt>
                <c:pt idx="4">
                  <c:v>105.22300469483568</c:v>
                </c:pt>
                <c:pt idx="5">
                  <c:v>107.98122065727701</c:v>
                </c:pt>
                <c:pt idx="6">
                  <c:v>107.68779342723006</c:v>
                </c:pt>
                <c:pt idx="7">
                  <c:v>102.69953051643193</c:v>
                </c:pt>
                <c:pt idx="8">
                  <c:v>98.8849765258216</c:v>
                </c:pt>
                <c:pt idx="9">
                  <c:v>99.530516431924895</c:v>
                </c:pt>
                <c:pt idx="10">
                  <c:v>98.884976525821614</c:v>
                </c:pt>
                <c:pt idx="11">
                  <c:v>99.823943661971853</c:v>
                </c:pt>
                <c:pt idx="12">
                  <c:v>102.406103286385</c:v>
                </c:pt>
                <c:pt idx="13">
                  <c:v>102.05399061032867</c:v>
                </c:pt>
                <c:pt idx="14">
                  <c:v>100.46948356807515</c:v>
                </c:pt>
                <c:pt idx="15">
                  <c:v>106.74882629107985</c:v>
                </c:pt>
                <c:pt idx="16">
                  <c:v>117.2535211267606</c:v>
                </c:pt>
                <c:pt idx="17">
                  <c:v>114.4366197183099</c:v>
                </c:pt>
                <c:pt idx="18">
                  <c:v>114.26056338028174</c:v>
                </c:pt>
                <c:pt idx="19">
                  <c:v>120.30516431924887</c:v>
                </c:pt>
                <c:pt idx="20">
                  <c:v>119.42488262910803</c:v>
                </c:pt>
                <c:pt idx="21">
                  <c:v>114.02582159624419</c:v>
                </c:pt>
                <c:pt idx="22">
                  <c:v>114.43661971830993</c:v>
                </c:pt>
                <c:pt idx="23">
                  <c:v>116.31455399061039</c:v>
                </c:pt>
                <c:pt idx="24">
                  <c:v>123.23943661971838</c:v>
                </c:pt>
                <c:pt idx="25">
                  <c:v>125.8802816901409</c:v>
                </c:pt>
                <c:pt idx="26">
                  <c:v>124.41314553990615</c:v>
                </c:pt>
                <c:pt idx="27">
                  <c:v>127.93427230046954</c:v>
                </c:pt>
                <c:pt idx="28">
                  <c:v>132.33568075117378</c:v>
                </c:pt>
                <c:pt idx="29">
                  <c:v>128.81455399061039</c:v>
                </c:pt>
                <c:pt idx="30">
                  <c:v>129.69483568075125</c:v>
                </c:pt>
                <c:pt idx="31">
                  <c:v>116.9014084507043</c:v>
                </c:pt>
                <c:pt idx="32">
                  <c:v>112.03051643192495</c:v>
                </c:pt>
                <c:pt idx="33">
                  <c:v>112.14788732394373</c:v>
                </c:pt>
                <c:pt idx="34">
                  <c:v>116.66666666666676</c:v>
                </c:pt>
                <c:pt idx="35">
                  <c:v>119.42488262910807</c:v>
                </c:pt>
                <c:pt idx="36">
                  <c:v>119.13145539906112</c:v>
                </c:pt>
                <c:pt idx="37">
                  <c:v>116.25586854460103</c:v>
                </c:pt>
                <c:pt idx="38">
                  <c:v>117.19483568075125</c:v>
                </c:pt>
                <c:pt idx="39">
                  <c:v>116.72535211267613</c:v>
                </c:pt>
                <c:pt idx="40">
                  <c:v>122.35915492957756</c:v>
                </c:pt>
                <c:pt idx="41">
                  <c:v>123.23943661971839</c:v>
                </c:pt>
                <c:pt idx="42">
                  <c:v>124.41314553990618</c:v>
                </c:pt>
                <c:pt idx="43">
                  <c:v>123.23943661971839</c:v>
                </c:pt>
                <c:pt idx="44">
                  <c:v>128.22769953051653</c:v>
                </c:pt>
                <c:pt idx="45">
                  <c:v>124.4131455399062</c:v>
                </c:pt>
                <c:pt idx="46">
                  <c:v>122.94600938967145</c:v>
                </c:pt>
                <c:pt idx="47">
                  <c:v>120.3051643192489</c:v>
                </c:pt>
                <c:pt idx="48">
                  <c:v>117.66431924882636</c:v>
                </c:pt>
                <c:pt idx="49">
                  <c:v>119.1314553990611</c:v>
                </c:pt>
                <c:pt idx="50">
                  <c:v>116.90140845070428</c:v>
                </c:pt>
                <c:pt idx="51">
                  <c:v>111.61971830985921</c:v>
                </c:pt>
                <c:pt idx="52">
                  <c:v>109.21361502347423</c:v>
                </c:pt>
                <c:pt idx="53">
                  <c:v>113.32159624413151</c:v>
                </c:pt>
                <c:pt idx="54">
                  <c:v>112.91079812206578</c:v>
                </c:pt>
                <c:pt idx="55">
                  <c:v>112.91079812206578</c:v>
                </c:pt>
                <c:pt idx="56">
                  <c:v>110.26995305164324</c:v>
                </c:pt>
                <c:pt idx="57">
                  <c:v>110.21126760563385</c:v>
                </c:pt>
                <c:pt idx="58">
                  <c:v>116.72535211267611</c:v>
                </c:pt>
                <c:pt idx="59">
                  <c:v>117.19483568075123</c:v>
                </c:pt>
                <c:pt idx="60">
                  <c:v>120.01173708920194</c:v>
                </c:pt>
                <c:pt idx="61">
                  <c:v>120.89201877934279</c:v>
                </c:pt>
                <c:pt idx="62">
                  <c:v>119.1314553990611</c:v>
                </c:pt>
                <c:pt idx="63">
                  <c:v>120.59859154929585</c:v>
                </c:pt>
                <c:pt idx="64">
                  <c:v>123.23943661971839</c:v>
                </c:pt>
                <c:pt idx="65">
                  <c:v>126.46713615023481</c:v>
                </c:pt>
                <c:pt idx="66">
                  <c:v>124.11971830985922</c:v>
                </c:pt>
                <c:pt idx="67">
                  <c:v>122.06572769953058</c:v>
                </c:pt>
                <c:pt idx="68">
                  <c:v>125.58685446009396</c:v>
                </c:pt>
                <c:pt idx="69">
                  <c:v>121.47887323943669</c:v>
                </c:pt>
                <c:pt idx="70">
                  <c:v>116.96009389671369</c:v>
                </c:pt>
                <c:pt idx="71">
                  <c:v>111.91314553990617</c:v>
                </c:pt>
                <c:pt idx="72">
                  <c:v>115.61032863849771</c:v>
                </c:pt>
                <c:pt idx="73">
                  <c:v>116.13849765258222</c:v>
                </c:pt>
                <c:pt idx="74">
                  <c:v>114.20187793427235</c:v>
                </c:pt>
                <c:pt idx="75">
                  <c:v>106.92488262910803</c:v>
                </c:pt>
                <c:pt idx="76">
                  <c:v>96.713615023474219</c:v>
                </c:pt>
                <c:pt idx="77">
                  <c:v>99.471830985915531</c:v>
                </c:pt>
                <c:pt idx="78">
                  <c:v>96.830985915492988</c:v>
                </c:pt>
                <c:pt idx="79">
                  <c:v>107.51173708920192</c:v>
                </c:pt>
                <c:pt idx="80">
                  <c:v>106.10328638497656</c:v>
                </c:pt>
                <c:pt idx="81">
                  <c:v>105.75117370892022</c:v>
                </c:pt>
                <c:pt idx="82">
                  <c:v>105.98591549295779</c:v>
                </c:pt>
                <c:pt idx="83">
                  <c:v>102.11267605633806</c:v>
                </c:pt>
                <c:pt idx="84">
                  <c:v>102.69953051643196</c:v>
                </c:pt>
                <c:pt idx="85">
                  <c:v>102.69953051643196</c:v>
                </c:pt>
                <c:pt idx="86">
                  <c:v>103.6384976525822</c:v>
                </c:pt>
                <c:pt idx="87">
                  <c:v>101.99530516431929</c:v>
                </c:pt>
                <c:pt idx="88">
                  <c:v>106.22065727699535</c:v>
                </c:pt>
                <c:pt idx="89">
                  <c:v>104.63615023474183</c:v>
                </c:pt>
                <c:pt idx="90">
                  <c:v>108.21596244131462</c:v>
                </c:pt>
                <c:pt idx="91">
                  <c:v>106.80751173708927</c:v>
                </c:pt>
                <c:pt idx="92">
                  <c:v>106.1032863849766</c:v>
                </c:pt>
                <c:pt idx="93">
                  <c:v>104.16666666666673</c:v>
                </c:pt>
                <c:pt idx="94">
                  <c:v>109.15492957746484</c:v>
                </c:pt>
                <c:pt idx="95">
                  <c:v>111.97183098591556</c:v>
                </c:pt>
                <c:pt idx="96">
                  <c:v>111.67840375586862</c:v>
                </c:pt>
                <c:pt idx="97">
                  <c:v>111.56103286384985</c:v>
                </c:pt>
                <c:pt idx="98">
                  <c:v>114.43661971830994</c:v>
                </c:pt>
                <c:pt idx="99">
                  <c:v>116.49061032863857</c:v>
                </c:pt>
                <c:pt idx="100">
                  <c:v>120.89201877934281</c:v>
                </c:pt>
                <c:pt idx="101">
                  <c:v>117.66431924882637</c:v>
                </c:pt>
                <c:pt idx="102">
                  <c:v>120.01173708920197</c:v>
                </c:pt>
                <c:pt idx="103">
                  <c:v>117.01877934272311</c:v>
                </c:pt>
                <c:pt idx="104">
                  <c:v>118.54460093896724</c:v>
                </c:pt>
                <c:pt idx="105">
                  <c:v>117.66431924882639</c:v>
                </c:pt>
                <c:pt idx="106">
                  <c:v>115.55164319248836</c:v>
                </c:pt>
                <c:pt idx="107">
                  <c:v>117.37089201877943</c:v>
                </c:pt>
                <c:pt idx="108">
                  <c:v>119.13145539906111</c:v>
                </c:pt>
                <c:pt idx="109">
                  <c:v>118.83802816901415</c:v>
                </c:pt>
                <c:pt idx="110">
                  <c:v>122.0657276995306</c:v>
                </c:pt>
                <c:pt idx="111">
                  <c:v>124.41314553990618</c:v>
                </c:pt>
                <c:pt idx="112">
                  <c:v>120.01173708920196</c:v>
                </c:pt>
                <c:pt idx="113">
                  <c:v>121.77230046948364</c:v>
                </c:pt>
                <c:pt idx="114">
                  <c:v>127.6408450704226</c:v>
                </c:pt>
                <c:pt idx="115">
                  <c:v>131.74882629107987</c:v>
                </c:pt>
                <c:pt idx="116">
                  <c:v>134.38967136150242</c:v>
                </c:pt>
                <c:pt idx="117">
                  <c:v>135.26995305164328</c:v>
                </c:pt>
                <c:pt idx="118">
                  <c:v>140.84507042253529</c:v>
                </c:pt>
                <c:pt idx="119">
                  <c:v>138.20422535211276</c:v>
                </c:pt>
                <c:pt idx="120">
                  <c:v>138.20422535211276</c:v>
                </c:pt>
                <c:pt idx="121">
                  <c:v>145.53990610328646</c:v>
                </c:pt>
                <c:pt idx="122">
                  <c:v>146.12676056338037</c:v>
                </c:pt>
                <c:pt idx="123">
                  <c:v>144.65962441314562</c:v>
                </c:pt>
                <c:pt idx="124">
                  <c:v>144.36619718309868</c:v>
                </c:pt>
                <c:pt idx="125">
                  <c:v>150.82159624413154</c:v>
                </c:pt>
                <c:pt idx="126">
                  <c:v>152.28873239436629</c:v>
                </c:pt>
                <c:pt idx="127">
                  <c:v>163.43896713615032</c:v>
                </c:pt>
                <c:pt idx="128">
                  <c:v>167.84037558685455</c:v>
                </c:pt>
                <c:pt idx="129">
                  <c:v>171.9483568075118</c:v>
                </c:pt>
                <c:pt idx="130">
                  <c:v>166.66666666666671</c:v>
                </c:pt>
                <c:pt idx="131">
                  <c:v>171.36150234741788</c:v>
                </c:pt>
                <c:pt idx="132">
                  <c:v>167.54694835680755</c:v>
                </c:pt>
                <c:pt idx="133">
                  <c:v>163.73239436619721</c:v>
                </c:pt>
                <c:pt idx="134">
                  <c:v>163.43896713615027</c:v>
                </c:pt>
                <c:pt idx="135">
                  <c:v>158.7441314553991</c:v>
                </c:pt>
                <c:pt idx="136">
                  <c:v>159.03755868544604</c:v>
                </c:pt>
                <c:pt idx="137">
                  <c:v>165.49295774647888</c:v>
                </c:pt>
                <c:pt idx="138">
                  <c:v>164.90610328638499</c:v>
                </c:pt>
                <c:pt idx="139">
                  <c:v>174.29577464788736</c:v>
                </c:pt>
                <c:pt idx="140">
                  <c:v>172.82863849765261</c:v>
                </c:pt>
                <c:pt idx="141">
                  <c:v>176.05633802816905</c:v>
                </c:pt>
                <c:pt idx="142">
                  <c:v>175.17605633802822</c:v>
                </c:pt>
                <c:pt idx="143">
                  <c:v>173.70892018779347</c:v>
                </c:pt>
                <c:pt idx="144">
                  <c:v>158.15727699530521</c:v>
                </c:pt>
                <c:pt idx="145">
                  <c:v>157.86384976525827</c:v>
                </c:pt>
                <c:pt idx="146">
                  <c:v>159.91784037558693</c:v>
                </c:pt>
                <c:pt idx="147">
                  <c:v>157.57042253521135</c:v>
                </c:pt>
                <c:pt idx="148">
                  <c:v>157.86384976525829</c:v>
                </c:pt>
                <c:pt idx="149">
                  <c:v>158.15727699530524</c:v>
                </c:pt>
                <c:pt idx="150">
                  <c:v>156.1032863849766</c:v>
                </c:pt>
                <c:pt idx="151">
                  <c:v>153.75586854460101</c:v>
                </c:pt>
                <c:pt idx="152">
                  <c:v>154.04929577464799</c:v>
                </c:pt>
                <c:pt idx="153">
                  <c:v>154.63615023474188</c:v>
                </c:pt>
                <c:pt idx="154">
                  <c:v>160.50469483568082</c:v>
                </c:pt>
                <c:pt idx="155">
                  <c:v>151.40845070422543</c:v>
                </c:pt>
                <c:pt idx="156">
                  <c:v>151.40845070422543</c:v>
                </c:pt>
                <c:pt idx="157">
                  <c:v>154.63615023474188</c:v>
                </c:pt>
                <c:pt idx="158">
                  <c:v>151.7018779342724</c:v>
                </c:pt>
                <c:pt idx="159">
                  <c:v>153.75586854460104</c:v>
                </c:pt>
                <c:pt idx="160">
                  <c:v>150.52816901408463</c:v>
                </c:pt>
                <c:pt idx="161">
                  <c:v>156.69014084507054</c:v>
                </c:pt>
                <c:pt idx="162">
                  <c:v>157.86384976525835</c:v>
                </c:pt>
                <c:pt idx="163">
                  <c:v>163.14553990610344</c:v>
                </c:pt>
                <c:pt idx="164">
                  <c:v>162.2652582159626</c:v>
                </c:pt>
                <c:pt idx="165">
                  <c:v>156.98356807511755</c:v>
                </c:pt>
                <c:pt idx="166">
                  <c:v>154.34272300469502</c:v>
                </c:pt>
                <c:pt idx="167">
                  <c:v>149.94131455399079</c:v>
                </c:pt>
                <c:pt idx="168">
                  <c:v>143.77934272300487</c:v>
                </c:pt>
                <c:pt idx="169">
                  <c:v>147.30046948356826</c:v>
                </c:pt>
                <c:pt idx="170">
                  <c:v>152.28873239436638</c:v>
                </c:pt>
                <c:pt idx="171">
                  <c:v>153.46244131455418</c:v>
                </c:pt>
                <c:pt idx="172">
                  <c:v>152.58215962441335</c:v>
                </c:pt>
                <c:pt idx="173">
                  <c:v>157.57042253521149</c:v>
                </c:pt>
                <c:pt idx="174">
                  <c:v>157.86384976525844</c:v>
                </c:pt>
                <c:pt idx="175">
                  <c:v>150.23474178403777</c:v>
                </c:pt>
                <c:pt idx="176">
                  <c:v>152.87558685446029</c:v>
                </c:pt>
                <c:pt idx="177">
                  <c:v>154.0492957746481</c:v>
                </c:pt>
                <c:pt idx="178">
                  <c:v>155.80985915492977</c:v>
                </c:pt>
                <c:pt idx="179">
                  <c:v>160.50469483568097</c:v>
                </c:pt>
                <c:pt idx="180">
                  <c:v>162.55868544600958</c:v>
                </c:pt>
                <c:pt idx="181">
                  <c:v>169.01408450704244</c:v>
                </c:pt>
                <c:pt idx="182">
                  <c:v>178.40375586854481</c:v>
                </c:pt>
                <c:pt idx="183">
                  <c:v>180.1643192488265</c:v>
                </c:pt>
                <c:pt idx="184">
                  <c:v>192.78169014084531</c:v>
                </c:pt>
                <c:pt idx="185">
                  <c:v>194.24882629108006</c:v>
                </c:pt>
                <c:pt idx="186">
                  <c:v>204.22535211267629</c:v>
                </c:pt>
                <c:pt idx="187">
                  <c:v>195.71596244131479</c:v>
                </c:pt>
                <c:pt idx="188">
                  <c:v>207.15962441314579</c:v>
                </c:pt>
                <c:pt idx="189">
                  <c:v>207.15962441314579</c:v>
                </c:pt>
                <c:pt idx="190">
                  <c:v>205.98591549295799</c:v>
                </c:pt>
                <c:pt idx="191">
                  <c:v>211.85446009389696</c:v>
                </c:pt>
                <c:pt idx="192">
                  <c:v>209.80046948356832</c:v>
                </c:pt>
                <c:pt idx="193">
                  <c:v>209.21361502347443</c:v>
                </c:pt>
                <c:pt idx="194">
                  <c:v>197.47652582159648</c:v>
                </c:pt>
                <c:pt idx="195">
                  <c:v>204.81220657277021</c:v>
                </c:pt>
                <c:pt idx="196">
                  <c:v>203.93192488262937</c:v>
                </c:pt>
                <c:pt idx="197">
                  <c:v>211.2676056338031</c:v>
                </c:pt>
                <c:pt idx="198">
                  <c:v>232.10093896713647</c:v>
                </c:pt>
                <c:pt idx="199">
                  <c:v>251.17370892018815</c:v>
                </c:pt>
                <c:pt idx="200">
                  <c:v>243.54460093896748</c:v>
                </c:pt>
                <c:pt idx="201">
                  <c:v>241.49061032863884</c:v>
                </c:pt>
                <c:pt idx="202">
                  <c:v>247.94600938967173</c:v>
                </c:pt>
                <c:pt idx="203">
                  <c:v>265.55164319248865</c:v>
                </c:pt>
                <c:pt idx="204">
                  <c:v>273.18075117370933</c:v>
                </c:pt>
                <c:pt idx="205">
                  <c:v>284.91784037558728</c:v>
                </c:pt>
                <c:pt idx="206">
                  <c:v>281.10328638497697</c:v>
                </c:pt>
                <c:pt idx="207">
                  <c:v>282.57042253521172</c:v>
                </c:pt>
                <c:pt idx="208">
                  <c:v>280.80985915493005</c:v>
                </c:pt>
                <c:pt idx="209">
                  <c:v>299.29577464788781</c:v>
                </c:pt>
                <c:pt idx="210">
                  <c:v>313.96713615023526</c:v>
                </c:pt>
                <c:pt idx="211">
                  <c:v>305.7511737089207</c:v>
                </c:pt>
                <c:pt idx="212">
                  <c:v>327.46478873239494</c:v>
                </c:pt>
                <c:pt idx="213">
                  <c:v>333.33333333333394</c:v>
                </c:pt>
                <c:pt idx="214">
                  <c:v>328.05164319248883</c:v>
                </c:pt>
                <c:pt idx="215">
                  <c:v>363.84976525821656</c:v>
                </c:pt>
                <c:pt idx="216">
                  <c:v>343.89671361502405</c:v>
                </c:pt>
                <c:pt idx="217">
                  <c:v>339.78873239436678</c:v>
                </c:pt>
                <c:pt idx="218">
                  <c:v>348.00469483568133</c:v>
                </c:pt>
                <c:pt idx="219">
                  <c:v>340.37558685446066</c:v>
                </c:pt>
                <c:pt idx="220">
                  <c:v>355.633802816902</c:v>
                </c:pt>
                <c:pt idx="221">
                  <c:v>363.26291079812273</c:v>
                </c:pt>
                <c:pt idx="222">
                  <c:v>362.08920187793495</c:v>
                </c:pt>
                <c:pt idx="223">
                  <c:v>359.15492957746545</c:v>
                </c:pt>
                <c:pt idx="224">
                  <c:v>328.63849765258277</c:v>
                </c:pt>
                <c:pt idx="225">
                  <c:v>355.63380281690206</c:v>
                </c:pt>
                <c:pt idx="226">
                  <c:v>334.50704225352172</c:v>
                </c:pt>
                <c:pt idx="227">
                  <c:v>329.81220657277055</c:v>
                </c:pt>
                <c:pt idx="228">
                  <c:v>335.09389671361561</c:v>
                </c:pt>
                <c:pt idx="229">
                  <c:v>305.75117370892076</c:v>
                </c:pt>
                <c:pt idx="230">
                  <c:v>305.16431924882687</c:v>
                </c:pt>
                <c:pt idx="231">
                  <c:v>304.57746478873298</c:v>
                </c:pt>
                <c:pt idx="232">
                  <c:v>307.51173708920248</c:v>
                </c:pt>
                <c:pt idx="233">
                  <c:v>319.24882629108043</c:v>
                </c:pt>
                <c:pt idx="234">
                  <c:v>311.03286384976587</c:v>
                </c:pt>
                <c:pt idx="235">
                  <c:v>315.72769953051704</c:v>
                </c:pt>
                <c:pt idx="236">
                  <c:v>327.46478873239499</c:v>
                </c:pt>
                <c:pt idx="237">
                  <c:v>323.9436619718316</c:v>
                </c:pt>
                <c:pt idx="238">
                  <c:v>318.07511737089266</c:v>
                </c:pt>
                <c:pt idx="239">
                  <c:v>319.24882629108043</c:v>
                </c:pt>
                <c:pt idx="240">
                  <c:v>338.61502347417905</c:v>
                </c:pt>
                <c:pt idx="241">
                  <c:v>332.15962441314622</c:v>
                </c:pt>
                <c:pt idx="242">
                  <c:v>344.48356807511811</c:v>
                </c:pt>
              </c:numCache>
            </c:numRef>
          </c:val>
          <c:smooth val="0"/>
          <c:extLst>
            <c:ext xmlns:c16="http://schemas.microsoft.com/office/drawing/2014/chart" uri="{C3380CC4-5D6E-409C-BE32-E72D297353CC}">
              <c16:uniqueId val="{00000001-96D9-4760-9C6A-289E9018F071}"/>
            </c:ext>
          </c:extLst>
        </c:ser>
        <c:dLbls>
          <c:showLegendKey val="0"/>
          <c:showVal val="0"/>
          <c:showCatName val="0"/>
          <c:showSerName val="0"/>
          <c:showPercent val="0"/>
          <c:showBubbleSize val="0"/>
        </c:dLbls>
        <c:smooth val="0"/>
        <c:axId val="1696565759"/>
        <c:axId val="1696571999"/>
      </c:lineChart>
      <c:catAx>
        <c:axId val="1696565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696571999"/>
        <c:crosses val="autoZero"/>
        <c:auto val="1"/>
        <c:lblAlgn val="ctr"/>
        <c:lblOffset val="100"/>
        <c:noMultiLvlLbl val="0"/>
      </c:catAx>
      <c:valAx>
        <c:axId val="16965719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6965657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PRICE!$F$1</c:f>
              <c:strCache>
                <c:ptCount val="1"/>
                <c:pt idx="0">
                  <c:v>월덱스</c:v>
                </c:pt>
              </c:strCache>
            </c:strRef>
          </c:tx>
          <c:spPr>
            <a:ln w="28575" cap="rnd">
              <a:solidFill>
                <a:schemeClr val="accent1"/>
              </a:solidFill>
              <a:round/>
            </a:ln>
            <a:effectLst/>
          </c:spPr>
          <c:marker>
            <c:symbol val="none"/>
          </c:marker>
          <c:cat>
            <c:strRef>
              <c:f>PRICE!$A$2:$A$244</c:f>
              <c:strCache>
                <c:ptCount val="243"/>
                <c:pt idx="0">
                  <c:v>2024/12/10</c:v>
                </c:pt>
                <c:pt idx="1">
                  <c:v>2024/12/11</c:v>
                </c:pt>
                <c:pt idx="2">
                  <c:v>2024/12/12</c:v>
                </c:pt>
                <c:pt idx="3">
                  <c:v>2024/12/13</c:v>
                </c:pt>
                <c:pt idx="4">
                  <c:v>2024/12/16</c:v>
                </c:pt>
                <c:pt idx="5">
                  <c:v>2024/12/17</c:v>
                </c:pt>
                <c:pt idx="6">
                  <c:v>2024/12/18</c:v>
                </c:pt>
                <c:pt idx="7">
                  <c:v>2024/12/19</c:v>
                </c:pt>
                <c:pt idx="8">
                  <c:v>2024/12/20</c:v>
                </c:pt>
                <c:pt idx="9">
                  <c:v>2024/12/23</c:v>
                </c:pt>
                <c:pt idx="10">
                  <c:v>2024/12/24</c:v>
                </c:pt>
                <c:pt idx="11">
                  <c:v>2024/12/26</c:v>
                </c:pt>
                <c:pt idx="12">
                  <c:v>2024/12/27</c:v>
                </c:pt>
                <c:pt idx="13">
                  <c:v>2024/12/30</c:v>
                </c:pt>
                <c:pt idx="14">
                  <c:v>2025/01/02</c:v>
                </c:pt>
                <c:pt idx="15">
                  <c:v>2025/01/03</c:v>
                </c:pt>
                <c:pt idx="16">
                  <c:v>2025/01/06</c:v>
                </c:pt>
                <c:pt idx="17">
                  <c:v>2025/01/07</c:v>
                </c:pt>
                <c:pt idx="18">
                  <c:v>2025/01/08</c:v>
                </c:pt>
                <c:pt idx="19">
                  <c:v>2025/01/09</c:v>
                </c:pt>
                <c:pt idx="20">
                  <c:v>2025/01/10</c:v>
                </c:pt>
                <c:pt idx="21">
                  <c:v>2025/01/13</c:v>
                </c:pt>
                <c:pt idx="22">
                  <c:v>2025/01/14</c:v>
                </c:pt>
                <c:pt idx="23">
                  <c:v>2025/01/15</c:v>
                </c:pt>
                <c:pt idx="24">
                  <c:v>2025/01/16</c:v>
                </c:pt>
                <c:pt idx="25">
                  <c:v>2025/01/17</c:v>
                </c:pt>
                <c:pt idx="26">
                  <c:v>2025/01/20</c:v>
                </c:pt>
                <c:pt idx="27">
                  <c:v>2025/01/21</c:v>
                </c:pt>
                <c:pt idx="28">
                  <c:v>2025/01/22</c:v>
                </c:pt>
                <c:pt idx="29">
                  <c:v>2025/01/23</c:v>
                </c:pt>
                <c:pt idx="30">
                  <c:v>2025/01/24</c:v>
                </c:pt>
                <c:pt idx="31">
                  <c:v>2025/01/31</c:v>
                </c:pt>
                <c:pt idx="32">
                  <c:v>2025/02/03</c:v>
                </c:pt>
                <c:pt idx="33">
                  <c:v>2025/02/04</c:v>
                </c:pt>
                <c:pt idx="34">
                  <c:v>2025/02/05</c:v>
                </c:pt>
                <c:pt idx="35">
                  <c:v>2025/02/06</c:v>
                </c:pt>
                <c:pt idx="36">
                  <c:v>2025/02/07</c:v>
                </c:pt>
                <c:pt idx="37">
                  <c:v>2025/02/10</c:v>
                </c:pt>
                <c:pt idx="38">
                  <c:v>2025/02/11</c:v>
                </c:pt>
                <c:pt idx="39">
                  <c:v>2025/02/12</c:v>
                </c:pt>
                <c:pt idx="40">
                  <c:v>2025/02/13</c:v>
                </c:pt>
                <c:pt idx="41">
                  <c:v>2025/02/14</c:v>
                </c:pt>
                <c:pt idx="42">
                  <c:v>2025/02/17</c:v>
                </c:pt>
                <c:pt idx="43">
                  <c:v>2025/02/18</c:v>
                </c:pt>
                <c:pt idx="44">
                  <c:v>2025/02/19</c:v>
                </c:pt>
                <c:pt idx="45">
                  <c:v>2025/02/20</c:v>
                </c:pt>
                <c:pt idx="46">
                  <c:v>2025/02/21</c:v>
                </c:pt>
                <c:pt idx="47">
                  <c:v>2025/02/24</c:v>
                </c:pt>
                <c:pt idx="48">
                  <c:v>2025/02/25</c:v>
                </c:pt>
                <c:pt idx="49">
                  <c:v>2025/02/26</c:v>
                </c:pt>
                <c:pt idx="50">
                  <c:v>2025/02/27</c:v>
                </c:pt>
                <c:pt idx="51">
                  <c:v>2025/02/28</c:v>
                </c:pt>
                <c:pt idx="52">
                  <c:v>2025/03/04</c:v>
                </c:pt>
                <c:pt idx="53">
                  <c:v>2025/03/05</c:v>
                </c:pt>
                <c:pt idx="54">
                  <c:v>2025/03/06</c:v>
                </c:pt>
                <c:pt idx="55">
                  <c:v>2025/03/07</c:v>
                </c:pt>
                <c:pt idx="56">
                  <c:v>2025/03/10</c:v>
                </c:pt>
                <c:pt idx="57">
                  <c:v>2025/03/11</c:v>
                </c:pt>
                <c:pt idx="58">
                  <c:v>2025/03/12</c:v>
                </c:pt>
                <c:pt idx="59">
                  <c:v>2025/03/13</c:v>
                </c:pt>
                <c:pt idx="60">
                  <c:v>2025/03/14</c:v>
                </c:pt>
                <c:pt idx="61">
                  <c:v>2025/03/17</c:v>
                </c:pt>
                <c:pt idx="62">
                  <c:v>2025/03/18</c:v>
                </c:pt>
                <c:pt idx="63">
                  <c:v>2025/03/19</c:v>
                </c:pt>
                <c:pt idx="64">
                  <c:v>2025/03/20</c:v>
                </c:pt>
                <c:pt idx="65">
                  <c:v>2025/03/21</c:v>
                </c:pt>
                <c:pt idx="66">
                  <c:v>2025/03/24</c:v>
                </c:pt>
                <c:pt idx="67">
                  <c:v>2025/03/25</c:v>
                </c:pt>
                <c:pt idx="68">
                  <c:v>2025/03/26</c:v>
                </c:pt>
                <c:pt idx="69">
                  <c:v>2025/03/27</c:v>
                </c:pt>
                <c:pt idx="70">
                  <c:v>2025/03/28</c:v>
                </c:pt>
                <c:pt idx="71">
                  <c:v>2025/03/31</c:v>
                </c:pt>
                <c:pt idx="72">
                  <c:v>2025/04/01</c:v>
                </c:pt>
                <c:pt idx="73">
                  <c:v>2025/04/02</c:v>
                </c:pt>
                <c:pt idx="74">
                  <c:v>2025/04/03</c:v>
                </c:pt>
                <c:pt idx="75">
                  <c:v>2025/04/04</c:v>
                </c:pt>
                <c:pt idx="76">
                  <c:v>2025/04/07</c:v>
                </c:pt>
                <c:pt idx="77">
                  <c:v>2025/04/08</c:v>
                </c:pt>
                <c:pt idx="78">
                  <c:v>2025/04/09</c:v>
                </c:pt>
                <c:pt idx="79">
                  <c:v>2025/04/10</c:v>
                </c:pt>
                <c:pt idx="80">
                  <c:v>2025/04/11</c:v>
                </c:pt>
                <c:pt idx="81">
                  <c:v>2025/04/14</c:v>
                </c:pt>
                <c:pt idx="82">
                  <c:v>2025/04/15</c:v>
                </c:pt>
                <c:pt idx="83">
                  <c:v>2025/04/16</c:v>
                </c:pt>
                <c:pt idx="84">
                  <c:v>2025/04/17</c:v>
                </c:pt>
                <c:pt idx="85">
                  <c:v>2025/04/18</c:v>
                </c:pt>
                <c:pt idx="86">
                  <c:v>2025/04/21</c:v>
                </c:pt>
                <c:pt idx="87">
                  <c:v>2025/04/22</c:v>
                </c:pt>
                <c:pt idx="88">
                  <c:v>2025/04/23</c:v>
                </c:pt>
                <c:pt idx="89">
                  <c:v>2025/04/24</c:v>
                </c:pt>
                <c:pt idx="90">
                  <c:v>2025/04/25</c:v>
                </c:pt>
                <c:pt idx="91">
                  <c:v>2025/04/28</c:v>
                </c:pt>
                <c:pt idx="92">
                  <c:v>2025/04/29</c:v>
                </c:pt>
                <c:pt idx="93">
                  <c:v>2025/04/30</c:v>
                </c:pt>
                <c:pt idx="94">
                  <c:v>2025/05/02</c:v>
                </c:pt>
                <c:pt idx="95">
                  <c:v>2025/05/07</c:v>
                </c:pt>
                <c:pt idx="96">
                  <c:v>2025/05/08</c:v>
                </c:pt>
                <c:pt idx="97">
                  <c:v>2025/05/09</c:v>
                </c:pt>
                <c:pt idx="98">
                  <c:v>2025/05/12</c:v>
                </c:pt>
                <c:pt idx="99">
                  <c:v>2025/05/13</c:v>
                </c:pt>
                <c:pt idx="100">
                  <c:v>2025/05/14</c:v>
                </c:pt>
                <c:pt idx="101">
                  <c:v>2025/05/15</c:v>
                </c:pt>
                <c:pt idx="102">
                  <c:v>2025/05/16</c:v>
                </c:pt>
                <c:pt idx="103">
                  <c:v>2025/05/19</c:v>
                </c:pt>
                <c:pt idx="104">
                  <c:v>2025/05/20</c:v>
                </c:pt>
                <c:pt idx="105">
                  <c:v>2025/05/21</c:v>
                </c:pt>
                <c:pt idx="106">
                  <c:v>2025/05/22</c:v>
                </c:pt>
                <c:pt idx="107">
                  <c:v>2025/05/23</c:v>
                </c:pt>
                <c:pt idx="108">
                  <c:v>2025/05/26</c:v>
                </c:pt>
                <c:pt idx="109">
                  <c:v>2025/05/27</c:v>
                </c:pt>
                <c:pt idx="110">
                  <c:v>2025/05/28</c:v>
                </c:pt>
                <c:pt idx="111">
                  <c:v>2025/05/29</c:v>
                </c:pt>
                <c:pt idx="112">
                  <c:v>2025/05/30</c:v>
                </c:pt>
                <c:pt idx="113">
                  <c:v>2025/06/02</c:v>
                </c:pt>
                <c:pt idx="114">
                  <c:v>2025/06/04</c:v>
                </c:pt>
                <c:pt idx="115">
                  <c:v>2025/06/05</c:v>
                </c:pt>
                <c:pt idx="116">
                  <c:v>2025/06/09</c:v>
                </c:pt>
                <c:pt idx="117">
                  <c:v>2025/06/10</c:v>
                </c:pt>
                <c:pt idx="118">
                  <c:v>2025/06/11</c:v>
                </c:pt>
                <c:pt idx="119">
                  <c:v>2025/06/12</c:v>
                </c:pt>
                <c:pt idx="120">
                  <c:v>2025/06/13</c:v>
                </c:pt>
                <c:pt idx="121">
                  <c:v>2025/06/16</c:v>
                </c:pt>
                <c:pt idx="122">
                  <c:v>2025/06/17</c:v>
                </c:pt>
                <c:pt idx="123">
                  <c:v>2025/06/18</c:v>
                </c:pt>
                <c:pt idx="124">
                  <c:v>2025/06/19</c:v>
                </c:pt>
                <c:pt idx="125">
                  <c:v>2025/06/20</c:v>
                </c:pt>
                <c:pt idx="126">
                  <c:v>2025/06/23</c:v>
                </c:pt>
                <c:pt idx="127">
                  <c:v>2025/06/24</c:v>
                </c:pt>
                <c:pt idx="128">
                  <c:v>2025/06/25</c:v>
                </c:pt>
                <c:pt idx="129">
                  <c:v>2025/06/26</c:v>
                </c:pt>
                <c:pt idx="130">
                  <c:v>2025/06/27</c:v>
                </c:pt>
                <c:pt idx="131">
                  <c:v>2025/06/30</c:v>
                </c:pt>
                <c:pt idx="132">
                  <c:v>2025/07/01</c:v>
                </c:pt>
                <c:pt idx="133">
                  <c:v>2025/07/02</c:v>
                </c:pt>
                <c:pt idx="134">
                  <c:v>2025/07/03</c:v>
                </c:pt>
                <c:pt idx="135">
                  <c:v>2025/07/04</c:v>
                </c:pt>
                <c:pt idx="136">
                  <c:v>2025/07/07</c:v>
                </c:pt>
                <c:pt idx="137">
                  <c:v>2025/07/08</c:v>
                </c:pt>
                <c:pt idx="138">
                  <c:v>2025/07/09</c:v>
                </c:pt>
                <c:pt idx="139">
                  <c:v>2025/07/10</c:v>
                </c:pt>
                <c:pt idx="140">
                  <c:v>2025/07/11</c:v>
                </c:pt>
                <c:pt idx="141">
                  <c:v>2025/07/14</c:v>
                </c:pt>
                <c:pt idx="142">
                  <c:v>2025/07/15</c:v>
                </c:pt>
                <c:pt idx="143">
                  <c:v>2025/07/16</c:v>
                </c:pt>
                <c:pt idx="144">
                  <c:v>2025/07/17</c:v>
                </c:pt>
                <c:pt idx="145">
                  <c:v>2025/07/18</c:v>
                </c:pt>
                <c:pt idx="146">
                  <c:v>2025/07/21</c:v>
                </c:pt>
                <c:pt idx="147">
                  <c:v>2025/07/22</c:v>
                </c:pt>
                <c:pt idx="148">
                  <c:v>2025/07/23</c:v>
                </c:pt>
                <c:pt idx="149">
                  <c:v>2025/07/24</c:v>
                </c:pt>
                <c:pt idx="150">
                  <c:v>2025/07/25</c:v>
                </c:pt>
                <c:pt idx="151">
                  <c:v>2025/07/28</c:v>
                </c:pt>
                <c:pt idx="152">
                  <c:v>2025/07/29</c:v>
                </c:pt>
                <c:pt idx="153">
                  <c:v>2025/07/30</c:v>
                </c:pt>
                <c:pt idx="154">
                  <c:v>2025/07/31</c:v>
                </c:pt>
                <c:pt idx="155">
                  <c:v>2025/08/01</c:v>
                </c:pt>
                <c:pt idx="156">
                  <c:v>2025/08/04</c:v>
                </c:pt>
                <c:pt idx="157">
                  <c:v>2025/08/05</c:v>
                </c:pt>
                <c:pt idx="158">
                  <c:v>2025/08/06</c:v>
                </c:pt>
                <c:pt idx="159">
                  <c:v>2025/08/07</c:v>
                </c:pt>
                <c:pt idx="160">
                  <c:v>2025/08/08</c:v>
                </c:pt>
                <c:pt idx="161">
                  <c:v>2025/08/11</c:v>
                </c:pt>
                <c:pt idx="162">
                  <c:v>2025/08/12</c:v>
                </c:pt>
                <c:pt idx="163">
                  <c:v>2025/08/13</c:v>
                </c:pt>
                <c:pt idx="164">
                  <c:v>2025/08/14</c:v>
                </c:pt>
                <c:pt idx="165">
                  <c:v>2025/08/18</c:v>
                </c:pt>
                <c:pt idx="166">
                  <c:v>2025/08/19</c:v>
                </c:pt>
                <c:pt idx="167">
                  <c:v>2025/08/20</c:v>
                </c:pt>
                <c:pt idx="168">
                  <c:v>2025/08/21</c:v>
                </c:pt>
                <c:pt idx="169">
                  <c:v>2025/08/22</c:v>
                </c:pt>
                <c:pt idx="170">
                  <c:v>2025/08/25</c:v>
                </c:pt>
                <c:pt idx="171">
                  <c:v>2025/08/26</c:v>
                </c:pt>
                <c:pt idx="172">
                  <c:v>2025/08/27</c:v>
                </c:pt>
                <c:pt idx="173">
                  <c:v>2025/08/28</c:v>
                </c:pt>
                <c:pt idx="174">
                  <c:v>2025/08/29</c:v>
                </c:pt>
                <c:pt idx="175">
                  <c:v>2025/09/01</c:v>
                </c:pt>
                <c:pt idx="176">
                  <c:v>2025/09/02</c:v>
                </c:pt>
                <c:pt idx="177">
                  <c:v>2025/09/03</c:v>
                </c:pt>
                <c:pt idx="178">
                  <c:v>2025/09/04</c:v>
                </c:pt>
                <c:pt idx="179">
                  <c:v>2025/09/05</c:v>
                </c:pt>
                <c:pt idx="180">
                  <c:v>2025/09/08</c:v>
                </c:pt>
                <c:pt idx="181">
                  <c:v>2025/09/09</c:v>
                </c:pt>
                <c:pt idx="182">
                  <c:v>2025/09/10</c:v>
                </c:pt>
                <c:pt idx="183">
                  <c:v>2025/09/11</c:v>
                </c:pt>
                <c:pt idx="184">
                  <c:v>2025/09/12</c:v>
                </c:pt>
                <c:pt idx="185">
                  <c:v>2025/09/15</c:v>
                </c:pt>
                <c:pt idx="186">
                  <c:v>2025/09/16</c:v>
                </c:pt>
                <c:pt idx="187">
                  <c:v>2025/09/17</c:v>
                </c:pt>
                <c:pt idx="188">
                  <c:v>2025/09/18</c:v>
                </c:pt>
                <c:pt idx="189">
                  <c:v>2025/09/19</c:v>
                </c:pt>
                <c:pt idx="190">
                  <c:v>2025/09/22</c:v>
                </c:pt>
                <c:pt idx="191">
                  <c:v>2025/09/23</c:v>
                </c:pt>
                <c:pt idx="192">
                  <c:v>2025/09/24</c:v>
                </c:pt>
                <c:pt idx="193">
                  <c:v>2025/09/25</c:v>
                </c:pt>
                <c:pt idx="194">
                  <c:v>2025/09/26</c:v>
                </c:pt>
                <c:pt idx="195">
                  <c:v>2025/09/29</c:v>
                </c:pt>
                <c:pt idx="196">
                  <c:v>2025/09/30</c:v>
                </c:pt>
                <c:pt idx="197">
                  <c:v>2025/10/01</c:v>
                </c:pt>
                <c:pt idx="198">
                  <c:v>2025/10/02</c:v>
                </c:pt>
                <c:pt idx="199">
                  <c:v>2025/10/10</c:v>
                </c:pt>
                <c:pt idx="200">
                  <c:v>2025/10/13</c:v>
                </c:pt>
                <c:pt idx="201">
                  <c:v>2025/10/14</c:v>
                </c:pt>
                <c:pt idx="202">
                  <c:v>2025/10/15</c:v>
                </c:pt>
                <c:pt idx="203">
                  <c:v>2025/10/16</c:v>
                </c:pt>
                <c:pt idx="204">
                  <c:v>2025/10/17</c:v>
                </c:pt>
                <c:pt idx="205">
                  <c:v>2025/10/20</c:v>
                </c:pt>
                <c:pt idx="206">
                  <c:v>2025/10/21</c:v>
                </c:pt>
                <c:pt idx="207">
                  <c:v>2025/10/22</c:v>
                </c:pt>
                <c:pt idx="208">
                  <c:v>2025/10/23</c:v>
                </c:pt>
                <c:pt idx="209">
                  <c:v>2025/10/24</c:v>
                </c:pt>
                <c:pt idx="210">
                  <c:v>2025/10/27</c:v>
                </c:pt>
                <c:pt idx="211">
                  <c:v>2025/10/28</c:v>
                </c:pt>
                <c:pt idx="212">
                  <c:v>2025/10/29</c:v>
                </c:pt>
                <c:pt idx="213">
                  <c:v>2025/10/30</c:v>
                </c:pt>
                <c:pt idx="214">
                  <c:v>2025/10/31</c:v>
                </c:pt>
                <c:pt idx="215">
                  <c:v>2025/11/03</c:v>
                </c:pt>
                <c:pt idx="216">
                  <c:v>2025/11/04</c:v>
                </c:pt>
                <c:pt idx="217">
                  <c:v>2025/11/05</c:v>
                </c:pt>
                <c:pt idx="218">
                  <c:v>2025/11/06</c:v>
                </c:pt>
                <c:pt idx="219">
                  <c:v>2025/11/07</c:v>
                </c:pt>
                <c:pt idx="220">
                  <c:v>2025/11/10</c:v>
                </c:pt>
                <c:pt idx="221">
                  <c:v>2025/11/11</c:v>
                </c:pt>
                <c:pt idx="222">
                  <c:v>2025/11/12</c:v>
                </c:pt>
                <c:pt idx="223">
                  <c:v>2025/11/13</c:v>
                </c:pt>
                <c:pt idx="224">
                  <c:v>2025/11/14</c:v>
                </c:pt>
                <c:pt idx="225">
                  <c:v>2025/11/17</c:v>
                </c:pt>
                <c:pt idx="226">
                  <c:v>2025/11/18</c:v>
                </c:pt>
                <c:pt idx="227">
                  <c:v>2025/11/19</c:v>
                </c:pt>
                <c:pt idx="228">
                  <c:v>2025/11/20</c:v>
                </c:pt>
                <c:pt idx="229">
                  <c:v>2025/11/21</c:v>
                </c:pt>
                <c:pt idx="230">
                  <c:v>2025/11/24</c:v>
                </c:pt>
                <c:pt idx="231">
                  <c:v>2025/11/25</c:v>
                </c:pt>
                <c:pt idx="232">
                  <c:v>2025/11/26</c:v>
                </c:pt>
                <c:pt idx="233">
                  <c:v>2025/11/27</c:v>
                </c:pt>
                <c:pt idx="234">
                  <c:v>2025/11/28</c:v>
                </c:pt>
                <c:pt idx="235">
                  <c:v>2025/12/01</c:v>
                </c:pt>
                <c:pt idx="236">
                  <c:v>2025/12/02</c:v>
                </c:pt>
                <c:pt idx="237">
                  <c:v>2025/12/03</c:v>
                </c:pt>
                <c:pt idx="238">
                  <c:v>2025/12/04</c:v>
                </c:pt>
                <c:pt idx="239">
                  <c:v>2025/12/05</c:v>
                </c:pt>
                <c:pt idx="240">
                  <c:v>2025/12/08</c:v>
                </c:pt>
                <c:pt idx="241">
                  <c:v>2025/12/09</c:v>
                </c:pt>
                <c:pt idx="242">
                  <c:v>2025/12/10</c:v>
                </c:pt>
              </c:strCache>
            </c:strRef>
          </c:cat>
          <c:val>
            <c:numRef>
              <c:f>PRICE!$G$2:$G$244</c:f>
              <c:numCache>
                <c:formatCode>#,##0</c:formatCode>
                <c:ptCount val="243"/>
                <c:pt idx="0">
                  <c:v>100</c:v>
                </c:pt>
                <c:pt idx="1">
                  <c:v>101.08142493638677</c:v>
                </c:pt>
                <c:pt idx="2">
                  <c:v>104.19847328244275</c:v>
                </c:pt>
                <c:pt idx="3">
                  <c:v>104.83460559796437</c:v>
                </c:pt>
                <c:pt idx="4">
                  <c:v>105.91603053435114</c:v>
                </c:pt>
                <c:pt idx="5">
                  <c:v>107.18829516539439</c:v>
                </c:pt>
                <c:pt idx="6">
                  <c:v>106.80661577608141</c:v>
                </c:pt>
                <c:pt idx="7">
                  <c:v>104.83460559796437</c:v>
                </c:pt>
                <c:pt idx="8">
                  <c:v>102.29007633587786</c:v>
                </c:pt>
                <c:pt idx="9">
                  <c:v>105.21628498727735</c:v>
                </c:pt>
                <c:pt idx="10">
                  <c:v>105.15267175572519</c:v>
                </c:pt>
                <c:pt idx="11">
                  <c:v>104.64376590330789</c:v>
                </c:pt>
                <c:pt idx="12">
                  <c:v>104.96183206106872</c:v>
                </c:pt>
                <c:pt idx="13">
                  <c:v>107.76081424936388</c:v>
                </c:pt>
                <c:pt idx="14">
                  <c:v>104.38931297709925</c:v>
                </c:pt>
                <c:pt idx="15">
                  <c:v>108.65139949109417</c:v>
                </c:pt>
                <c:pt idx="16">
                  <c:v>112.72264631043259</c:v>
                </c:pt>
                <c:pt idx="17">
                  <c:v>109.22391857506364</c:v>
                </c:pt>
                <c:pt idx="18">
                  <c:v>112.27735368956745</c:v>
                </c:pt>
                <c:pt idx="19">
                  <c:v>109.09669211195931</c:v>
                </c:pt>
                <c:pt idx="20">
                  <c:v>109.03307888040716</c:v>
                </c:pt>
                <c:pt idx="21">
                  <c:v>106.99745547073795</c:v>
                </c:pt>
                <c:pt idx="22">
                  <c:v>110.17811704834608</c:v>
                </c:pt>
                <c:pt idx="23">
                  <c:v>109.16030534351148</c:v>
                </c:pt>
                <c:pt idx="24">
                  <c:v>110.3053435114504</c:v>
                </c:pt>
                <c:pt idx="25">
                  <c:v>110.05089058524175</c:v>
                </c:pt>
                <c:pt idx="26">
                  <c:v>109.98727735368958</c:v>
                </c:pt>
                <c:pt idx="27">
                  <c:v>113.04071246819339</c:v>
                </c:pt>
                <c:pt idx="28">
                  <c:v>114.75826972010178</c:v>
                </c:pt>
                <c:pt idx="29">
                  <c:v>112.34096692111959</c:v>
                </c:pt>
                <c:pt idx="30">
                  <c:v>111.95928753180661</c:v>
                </c:pt>
                <c:pt idx="31">
                  <c:v>106.04325699745546</c:v>
                </c:pt>
                <c:pt idx="32">
                  <c:v>99.427480916030518</c:v>
                </c:pt>
                <c:pt idx="33">
                  <c:v>100.3180661577608</c:v>
                </c:pt>
                <c:pt idx="34">
                  <c:v>102.29007633587786</c:v>
                </c:pt>
                <c:pt idx="35">
                  <c:v>105.59796437659031</c:v>
                </c:pt>
                <c:pt idx="36">
                  <c:v>108.77862595419845</c:v>
                </c:pt>
                <c:pt idx="37">
                  <c:v>109.28753180661576</c:v>
                </c:pt>
                <c:pt idx="38">
                  <c:v>109.35114503816791</c:v>
                </c:pt>
                <c:pt idx="39">
                  <c:v>110.0508905852417</c:v>
                </c:pt>
                <c:pt idx="40">
                  <c:v>112.97709923664118</c:v>
                </c:pt>
                <c:pt idx="41">
                  <c:v>114.05852417302793</c:v>
                </c:pt>
                <c:pt idx="42">
                  <c:v>116.22137404580145</c:v>
                </c:pt>
                <c:pt idx="43">
                  <c:v>115.64885496183199</c:v>
                </c:pt>
                <c:pt idx="44">
                  <c:v>120.16539440203555</c:v>
                </c:pt>
                <c:pt idx="45">
                  <c:v>119.40203562340959</c:v>
                </c:pt>
                <c:pt idx="46">
                  <c:v>119.46564885496174</c:v>
                </c:pt>
                <c:pt idx="47">
                  <c:v>118.95674300254444</c:v>
                </c:pt>
                <c:pt idx="48">
                  <c:v>115.01272264631034</c:v>
                </c:pt>
                <c:pt idx="49">
                  <c:v>115.71246819338414</c:v>
                </c:pt>
                <c:pt idx="50">
                  <c:v>112.40458015267167</c:v>
                </c:pt>
                <c:pt idx="51">
                  <c:v>108.46055979643758</c:v>
                </c:pt>
                <c:pt idx="52">
                  <c:v>105.21628498727728</c:v>
                </c:pt>
                <c:pt idx="53">
                  <c:v>106.55216284987269</c:v>
                </c:pt>
                <c:pt idx="54">
                  <c:v>103.1170483460559</c:v>
                </c:pt>
                <c:pt idx="55">
                  <c:v>106.17048346055971</c:v>
                </c:pt>
                <c:pt idx="56">
                  <c:v>107.31552162849864</c:v>
                </c:pt>
                <c:pt idx="57">
                  <c:v>106.04325699745539</c:v>
                </c:pt>
                <c:pt idx="58">
                  <c:v>110.30534351145029</c:v>
                </c:pt>
                <c:pt idx="59">
                  <c:v>114.69465648854953</c:v>
                </c:pt>
                <c:pt idx="60">
                  <c:v>122.2646310432569</c:v>
                </c:pt>
                <c:pt idx="61">
                  <c:v>123.09160305343501</c:v>
                </c:pt>
                <c:pt idx="62">
                  <c:v>121.0559796437658</c:v>
                </c:pt>
                <c:pt idx="63">
                  <c:v>128.49872773536885</c:v>
                </c:pt>
                <c:pt idx="64">
                  <c:v>127.0356234096691</c:v>
                </c:pt>
                <c:pt idx="65">
                  <c:v>128.81679389312967</c:v>
                </c:pt>
                <c:pt idx="66">
                  <c:v>128.81679389312967</c:v>
                </c:pt>
                <c:pt idx="67">
                  <c:v>124.4910941475826</c:v>
                </c:pt>
                <c:pt idx="68">
                  <c:v>125.82697201017803</c:v>
                </c:pt>
                <c:pt idx="69">
                  <c:v>122.13740458015258</c:v>
                </c:pt>
                <c:pt idx="70">
                  <c:v>118.82951653944011</c:v>
                </c:pt>
                <c:pt idx="71">
                  <c:v>113.48600508905844</c:v>
                </c:pt>
                <c:pt idx="72">
                  <c:v>115.13994910941469</c:v>
                </c:pt>
                <c:pt idx="73">
                  <c:v>114.63104325699739</c:v>
                </c:pt>
                <c:pt idx="74">
                  <c:v>111.45038167938925</c:v>
                </c:pt>
                <c:pt idx="75">
                  <c:v>108.77862595419842</c:v>
                </c:pt>
                <c:pt idx="76">
                  <c:v>101.7811704834605</c:v>
                </c:pt>
                <c:pt idx="77">
                  <c:v>102.03562340966914</c:v>
                </c:pt>
                <c:pt idx="78">
                  <c:v>100.5725190839694</c:v>
                </c:pt>
                <c:pt idx="79">
                  <c:v>106.17048346055972</c:v>
                </c:pt>
                <c:pt idx="80">
                  <c:v>107.12468193384217</c:v>
                </c:pt>
                <c:pt idx="81">
                  <c:v>107.76081424936379</c:v>
                </c:pt>
                <c:pt idx="82">
                  <c:v>109.22391857506352</c:v>
                </c:pt>
                <c:pt idx="83">
                  <c:v>106.74300254452918</c:v>
                </c:pt>
                <c:pt idx="84">
                  <c:v>108.65139949109407</c:v>
                </c:pt>
                <c:pt idx="85">
                  <c:v>109.41475826972002</c:v>
                </c:pt>
                <c:pt idx="86">
                  <c:v>113.04071246819331</c:v>
                </c:pt>
                <c:pt idx="87">
                  <c:v>113.42239185750627</c:v>
                </c:pt>
                <c:pt idx="88">
                  <c:v>116.09414758269712</c:v>
                </c:pt>
                <c:pt idx="89">
                  <c:v>116.22137404580144</c:v>
                </c:pt>
                <c:pt idx="90">
                  <c:v>116.03053435114495</c:v>
                </c:pt>
                <c:pt idx="91">
                  <c:v>112.65903307888031</c:v>
                </c:pt>
                <c:pt idx="92">
                  <c:v>113.93129770992357</c:v>
                </c:pt>
                <c:pt idx="93">
                  <c:v>111.06870229007625</c:v>
                </c:pt>
                <c:pt idx="94">
                  <c:v>111.00508905852408</c:v>
                </c:pt>
                <c:pt idx="95">
                  <c:v>111.25954198473272</c:v>
                </c:pt>
                <c:pt idx="96">
                  <c:v>111.70483460559785</c:v>
                </c:pt>
                <c:pt idx="97">
                  <c:v>112.46819338422382</c:v>
                </c:pt>
                <c:pt idx="98">
                  <c:v>119.08396946564875</c:v>
                </c:pt>
                <c:pt idx="99">
                  <c:v>119.40203562340956</c:v>
                </c:pt>
                <c:pt idx="100">
                  <c:v>122.70992366412203</c:v>
                </c:pt>
                <c:pt idx="101">
                  <c:v>114.94910941475817</c:v>
                </c:pt>
                <c:pt idx="102">
                  <c:v>117.17557251908387</c:v>
                </c:pt>
                <c:pt idx="103">
                  <c:v>113.74045801526708</c:v>
                </c:pt>
                <c:pt idx="104">
                  <c:v>116.79389312977089</c:v>
                </c:pt>
                <c:pt idx="105">
                  <c:v>118.63867684478362</c:v>
                </c:pt>
                <c:pt idx="106">
                  <c:v>116.15776081424926</c:v>
                </c:pt>
                <c:pt idx="107">
                  <c:v>115.45801526717547</c:v>
                </c:pt>
                <c:pt idx="108">
                  <c:v>119.02035623409658</c:v>
                </c:pt>
                <c:pt idx="109">
                  <c:v>120.73791348600497</c:v>
                </c:pt>
                <c:pt idx="110">
                  <c:v>120.92875318066147</c:v>
                </c:pt>
                <c:pt idx="111">
                  <c:v>120.92875318066147</c:v>
                </c:pt>
                <c:pt idx="112">
                  <c:v>118.76590330788794</c:v>
                </c:pt>
                <c:pt idx="113">
                  <c:v>118.76590330788794</c:v>
                </c:pt>
                <c:pt idx="114">
                  <c:v>120.29262086513985</c:v>
                </c:pt>
                <c:pt idx="115">
                  <c:v>123.40966921119583</c:v>
                </c:pt>
                <c:pt idx="116">
                  <c:v>125.5089058524172</c:v>
                </c:pt>
                <c:pt idx="117">
                  <c:v>123.9821882951653</c:v>
                </c:pt>
                <c:pt idx="118">
                  <c:v>132.95165394402028</c:v>
                </c:pt>
                <c:pt idx="119">
                  <c:v>130.72519083969456</c:v>
                </c:pt>
                <c:pt idx="120">
                  <c:v>125.6997455470737</c:v>
                </c:pt>
                <c:pt idx="121">
                  <c:v>126.78117048346047</c:v>
                </c:pt>
                <c:pt idx="122">
                  <c:v>131.99745547073783</c:v>
                </c:pt>
                <c:pt idx="123">
                  <c:v>132.31552162849866</c:v>
                </c:pt>
                <c:pt idx="124">
                  <c:v>135.81424936386762</c:v>
                </c:pt>
                <c:pt idx="125">
                  <c:v>138.04071246819331</c:v>
                </c:pt>
                <c:pt idx="126">
                  <c:v>134.22391857506355</c:v>
                </c:pt>
                <c:pt idx="127">
                  <c:v>137.40458015267168</c:v>
                </c:pt>
                <c:pt idx="128">
                  <c:v>136.76844783715006</c:v>
                </c:pt>
                <c:pt idx="129">
                  <c:v>134.22391857506355</c:v>
                </c:pt>
                <c:pt idx="130">
                  <c:v>137.72264631043251</c:v>
                </c:pt>
                <c:pt idx="131">
                  <c:v>137.72264631043251</c:v>
                </c:pt>
                <c:pt idx="132">
                  <c:v>138.04071246819333</c:v>
                </c:pt>
                <c:pt idx="133">
                  <c:v>135.17811704834602</c:v>
                </c:pt>
                <c:pt idx="134">
                  <c:v>148.21882951653942</c:v>
                </c:pt>
                <c:pt idx="135">
                  <c:v>145.99236641221373</c:v>
                </c:pt>
                <c:pt idx="136">
                  <c:v>145.99236641221373</c:v>
                </c:pt>
                <c:pt idx="137">
                  <c:v>146.31043256997452</c:v>
                </c:pt>
                <c:pt idx="138">
                  <c:v>148.85496183206101</c:v>
                </c:pt>
                <c:pt idx="139">
                  <c:v>156.48854961832055</c:v>
                </c:pt>
                <c:pt idx="140">
                  <c:v>159.03307888040706</c:v>
                </c:pt>
                <c:pt idx="141">
                  <c:v>159.03307888040706</c:v>
                </c:pt>
                <c:pt idx="142">
                  <c:v>161.25954198473275</c:v>
                </c:pt>
                <c:pt idx="143">
                  <c:v>159.98727735368948</c:v>
                </c:pt>
                <c:pt idx="144">
                  <c:v>159.66921119592865</c:v>
                </c:pt>
                <c:pt idx="145">
                  <c:v>154.58015267175563</c:v>
                </c:pt>
                <c:pt idx="146">
                  <c:v>154.58015267175563</c:v>
                </c:pt>
                <c:pt idx="147">
                  <c:v>151.08142493638667</c:v>
                </c:pt>
                <c:pt idx="148">
                  <c:v>156.48854961832052</c:v>
                </c:pt>
                <c:pt idx="149">
                  <c:v>156.17048346055969</c:v>
                </c:pt>
                <c:pt idx="150">
                  <c:v>153.62595419847318</c:v>
                </c:pt>
                <c:pt idx="151">
                  <c:v>157.76081424936379</c:v>
                </c:pt>
                <c:pt idx="152">
                  <c:v>159.03307888040703</c:v>
                </c:pt>
                <c:pt idx="153">
                  <c:v>158.39694656488541</c:v>
                </c:pt>
                <c:pt idx="154">
                  <c:v>154.89821882951645</c:v>
                </c:pt>
                <c:pt idx="155">
                  <c:v>147.90076335877853</c:v>
                </c:pt>
                <c:pt idx="156">
                  <c:v>150.44529262086502</c:v>
                </c:pt>
                <c:pt idx="157">
                  <c:v>151.08142493638664</c:v>
                </c:pt>
                <c:pt idx="158">
                  <c:v>155.85241730279887</c:v>
                </c:pt>
                <c:pt idx="159">
                  <c:v>154.58015267175563</c:v>
                </c:pt>
                <c:pt idx="160">
                  <c:v>156.48854961832052</c:v>
                </c:pt>
                <c:pt idx="161">
                  <c:v>155.21628498727725</c:v>
                </c:pt>
                <c:pt idx="162">
                  <c:v>152.67175572519074</c:v>
                </c:pt>
                <c:pt idx="163">
                  <c:v>153.30788804071236</c:v>
                </c:pt>
                <c:pt idx="164">
                  <c:v>133.9058524173027</c:v>
                </c:pt>
                <c:pt idx="165">
                  <c:v>134.86005089058514</c:v>
                </c:pt>
                <c:pt idx="166">
                  <c:v>133.9058524173027</c:v>
                </c:pt>
                <c:pt idx="167">
                  <c:v>135.17811704834597</c:v>
                </c:pt>
                <c:pt idx="168">
                  <c:v>133.5877862595419</c:v>
                </c:pt>
                <c:pt idx="169">
                  <c:v>140.90330788804062</c:v>
                </c:pt>
                <c:pt idx="170">
                  <c:v>141.22137404580141</c:v>
                </c:pt>
                <c:pt idx="171">
                  <c:v>140.90330788804059</c:v>
                </c:pt>
                <c:pt idx="172">
                  <c:v>142.49363867684465</c:v>
                </c:pt>
                <c:pt idx="173">
                  <c:v>139.94910941475814</c:v>
                </c:pt>
                <c:pt idx="174">
                  <c:v>138.99491094147569</c:v>
                </c:pt>
                <c:pt idx="175">
                  <c:v>134.22391857506349</c:v>
                </c:pt>
                <c:pt idx="176">
                  <c:v>134.86005089058511</c:v>
                </c:pt>
                <c:pt idx="177">
                  <c:v>138.6768447837149</c:v>
                </c:pt>
                <c:pt idx="178">
                  <c:v>138.04071246819328</c:v>
                </c:pt>
                <c:pt idx="179">
                  <c:v>139.63104325699734</c:v>
                </c:pt>
                <c:pt idx="180">
                  <c:v>141.53944020356224</c:v>
                </c:pt>
                <c:pt idx="181">
                  <c:v>145.03816793893117</c:v>
                </c:pt>
                <c:pt idx="182">
                  <c:v>145.35623409669199</c:v>
                </c:pt>
                <c:pt idx="183">
                  <c:v>143.4478371501271</c:v>
                </c:pt>
                <c:pt idx="184">
                  <c:v>147.90076335877848</c:v>
                </c:pt>
                <c:pt idx="185">
                  <c:v>155.85241730279881</c:v>
                </c:pt>
                <c:pt idx="186">
                  <c:v>157.44274809160288</c:v>
                </c:pt>
                <c:pt idx="187">
                  <c:v>154.58015267175554</c:v>
                </c:pt>
                <c:pt idx="188">
                  <c:v>155.85241730279878</c:v>
                </c:pt>
                <c:pt idx="189">
                  <c:v>154.89821882951634</c:v>
                </c:pt>
                <c:pt idx="190">
                  <c:v>155.21628498727713</c:v>
                </c:pt>
                <c:pt idx="191">
                  <c:v>157.44274809160285</c:v>
                </c:pt>
                <c:pt idx="192">
                  <c:v>155.85241730279878</c:v>
                </c:pt>
                <c:pt idx="193">
                  <c:v>152.35368956742983</c:v>
                </c:pt>
                <c:pt idx="194">
                  <c:v>146.94656488549597</c:v>
                </c:pt>
                <c:pt idx="195">
                  <c:v>147.2646310432568</c:v>
                </c:pt>
                <c:pt idx="196">
                  <c:v>146.94656488549597</c:v>
                </c:pt>
                <c:pt idx="197">
                  <c:v>150.4452926208649</c:v>
                </c:pt>
                <c:pt idx="198">
                  <c:v>156.48854961832038</c:v>
                </c:pt>
                <c:pt idx="199">
                  <c:v>166.03053435114481</c:v>
                </c:pt>
                <c:pt idx="200">
                  <c:v>166.66666666666643</c:v>
                </c:pt>
                <c:pt idx="201">
                  <c:v>160.62340966921096</c:v>
                </c:pt>
                <c:pt idx="202">
                  <c:v>164.75826972010154</c:v>
                </c:pt>
                <c:pt idx="203">
                  <c:v>164.12213740457992</c:v>
                </c:pt>
                <c:pt idx="204">
                  <c:v>160.30534351145013</c:v>
                </c:pt>
                <c:pt idx="205">
                  <c:v>161.25954198473258</c:v>
                </c:pt>
                <c:pt idx="206">
                  <c:v>157.44274809160282</c:v>
                </c:pt>
                <c:pt idx="207">
                  <c:v>159.35114503816772</c:v>
                </c:pt>
                <c:pt idx="208">
                  <c:v>161.89567430025423</c:v>
                </c:pt>
                <c:pt idx="209">
                  <c:v>165.71246819338398</c:v>
                </c:pt>
                <c:pt idx="210">
                  <c:v>167.93893129770967</c:v>
                </c:pt>
                <c:pt idx="211">
                  <c:v>163.16793893129747</c:v>
                </c:pt>
                <c:pt idx="212">
                  <c:v>163.16793893129747</c:v>
                </c:pt>
                <c:pt idx="213">
                  <c:v>164.75826972010154</c:v>
                </c:pt>
                <c:pt idx="214">
                  <c:v>160.30534351145016</c:v>
                </c:pt>
                <c:pt idx="215">
                  <c:v>161.5776081424934</c:v>
                </c:pt>
                <c:pt idx="216">
                  <c:v>162.21374045801502</c:v>
                </c:pt>
                <c:pt idx="217">
                  <c:v>159.03307888040689</c:v>
                </c:pt>
                <c:pt idx="218">
                  <c:v>156.8066157760812</c:v>
                </c:pt>
                <c:pt idx="219">
                  <c:v>151.08142493638655</c:v>
                </c:pt>
                <c:pt idx="220">
                  <c:v>157.44274809160282</c:v>
                </c:pt>
                <c:pt idx="221">
                  <c:v>168.89312977099212</c:v>
                </c:pt>
                <c:pt idx="222">
                  <c:v>166.98473282442723</c:v>
                </c:pt>
                <c:pt idx="223">
                  <c:v>166.66666666666643</c:v>
                </c:pt>
                <c:pt idx="224">
                  <c:v>147.90076335877842</c:v>
                </c:pt>
                <c:pt idx="225">
                  <c:v>147.90076335877842</c:v>
                </c:pt>
                <c:pt idx="226">
                  <c:v>140.58524173027971</c:v>
                </c:pt>
                <c:pt idx="227">
                  <c:v>138.35877862595399</c:v>
                </c:pt>
                <c:pt idx="228">
                  <c:v>138.99491094147564</c:v>
                </c:pt>
                <c:pt idx="229">
                  <c:v>134.86005089058506</c:v>
                </c:pt>
                <c:pt idx="230">
                  <c:v>135.17811704834585</c:v>
                </c:pt>
                <c:pt idx="231">
                  <c:v>135.81424936386748</c:v>
                </c:pt>
                <c:pt idx="232">
                  <c:v>138.04071246819316</c:v>
                </c:pt>
                <c:pt idx="233">
                  <c:v>136.76844783714992</c:v>
                </c:pt>
                <c:pt idx="234">
                  <c:v>141.85750636132295</c:v>
                </c:pt>
                <c:pt idx="235">
                  <c:v>143.44783715012701</c:v>
                </c:pt>
                <c:pt idx="236">
                  <c:v>142.81170483460539</c:v>
                </c:pt>
                <c:pt idx="237">
                  <c:v>143.76590330788784</c:v>
                </c:pt>
                <c:pt idx="238">
                  <c:v>141.53944020356215</c:v>
                </c:pt>
                <c:pt idx="239">
                  <c:v>143.12977099236622</c:v>
                </c:pt>
                <c:pt idx="240">
                  <c:v>143.12977099236622</c:v>
                </c:pt>
                <c:pt idx="241">
                  <c:v>141.85750636132298</c:v>
                </c:pt>
                <c:pt idx="242">
                  <c:v>142.81170483460539</c:v>
                </c:pt>
              </c:numCache>
            </c:numRef>
          </c:val>
          <c:smooth val="0"/>
          <c:extLst>
            <c:ext xmlns:c16="http://schemas.microsoft.com/office/drawing/2014/chart" uri="{C3380CC4-5D6E-409C-BE32-E72D297353CC}">
              <c16:uniqueId val="{00000000-5069-41F0-A972-CFC9FCB2FE47}"/>
            </c:ext>
          </c:extLst>
        </c:ser>
        <c:ser>
          <c:idx val="1"/>
          <c:order val="1"/>
          <c:tx>
            <c:strRef>
              <c:f>PRICE!$H$1</c:f>
              <c:strCache>
                <c:ptCount val="1"/>
                <c:pt idx="0">
                  <c:v>케이엔제이</c:v>
                </c:pt>
              </c:strCache>
            </c:strRef>
          </c:tx>
          <c:spPr>
            <a:ln w="28575" cap="rnd">
              <a:solidFill>
                <a:schemeClr val="accent2"/>
              </a:solidFill>
              <a:round/>
            </a:ln>
            <a:effectLst/>
          </c:spPr>
          <c:marker>
            <c:symbol val="none"/>
          </c:marker>
          <c:cat>
            <c:strRef>
              <c:f>PRICE!$A$2:$A$244</c:f>
              <c:strCache>
                <c:ptCount val="243"/>
                <c:pt idx="0">
                  <c:v>2024/12/10</c:v>
                </c:pt>
                <c:pt idx="1">
                  <c:v>2024/12/11</c:v>
                </c:pt>
                <c:pt idx="2">
                  <c:v>2024/12/12</c:v>
                </c:pt>
                <c:pt idx="3">
                  <c:v>2024/12/13</c:v>
                </c:pt>
                <c:pt idx="4">
                  <c:v>2024/12/16</c:v>
                </c:pt>
                <c:pt idx="5">
                  <c:v>2024/12/17</c:v>
                </c:pt>
                <c:pt idx="6">
                  <c:v>2024/12/18</c:v>
                </c:pt>
                <c:pt idx="7">
                  <c:v>2024/12/19</c:v>
                </c:pt>
                <c:pt idx="8">
                  <c:v>2024/12/20</c:v>
                </c:pt>
                <c:pt idx="9">
                  <c:v>2024/12/23</c:v>
                </c:pt>
                <c:pt idx="10">
                  <c:v>2024/12/24</c:v>
                </c:pt>
                <c:pt idx="11">
                  <c:v>2024/12/26</c:v>
                </c:pt>
                <c:pt idx="12">
                  <c:v>2024/12/27</c:v>
                </c:pt>
                <c:pt idx="13">
                  <c:v>2024/12/30</c:v>
                </c:pt>
                <c:pt idx="14">
                  <c:v>2025/01/02</c:v>
                </c:pt>
                <c:pt idx="15">
                  <c:v>2025/01/03</c:v>
                </c:pt>
                <c:pt idx="16">
                  <c:v>2025/01/06</c:v>
                </c:pt>
                <c:pt idx="17">
                  <c:v>2025/01/07</c:v>
                </c:pt>
                <c:pt idx="18">
                  <c:v>2025/01/08</c:v>
                </c:pt>
                <c:pt idx="19">
                  <c:v>2025/01/09</c:v>
                </c:pt>
                <c:pt idx="20">
                  <c:v>2025/01/10</c:v>
                </c:pt>
                <c:pt idx="21">
                  <c:v>2025/01/13</c:v>
                </c:pt>
                <c:pt idx="22">
                  <c:v>2025/01/14</c:v>
                </c:pt>
                <c:pt idx="23">
                  <c:v>2025/01/15</c:v>
                </c:pt>
                <c:pt idx="24">
                  <c:v>2025/01/16</c:v>
                </c:pt>
                <c:pt idx="25">
                  <c:v>2025/01/17</c:v>
                </c:pt>
                <c:pt idx="26">
                  <c:v>2025/01/20</c:v>
                </c:pt>
                <c:pt idx="27">
                  <c:v>2025/01/21</c:v>
                </c:pt>
                <c:pt idx="28">
                  <c:v>2025/01/22</c:v>
                </c:pt>
                <c:pt idx="29">
                  <c:v>2025/01/23</c:v>
                </c:pt>
                <c:pt idx="30">
                  <c:v>2025/01/24</c:v>
                </c:pt>
                <c:pt idx="31">
                  <c:v>2025/01/31</c:v>
                </c:pt>
                <c:pt idx="32">
                  <c:v>2025/02/03</c:v>
                </c:pt>
                <c:pt idx="33">
                  <c:v>2025/02/04</c:v>
                </c:pt>
                <c:pt idx="34">
                  <c:v>2025/02/05</c:v>
                </c:pt>
                <c:pt idx="35">
                  <c:v>2025/02/06</c:v>
                </c:pt>
                <c:pt idx="36">
                  <c:v>2025/02/07</c:v>
                </c:pt>
                <c:pt idx="37">
                  <c:v>2025/02/10</c:v>
                </c:pt>
                <c:pt idx="38">
                  <c:v>2025/02/11</c:v>
                </c:pt>
                <c:pt idx="39">
                  <c:v>2025/02/12</c:v>
                </c:pt>
                <c:pt idx="40">
                  <c:v>2025/02/13</c:v>
                </c:pt>
                <c:pt idx="41">
                  <c:v>2025/02/14</c:v>
                </c:pt>
                <c:pt idx="42">
                  <c:v>2025/02/17</c:v>
                </c:pt>
                <c:pt idx="43">
                  <c:v>2025/02/18</c:v>
                </c:pt>
                <c:pt idx="44">
                  <c:v>2025/02/19</c:v>
                </c:pt>
                <c:pt idx="45">
                  <c:v>2025/02/20</c:v>
                </c:pt>
                <c:pt idx="46">
                  <c:v>2025/02/21</c:v>
                </c:pt>
                <c:pt idx="47">
                  <c:v>2025/02/24</c:v>
                </c:pt>
                <c:pt idx="48">
                  <c:v>2025/02/25</c:v>
                </c:pt>
                <c:pt idx="49">
                  <c:v>2025/02/26</c:v>
                </c:pt>
                <c:pt idx="50">
                  <c:v>2025/02/27</c:v>
                </c:pt>
                <c:pt idx="51">
                  <c:v>2025/02/28</c:v>
                </c:pt>
                <c:pt idx="52">
                  <c:v>2025/03/04</c:v>
                </c:pt>
                <c:pt idx="53">
                  <c:v>2025/03/05</c:v>
                </c:pt>
                <c:pt idx="54">
                  <c:v>2025/03/06</c:v>
                </c:pt>
                <c:pt idx="55">
                  <c:v>2025/03/07</c:v>
                </c:pt>
                <c:pt idx="56">
                  <c:v>2025/03/10</c:v>
                </c:pt>
                <c:pt idx="57">
                  <c:v>2025/03/11</c:v>
                </c:pt>
                <c:pt idx="58">
                  <c:v>2025/03/12</c:v>
                </c:pt>
                <c:pt idx="59">
                  <c:v>2025/03/13</c:v>
                </c:pt>
                <c:pt idx="60">
                  <c:v>2025/03/14</c:v>
                </c:pt>
                <c:pt idx="61">
                  <c:v>2025/03/17</c:v>
                </c:pt>
                <c:pt idx="62">
                  <c:v>2025/03/18</c:v>
                </c:pt>
                <c:pt idx="63">
                  <c:v>2025/03/19</c:v>
                </c:pt>
                <c:pt idx="64">
                  <c:v>2025/03/20</c:v>
                </c:pt>
                <c:pt idx="65">
                  <c:v>2025/03/21</c:v>
                </c:pt>
                <c:pt idx="66">
                  <c:v>2025/03/24</c:v>
                </c:pt>
                <c:pt idx="67">
                  <c:v>2025/03/25</c:v>
                </c:pt>
                <c:pt idx="68">
                  <c:v>2025/03/26</c:v>
                </c:pt>
                <c:pt idx="69">
                  <c:v>2025/03/27</c:v>
                </c:pt>
                <c:pt idx="70">
                  <c:v>2025/03/28</c:v>
                </c:pt>
                <c:pt idx="71">
                  <c:v>2025/03/31</c:v>
                </c:pt>
                <c:pt idx="72">
                  <c:v>2025/04/01</c:v>
                </c:pt>
                <c:pt idx="73">
                  <c:v>2025/04/02</c:v>
                </c:pt>
                <c:pt idx="74">
                  <c:v>2025/04/03</c:v>
                </c:pt>
                <c:pt idx="75">
                  <c:v>2025/04/04</c:v>
                </c:pt>
                <c:pt idx="76">
                  <c:v>2025/04/07</c:v>
                </c:pt>
                <c:pt idx="77">
                  <c:v>2025/04/08</c:v>
                </c:pt>
                <c:pt idx="78">
                  <c:v>2025/04/09</c:v>
                </c:pt>
                <c:pt idx="79">
                  <c:v>2025/04/10</c:v>
                </c:pt>
                <c:pt idx="80">
                  <c:v>2025/04/11</c:v>
                </c:pt>
                <c:pt idx="81">
                  <c:v>2025/04/14</c:v>
                </c:pt>
                <c:pt idx="82">
                  <c:v>2025/04/15</c:v>
                </c:pt>
                <c:pt idx="83">
                  <c:v>2025/04/16</c:v>
                </c:pt>
                <c:pt idx="84">
                  <c:v>2025/04/17</c:v>
                </c:pt>
                <c:pt idx="85">
                  <c:v>2025/04/18</c:v>
                </c:pt>
                <c:pt idx="86">
                  <c:v>2025/04/21</c:v>
                </c:pt>
                <c:pt idx="87">
                  <c:v>2025/04/22</c:v>
                </c:pt>
                <c:pt idx="88">
                  <c:v>2025/04/23</c:v>
                </c:pt>
                <c:pt idx="89">
                  <c:v>2025/04/24</c:v>
                </c:pt>
                <c:pt idx="90">
                  <c:v>2025/04/25</c:v>
                </c:pt>
                <c:pt idx="91">
                  <c:v>2025/04/28</c:v>
                </c:pt>
                <c:pt idx="92">
                  <c:v>2025/04/29</c:v>
                </c:pt>
                <c:pt idx="93">
                  <c:v>2025/04/30</c:v>
                </c:pt>
                <c:pt idx="94">
                  <c:v>2025/05/02</c:v>
                </c:pt>
                <c:pt idx="95">
                  <c:v>2025/05/07</c:v>
                </c:pt>
                <c:pt idx="96">
                  <c:v>2025/05/08</c:v>
                </c:pt>
                <c:pt idx="97">
                  <c:v>2025/05/09</c:v>
                </c:pt>
                <c:pt idx="98">
                  <c:v>2025/05/12</c:v>
                </c:pt>
                <c:pt idx="99">
                  <c:v>2025/05/13</c:v>
                </c:pt>
                <c:pt idx="100">
                  <c:v>2025/05/14</c:v>
                </c:pt>
                <c:pt idx="101">
                  <c:v>2025/05/15</c:v>
                </c:pt>
                <c:pt idx="102">
                  <c:v>2025/05/16</c:v>
                </c:pt>
                <c:pt idx="103">
                  <c:v>2025/05/19</c:v>
                </c:pt>
                <c:pt idx="104">
                  <c:v>2025/05/20</c:v>
                </c:pt>
                <c:pt idx="105">
                  <c:v>2025/05/21</c:v>
                </c:pt>
                <c:pt idx="106">
                  <c:v>2025/05/22</c:v>
                </c:pt>
                <c:pt idx="107">
                  <c:v>2025/05/23</c:v>
                </c:pt>
                <c:pt idx="108">
                  <c:v>2025/05/26</c:v>
                </c:pt>
                <c:pt idx="109">
                  <c:v>2025/05/27</c:v>
                </c:pt>
                <c:pt idx="110">
                  <c:v>2025/05/28</c:v>
                </c:pt>
                <c:pt idx="111">
                  <c:v>2025/05/29</c:v>
                </c:pt>
                <c:pt idx="112">
                  <c:v>2025/05/30</c:v>
                </c:pt>
                <c:pt idx="113">
                  <c:v>2025/06/02</c:v>
                </c:pt>
                <c:pt idx="114">
                  <c:v>2025/06/04</c:v>
                </c:pt>
                <c:pt idx="115">
                  <c:v>2025/06/05</c:v>
                </c:pt>
                <c:pt idx="116">
                  <c:v>2025/06/09</c:v>
                </c:pt>
                <c:pt idx="117">
                  <c:v>2025/06/10</c:v>
                </c:pt>
                <c:pt idx="118">
                  <c:v>2025/06/11</c:v>
                </c:pt>
                <c:pt idx="119">
                  <c:v>2025/06/12</c:v>
                </c:pt>
                <c:pt idx="120">
                  <c:v>2025/06/13</c:v>
                </c:pt>
                <c:pt idx="121">
                  <c:v>2025/06/16</c:v>
                </c:pt>
                <c:pt idx="122">
                  <c:v>2025/06/17</c:v>
                </c:pt>
                <c:pt idx="123">
                  <c:v>2025/06/18</c:v>
                </c:pt>
                <c:pt idx="124">
                  <c:v>2025/06/19</c:v>
                </c:pt>
                <c:pt idx="125">
                  <c:v>2025/06/20</c:v>
                </c:pt>
                <c:pt idx="126">
                  <c:v>2025/06/23</c:v>
                </c:pt>
                <c:pt idx="127">
                  <c:v>2025/06/24</c:v>
                </c:pt>
                <c:pt idx="128">
                  <c:v>2025/06/25</c:v>
                </c:pt>
                <c:pt idx="129">
                  <c:v>2025/06/26</c:v>
                </c:pt>
                <c:pt idx="130">
                  <c:v>2025/06/27</c:v>
                </c:pt>
                <c:pt idx="131">
                  <c:v>2025/06/30</c:v>
                </c:pt>
                <c:pt idx="132">
                  <c:v>2025/07/01</c:v>
                </c:pt>
                <c:pt idx="133">
                  <c:v>2025/07/02</c:v>
                </c:pt>
                <c:pt idx="134">
                  <c:v>2025/07/03</c:v>
                </c:pt>
                <c:pt idx="135">
                  <c:v>2025/07/04</c:v>
                </c:pt>
                <c:pt idx="136">
                  <c:v>2025/07/07</c:v>
                </c:pt>
                <c:pt idx="137">
                  <c:v>2025/07/08</c:v>
                </c:pt>
                <c:pt idx="138">
                  <c:v>2025/07/09</c:v>
                </c:pt>
                <c:pt idx="139">
                  <c:v>2025/07/10</c:v>
                </c:pt>
                <c:pt idx="140">
                  <c:v>2025/07/11</c:v>
                </c:pt>
                <c:pt idx="141">
                  <c:v>2025/07/14</c:v>
                </c:pt>
                <c:pt idx="142">
                  <c:v>2025/07/15</c:v>
                </c:pt>
                <c:pt idx="143">
                  <c:v>2025/07/16</c:v>
                </c:pt>
                <c:pt idx="144">
                  <c:v>2025/07/17</c:v>
                </c:pt>
                <c:pt idx="145">
                  <c:v>2025/07/18</c:v>
                </c:pt>
                <c:pt idx="146">
                  <c:v>2025/07/21</c:v>
                </c:pt>
                <c:pt idx="147">
                  <c:v>2025/07/22</c:v>
                </c:pt>
                <c:pt idx="148">
                  <c:v>2025/07/23</c:v>
                </c:pt>
                <c:pt idx="149">
                  <c:v>2025/07/24</c:v>
                </c:pt>
                <c:pt idx="150">
                  <c:v>2025/07/25</c:v>
                </c:pt>
                <c:pt idx="151">
                  <c:v>2025/07/28</c:v>
                </c:pt>
                <c:pt idx="152">
                  <c:v>2025/07/29</c:v>
                </c:pt>
                <c:pt idx="153">
                  <c:v>2025/07/30</c:v>
                </c:pt>
                <c:pt idx="154">
                  <c:v>2025/07/31</c:v>
                </c:pt>
                <c:pt idx="155">
                  <c:v>2025/08/01</c:v>
                </c:pt>
                <c:pt idx="156">
                  <c:v>2025/08/04</c:v>
                </c:pt>
                <c:pt idx="157">
                  <c:v>2025/08/05</c:v>
                </c:pt>
                <c:pt idx="158">
                  <c:v>2025/08/06</c:v>
                </c:pt>
                <c:pt idx="159">
                  <c:v>2025/08/07</c:v>
                </c:pt>
                <c:pt idx="160">
                  <c:v>2025/08/08</c:v>
                </c:pt>
                <c:pt idx="161">
                  <c:v>2025/08/11</c:v>
                </c:pt>
                <c:pt idx="162">
                  <c:v>2025/08/12</c:v>
                </c:pt>
                <c:pt idx="163">
                  <c:v>2025/08/13</c:v>
                </c:pt>
                <c:pt idx="164">
                  <c:v>2025/08/14</c:v>
                </c:pt>
                <c:pt idx="165">
                  <c:v>2025/08/18</c:v>
                </c:pt>
                <c:pt idx="166">
                  <c:v>2025/08/19</c:v>
                </c:pt>
                <c:pt idx="167">
                  <c:v>2025/08/20</c:v>
                </c:pt>
                <c:pt idx="168">
                  <c:v>2025/08/21</c:v>
                </c:pt>
                <c:pt idx="169">
                  <c:v>2025/08/22</c:v>
                </c:pt>
                <c:pt idx="170">
                  <c:v>2025/08/25</c:v>
                </c:pt>
                <c:pt idx="171">
                  <c:v>2025/08/26</c:v>
                </c:pt>
                <c:pt idx="172">
                  <c:v>2025/08/27</c:v>
                </c:pt>
                <c:pt idx="173">
                  <c:v>2025/08/28</c:v>
                </c:pt>
                <c:pt idx="174">
                  <c:v>2025/08/29</c:v>
                </c:pt>
                <c:pt idx="175">
                  <c:v>2025/09/01</c:v>
                </c:pt>
                <c:pt idx="176">
                  <c:v>2025/09/02</c:v>
                </c:pt>
                <c:pt idx="177">
                  <c:v>2025/09/03</c:v>
                </c:pt>
                <c:pt idx="178">
                  <c:v>2025/09/04</c:v>
                </c:pt>
                <c:pt idx="179">
                  <c:v>2025/09/05</c:v>
                </c:pt>
                <c:pt idx="180">
                  <c:v>2025/09/08</c:v>
                </c:pt>
                <c:pt idx="181">
                  <c:v>2025/09/09</c:v>
                </c:pt>
                <c:pt idx="182">
                  <c:v>2025/09/10</c:v>
                </c:pt>
                <c:pt idx="183">
                  <c:v>2025/09/11</c:v>
                </c:pt>
                <c:pt idx="184">
                  <c:v>2025/09/12</c:v>
                </c:pt>
                <c:pt idx="185">
                  <c:v>2025/09/15</c:v>
                </c:pt>
                <c:pt idx="186">
                  <c:v>2025/09/16</c:v>
                </c:pt>
                <c:pt idx="187">
                  <c:v>2025/09/17</c:v>
                </c:pt>
                <c:pt idx="188">
                  <c:v>2025/09/18</c:v>
                </c:pt>
                <c:pt idx="189">
                  <c:v>2025/09/19</c:v>
                </c:pt>
                <c:pt idx="190">
                  <c:v>2025/09/22</c:v>
                </c:pt>
                <c:pt idx="191">
                  <c:v>2025/09/23</c:v>
                </c:pt>
                <c:pt idx="192">
                  <c:v>2025/09/24</c:v>
                </c:pt>
                <c:pt idx="193">
                  <c:v>2025/09/25</c:v>
                </c:pt>
                <c:pt idx="194">
                  <c:v>2025/09/26</c:v>
                </c:pt>
                <c:pt idx="195">
                  <c:v>2025/09/29</c:v>
                </c:pt>
                <c:pt idx="196">
                  <c:v>2025/09/30</c:v>
                </c:pt>
                <c:pt idx="197">
                  <c:v>2025/10/01</c:v>
                </c:pt>
                <c:pt idx="198">
                  <c:v>2025/10/02</c:v>
                </c:pt>
                <c:pt idx="199">
                  <c:v>2025/10/10</c:v>
                </c:pt>
                <c:pt idx="200">
                  <c:v>2025/10/13</c:v>
                </c:pt>
                <c:pt idx="201">
                  <c:v>2025/10/14</c:v>
                </c:pt>
                <c:pt idx="202">
                  <c:v>2025/10/15</c:v>
                </c:pt>
                <c:pt idx="203">
                  <c:v>2025/10/16</c:v>
                </c:pt>
                <c:pt idx="204">
                  <c:v>2025/10/17</c:v>
                </c:pt>
                <c:pt idx="205">
                  <c:v>2025/10/20</c:v>
                </c:pt>
                <c:pt idx="206">
                  <c:v>2025/10/21</c:v>
                </c:pt>
                <c:pt idx="207">
                  <c:v>2025/10/22</c:v>
                </c:pt>
                <c:pt idx="208">
                  <c:v>2025/10/23</c:v>
                </c:pt>
                <c:pt idx="209">
                  <c:v>2025/10/24</c:v>
                </c:pt>
                <c:pt idx="210">
                  <c:v>2025/10/27</c:v>
                </c:pt>
                <c:pt idx="211">
                  <c:v>2025/10/28</c:v>
                </c:pt>
                <c:pt idx="212">
                  <c:v>2025/10/29</c:v>
                </c:pt>
                <c:pt idx="213">
                  <c:v>2025/10/30</c:v>
                </c:pt>
                <c:pt idx="214">
                  <c:v>2025/10/31</c:v>
                </c:pt>
                <c:pt idx="215">
                  <c:v>2025/11/03</c:v>
                </c:pt>
                <c:pt idx="216">
                  <c:v>2025/11/04</c:v>
                </c:pt>
                <c:pt idx="217">
                  <c:v>2025/11/05</c:v>
                </c:pt>
                <c:pt idx="218">
                  <c:v>2025/11/06</c:v>
                </c:pt>
                <c:pt idx="219">
                  <c:v>2025/11/07</c:v>
                </c:pt>
                <c:pt idx="220">
                  <c:v>2025/11/10</c:v>
                </c:pt>
                <c:pt idx="221">
                  <c:v>2025/11/11</c:v>
                </c:pt>
                <c:pt idx="222">
                  <c:v>2025/11/12</c:v>
                </c:pt>
                <c:pt idx="223">
                  <c:v>2025/11/13</c:v>
                </c:pt>
                <c:pt idx="224">
                  <c:v>2025/11/14</c:v>
                </c:pt>
                <c:pt idx="225">
                  <c:v>2025/11/17</c:v>
                </c:pt>
                <c:pt idx="226">
                  <c:v>2025/11/18</c:v>
                </c:pt>
                <c:pt idx="227">
                  <c:v>2025/11/19</c:v>
                </c:pt>
                <c:pt idx="228">
                  <c:v>2025/11/20</c:v>
                </c:pt>
                <c:pt idx="229">
                  <c:v>2025/11/21</c:v>
                </c:pt>
                <c:pt idx="230">
                  <c:v>2025/11/24</c:v>
                </c:pt>
                <c:pt idx="231">
                  <c:v>2025/11/25</c:v>
                </c:pt>
                <c:pt idx="232">
                  <c:v>2025/11/26</c:v>
                </c:pt>
                <c:pt idx="233">
                  <c:v>2025/11/27</c:v>
                </c:pt>
                <c:pt idx="234">
                  <c:v>2025/11/28</c:v>
                </c:pt>
                <c:pt idx="235">
                  <c:v>2025/12/01</c:v>
                </c:pt>
                <c:pt idx="236">
                  <c:v>2025/12/02</c:v>
                </c:pt>
                <c:pt idx="237">
                  <c:v>2025/12/03</c:v>
                </c:pt>
                <c:pt idx="238">
                  <c:v>2025/12/04</c:v>
                </c:pt>
                <c:pt idx="239">
                  <c:v>2025/12/05</c:v>
                </c:pt>
                <c:pt idx="240">
                  <c:v>2025/12/08</c:v>
                </c:pt>
                <c:pt idx="241">
                  <c:v>2025/12/09</c:v>
                </c:pt>
                <c:pt idx="242">
                  <c:v>2025/12/10</c:v>
                </c:pt>
              </c:strCache>
            </c:strRef>
          </c:cat>
          <c:val>
            <c:numRef>
              <c:f>PRICE!$I$2:$I$244</c:f>
              <c:numCache>
                <c:formatCode>#,##0</c:formatCode>
                <c:ptCount val="243"/>
                <c:pt idx="0">
                  <c:v>100</c:v>
                </c:pt>
                <c:pt idx="1">
                  <c:v>103.27357755261106</c:v>
                </c:pt>
                <c:pt idx="2">
                  <c:v>102.33826968043647</c:v>
                </c:pt>
                <c:pt idx="3">
                  <c:v>105.84567420109119</c:v>
                </c:pt>
                <c:pt idx="4">
                  <c:v>106.54715510522213</c:v>
                </c:pt>
                <c:pt idx="5">
                  <c:v>109.58690568978955</c:v>
                </c:pt>
                <c:pt idx="6">
                  <c:v>107.95011691348401</c:v>
                </c:pt>
                <c:pt idx="7">
                  <c:v>101.63678877630552</c:v>
                </c:pt>
                <c:pt idx="8">
                  <c:v>96.882307092751347</c:v>
                </c:pt>
                <c:pt idx="9">
                  <c:v>101.24707716289944</c:v>
                </c:pt>
                <c:pt idx="10">
                  <c:v>98.752922837100527</c:v>
                </c:pt>
                <c:pt idx="11">
                  <c:v>95.791114575214323</c:v>
                </c:pt>
                <c:pt idx="12">
                  <c:v>109.50896336710831</c:v>
                </c:pt>
                <c:pt idx="13">
                  <c:v>105.61184723304751</c:v>
                </c:pt>
                <c:pt idx="14">
                  <c:v>103.89711613406077</c:v>
                </c:pt>
                <c:pt idx="15">
                  <c:v>105.45596258768509</c:v>
                </c:pt>
                <c:pt idx="16">
                  <c:v>113.56196414653155</c:v>
                </c:pt>
                <c:pt idx="17">
                  <c:v>108.49571317225252</c:v>
                </c:pt>
                <c:pt idx="18">
                  <c:v>113.63990646921276</c:v>
                </c:pt>
                <c:pt idx="19">
                  <c:v>110.05455962587683</c:v>
                </c:pt>
                <c:pt idx="20">
                  <c:v>108.18394388152765</c:v>
                </c:pt>
                <c:pt idx="21">
                  <c:v>104.44271239282928</c:v>
                </c:pt>
                <c:pt idx="22">
                  <c:v>107.56040530007792</c:v>
                </c:pt>
                <c:pt idx="23">
                  <c:v>105.5339049103663</c:v>
                </c:pt>
                <c:pt idx="24">
                  <c:v>106.70303975058454</c:v>
                </c:pt>
                <c:pt idx="25">
                  <c:v>113.48402182385031</c:v>
                </c:pt>
                <c:pt idx="26">
                  <c:v>112.39282930631329</c:v>
                </c:pt>
                <c:pt idx="27">
                  <c:v>114.57521434138734</c:v>
                </c:pt>
                <c:pt idx="28">
                  <c:v>115.74434918160556</c:v>
                </c:pt>
                <c:pt idx="29">
                  <c:v>111.45752143413868</c:v>
                </c:pt>
                <c:pt idx="30">
                  <c:v>116.21200311769286</c:v>
                </c:pt>
                <c:pt idx="31">
                  <c:v>108.88542478565857</c:v>
                </c:pt>
                <c:pt idx="32">
                  <c:v>106.15744349181603</c:v>
                </c:pt>
                <c:pt idx="33">
                  <c:v>109.27513639906466</c:v>
                </c:pt>
                <c:pt idx="34">
                  <c:v>113.09431021044423</c:v>
                </c:pt>
                <c:pt idx="35">
                  <c:v>124.1621200311769</c:v>
                </c:pt>
                <c:pt idx="36">
                  <c:v>116.60171473109897</c:v>
                </c:pt>
                <c:pt idx="37">
                  <c:v>123.38269680436474</c:v>
                </c:pt>
                <c:pt idx="38">
                  <c:v>120.88854247856584</c:v>
                </c:pt>
                <c:pt idx="39">
                  <c:v>124.00623538581448</c:v>
                </c:pt>
                <c:pt idx="40">
                  <c:v>128.29306313328135</c:v>
                </c:pt>
                <c:pt idx="41">
                  <c:v>126.03273577552609</c:v>
                </c:pt>
                <c:pt idx="42">
                  <c:v>133.35931410756038</c:v>
                </c:pt>
                <c:pt idx="43">
                  <c:v>131.72252533125484</c:v>
                </c:pt>
                <c:pt idx="44">
                  <c:v>132.57989088074822</c:v>
                </c:pt>
                <c:pt idx="45">
                  <c:v>129.61808261886202</c:v>
                </c:pt>
                <c:pt idx="46">
                  <c:v>129.85190958690566</c:v>
                </c:pt>
                <c:pt idx="47">
                  <c:v>129.07248636009351</c:v>
                </c:pt>
                <c:pt idx="48">
                  <c:v>127.74746687451282</c:v>
                </c:pt>
                <c:pt idx="49">
                  <c:v>124.39594699922054</c:v>
                </c:pt>
                <c:pt idx="50">
                  <c:v>118.62821512081057</c:v>
                </c:pt>
                <c:pt idx="51">
                  <c:v>113.56196414653154</c:v>
                </c:pt>
                <c:pt idx="52">
                  <c:v>114.18550272798126</c:v>
                </c:pt>
                <c:pt idx="53">
                  <c:v>118.00467653936084</c:v>
                </c:pt>
                <c:pt idx="54">
                  <c:v>112.31488698363209</c:v>
                </c:pt>
                <c:pt idx="55">
                  <c:v>113.95167575993763</c:v>
                </c:pt>
                <c:pt idx="56">
                  <c:v>110.98986749805142</c:v>
                </c:pt>
                <c:pt idx="57">
                  <c:v>114.10756040530005</c:v>
                </c:pt>
                <c:pt idx="58">
                  <c:v>118.70615744349179</c:v>
                </c:pt>
                <c:pt idx="59">
                  <c:v>122.44738893219017</c:v>
                </c:pt>
                <c:pt idx="60">
                  <c:v>125.79890880748243</c:v>
                </c:pt>
                <c:pt idx="61">
                  <c:v>130.16367887763053</c:v>
                </c:pt>
                <c:pt idx="62">
                  <c:v>125.95479345284488</c:v>
                </c:pt>
                <c:pt idx="63">
                  <c:v>127.35775526110676</c:v>
                </c:pt>
                <c:pt idx="64">
                  <c:v>127.82540919719405</c:v>
                </c:pt>
                <c:pt idx="65">
                  <c:v>140.68589243959465</c:v>
                </c:pt>
                <c:pt idx="66">
                  <c:v>140.68589243959465</c:v>
                </c:pt>
                <c:pt idx="67">
                  <c:v>136.16523772408414</c:v>
                </c:pt>
                <c:pt idx="68">
                  <c:v>137.10054559625871</c:v>
                </c:pt>
                <c:pt idx="69">
                  <c:v>133.593141075604</c:v>
                </c:pt>
                <c:pt idx="70">
                  <c:v>128.37100545596255</c:v>
                </c:pt>
                <c:pt idx="71">
                  <c:v>122.52533125487136</c:v>
                </c:pt>
                <c:pt idx="72">
                  <c:v>127.1239282930631</c:v>
                </c:pt>
                <c:pt idx="73">
                  <c:v>127.20187061574431</c:v>
                </c:pt>
                <c:pt idx="74">
                  <c:v>124.24006235385811</c:v>
                </c:pt>
                <c:pt idx="75">
                  <c:v>121.97973499610285</c:v>
                </c:pt>
                <c:pt idx="76">
                  <c:v>111.53546375681992</c:v>
                </c:pt>
                <c:pt idx="77">
                  <c:v>112.78254091971937</c:v>
                </c:pt>
                <c:pt idx="78">
                  <c:v>112.78254091971937</c:v>
                </c:pt>
                <c:pt idx="79">
                  <c:v>120.10911925175367</c:v>
                </c:pt>
                <c:pt idx="80">
                  <c:v>122.52533125487136</c:v>
                </c:pt>
                <c:pt idx="81">
                  <c:v>127.6695245518316</c:v>
                </c:pt>
                <c:pt idx="82">
                  <c:v>128.60483242400619</c:v>
                </c:pt>
                <c:pt idx="83">
                  <c:v>128.2151208106001</c:v>
                </c:pt>
                <c:pt idx="84">
                  <c:v>130.08573655494928</c:v>
                </c:pt>
                <c:pt idx="85">
                  <c:v>130.47544816835537</c:v>
                </c:pt>
                <c:pt idx="86">
                  <c:v>132.11223694466091</c:v>
                </c:pt>
                <c:pt idx="87">
                  <c:v>129.38425565081835</c:v>
                </c:pt>
                <c:pt idx="88">
                  <c:v>132.11223694466091</c:v>
                </c:pt>
                <c:pt idx="89">
                  <c:v>133.593141075604</c:v>
                </c:pt>
                <c:pt idx="90">
                  <c:v>131.1769290724863</c:v>
                </c:pt>
                <c:pt idx="91">
                  <c:v>125.48713951675754</c:v>
                </c:pt>
                <c:pt idx="92">
                  <c:v>124.70771628994538</c:v>
                </c:pt>
                <c:pt idx="93">
                  <c:v>123.07092751363984</c:v>
                </c:pt>
                <c:pt idx="94">
                  <c:v>122.29150428682769</c:v>
                </c:pt>
                <c:pt idx="95">
                  <c:v>129.92985190958683</c:v>
                </c:pt>
                <c:pt idx="96">
                  <c:v>132.57989088074817</c:v>
                </c:pt>
                <c:pt idx="97">
                  <c:v>134.52844894777857</c:v>
                </c:pt>
                <c:pt idx="98">
                  <c:v>140.29618082618856</c:v>
                </c:pt>
                <c:pt idx="99">
                  <c:v>141.46531566640678</c:v>
                </c:pt>
                <c:pt idx="100">
                  <c:v>142.55650818394381</c:v>
                </c:pt>
                <c:pt idx="101">
                  <c:v>138.34762275915816</c:v>
                </c:pt>
                <c:pt idx="102">
                  <c:v>140.29618082618856</c:v>
                </c:pt>
                <c:pt idx="103">
                  <c:v>140.45206547155098</c:v>
                </c:pt>
                <c:pt idx="104">
                  <c:v>138.11379579111451</c:v>
                </c:pt>
                <c:pt idx="105">
                  <c:v>133.51519875292277</c:v>
                </c:pt>
                <c:pt idx="106">
                  <c:v>130.78721745908021</c:v>
                </c:pt>
                <c:pt idx="107">
                  <c:v>128.83865939204981</c:v>
                </c:pt>
                <c:pt idx="108">
                  <c:v>128.99454403741225</c:v>
                </c:pt>
                <c:pt idx="109">
                  <c:v>131.1769290724863</c:v>
                </c:pt>
                <c:pt idx="110">
                  <c:v>130.31956352299292</c:v>
                </c:pt>
                <c:pt idx="111">
                  <c:v>129.07248636009345</c:v>
                </c:pt>
                <c:pt idx="112">
                  <c:v>127.20187061574427</c:v>
                </c:pt>
                <c:pt idx="113">
                  <c:v>127.43569758378793</c:v>
                </c:pt>
                <c:pt idx="114">
                  <c:v>133.12548713951668</c:v>
                </c:pt>
                <c:pt idx="115">
                  <c:v>135.38581449727195</c:v>
                </c:pt>
                <c:pt idx="116">
                  <c:v>135.61964146531562</c:v>
                </c:pt>
                <c:pt idx="117">
                  <c:v>135.4637568199532</c:v>
                </c:pt>
                <c:pt idx="118">
                  <c:v>139.5167575993764</c:v>
                </c:pt>
                <c:pt idx="119">
                  <c:v>138.11379579111451</c:v>
                </c:pt>
                <c:pt idx="120">
                  <c:v>134.76227591582222</c:v>
                </c:pt>
                <c:pt idx="121">
                  <c:v>132.73577552611061</c:v>
                </c:pt>
                <c:pt idx="122">
                  <c:v>137.41231488698355</c:v>
                </c:pt>
                <c:pt idx="123">
                  <c:v>138.81527669524544</c:v>
                </c:pt>
                <c:pt idx="124">
                  <c:v>139.28293063133276</c:v>
                </c:pt>
                <c:pt idx="125">
                  <c:v>138.8932190179267</c:v>
                </c:pt>
                <c:pt idx="126">
                  <c:v>136.63289166017145</c:v>
                </c:pt>
                <c:pt idx="127">
                  <c:v>141.30943102104442</c:v>
                </c:pt>
                <c:pt idx="128">
                  <c:v>143.1800467653936</c:v>
                </c:pt>
                <c:pt idx="129">
                  <c:v>141.46531566640684</c:v>
                </c:pt>
                <c:pt idx="130">
                  <c:v>141.77708495713171</c:v>
                </c:pt>
                <c:pt idx="131">
                  <c:v>143.41387373343724</c:v>
                </c:pt>
                <c:pt idx="132">
                  <c:v>139.28293063133279</c:v>
                </c:pt>
                <c:pt idx="133">
                  <c:v>134.60639127045982</c:v>
                </c:pt>
                <c:pt idx="134">
                  <c:v>135.77552611067804</c:v>
                </c:pt>
                <c:pt idx="135">
                  <c:v>142.32268121590016</c:v>
                </c:pt>
                <c:pt idx="136">
                  <c:v>149.49337490257201</c:v>
                </c:pt>
                <c:pt idx="137">
                  <c:v>147.38893219017919</c:v>
                </c:pt>
                <c:pt idx="138">
                  <c:v>149.41543257989079</c:v>
                </c:pt>
                <c:pt idx="139">
                  <c:v>146.60950896336701</c:v>
                </c:pt>
                <c:pt idx="140">
                  <c:v>143.25798908807474</c:v>
                </c:pt>
                <c:pt idx="141">
                  <c:v>142.634450506625</c:v>
                </c:pt>
                <c:pt idx="142">
                  <c:v>143.02416212003106</c:v>
                </c:pt>
                <c:pt idx="143">
                  <c:v>148.09041309431009</c:v>
                </c:pt>
                <c:pt idx="144">
                  <c:v>145.51831644582998</c:v>
                </c:pt>
                <c:pt idx="145">
                  <c:v>140.6858924395946</c:v>
                </c:pt>
                <c:pt idx="146">
                  <c:v>143.80358534684322</c:v>
                </c:pt>
                <c:pt idx="147">
                  <c:v>138.97116134060784</c:v>
                </c:pt>
                <c:pt idx="148">
                  <c:v>141.54325798908798</c:v>
                </c:pt>
                <c:pt idx="149">
                  <c:v>136.78877630553382</c:v>
                </c:pt>
                <c:pt idx="150">
                  <c:v>137.95791114575204</c:v>
                </c:pt>
                <c:pt idx="151">
                  <c:v>139.20498830865148</c:v>
                </c:pt>
                <c:pt idx="152">
                  <c:v>140.84177708495702</c:v>
                </c:pt>
                <c:pt idx="153">
                  <c:v>140.84177708495702</c:v>
                </c:pt>
                <c:pt idx="154">
                  <c:v>138.73733437256419</c:v>
                </c:pt>
                <c:pt idx="155">
                  <c:v>130.55339049103654</c:v>
                </c:pt>
                <c:pt idx="156">
                  <c:v>134.45050662509735</c:v>
                </c:pt>
                <c:pt idx="157">
                  <c:v>136.39906469212775</c:v>
                </c:pt>
                <c:pt idx="158">
                  <c:v>136.47700701480898</c:v>
                </c:pt>
                <c:pt idx="159">
                  <c:v>142.40062353858139</c:v>
                </c:pt>
                <c:pt idx="160">
                  <c:v>143.02416212003112</c:v>
                </c:pt>
                <c:pt idx="161">
                  <c:v>147.62275915822283</c:v>
                </c:pt>
                <c:pt idx="162">
                  <c:v>144.27123928293057</c:v>
                </c:pt>
                <c:pt idx="163">
                  <c:v>146.68745128604826</c:v>
                </c:pt>
                <c:pt idx="164">
                  <c:v>140.14029618082611</c:v>
                </c:pt>
                <c:pt idx="165">
                  <c:v>135.6196414653156</c:v>
                </c:pt>
                <c:pt idx="166">
                  <c:v>133.593141075604</c:v>
                </c:pt>
                <c:pt idx="167">
                  <c:v>130.08573655494928</c:v>
                </c:pt>
                <c:pt idx="168">
                  <c:v>132.42400623538575</c:v>
                </c:pt>
                <c:pt idx="169">
                  <c:v>130.39750584567415</c:v>
                </c:pt>
                <c:pt idx="170">
                  <c:v>136.32112236944656</c:v>
                </c:pt>
                <c:pt idx="171">
                  <c:v>136.39906469212775</c:v>
                </c:pt>
                <c:pt idx="172">
                  <c:v>133.98285268901006</c:v>
                </c:pt>
                <c:pt idx="173">
                  <c:v>128.99454403741225</c:v>
                </c:pt>
                <c:pt idx="174">
                  <c:v>128.83865939204983</c:v>
                </c:pt>
                <c:pt idx="175">
                  <c:v>124.16212003117688</c:v>
                </c:pt>
                <c:pt idx="176">
                  <c:v>122.44738893219014</c:v>
                </c:pt>
                <c:pt idx="177">
                  <c:v>126.11067809820727</c:v>
                </c:pt>
                <c:pt idx="178">
                  <c:v>126.50038971161335</c:v>
                </c:pt>
                <c:pt idx="179">
                  <c:v>126.6562743569758</c:v>
                </c:pt>
                <c:pt idx="180">
                  <c:v>126.57833203429459</c:v>
                </c:pt>
                <c:pt idx="181">
                  <c:v>133.90491036632886</c:v>
                </c:pt>
                <c:pt idx="182">
                  <c:v>137.64614185502722</c:v>
                </c:pt>
                <c:pt idx="183">
                  <c:v>139.75058456742005</c:v>
                </c:pt>
                <c:pt idx="184">
                  <c:v>162.50974279033508</c:v>
                </c:pt>
                <c:pt idx="185">
                  <c:v>170.30397505845664</c:v>
                </c:pt>
                <c:pt idx="186">
                  <c:v>169.13484021823842</c:v>
                </c:pt>
                <c:pt idx="187">
                  <c:v>172.64224473889314</c:v>
                </c:pt>
                <c:pt idx="188">
                  <c:v>185.1130163678877</c:v>
                </c:pt>
                <c:pt idx="189">
                  <c:v>183.16445830085729</c:v>
                </c:pt>
                <c:pt idx="190">
                  <c:v>188.62042088854238</c:v>
                </c:pt>
                <c:pt idx="191">
                  <c:v>192.12782540919713</c:v>
                </c:pt>
                <c:pt idx="192">
                  <c:v>207.32657833203425</c:v>
                </c:pt>
                <c:pt idx="193">
                  <c:v>225.64302416211999</c:v>
                </c:pt>
                <c:pt idx="194">
                  <c:v>215.90023382696799</c:v>
                </c:pt>
                <c:pt idx="195">
                  <c:v>222.91504286827742</c:v>
                </c:pt>
                <c:pt idx="196">
                  <c:v>215.90023382696799</c:v>
                </c:pt>
                <c:pt idx="197">
                  <c:v>219.7973499610288</c:v>
                </c:pt>
                <c:pt idx="198">
                  <c:v>224.47388932190174</c:v>
                </c:pt>
                <c:pt idx="199">
                  <c:v>229.54014029618077</c:v>
                </c:pt>
                <c:pt idx="200">
                  <c:v>218.62821512081055</c:v>
                </c:pt>
                <c:pt idx="201">
                  <c:v>212.78254091971937</c:v>
                </c:pt>
                <c:pt idx="202">
                  <c:v>217.84879189399837</c:v>
                </c:pt>
                <c:pt idx="203">
                  <c:v>209.27513639906462</c:v>
                </c:pt>
                <c:pt idx="204">
                  <c:v>212.00311769290718</c:v>
                </c:pt>
                <c:pt idx="205">
                  <c:v>209.27513639906465</c:v>
                </c:pt>
                <c:pt idx="206">
                  <c:v>196.80436477007009</c:v>
                </c:pt>
                <c:pt idx="207">
                  <c:v>194.46609508963363</c:v>
                </c:pt>
                <c:pt idx="208">
                  <c:v>202.26032735775522</c:v>
                </c:pt>
                <c:pt idx="209">
                  <c:v>201.48090413094306</c:v>
                </c:pt>
                <c:pt idx="210">
                  <c:v>203.42946219797346</c:v>
                </c:pt>
                <c:pt idx="211">
                  <c:v>196.02494154325797</c:v>
                </c:pt>
                <c:pt idx="212">
                  <c:v>203.0397505845674</c:v>
                </c:pt>
                <c:pt idx="213">
                  <c:v>202.65003897116131</c:v>
                </c:pt>
                <c:pt idx="214">
                  <c:v>203.03975058456737</c:v>
                </c:pt>
                <c:pt idx="215">
                  <c:v>208.49571317225249</c:v>
                </c:pt>
                <c:pt idx="216">
                  <c:v>212.00311769290721</c:v>
                </c:pt>
                <c:pt idx="217">
                  <c:v>203.81917381137956</c:v>
                </c:pt>
                <c:pt idx="218">
                  <c:v>216.28994544037408</c:v>
                </c:pt>
                <c:pt idx="219">
                  <c:v>207.71628994544034</c:v>
                </c:pt>
                <c:pt idx="220">
                  <c:v>217.84879189399842</c:v>
                </c:pt>
                <c:pt idx="221">
                  <c:v>223.69446609508964</c:v>
                </c:pt>
                <c:pt idx="222">
                  <c:v>224.08417770849573</c:v>
                </c:pt>
                <c:pt idx="223">
                  <c:v>233.4372564302416</c:v>
                </c:pt>
                <c:pt idx="224">
                  <c:v>212.78254091971939</c:v>
                </c:pt>
                <c:pt idx="225">
                  <c:v>227.98129384255648</c:v>
                </c:pt>
                <c:pt idx="226">
                  <c:v>226.81215900233826</c:v>
                </c:pt>
                <c:pt idx="227">
                  <c:v>217.84879189399845</c:v>
                </c:pt>
                <c:pt idx="228">
                  <c:v>204.59859703819177</c:v>
                </c:pt>
                <c:pt idx="229">
                  <c:v>183.55416991426347</c:v>
                </c:pt>
                <c:pt idx="230">
                  <c:v>181.60561184723306</c:v>
                </c:pt>
                <c:pt idx="231">
                  <c:v>182.38503507404525</c:v>
                </c:pt>
                <c:pt idx="232">
                  <c:v>178.48791893998444</c:v>
                </c:pt>
                <c:pt idx="233">
                  <c:v>174.20109119251757</c:v>
                </c:pt>
                <c:pt idx="234">
                  <c:v>174.59080280592366</c:v>
                </c:pt>
                <c:pt idx="235">
                  <c:v>184.72330475448172</c:v>
                </c:pt>
                <c:pt idx="236">
                  <c:v>180.43647700701484</c:v>
                </c:pt>
                <c:pt idx="237">
                  <c:v>187.84099766173034</c:v>
                </c:pt>
                <c:pt idx="238">
                  <c:v>179.2673421667966</c:v>
                </c:pt>
                <c:pt idx="239">
                  <c:v>186.28215120810603</c:v>
                </c:pt>
                <c:pt idx="240">
                  <c:v>188.23070927513643</c:v>
                </c:pt>
                <c:pt idx="241">
                  <c:v>185.50272798129387</c:v>
                </c:pt>
                <c:pt idx="242">
                  <c:v>185.89243959469997</c:v>
                </c:pt>
              </c:numCache>
            </c:numRef>
          </c:val>
          <c:smooth val="0"/>
          <c:extLst>
            <c:ext xmlns:c16="http://schemas.microsoft.com/office/drawing/2014/chart" uri="{C3380CC4-5D6E-409C-BE32-E72D297353CC}">
              <c16:uniqueId val="{00000001-5069-41F0-A972-CFC9FCB2FE47}"/>
            </c:ext>
          </c:extLst>
        </c:ser>
        <c:ser>
          <c:idx val="2"/>
          <c:order val="2"/>
          <c:tx>
            <c:strRef>
              <c:f>PRICE!$J$1</c:f>
              <c:strCache>
                <c:ptCount val="1"/>
                <c:pt idx="0">
                  <c:v>하나머티리얼즈</c:v>
                </c:pt>
              </c:strCache>
            </c:strRef>
          </c:tx>
          <c:spPr>
            <a:ln w="28575" cap="rnd">
              <a:solidFill>
                <a:schemeClr val="accent3"/>
              </a:solidFill>
              <a:round/>
            </a:ln>
            <a:effectLst/>
          </c:spPr>
          <c:marker>
            <c:symbol val="none"/>
          </c:marker>
          <c:cat>
            <c:strRef>
              <c:f>PRICE!$A$2:$A$244</c:f>
              <c:strCache>
                <c:ptCount val="243"/>
                <c:pt idx="0">
                  <c:v>2024/12/10</c:v>
                </c:pt>
                <c:pt idx="1">
                  <c:v>2024/12/11</c:v>
                </c:pt>
                <c:pt idx="2">
                  <c:v>2024/12/12</c:v>
                </c:pt>
                <c:pt idx="3">
                  <c:v>2024/12/13</c:v>
                </c:pt>
                <c:pt idx="4">
                  <c:v>2024/12/16</c:v>
                </c:pt>
                <c:pt idx="5">
                  <c:v>2024/12/17</c:v>
                </c:pt>
                <c:pt idx="6">
                  <c:v>2024/12/18</c:v>
                </c:pt>
                <c:pt idx="7">
                  <c:v>2024/12/19</c:v>
                </c:pt>
                <c:pt idx="8">
                  <c:v>2024/12/20</c:v>
                </c:pt>
                <c:pt idx="9">
                  <c:v>2024/12/23</c:v>
                </c:pt>
                <c:pt idx="10">
                  <c:v>2024/12/24</c:v>
                </c:pt>
                <c:pt idx="11">
                  <c:v>2024/12/26</c:v>
                </c:pt>
                <c:pt idx="12">
                  <c:v>2024/12/27</c:v>
                </c:pt>
                <c:pt idx="13">
                  <c:v>2024/12/30</c:v>
                </c:pt>
                <c:pt idx="14">
                  <c:v>2025/01/02</c:v>
                </c:pt>
                <c:pt idx="15">
                  <c:v>2025/01/03</c:v>
                </c:pt>
                <c:pt idx="16">
                  <c:v>2025/01/06</c:v>
                </c:pt>
                <c:pt idx="17">
                  <c:v>2025/01/07</c:v>
                </c:pt>
                <c:pt idx="18">
                  <c:v>2025/01/08</c:v>
                </c:pt>
                <c:pt idx="19">
                  <c:v>2025/01/09</c:v>
                </c:pt>
                <c:pt idx="20">
                  <c:v>2025/01/10</c:v>
                </c:pt>
                <c:pt idx="21">
                  <c:v>2025/01/13</c:v>
                </c:pt>
                <c:pt idx="22">
                  <c:v>2025/01/14</c:v>
                </c:pt>
                <c:pt idx="23">
                  <c:v>2025/01/15</c:v>
                </c:pt>
                <c:pt idx="24">
                  <c:v>2025/01/16</c:v>
                </c:pt>
                <c:pt idx="25">
                  <c:v>2025/01/17</c:v>
                </c:pt>
                <c:pt idx="26">
                  <c:v>2025/01/20</c:v>
                </c:pt>
                <c:pt idx="27">
                  <c:v>2025/01/21</c:v>
                </c:pt>
                <c:pt idx="28">
                  <c:v>2025/01/22</c:v>
                </c:pt>
                <c:pt idx="29">
                  <c:v>2025/01/23</c:v>
                </c:pt>
                <c:pt idx="30">
                  <c:v>2025/01/24</c:v>
                </c:pt>
                <c:pt idx="31">
                  <c:v>2025/01/31</c:v>
                </c:pt>
                <c:pt idx="32">
                  <c:v>2025/02/03</c:v>
                </c:pt>
                <c:pt idx="33">
                  <c:v>2025/02/04</c:v>
                </c:pt>
                <c:pt idx="34">
                  <c:v>2025/02/05</c:v>
                </c:pt>
                <c:pt idx="35">
                  <c:v>2025/02/06</c:v>
                </c:pt>
                <c:pt idx="36">
                  <c:v>2025/02/07</c:v>
                </c:pt>
                <c:pt idx="37">
                  <c:v>2025/02/10</c:v>
                </c:pt>
                <c:pt idx="38">
                  <c:v>2025/02/11</c:v>
                </c:pt>
                <c:pt idx="39">
                  <c:v>2025/02/12</c:v>
                </c:pt>
                <c:pt idx="40">
                  <c:v>2025/02/13</c:v>
                </c:pt>
                <c:pt idx="41">
                  <c:v>2025/02/14</c:v>
                </c:pt>
                <c:pt idx="42">
                  <c:v>2025/02/17</c:v>
                </c:pt>
                <c:pt idx="43">
                  <c:v>2025/02/18</c:v>
                </c:pt>
                <c:pt idx="44">
                  <c:v>2025/02/19</c:v>
                </c:pt>
                <c:pt idx="45">
                  <c:v>2025/02/20</c:v>
                </c:pt>
                <c:pt idx="46">
                  <c:v>2025/02/21</c:v>
                </c:pt>
                <c:pt idx="47">
                  <c:v>2025/02/24</c:v>
                </c:pt>
                <c:pt idx="48">
                  <c:v>2025/02/25</c:v>
                </c:pt>
                <c:pt idx="49">
                  <c:v>2025/02/26</c:v>
                </c:pt>
                <c:pt idx="50">
                  <c:v>2025/02/27</c:v>
                </c:pt>
                <c:pt idx="51">
                  <c:v>2025/02/28</c:v>
                </c:pt>
                <c:pt idx="52">
                  <c:v>2025/03/04</c:v>
                </c:pt>
                <c:pt idx="53">
                  <c:v>2025/03/05</c:v>
                </c:pt>
                <c:pt idx="54">
                  <c:v>2025/03/06</c:v>
                </c:pt>
                <c:pt idx="55">
                  <c:v>2025/03/07</c:v>
                </c:pt>
                <c:pt idx="56">
                  <c:v>2025/03/10</c:v>
                </c:pt>
                <c:pt idx="57">
                  <c:v>2025/03/11</c:v>
                </c:pt>
                <c:pt idx="58">
                  <c:v>2025/03/12</c:v>
                </c:pt>
                <c:pt idx="59">
                  <c:v>2025/03/13</c:v>
                </c:pt>
                <c:pt idx="60">
                  <c:v>2025/03/14</c:v>
                </c:pt>
                <c:pt idx="61">
                  <c:v>2025/03/17</c:v>
                </c:pt>
                <c:pt idx="62">
                  <c:v>2025/03/18</c:v>
                </c:pt>
                <c:pt idx="63">
                  <c:v>2025/03/19</c:v>
                </c:pt>
                <c:pt idx="64">
                  <c:v>2025/03/20</c:v>
                </c:pt>
                <c:pt idx="65">
                  <c:v>2025/03/21</c:v>
                </c:pt>
                <c:pt idx="66">
                  <c:v>2025/03/24</c:v>
                </c:pt>
                <c:pt idx="67">
                  <c:v>2025/03/25</c:v>
                </c:pt>
                <c:pt idx="68">
                  <c:v>2025/03/26</c:v>
                </c:pt>
                <c:pt idx="69">
                  <c:v>2025/03/27</c:v>
                </c:pt>
                <c:pt idx="70">
                  <c:v>2025/03/28</c:v>
                </c:pt>
                <c:pt idx="71">
                  <c:v>2025/03/31</c:v>
                </c:pt>
                <c:pt idx="72">
                  <c:v>2025/04/01</c:v>
                </c:pt>
                <c:pt idx="73">
                  <c:v>2025/04/02</c:v>
                </c:pt>
                <c:pt idx="74">
                  <c:v>2025/04/03</c:v>
                </c:pt>
                <c:pt idx="75">
                  <c:v>2025/04/04</c:v>
                </c:pt>
                <c:pt idx="76">
                  <c:v>2025/04/07</c:v>
                </c:pt>
                <c:pt idx="77">
                  <c:v>2025/04/08</c:v>
                </c:pt>
                <c:pt idx="78">
                  <c:v>2025/04/09</c:v>
                </c:pt>
                <c:pt idx="79">
                  <c:v>2025/04/10</c:v>
                </c:pt>
                <c:pt idx="80">
                  <c:v>2025/04/11</c:v>
                </c:pt>
                <c:pt idx="81">
                  <c:v>2025/04/14</c:v>
                </c:pt>
                <c:pt idx="82">
                  <c:v>2025/04/15</c:v>
                </c:pt>
                <c:pt idx="83">
                  <c:v>2025/04/16</c:v>
                </c:pt>
                <c:pt idx="84">
                  <c:v>2025/04/17</c:v>
                </c:pt>
                <c:pt idx="85">
                  <c:v>2025/04/18</c:v>
                </c:pt>
                <c:pt idx="86">
                  <c:v>2025/04/21</c:v>
                </c:pt>
                <c:pt idx="87">
                  <c:v>2025/04/22</c:v>
                </c:pt>
                <c:pt idx="88">
                  <c:v>2025/04/23</c:v>
                </c:pt>
                <c:pt idx="89">
                  <c:v>2025/04/24</c:v>
                </c:pt>
                <c:pt idx="90">
                  <c:v>2025/04/25</c:v>
                </c:pt>
                <c:pt idx="91">
                  <c:v>2025/04/28</c:v>
                </c:pt>
                <c:pt idx="92">
                  <c:v>2025/04/29</c:v>
                </c:pt>
                <c:pt idx="93">
                  <c:v>2025/04/30</c:v>
                </c:pt>
                <c:pt idx="94">
                  <c:v>2025/05/02</c:v>
                </c:pt>
                <c:pt idx="95">
                  <c:v>2025/05/07</c:v>
                </c:pt>
                <c:pt idx="96">
                  <c:v>2025/05/08</c:v>
                </c:pt>
                <c:pt idx="97">
                  <c:v>2025/05/09</c:v>
                </c:pt>
                <c:pt idx="98">
                  <c:v>2025/05/12</c:v>
                </c:pt>
                <c:pt idx="99">
                  <c:v>2025/05/13</c:v>
                </c:pt>
                <c:pt idx="100">
                  <c:v>2025/05/14</c:v>
                </c:pt>
                <c:pt idx="101">
                  <c:v>2025/05/15</c:v>
                </c:pt>
                <c:pt idx="102">
                  <c:v>2025/05/16</c:v>
                </c:pt>
                <c:pt idx="103">
                  <c:v>2025/05/19</c:v>
                </c:pt>
                <c:pt idx="104">
                  <c:v>2025/05/20</c:v>
                </c:pt>
                <c:pt idx="105">
                  <c:v>2025/05/21</c:v>
                </c:pt>
                <c:pt idx="106">
                  <c:v>2025/05/22</c:v>
                </c:pt>
                <c:pt idx="107">
                  <c:v>2025/05/23</c:v>
                </c:pt>
                <c:pt idx="108">
                  <c:v>2025/05/26</c:v>
                </c:pt>
                <c:pt idx="109">
                  <c:v>2025/05/27</c:v>
                </c:pt>
                <c:pt idx="110">
                  <c:v>2025/05/28</c:v>
                </c:pt>
                <c:pt idx="111">
                  <c:v>2025/05/29</c:v>
                </c:pt>
                <c:pt idx="112">
                  <c:v>2025/05/30</c:v>
                </c:pt>
                <c:pt idx="113">
                  <c:v>2025/06/02</c:v>
                </c:pt>
                <c:pt idx="114">
                  <c:v>2025/06/04</c:v>
                </c:pt>
                <c:pt idx="115">
                  <c:v>2025/06/05</c:v>
                </c:pt>
                <c:pt idx="116">
                  <c:v>2025/06/09</c:v>
                </c:pt>
                <c:pt idx="117">
                  <c:v>2025/06/10</c:v>
                </c:pt>
                <c:pt idx="118">
                  <c:v>2025/06/11</c:v>
                </c:pt>
                <c:pt idx="119">
                  <c:v>2025/06/12</c:v>
                </c:pt>
                <c:pt idx="120">
                  <c:v>2025/06/13</c:v>
                </c:pt>
                <c:pt idx="121">
                  <c:v>2025/06/16</c:v>
                </c:pt>
                <c:pt idx="122">
                  <c:v>2025/06/17</c:v>
                </c:pt>
                <c:pt idx="123">
                  <c:v>2025/06/18</c:v>
                </c:pt>
                <c:pt idx="124">
                  <c:v>2025/06/19</c:v>
                </c:pt>
                <c:pt idx="125">
                  <c:v>2025/06/20</c:v>
                </c:pt>
                <c:pt idx="126">
                  <c:v>2025/06/23</c:v>
                </c:pt>
                <c:pt idx="127">
                  <c:v>2025/06/24</c:v>
                </c:pt>
                <c:pt idx="128">
                  <c:v>2025/06/25</c:v>
                </c:pt>
                <c:pt idx="129">
                  <c:v>2025/06/26</c:v>
                </c:pt>
                <c:pt idx="130">
                  <c:v>2025/06/27</c:v>
                </c:pt>
                <c:pt idx="131">
                  <c:v>2025/06/30</c:v>
                </c:pt>
                <c:pt idx="132">
                  <c:v>2025/07/01</c:v>
                </c:pt>
                <c:pt idx="133">
                  <c:v>2025/07/02</c:v>
                </c:pt>
                <c:pt idx="134">
                  <c:v>2025/07/03</c:v>
                </c:pt>
                <c:pt idx="135">
                  <c:v>2025/07/04</c:v>
                </c:pt>
                <c:pt idx="136">
                  <c:v>2025/07/07</c:v>
                </c:pt>
                <c:pt idx="137">
                  <c:v>2025/07/08</c:v>
                </c:pt>
                <c:pt idx="138">
                  <c:v>2025/07/09</c:v>
                </c:pt>
                <c:pt idx="139">
                  <c:v>2025/07/10</c:v>
                </c:pt>
                <c:pt idx="140">
                  <c:v>2025/07/11</c:v>
                </c:pt>
                <c:pt idx="141">
                  <c:v>2025/07/14</c:v>
                </c:pt>
                <c:pt idx="142">
                  <c:v>2025/07/15</c:v>
                </c:pt>
                <c:pt idx="143">
                  <c:v>2025/07/16</c:v>
                </c:pt>
                <c:pt idx="144">
                  <c:v>2025/07/17</c:v>
                </c:pt>
                <c:pt idx="145">
                  <c:v>2025/07/18</c:v>
                </c:pt>
                <c:pt idx="146">
                  <c:v>2025/07/21</c:v>
                </c:pt>
                <c:pt idx="147">
                  <c:v>2025/07/22</c:v>
                </c:pt>
                <c:pt idx="148">
                  <c:v>2025/07/23</c:v>
                </c:pt>
                <c:pt idx="149">
                  <c:v>2025/07/24</c:v>
                </c:pt>
                <c:pt idx="150">
                  <c:v>2025/07/25</c:v>
                </c:pt>
                <c:pt idx="151">
                  <c:v>2025/07/28</c:v>
                </c:pt>
                <c:pt idx="152">
                  <c:v>2025/07/29</c:v>
                </c:pt>
                <c:pt idx="153">
                  <c:v>2025/07/30</c:v>
                </c:pt>
                <c:pt idx="154">
                  <c:v>2025/07/31</c:v>
                </c:pt>
                <c:pt idx="155">
                  <c:v>2025/08/01</c:v>
                </c:pt>
                <c:pt idx="156">
                  <c:v>2025/08/04</c:v>
                </c:pt>
                <c:pt idx="157">
                  <c:v>2025/08/05</c:v>
                </c:pt>
                <c:pt idx="158">
                  <c:v>2025/08/06</c:v>
                </c:pt>
                <c:pt idx="159">
                  <c:v>2025/08/07</c:v>
                </c:pt>
                <c:pt idx="160">
                  <c:v>2025/08/08</c:v>
                </c:pt>
                <c:pt idx="161">
                  <c:v>2025/08/11</c:v>
                </c:pt>
                <c:pt idx="162">
                  <c:v>2025/08/12</c:v>
                </c:pt>
                <c:pt idx="163">
                  <c:v>2025/08/13</c:v>
                </c:pt>
                <c:pt idx="164">
                  <c:v>2025/08/14</c:v>
                </c:pt>
                <c:pt idx="165">
                  <c:v>2025/08/18</c:v>
                </c:pt>
                <c:pt idx="166">
                  <c:v>2025/08/19</c:v>
                </c:pt>
                <c:pt idx="167">
                  <c:v>2025/08/20</c:v>
                </c:pt>
                <c:pt idx="168">
                  <c:v>2025/08/21</c:v>
                </c:pt>
                <c:pt idx="169">
                  <c:v>2025/08/22</c:v>
                </c:pt>
                <c:pt idx="170">
                  <c:v>2025/08/25</c:v>
                </c:pt>
                <c:pt idx="171">
                  <c:v>2025/08/26</c:v>
                </c:pt>
                <c:pt idx="172">
                  <c:v>2025/08/27</c:v>
                </c:pt>
                <c:pt idx="173">
                  <c:v>2025/08/28</c:v>
                </c:pt>
                <c:pt idx="174">
                  <c:v>2025/08/29</c:v>
                </c:pt>
                <c:pt idx="175">
                  <c:v>2025/09/01</c:v>
                </c:pt>
                <c:pt idx="176">
                  <c:v>2025/09/02</c:v>
                </c:pt>
                <c:pt idx="177">
                  <c:v>2025/09/03</c:v>
                </c:pt>
                <c:pt idx="178">
                  <c:v>2025/09/04</c:v>
                </c:pt>
                <c:pt idx="179">
                  <c:v>2025/09/05</c:v>
                </c:pt>
                <c:pt idx="180">
                  <c:v>2025/09/08</c:v>
                </c:pt>
                <c:pt idx="181">
                  <c:v>2025/09/09</c:v>
                </c:pt>
                <c:pt idx="182">
                  <c:v>2025/09/10</c:v>
                </c:pt>
                <c:pt idx="183">
                  <c:v>2025/09/11</c:v>
                </c:pt>
                <c:pt idx="184">
                  <c:v>2025/09/12</c:v>
                </c:pt>
                <c:pt idx="185">
                  <c:v>2025/09/15</c:v>
                </c:pt>
                <c:pt idx="186">
                  <c:v>2025/09/16</c:v>
                </c:pt>
                <c:pt idx="187">
                  <c:v>2025/09/17</c:v>
                </c:pt>
                <c:pt idx="188">
                  <c:v>2025/09/18</c:v>
                </c:pt>
                <c:pt idx="189">
                  <c:v>2025/09/19</c:v>
                </c:pt>
                <c:pt idx="190">
                  <c:v>2025/09/22</c:v>
                </c:pt>
                <c:pt idx="191">
                  <c:v>2025/09/23</c:v>
                </c:pt>
                <c:pt idx="192">
                  <c:v>2025/09/24</c:v>
                </c:pt>
                <c:pt idx="193">
                  <c:v>2025/09/25</c:v>
                </c:pt>
                <c:pt idx="194">
                  <c:v>2025/09/26</c:v>
                </c:pt>
                <c:pt idx="195">
                  <c:v>2025/09/29</c:v>
                </c:pt>
                <c:pt idx="196">
                  <c:v>2025/09/30</c:v>
                </c:pt>
                <c:pt idx="197">
                  <c:v>2025/10/01</c:v>
                </c:pt>
                <c:pt idx="198">
                  <c:v>2025/10/02</c:v>
                </c:pt>
                <c:pt idx="199">
                  <c:v>2025/10/10</c:v>
                </c:pt>
                <c:pt idx="200">
                  <c:v>2025/10/13</c:v>
                </c:pt>
                <c:pt idx="201">
                  <c:v>2025/10/14</c:v>
                </c:pt>
                <c:pt idx="202">
                  <c:v>2025/10/15</c:v>
                </c:pt>
                <c:pt idx="203">
                  <c:v>2025/10/16</c:v>
                </c:pt>
                <c:pt idx="204">
                  <c:v>2025/10/17</c:v>
                </c:pt>
                <c:pt idx="205">
                  <c:v>2025/10/20</c:v>
                </c:pt>
                <c:pt idx="206">
                  <c:v>2025/10/21</c:v>
                </c:pt>
                <c:pt idx="207">
                  <c:v>2025/10/22</c:v>
                </c:pt>
                <c:pt idx="208">
                  <c:v>2025/10/23</c:v>
                </c:pt>
                <c:pt idx="209">
                  <c:v>2025/10/24</c:v>
                </c:pt>
                <c:pt idx="210">
                  <c:v>2025/10/27</c:v>
                </c:pt>
                <c:pt idx="211">
                  <c:v>2025/10/28</c:v>
                </c:pt>
                <c:pt idx="212">
                  <c:v>2025/10/29</c:v>
                </c:pt>
                <c:pt idx="213">
                  <c:v>2025/10/30</c:v>
                </c:pt>
                <c:pt idx="214">
                  <c:v>2025/10/31</c:v>
                </c:pt>
                <c:pt idx="215">
                  <c:v>2025/11/03</c:v>
                </c:pt>
                <c:pt idx="216">
                  <c:v>2025/11/04</c:v>
                </c:pt>
                <c:pt idx="217">
                  <c:v>2025/11/05</c:v>
                </c:pt>
                <c:pt idx="218">
                  <c:v>2025/11/06</c:v>
                </c:pt>
                <c:pt idx="219">
                  <c:v>2025/11/07</c:v>
                </c:pt>
                <c:pt idx="220">
                  <c:v>2025/11/10</c:v>
                </c:pt>
                <c:pt idx="221">
                  <c:v>2025/11/11</c:v>
                </c:pt>
                <c:pt idx="222">
                  <c:v>2025/11/12</c:v>
                </c:pt>
                <c:pt idx="223">
                  <c:v>2025/11/13</c:v>
                </c:pt>
                <c:pt idx="224">
                  <c:v>2025/11/14</c:v>
                </c:pt>
                <c:pt idx="225">
                  <c:v>2025/11/17</c:v>
                </c:pt>
                <c:pt idx="226">
                  <c:v>2025/11/18</c:v>
                </c:pt>
                <c:pt idx="227">
                  <c:v>2025/11/19</c:v>
                </c:pt>
                <c:pt idx="228">
                  <c:v>2025/11/20</c:v>
                </c:pt>
                <c:pt idx="229">
                  <c:v>2025/11/21</c:v>
                </c:pt>
                <c:pt idx="230">
                  <c:v>2025/11/24</c:v>
                </c:pt>
                <c:pt idx="231">
                  <c:v>2025/11/25</c:v>
                </c:pt>
                <c:pt idx="232">
                  <c:v>2025/11/26</c:v>
                </c:pt>
                <c:pt idx="233">
                  <c:v>2025/11/27</c:v>
                </c:pt>
                <c:pt idx="234">
                  <c:v>2025/11/28</c:v>
                </c:pt>
                <c:pt idx="235">
                  <c:v>2025/12/01</c:v>
                </c:pt>
                <c:pt idx="236">
                  <c:v>2025/12/02</c:v>
                </c:pt>
                <c:pt idx="237">
                  <c:v>2025/12/03</c:v>
                </c:pt>
                <c:pt idx="238">
                  <c:v>2025/12/04</c:v>
                </c:pt>
                <c:pt idx="239">
                  <c:v>2025/12/05</c:v>
                </c:pt>
                <c:pt idx="240">
                  <c:v>2025/12/08</c:v>
                </c:pt>
                <c:pt idx="241">
                  <c:v>2025/12/09</c:v>
                </c:pt>
                <c:pt idx="242">
                  <c:v>2025/12/10</c:v>
                </c:pt>
              </c:strCache>
            </c:strRef>
          </c:cat>
          <c:val>
            <c:numRef>
              <c:f>PRICE!$K$2:$K$244</c:f>
              <c:numCache>
                <c:formatCode>#,##0</c:formatCode>
                <c:ptCount val="243"/>
                <c:pt idx="0">
                  <c:v>100</c:v>
                </c:pt>
                <c:pt idx="1">
                  <c:v>103.08370044052863</c:v>
                </c:pt>
                <c:pt idx="2">
                  <c:v>105.72687224669602</c:v>
                </c:pt>
                <c:pt idx="3">
                  <c:v>104.62555066079294</c:v>
                </c:pt>
                <c:pt idx="4">
                  <c:v>105.06607929515417</c:v>
                </c:pt>
                <c:pt idx="5">
                  <c:v>106.38766519823787</c:v>
                </c:pt>
                <c:pt idx="6">
                  <c:v>107.70925110132157</c:v>
                </c:pt>
                <c:pt idx="7">
                  <c:v>102.20264317180616</c:v>
                </c:pt>
                <c:pt idx="8">
                  <c:v>101.54185022026431</c:v>
                </c:pt>
                <c:pt idx="9">
                  <c:v>105.06607929515418</c:v>
                </c:pt>
                <c:pt idx="10">
                  <c:v>106.38766519823788</c:v>
                </c:pt>
                <c:pt idx="11">
                  <c:v>103.52422907488987</c:v>
                </c:pt>
                <c:pt idx="12">
                  <c:v>100.22026431718062</c:v>
                </c:pt>
                <c:pt idx="13">
                  <c:v>101.10132158590308</c:v>
                </c:pt>
                <c:pt idx="14">
                  <c:v>100.44052863436123</c:v>
                </c:pt>
                <c:pt idx="15">
                  <c:v>106.60792951541849</c:v>
                </c:pt>
                <c:pt idx="16">
                  <c:v>113.87665198237883</c:v>
                </c:pt>
                <c:pt idx="17">
                  <c:v>109.91189427312773</c:v>
                </c:pt>
                <c:pt idx="18">
                  <c:v>119.82378854625547</c:v>
                </c:pt>
                <c:pt idx="19">
                  <c:v>115.63876651982376</c:v>
                </c:pt>
                <c:pt idx="20">
                  <c:v>115.85903083700437</c:v>
                </c:pt>
                <c:pt idx="21">
                  <c:v>112.99559471365635</c:v>
                </c:pt>
                <c:pt idx="22">
                  <c:v>114.75770925110128</c:v>
                </c:pt>
                <c:pt idx="23">
                  <c:v>117.40088105726868</c:v>
                </c:pt>
                <c:pt idx="24">
                  <c:v>119.16299559471361</c:v>
                </c:pt>
                <c:pt idx="25">
                  <c:v>120.48458149779729</c:v>
                </c:pt>
                <c:pt idx="26">
                  <c:v>117.62114537444927</c:v>
                </c:pt>
                <c:pt idx="27">
                  <c:v>117.62114537444927</c:v>
                </c:pt>
                <c:pt idx="28">
                  <c:v>117.62114537444927</c:v>
                </c:pt>
                <c:pt idx="29">
                  <c:v>112.77533039647571</c:v>
                </c:pt>
                <c:pt idx="30">
                  <c:v>116.96035242290742</c:v>
                </c:pt>
                <c:pt idx="31">
                  <c:v>108.37004405286338</c:v>
                </c:pt>
                <c:pt idx="32">
                  <c:v>101.32158590308364</c:v>
                </c:pt>
                <c:pt idx="33">
                  <c:v>101.98237885462549</c:v>
                </c:pt>
                <c:pt idx="34">
                  <c:v>101.32158590308364</c:v>
                </c:pt>
                <c:pt idx="35">
                  <c:v>105.28634361233475</c:v>
                </c:pt>
                <c:pt idx="36">
                  <c:v>109.25110132158585</c:v>
                </c:pt>
                <c:pt idx="37">
                  <c:v>128.19383259911888</c:v>
                </c:pt>
                <c:pt idx="38">
                  <c:v>128.63436123348012</c:v>
                </c:pt>
                <c:pt idx="39">
                  <c:v>124.22907488986779</c:v>
                </c:pt>
                <c:pt idx="40">
                  <c:v>129.95594713656382</c:v>
                </c:pt>
                <c:pt idx="41">
                  <c:v>129.73568281938321</c:v>
                </c:pt>
                <c:pt idx="42">
                  <c:v>137.44493392070478</c:v>
                </c:pt>
                <c:pt idx="43">
                  <c:v>146.47577092511006</c:v>
                </c:pt>
                <c:pt idx="44">
                  <c:v>150.66079295154177</c:v>
                </c:pt>
                <c:pt idx="45">
                  <c:v>147.13656387665191</c:v>
                </c:pt>
                <c:pt idx="46">
                  <c:v>149.77973568281931</c:v>
                </c:pt>
                <c:pt idx="47">
                  <c:v>145.37444933920696</c:v>
                </c:pt>
                <c:pt idx="48">
                  <c:v>153.08370044052853</c:v>
                </c:pt>
                <c:pt idx="49">
                  <c:v>146.03524229074881</c:v>
                </c:pt>
                <c:pt idx="50">
                  <c:v>139.2070484581497</c:v>
                </c:pt>
                <c:pt idx="51">
                  <c:v>130.17621145374443</c:v>
                </c:pt>
                <c:pt idx="52">
                  <c:v>123.56828193832592</c:v>
                </c:pt>
                <c:pt idx="53">
                  <c:v>122.90748898678407</c:v>
                </c:pt>
                <c:pt idx="54">
                  <c:v>115.63876651982373</c:v>
                </c:pt>
                <c:pt idx="55">
                  <c:v>129.95594713656382</c:v>
                </c:pt>
                <c:pt idx="56">
                  <c:v>128.41409691629951</c:v>
                </c:pt>
                <c:pt idx="57">
                  <c:v>129.73568281938321</c:v>
                </c:pt>
                <c:pt idx="58">
                  <c:v>145.15418502202638</c:v>
                </c:pt>
                <c:pt idx="59">
                  <c:v>145.15418502202638</c:v>
                </c:pt>
                <c:pt idx="60">
                  <c:v>154.8458149779735</c:v>
                </c:pt>
                <c:pt idx="61">
                  <c:v>161.45374449339201</c:v>
                </c:pt>
                <c:pt idx="62">
                  <c:v>162.11453744493389</c:v>
                </c:pt>
                <c:pt idx="63">
                  <c:v>162.77533039647574</c:v>
                </c:pt>
                <c:pt idx="64">
                  <c:v>162.33480176211452</c:v>
                </c:pt>
                <c:pt idx="65">
                  <c:v>164.75770925110132</c:v>
                </c:pt>
                <c:pt idx="66">
                  <c:v>160.57268722466961</c:v>
                </c:pt>
                <c:pt idx="67">
                  <c:v>149.77973568281939</c:v>
                </c:pt>
                <c:pt idx="68">
                  <c:v>149.55947136563879</c:v>
                </c:pt>
                <c:pt idx="69">
                  <c:v>148.23788546255508</c:v>
                </c:pt>
                <c:pt idx="70">
                  <c:v>142.29074889867843</c:v>
                </c:pt>
                <c:pt idx="71">
                  <c:v>135.68281938325993</c:v>
                </c:pt>
                <c:pt idx="72">
                  <c:v>143.61233480176213</c:v>
                </c:pt>
                <c:pt idx="73">
                  <c:v>140.30837004405288</c:v>
                </c:pt>
                <c:pt idx="74">
                  <c:v>138.32599118942733</c:v>
                </c:pt>
                <c:pt idx="75">
                  <c:v>127.31277533039649</c:v>
                </c:pt>
                <c:pt idx="76">
                  <c:v>118.72246696035243</c:v>
                </c:pt>
                <c:pt idx="77">
                  <c:v>117.40088105726873</c:v>
                </c:pt>
                <c:pt idx="78">
                  <c:v>114.75770925110133</c:v>
                </c:pt>
                <c:pt idx="79">
                  <c:v>122.02643171806169</c:v>
                </c:pt>
                <c:pt idx="80">
                  <c:v>122.02643171806169</c:v>
                </c:pt>
                <c:pt idx="81">
                  <c:v>124.44933920704848</c:v>
                </c:pt>
                <c:pt idx="82">
                  <c:v>125.55066079295156</c:v>
                </c:pt>
                <c:pt idx="83">
                  <c:v>115.85903083700443</c:v>
                </c:pt>
                <c:pt idx="84">
                  <c:v>118.94273127753304</c:v>
                </c:pt>
                <c:pt idx="85">
                  <c:v>118.06167400881057</c:v>
                </c:pt>
                <c:pt idx="86">
                  <c:v>118.72246696035243</c:v>
                </c:pt>
                <c:pt idx="87">
                  <c:v>116.74008810572688</c:v>
                </c:pt>
                <c:pt idx="88">
                  <c:v>123.34801762114539</c:v>
                </c:pt>
                <c:pt idx="89">
                  <c:v>122.90748898678416</c:v>
                </c:pt>
                <c:pt idx="90">
                  <c:v>125.77092511013218</c:v>
                </c:pt>
                <c:pt idx="91">
                  <c:v>123.56828193832601</c:v>
                </c:pt>
                <c:pt idx="92">
                  <c:v>124.6696035242291</c:v>
                </c:pt>
                <c:pt idx="93">
                  <c:v>122.46696035242293</c:v>
                </c:pt>
                <c:pt idx="94">
                  <c:v>125.9911894273128</c:v>
                </c:pt>
                <c:pt idx="95">
                  <c:v>126.43171806167405</c:v>
                </c:pt>
                <c:pt idx="96">
                  <c:v>124.22907488986789</c:v>
                </c:pt>
                <c:pt idx="97">
                  <c:v>125.11013215859035</c:v>
                </c:pt>
                <c:pt idx="98">
                  <c:v>135.46255506607935</c:v>
                </c:pt>
                <c:pt idx="99">
                  <c:v>135.68281938325998</c:v>
                </c:pt>
                <c:pt idx="100">
                  <c:v>141.62995594713664</c:v>
                </c:pt>
                <c:pt idx="101">
                  <c:v>137.66519823788553</c:v>
                </c:pt>
                <c:pt idx="102">
                  <c:v>133.25991189427319</c:v>
                </c:pt>
                <c:pt idx="103">
                  <c:v>130.83700440528639</c:v>
                </c:pt>
                <c:pt idx="104">
                  <c:v>129.29515418502208</c:v>
                </c:pt>
                <c:pt idx="105">
                  <c:v>114.09691629955952</c:v>
                </c:pt>
                <c:pt idx="106">
                  <c:v>108.81057268722472</c:v>
                </c:pt>
                <c:pt idx="107">
                  <c:v>105.72687224669608</c:v>
                </c:pt>
                <c:pt idx="108">
                  <c:v>107.48898678414101</c:v>
                </c:pt>
                <c:pt idx="109">
                  <c:v>108.81057268722472</c:v>
                </c:pt>
                <c:pt idx="110">
                  <c:v>113.43612334801767</c:v>
                </c:pt>
                <c:pt idx="111">
                  <c:v>112.99559471365644</c:v>
                </c:pt>
                <c:pt idx="112">
                  <c:v>111.89427312775335</c:v>
                </c:pt>
                <c:pt idx="113">
                  <c:v>111.89427312775335</c:v>
                </c:pt>
                <c:pt idx="114">
                  <c:v>111.67400881057273</c:v>
                </c:pt>
                <c:pt idx="115">
                  <c:v>113.21585903083705</c:v>
                </c:pt>
                <c:pt idx="116">
                  <c:v>112.11453744493397</c:v>
                </c:pt>
                <c:pt idx="117">
                  <c:v>111.67400881057274</c:v>
                </c:pt>
                <c:pt idx="118">
                  <c:v>117.40088105726879</c:v>
                </c:pt>
                <c:pt idx="119">
                  <c:v>114.31718061674016</c:v>
                </c:pt>
                <c:pt idx="120">
                  <c:v>109.91189427312781</c:v>
                </c:pt>
                <c:pt idx="121">
                  <c:v>110.35242290748904</c:v>
                </c:pt>
                <c:pt idx="122">
                  <c:v>111.89427312775335</c:v>
                </c:pt>
                <c:pt idx="123">
                  <c:v>112.5550660792952</c:v>
                </c:pt>
                <c:pt idx="124">
                  <c:v>112.33480176211458</c:v>
                </c:pt>
                <c:pt idx="125">
                  <c:v>112.99559471365643</c:v>
                </c:pt>
                <c:pt idx="126">
                  <c:v>108.5903083700441</c:v>
                </c:pt>
                <c:pt idx="127">
                  <c:v>112.55506607929519</c:v>
                </c:pt>
                <c:pt idx="128">
                  <c:v>116.07929515418506</c:v>
                </c:pt>
                <c:pt idx="129">
                  <c:v>113.65638766519828</c:v>
                </c:pt>
                <c:pt idx="130">
                  <c:v>115.1982378854626</c:v>
                </c:pt>
                <c:pt idx="131">
                  <c:v>112.99559471365643</c:v>
                </c:pt>
                <c:pt idx="132">
                  <c:v>113.21585903083705</c:v>
                </c:pt>
                <c:pt idx="133">
                  <c:v>111.01321585903088</c:v>
                </c:pt>
                <c:pt idx="134">
                  <c:v>116.74008810572693</c:v>
                </c:pt>
                <c:pt idx="135">
                  <c:v>114.09691629955952</c:v>
                </c:pt>
                <c:pt idx="136">
                  <c:v>112.11453744493397</c:v>
                </c:pt>
                <c:pt idx="137">
                  <c:v>111.01321585903089</c:v>
                </c:pt>
                <c:pt idx="138">
                  <c:v>108.81057268722472</c:v>
                </c:pt>
                <c:pt idx="139">
                  <c:v>107.92951541850226</c:v>
                </c:pt>
                <c:pt idx="140">
                  <c:v>110.35242290748906</c:v>
                </c:pt>
                <c:pt idx="141">
                  <c:v>109.69162995594721</c:v>
                </c:pt>
                <c:pt idx="142">
                  <c:v>112.114537444934</c:v>
                </c:pt>
                <c:pt idx="143">
                  <c:v>111.89427312775339</c:v>
                </c:pt>
                <c:pt idx="144">
                  <c:v>112.11453744493402</c:v>
                </c:pt>
                <c:pt idx="145">
                  <c:v>110.79295154185031</c:v>
                </c:pt>
                <c:pt idx="146">
                  <c:v>111.45374449339216</c:v>
                </c:pt>
                <c:pt idx="147">
                  <c:v>110.13215859030846</c:v>
                </c:pt>
                <c:pt idx="148">
                  <c:v>109.03083700440538</c:v>
                </c:pt>
                <c:pt idx="149">
                  <c:v>108.37004405286353</c:v>
                </c:pt>
                <c:pt idx="150">
                  <c:v>108.14977973568291</c:v>
                </c:pt>
                <c:pt idx="151">
                  <c:v>112.77533039647585</c:v>
                </c:pt>
                <c:pt idx="152">
                  <c:v>111.45374449339215</c:v>
                </c:pt>
                <c:pt idx="153">
                  <c:v>117.40088105726879</c:v>
                </c:pt>
                <c:pt idx="154">
                  <c:v>114.977973568282</c:v>
                </c:pt>
                <c:pt idx="155">
                  <c:v>107.48898678414102</c:v>
                </c:pt>
                <c:pt idx="156">
                  <c:v>107.04845814977979</c:v>
                </c:pt>
                <c:pt idx="157">
                  <c:v>109.25110132158596</c:v>
                </c:pt>
                <c:pt idx="158">
                  <c:v>109.25110132158596</c:v>
                </c:pt>
                <c:pt idx="159">
                  <c:v>110.35242290748904</c:v>
                </c:pt>
                <c:pt idx="160">
                  <c:v>111.89427312775335</c:v>
                </c:pt>
                <c:pt idx="161">
                  <c:v>114.09691629955951</c:v>
                </c:pt>
                <c:pt idx="162">
                  <c:v>114.09691629955951</c:v>
                </c:pt>
                <c:pt idx="163">
                  <c:v>116.07929515418508</c:v>
                </c:pt>
                <c:pt idx="164">
                  <c:v>114.97797356828198</c:v>
                </c:pt>
                <c:pt idx="165">
                  <c:v>109.91189427312779</c:v>
                </c:pt>
                <c:pt idx="166">
                  <c:v>107.70925110132161</c:v>
                </c:pt>
                <c:pt idx="167">
                  <c:v>104.62555066079298</c:v>
                </c:pt>
                <c:pt idx="168">
                  <c:v>105.06607929515421</c:v>
                </c:pt>
                <c:pt idx="169">
                  <c:v>103.96475770925113</c:v>
                </c:pt>
                <c:pt idx="170">
                  <c:v>106.82819383259915</c:v>
                </c:pt>
                <c:pt idx="171">
                  <c:v>107.70925110132161</c:v>
                </c:pt>
                <c:pt idx="172">
                  <c:v>111.45374449339209</c:v>
                </c:pt>
                <c:pt idx="173">
                  <c:v>116.9603524229075</c:v>
                </c:pt>
                <c:pt idx="174">
                  <c:v>118.72246696035243</c:v>
                </c:pt>
                <c:pt idx="175">
                  <c:v>118.94273127753304</c:v>
                </c:pt>
                <c:pt idx="176">
                  <c:v>116.07929515418503</c:v>
                </c:pt>
                <c:pt idx="177">
                  <c:v>116.29955947136565</c:v>
                </c:pt>
                <c:pt idx="178">
                  <c:v>118.28193832599121</c:v>
                </c:pt>
                <c:pt idx="179">
                  <c:v>124.00881057268725</c:v>
                </c:pt>
                <c:pt idx="180">
                  <c:v>127.31277533039649</c:v>
                </c:pt>
                <c:pt idx="181">
                  <c:v>131.49779735682822</c:v>
                </c:pt>
                <c:pt idx="182">
                  <c:v>130.39647577092512</c:v>
                </c:pt>
                <c:pt idx="183">
                  <c:v>134.14096916299562</c:v>
                </c:pt>
                <c:pt idx="184">
                  <c:v>163.43612334801765</c:v>
                </c:pt>
                <c:pt idx="185">
                  <c:v>162.33480176211458</c:v>
                </c:pt>
                <c:pt idx="186">
                  <c:v>170.70484581497803</c:v>
                </c:pt>
                <c:pt idx="187">
                  <c:v>167.18061674008817</c:v>
                </c:pt>
                <c:pt idx="188">
                  <c:v>169.16299559471372</c:v>
                </c:pt>
                <c:pt idx="189">
                  <c:v>173.34801762114543</c:v>
                </c:pt>
                <c:pt idx="190">
                  <c:v>176.43171806167408</c:v>
                </c:pt>
                <c:pt idx="191">
                  <c:v>175.55066079295162</c:v>
                </c:pt>
                <c:pt idx="192">
                  <c:v>185.68281938325998</c:v>
                </c:pt>
                <c:pt idx="193">
                  <c:v>181.27753303964764</c:v>
                </c:pt>
                <c:pt idx="194">
                  <c:v>174.00881057268728</c:v>
                </c:pt>
                <c:pt idx="195">
                  <c:v>175.77092511013223</c:v>
                </c:pt>
                <c:pt idx="196">
                  <c:v>176.87224669603532</c:v>
                </c:pt>
                <c:pt idx="197">
                  <c:v>184.36123348017628</c:v>
                </c:pt>
                <c:pt idx="198">
                  <c:v>186.78414096916308</c:v>
                </c:pt>
                <c:pt idx="199">
                  <c:v>190.08810572687233</c:v>
                </c:pt>
                <c:pt idx="200">
                  <c:v>186.12334801762123</c:v>
                </c:pt>
                <c:pt idx="201">
                  <c:v>176.21145374449347</c:v>
                </c:pt>
                <c:pt idx="202">
                  <c:v>185.46255506607937</c:v>
                </c:pt>
                <c:pt idx="203">
                  <c:v>186.78414096916308</c:v>
                </c:pt>
                <c:pt idx="204">
                  <c:v>202.20264317180624</c:v>
                </c:pt>
                <c:pt idx="205">
                  <c:v>196.03524229074898</c:v>
                </c:pt>
                <c:pt idx="206">
                  <c:v>187.00440528634368</c:v>
                </c:pt>
                <c:pt idx="207">
                  <c:v>182.81938325991194</c:v>
                </c:pt>
                <c:pt idx="208">
                  <c:v>178.85462555066084</c:v>
                </c:pt>
                <c:pt idx="209">
                  <c:v>184.58149779735689</c:v>
                </c:pt>
                <c:pt idx="210">
                  <c:v>183.92070484581504</c:v>
                </c:pt>
                <c:pt idx="211">
                  <c:v>181.49779735682824</c:v>
                </c:pt>
                <c:pt idx="212">
                  <c:v>183.25991189427319</c:v>
                </c:pt>
                <c:pt idx="213">
                  <c:v>181.27753303964764</c:v>
                </c:pt>
                <c:pt idx="214">
                  <c:v>181.27753303964764</c:v>
                </c:pt>
                <c:pt idx="215">
                  <c:v>177.75330396475775</c:v>
                </c:pt>
                <c:pt idx="216">
                  <c:v>180.61674008810579</c:v>
                </c:pt>
                <c:pt idx="217">
                  <c:v>170.04405286343618</c:v>
                </c:pt>
                <c:pt idx="218">
                  <c:v>170.92511013215864</c:v>
                </c:pt>
                <c:pt idx="219">
                  <c:v>164.09691629955952</c:v>
                </c:pt>
                <c:pt idx="220">
                  <c:v>165.63876651982386</c:v>
                </c:pt>
                <c:pt idx="221">
                  <c:v>171.80616740088112</c:v>
                </c:pt>
                <c:pt idx="222">
                  <c:v>167.18061674008817</c:v>
                </c:pt>
                <c:pt idx="223">
                  <c:v>204.84581497797365</c:v>
                </c:pt>
                <c:pt idx="224">
                  <c:v>188.10572687224678</c:v>
                </c:pt>
                <c:pt idx="225">
                  <c:v>190.96916299559479</c:v>
                </c:pt>
                <c:pt idx="226">
                  <c:v>180.83700440528642</c:v>
                </c:pt>
                <c:pt idx="227">
                  <c:v>184.14096916299567</c:v>
                </c:pt>
                <c:pt idx="228">
                  <c:v>181.49779735682827</c:v>
                </c:pt>
                <c:pt idx="229">
                  <c:v>166.0792951541851</c:v>
                </c:pt>
                <c:pt idx="230">
                  <c:v>178.85462555066087</c:v>
                </c:pt>
                <c:pt idx="231">
                  <c:v>189.86784140969172</c:v>
                </c:pt>
                <c:pt idx="232">
                  <c:v>192.07048458149788</c:v>
                </c:pt>
                <c:pt idx="233">
                  <c:v>192.07048458149788</c:v>
                </c:pt>
                <c:pt idx="234">
                  <c:v>199.33920704845823</c:v>
                </c:pt>
                <c:pt idx="235">
                  <c:v>201.32158590308379</c:v>
                </c:pt>
                <c:pt idx="236">
                  <c:v>205.5066079295155</c:v>
                </c:pt>
                <c:pt idx="237">
                  <c:v>203.52422907488994</c:v>
                </c:pt>
                <c:pt idx="238">
                  <c:v>191.18942731277542</c:v>
                </c:pt>
                <c:pt idx="239">
                  <c:v>198.01762114537456</c:v>
                </c:pt>
                <c:pt idx="240">
                  <c:v>197.35682819383271</c:v>
                </c:pt>
                <c:pt idx="241">
                  <c:v>194.93392070484592</c:v>
                </c:pt>
                <c:pt idx="242">
                  <c:v>192.29074889867852</c:v>
                </c:pt>
              </c:numCache>
            </c:numRef>
          </c:val>
          <c:smooth val="0"/>
          <c:extLst>
            <c:ext xmlns:c16="http://schemas.microsoft.com/office/drawing/2014/chart" uri="{C3380CC4-5D6E-409C-BE32-E72D297353CC}">
              <c16:uniqueId val="{00000002-5069-41F0-A972-CFC9FCB2FE47}"/>
            </c:ext>
          </c:extLst>
        </c:ser>
        <c:ser>
          <c:idx val="3"/>
          <c:order val="3"/>
          <c:tx>
            <c:strRef>
              <c:f>PRICE!$L$1</c:f>
              <c:strCache>
                <c:ptCount val="1"/>
                <c:pt idx="0">
                  <c:v>티씨케이</c:v>
                </c:pt>
              </c:strCache>
            </c:strRef>
          </c:tx>
          <c:spPr>
            <a:ln w="28575" cap="rnd">
              <a:solidFill>
                <a:schemeClr val="accent4"/>
              </a:solidFill>
              <a:round/>
            </a:ln>
            <a:effectLst/>
          </c:spPr>
          <c:marker>
            <c:symbol val="none"/>
          </c:marker>
          <c:cat>
            <c:strRef>
              <c:f>PRICE!$A$2:$A$244</c:f>
              <c:strCache>
                <c:ptCount val="243"/>
                <c:pt idx="0">
                  <c:v>2024/12/10</c:v>
                </c:pt>
                <c:pt idx="1">
                  <c:v>2024/12/11</c:v>
                </c:pt>
                <c:pt idx="2">
                  <c:v>2024/12/12</c:v>
                </c:pt>
                <c:pt idx="3">
                  <c:v>2024/12/13</c:v>
                </c:pt>
                <c:pt idx="4">
                  <c:v>2024/12/16</c:v>
                </c:pt>
                <c:pt idx="5">
                  <c:v>2024/12/17</c:v>
                </c:pt>
                <c:pt idx="6">
                  <c:v>2024/12/18</c:v>
                </c:pt>
                <c:pt idx="7">
                  <c:v>2024/12/19</c:v>
                </c:pt>
                <c:pt idx="8">
                  <c:v>2024/12/20</c:v>
                </c:pt>
                <c:pt idx="9">
                  <c:v>2024/12/23</c:v>
                </c:pt>
                <c:pt idx="10">
                  <c:v>2024/12/24</c:v>
                </c:pt>
                <c:pt idx="11">
                  <c:v>2024/12/26</c:v>
                </c:pt>
                <c:pt idx="12">
                  <c:v>2024/12/27</c:v>
                </c:pt>
                <c:pt idx="13">
                  <c:v>2024/12/30</c:v>
                </c:pt>
                <c:pt idx="14">
                  <c:v>2025/01/02</c:v>
                </c:pt>
                <c:pt idx="15">
                  <c:v>2025/01/03</c:v>
                </c:pt>
                <c:pt idx="16">
                  <c:v>2025/01/06</c:v>
                </c:pt>
                <c:pt idx="17">
                  <c:v>2025/01/07</c:v>
                </c:pt>
                <c:pt idx="18">
                  <c:v>2025/01/08</c:v>
                </c:pt>
                <c:pt idx="19">
                  <c:v>2025/01/09</c:v>
                </c:pt>
                <c:pt idx="20">
                  <c:v>2025/01/10</c:v>
                </c:pt>
                <c:pt idx="21">
                  <c:v>2025/01/13</c:v>
                </c:pt>
                <c:pt idx="22">
                  <c:v>2025/01/14</c:v>
                </c:pt>
                <c:pt idx="23">
                  <c:v>2025/01/15</c:v>
                </c:pt>
                <c:pt idx="24">
                  <c:v>2025/01/16</c:v>
                </c:pt>
                <c:pt idx="25">
                  <c:v>2025/01/17</c:v>
                </c:pt>
                <c:pt idx="26">
                  <c:v>2025/01/20</c:v>
                </c:pt>
                <c:pt idx="27">
                  <c:v>2025/01/21</c:v>
                </c:pt>
                <c:pt idx="28">
                  <c:v>2025/01/22</c:v>
                </c:pt>
                <c:pt idx="29">
                  <c:v>2025/01/23</c:v>
                </c:pt>
                <c:pt idx="30">
                  <c:v>2025/01/24</c:v>
                </c:pt>
                <c:pt idx="31">
                  <c:v>2025/01/31</c:v>
                </c:pt>
                <c:pt idx="32">
                  <c:v>2025/02/03</c:v>
                </c:pt>
                <c:pt idx="33">
                  <c:v>2025/02/04</c:v>
                </c:pt>
                <c:pt idx="34">
                  <c:v>2025/02/05</c:v>
                </c:pt>
                <c:pt idx="35">
                  <c:v>2025/02/06</c:v>
                </c:pt>
                <c:pt idx="36">
                  <c:v>2025/02/07</c:v>
                </c:pt>
                <c:pt idx="37">
                  <c:v>2025/02/10</c:v>
                </c:pt>
                <c:pt idx="38">
                  <c:v>2025/02/11</c:v>
                </c:pt>
                <c:pt idx="39">
                  <c:v>2025/02/12</c:v>
                </c:pt>
                <c:pt idx="40">
                  <c:v>2025/02/13</c:v>
                </c:pt>
                <c:pt idx="41">
                  <c:v>2025/02/14</c:v>
                </c:pt>
                <c:pt idx="42">
                  <c:v>2025/02/17</c:v>
                </c:pt>
                <c:pt idx="43">
                  <c:v>2025/02/18</c:v>
                </c:pt>
                <c:pt idx="44">
                  <c:v>2025/02/19</c:v>
                </c:pt>
                <c:pt idx="45">
                  <c:v>2025/02/20</c:v>
                </c:pt>
                <c:pt idx="46">
                  <c:v>2025/02/21</c:v>
                </c:pt>
                <c:pt idx="47">
                  <c:v>2025/02/24</c:v>
                </c:pt>
                <c:pt idx="48">
                  <c:v>2025/02/25</c:v>
                </c:pt>
                <c:pt idx="49">
                  <c:v>2025/02/26</c:v>
                </c:pt>
                <c:pt idx="50">
                  <c:v>2025/02/27</c:v>
                </c:pt>
                <c:pt idx="51">
                  <c:v>2025/02/28</c:v>
                </c:pt>
                <c:pt idx="52">
                  <c:v>2025/03/04</c:v>
                </c:pt>
                <c:pt idx="53">
                  <c:v>2025/03/05</c:v>
                </c:pt>
                <c:pt idx="54">
                  <c:v>2025/03/06</c:v>
                </c:pt>
                <c:pt idx="55">
                  <c:v>2025/03/07</c:v>
                </c:pt>
                <c:pt idx="56">
                  <c:v>2025/03/10</c:v>
                </c:pt>
                <c:pt idx="57">
                  <c:v>2025/03/11</c:v>
                </c:pt>
                <c:pt idx="58">
                  <c:v>2025/03/12</c:v>
                </c:pt>
                <c:pt idx="59">
                  <c:v>2025/03/13</c:v>
                </c:pt>
                <c:pt idx="60">
                  <c:v>2025/03/14</c:v>
                </c:pt>
                <c:pt idx="61">
                  <c:v>2025/03/17</c:v>
                </c:pt>
                <c:pt idx="62">
                  <c:v>2025/03/18</c:v>
                </c:pt>
                <c:pt idx="63">
                  <c:v>2025/03/19</c:v>
                </c:pt>
                <c:pt idx="64">
                  <c:v>2025/03/20</c:v>
                </c:pt>
                <c:pt idx="65">
                  <c:v>2025/03/21</c:v>
                </c:pt>
                <c:pt idx="66">
                  <c:v>2025/03/24</c:v>
                </c:pt>
                <c:pt idx="67">
                  <c:v>2025/03/25</c:v>
                </c:pt>
                <c:pt idx="68">
                  <c:v>2025/03/26</c:v>
                </c:pt>
                <c:pt idx="69">
                  <c:v>2025/03/27</c:v>
                </c:pt>
                <c:pt idx="70">
                  <c:v>2025/03/28</c:v>
                </c:pt>
                <c:pt idx="71">
                  <c:v>2025/03/31</c:v>
                </c:pt>
                <c:pt idx="72">
                  <c:v>2025/04/01</c:v>
                </c:pt>
                <c:pt idx="73">
                  <c:v>2025/04/02</c:v>
                </c:pt>
                <c:pt idx="74">
                  <c:v>2025/04/03</c:v>
                </c:pt>
                <c:pt idx="75">
                  <c:v>2025/04/04</c:v>
                </c:pt>
                <c:pt idx="76">
                  <c:v>2025/04/07</c:v>
                </c:pt>
                <c:pt idx="77">
                  <c:v>2025/04/08</c:v>
                </c:pt>
                <c:pt idx="78">
                  <c:v>2025/04/09</c:v>
                </c:pt>
                <c:pt idx="79">
                  <c:v>2025/04/10</c:v>
                </c:pt>
                <c:pt idx="80">
                  <c:v>2025/04/11</c:v>
                </c:pt>
                <c:pt idx="81">
                  <c:v>2025/04/14</c:v>
                </c:pt>
                <c:pt idx="82">
                  <c:v>2025/04/15</c:v>
                </c:pt>
                <c:pt idx="83">
                  <c:v>2025/04/16</c:v>
                </c:pt>
                <c:pt idx="84">
                  <c:v>2025/04/17</c:v>
                </c:pt>
                <c:pt idx="85">
                  <c:v>2025/04/18</c:v>
                </c:pt>
                <c:pt idx="86">
                  <c:v>2025/04/21</c:v>
                </c:pt>
                <c:pt idx="87">
                  <c:v>2025/04/22</c:v>
                </c:pt>
                <c:pt idx="88">
                  <c:v>2025/04/23</c:v>
                </c:pt>
                <c:pt idx="89">
                  <c:v>2025/04/24</c:v>
                </c:pt>
                <c:pt idx="90">
                  <c:v>2025/04/25</c:v>
                </c:pt>
                <c:pt idx="91">
                  <c:v>2025/04/28</c:v>
                </c:pt>
                <c:pt idx="92">
                  <c:v>2025/04/29</c:v>
                </c:pt>
                <c:pt idx="93">
                  <c:v>2025/04/30</c:v>
                </c:pt>
                <c:pt idx="94">
                  <c:v>2025/05/02</c:v>
                </c:pt>
                <c:pt idx="95">
                  <c:v>2025/05/07</c:v>
                </c:pt>
                <c:pt idx="96">
                  <c:v>2025/05/08</c:v>
                </c:pt>
                <c:pt idx="97">
                  <c:v>2025/05/09</c:v>
                </c:pt>
                <c:pt idx="98">
                  <c:v>2025/05/12</c:v>
                </c:pt>
                <c:pt idx="99">
                  <c:v>2025/05/13</c:v>
                </c:pt>
                <c:pt idx="100">
                  <c:v>2025/05/14</c:v>
                </c:pt>
                <c:pt idx="101">
                  <c:v>2025/05/15</c:v>
                </c:pt>
                <c:pt idx="102">
                  <c:v>2025/05/16</c:v>
                </c:pt>
                <c:pt idx="103">
                  <c:v>2025/05/19</c:v>
                </c:pt>
                <c:pt idx="104">
                  <c:v>2025/05/20</c:v>
                </c:pt>
                <c:pt idx="105">
                  <c:v>2025/05/21</c:v>
                </c:pt>
                <c:pt idx="106">
                  <c:v>2025/05/22</c:v>
                </c:pt>
                <c:pt idx="107">
                  <c:v>2025/05/23</c:v>
                </c:pt>
                <c:pt idx="108">
                  <c:v>2025/05/26</c:v>
                </c:pt>
                <c:pt idx="109">
                  <c:v>2025/05/27</c:v>
                </c:pt>
                <c:pt idx="110">
                  <c:v>2025/05/28</c:v>
                </c:pt>
                <c:pt idx="111">
                  <c:v>2025/05/29</c:v>
                </c:pt>
                <c:pt idx="112">
                  <c:v>2025/05/30</c:v>
                </c:pt>
                <c:pt idx="113">
                  <c:v>2025/06/02</c:v>
                </c:pt>
                <c:pt idx="114">
                  <c:v>2025/06/04</c:v>
                </c:pt>
                <c:pt idx="115">
                  <c:v>2025/06/05</c:v>
                </c:pt>
                <c:pt idx="116">
                  <c:v>2025/06/09</c:v>
                </c:pt>
                <c:pt idx="117">
                  <c:v>2025/06/10</c:v>
                </c:pt>
                <c:pt idx="118">
                  <c:v>2025/06/11</c:v>
                </c:pt>
                <c:pt idx="119">
                  <c:v>2025/06/12</c:v>
                </c:pt>
                <c:pt idx="120">
                  <c:v>2025/06/13</c:v>
                </c:pt>
                <c:pt idx="121">
                  <c:v>2025/06/16</c:v>
                </c:pt>
                <c:pt idx="122">
                  <c:v>2025/06/17</c:v>
                </c:pt>
                <c:pt idx="123">
                  <c:v>2025/06/18</c:v>
                </c:pt>
                <c:pt idx="124">
                  <c:v>2025/06/19</c:v>
                </c:pt>
                <c:pt idx="125">
                  <c:v>2025/06/20</c:v>
                </c:pt>
                <c:pt idx="126">
                  <c:v>2025/06/23</c:v>
                </c:pt>
                <c:pt idx="127">
                  <c:v>2025/06/24</c:v>
                </c:pt>
                <c:pt idx="128">
                  <c:v>2025/06/25</c:v>
                </c:pt>
                <c:pt idx="129">
                  <c:v>2025/06/26</c:v>
                </c:pt>
                <c:pt idx="130">
                  <c:v>2025/06/27</c:v>
                </c:pt>
                <c:pt idx="131">
                  <c:v>2025/06/30</c:v>
                </c:pt>
                <c:pt idx="132">
                  <c:v>2025/07/01</c:v>
                </c:pt>
                <c:pt idx="133">
                  <c:v>2025/07/02</c:v>
                </c:pt>
                <c:pt idx="134">
                  <c:v>2025/07/03</c:v>
                </c:pt>
                <c:pt idx="135">
                  <c:v>2025/07/04</c:v>
                </c:pt>
                <c:pt idx="136">
                  <c:v>2025/07/07</c:v>
                </c:pt>
                <c:pt idx="137">
                  <c:v>2025/07/08</c:v>
                </c:pt>
                <c:pt idx="138">
                  <c:v>2025/07/09</c:v>
                </c:pt>
                <c:pt idx="139">
                  <c:v>2025/07/10</c:v>
                </c:pt>
                <c:pt idx="140">
                  <c:v>2025/07/11</c:v>
                </c:pt>
                <c:pt idx="141">
                  <c:v>2025/07/14</c:v>
                </c:pt>
                <c:pt idx="142">
                  <c:v>2025/07/15</c:v>
                </c:pt>
                <c:pt idx="143">
                  <c:v>2025/07/16</c:v>
                </c:pt>
                <c:pt idx="144">
                  <c:v>2025/07/17</c:v>
                </c:pt>
                <c:pt idx="145">
                  <c:v>2025/07/18</c:v>
                </c:pt>
                <c:pt idx="146">
                  <c:v>2025/07/21</c:v>
                </c:pt>
                <c:pt idx="147">
                  <c:v>2025/07/22</c:v>
                </c:pt>
                <c:pt idx="148">
                  <c:v>2025/07/23</c:v>
                </c:pt>
                <c:pt idx="149">
                  <c:v>2025/07/24</c:v>
                </c:pt>
                <c:pt idx="150">
                  <c:v>2025/07/25</c:v>
                </c:pt>
                <c:pt idx="151">
                  <c:v>2025/07/28</c:v>
                </c:pt>
                <c:pt idx="152">
                  <c:v>2025/07/29</c:v>
                </c:pt>
                <c:pt idx="153">
                  <c:v>2025/07/30</c:v>
                </c:pt>
                <c:pt idx="154">
                  <c:v>2025/07/31</c:v>
                </c:pt>
                <c:pt idx="155">
                  <c:v>2025/08/01</c:v>
                </c:pt>
                <c:pt idx="156">
                  <c:v>2025/08/04</c:v>
                </c:pt>
                <c:pt idx="157">
                  <c:v>2025/08/05</c:v>
                </c:pt>
                <c:pt idx="158">
                  <c:v>2025/08/06</c:v>
                </c:pt>
                <c:pt idx="159">
                  <c:v>2025/08/07</c:v>
                </c:pt>
                <c:pt idx="160">
                  <c:v>2025/08/08</c:v>
                </c:pt>
                <c:pt idx="161">
                  <c:v>2025/08/11</c:v>
                </c:pt>
                <c:pt idx="162">
                  <c:v>2025/08/12</c:v>
                </c:pt>
                <c:pt idx="163">
                  <c:v>2025/08/13</c:v>
                </c:pt>
                <c:pt idx="164">
                  <c:v>2025/08/14</c:v>
                </c:pt>
                <c:pt idx="165">
                  <c:v>2025/08/18</c:v>
                </c:pt>
                <c:pt idx="166">
                  <c:v>2025/08/19</c:v>
                </c:pt>
                <c:pt idx="167">
                  <c:v>2025/08/20</c:v>
                </c:pt>
                <c:pt idx="168">
                  <c:v>2025/08/21</c:v>
                </c:pt>
                <c:pt idx="169">
                  <c:v>2025/08/22</c:v>
                </c:pt>
                <c:pt idx="170">
                  <c:v>2025/08/25</c:v>
                </c:pt>
                <c:pt idx="171">
                  <c:v>2025/08/26</c:v>
                </c:pt>
                <c:pt idx="172">
                  <c:v>2025/08/27</c:v>
                </c:pt>
                <c:pt idx="173">
                  <c:v>2025/08/28</c:v>
                </c:pt>
                <c:pt idx="174">
                  <c:v>2025/08/29</c:v>
                </c:pt>
                <c:pt idx="175">
                  <c:v>2025/09/01</c:v>
                </c:pt>
                <c:pt idx="176">
                  <c:v>2025/09/02</c:v>
                </c:pt>
                <c:pt idx="177">
                  <c:v>2025/09/03</c:v>
                </c:pt>
                <c:pt idx="178">
                  <c:v>2025/09/04</c:v>
                </c:pt>
                <c:pt idx="179">
                  <c:v>2025/09/05</c:v>
                </c:pt>
                <c:pt idx="180">
                  <c:v>2025/09/08</c:v>
                </c:pt>
                <c:pt idx="181">
                  <c:v>2025/09/09</c:v>
                </c:pt>
                <c:pt idx="182">
                  <c:v>2025/09/10</c:v>
                </c:pt>
                <c:pt idx="183">
                  <c:v>2025/09/11</c:v>
                </c:pt>
                <c:pt idx="184">
                  <c:v>2025/09/12</c:v>
                </c:pt>
                <c:pt idx="185">
                  <c:v>2025/09/15</c:v>
                </c:pt>
                <c:pt idx="186">
                  <c:v>2025/09/16</c:v>
                </c:pt>
                <c:pt idx="187">
                  <c:v>2025/09/17</c:v>
                </c:pt>
                <c:pt idx="188">
                  <c:v>2025/09/18</c:v>
                </c:pt>
                <c:pt idx="189">
                  <c:v>2025/09/19</c:v>
                </c:pt>
                <c:pt idx="190">
                  <c:v>2025/09/22</c:v>
                </c:pt>
                <c:pt idx="191">
                  <c:v>2025/09/23</c:v>
                </c:pt>
                <c:pt idx="192">
                  <c:v>2025/09/24</c:v>
                </c:pt>
                <c:pt idx="193">
                  <c:v>2025/09/25</c:v>
                </c:pt>
                <c:pt idx="194">
                  <c:v>2025/09/26</c:v>
                </c:pt>
                <c:pt idx="195">
                  <c:v>2025/09/29</c:v>
                </c:pt>
                <c:pt idx="196">
                  <c:v>2025/09/30</c:v>
                </c:pt>
                <c:pt idx="197">
                  <c:v>2025/10/01</c:v>
                </c:pt>
                <c:pt idx="198">
                  <c:v>2025/10/02</c:v>
                </c:pt>
                <c:pt idx="199">
                  <c:v>2025/10/10</c:v>
                </c:pt>
                <c:pt idx="200">
                  <c:v>2025/10/13</c:v>
                </c:pt>
                <c:pt idx="201">
                  <c:v>2025/10/14</c:v>
                </c:pt>
                <c:pt idx="202">
                  <c:v>2025/10/15</c:v>
                </c:pt>
                <c:pt idx="203">
                  <c:v>2025/10/16</c:v>
                </c:pt>
                <c:pt idx="204">
                  <c:v>2025/10/17</c:v>
                </c:pt>
                <c:pt idx="205">
                  <c:v>2025/10/20</c:v>
                </c:pt>
                <c:pt idx="206">
                  <c:v>2025/10/21</c:v>
                </c:pt>
                <c:pt idx="207">
                  <c:v>2025/10/22</c:v>
                </c:pt>
                <c:pt idx="208">
                  <c:v>2025/10/23</c:v>
                </c:pt>
                <c:pt idx="209">
                  <c:v>2025/10/24</c:v>
                </c:pt>
                <c:pt idx="210">
                  <c:v>2025/10/27</c:v>
                </c:pt>
                <c:pt idx="211">
                  <c:v>2025/10/28</c:v>
                </c:pt>
                <c:pt idx="212">
                  <c:v>2025/10/29</c:v>
                </c:pt>
                <c:pt idx="213">
                  <c:v>2025/10/30</c:v>
                </c:pt>
                <c:pt idx="214">
                  <c:v>2025/10/31</c:v>
                </c:pt>
                <c:pt idx="215">
                  <c:v>2025/11/03</c:v>
                </c:pt>
                <c:pt idx="216">
                  <c:v>2025/11/04</c:v>
                </c:pt>
                <c:pt idx="217">
                  <c:v>2025/11/05</c:v>
                </c:pt>
                <c:pt idx="218">
                  <c:v>2025/11/06</c:v>
                </c:pt>
                <c:pt idx="219">
                  <c:v>2025/11/07</c:v>
                </c:pt>
                <c:pt idx="220">
                  <c:v>2025/11/10</c:v>
                </c:pt>
                <c:pt idx="221">
                  <c:v>2025/11/11</c:v>
                </c:pt>
                <c:pt idx="222">
                  <c:v>2025/11/12</c:v>
                </c:pt>
                <c:pt idx="223">
                  <c:v>2025/11/13</c:v>
                </c:pt>
                <c:pt idx="224">
                  <c:v>2025/11/14</c:v>
                </c:pt>
                <c:pt idx="225">
                  <c:v>2025/11/17</c:v>
                </c:pt>
                <c:pt idx="226">
                  <c:v>2025/11/18</c:v>
                </c:pt>
                <c:pt idx="227">
                  <c:v>2025/11/19</c:v>
                </c:pt>
                <c:pt idx="228">
                  <c:v>2025/11/20</c:v>
                </c:pt>
                <c:pt idx="229">
                  <c:v>2025/11/21</c:v>
                </c:pt>
                <c:pt idx="230">
                  <c:v>2025/11/24</c:v>
                </c:pt>
                <c:pt idx="231">
                  <c:v>2025/11/25</c:v>
                </c:pt>
                <c:pt idx="232">
                  <c:v>2025/11/26</c:v>
                </c:pt>
                <c:pt idx="233">
                  <c:v>2025/11/27</c:v>
                </c:pt>
                <c:pt idx="234">
                  <c:v>2025/11/28</c:v>
                </c:pt>
                <c:pt idx="235">
                  <c:v>2025/12/01</c:v>
                </c:pt>
                <c:pt idx="236">
                  <c:v>2025/12/02</c:v>
                </c:pt>
                <c:pt idx="237">
                  <c:v>2025/12/03</c:v>
                </c:pt>
                <c:pt idx="238">
                  <c:v>2025/12/04</c:v>
                </c:pt>
                <c:pt idx="239">
                  <c:v>2025/12/05</c:v>
                </c:pt>
                <c:pt idx="240">
                  <c:v>2025/12/08</c:v>
                </c:pt>
                <c:pt idx="241">
                  <c:v>2025/12/09</c:v>
                </c:pt>
                <c:pt idx="242">
                  <c:v>2025/12/10</c:v>
                </c:pt>
              </c:strCache>
            </c:strRef>
          </c:cat>
          <c:val>
            <c:numRef>
              <c:f>PRICE!$M$2:$M$244</c:f>
              <c:numCache>
                <c:formatCode>#,##0</c:formatCode>
                <c:ptCount val="243"/>
                <c:pt idx="0">
                  <c:v>100</c:v>
                </c:pt>
                <c:pt idx="1">
                  <c:v>105.1775147928994</c:v>
                </c:pt>
                <c:pt idx="2">
                  <c:v>104.43786982248521</c:v>
                </c:pt>
                <c:pt idx="3">
                  <c:v>104.43786982248521</c:v>
                </c:pt>
                <c:pt idx="4">
                  <c:v>106.06508875739645</c:v>
                </c:pt>
                <c:pt idx="5">
                  <c:v>106.50887573964496</c:v>
                </c:pt>
                <c:pt idx="6">
                  <c:v>106.65680473372781</c:v>
                </c:pt>
                <c:pt idx="7">
                  <c:v>103.40236686390533</c:v>
                </c:pt>
                <c:pt idx="8">
                  <c:v>100.59171597633136</c:v>
                </c:pt>
                <c:pt idx="9">
                  <c:v>103.10650887573964</c:v>
                </c:pt>
                <c:pt idx="10">
                  <c:v>103.10650887573964</c:v>
                </c:pt>
                <c:pt idx="11">
                  <c:v>103.55029585798816</c:v>
                </c:pt>
                <c:pt idx="12">
                  <c:v>103.69822485207099</c:v>
                </c:pt>
                <c:pt idx="13">
                  <c:v>104.88165680473371</c:v>
                </c:pt>
                <c:pt idx="14">
                  <c:v>103.40236686390531</c:v>
                </c:pt>
                <c:pt idx="15">
                  <c:v>107.98816568047336</c:v>
                </c:pt>
                <c:pt idx="16">
                  <c:v>109.31952662721892</c:v>
                </c:pt>
                <c:pt idx="17">
                  <c:v>107.10059171597631</c:v>
                </c:pt>
                <c:pt idx="18">
                  <c:v>110.20710059171594</c:v>
                </c:pt>
                <c:pt idx="19">
                  <c:v>108.13609467455618</c:v>
                </c:pt>
                <c:pt idx="20">
                  <c:v>107.98816568047333</c:v>
                </c:pt>
                <c:pt idx="21">
                  <c:v>104.585798816568</c:v>
                </c:pt>
                <c:pt idx="22">
                  <c:v>105.02958579881653</c:v>
                </c:pt>
                <c:pt idx="23">
                  <c:v>103.40236686390529</c:v>
                </c:pt>
                <c:pt idx="24">
                  <c:v>103.55029585798812</c:v>
                </c:pt>
                <c:pt idx="25">
                  <c:v>106.21301775147926</c:v>
                </c:pt>
                <c:pt idx="26">
                  <c:v>107.10059171597631</c:v>
                </c:pt>
                <c:pt idx="27">
                  <c:v>108.13609467455618</c:v>
                </c:pt>
                <c:pt idx="28">
                  <c:v>109.46745562130172</c:v>
                </c:pt>
                <c:pt idx="29">
                  <c:v>106.95266272189345</c:v>
                </c:pt>
                <c:pt idx="30">
                  <c:v>109.31952662721888</c:v>
                </c:pt>
                <c:pt idx="31">
                  <c:v>109.17159763313605</c:v>
                </c:pt>
                <c:pt idx="32">
                  <c:v>103.55029585798812</c:v>
                </c:pt>
                <c:pt idx="33">
                  <c:v>106.95266272189345</c:v>
                </c:pt>
                <c:pt idx="34">
                  <c:v>106.65680473372777</c:v>
                </c:pt>
                <c:pt idx="35">
                  <c:v>120.26627218934905</c:v>
                </c:pt>
                <c:pt idx="36">
                  <c:v>126.77514792899402</c:v>
                </c:pt>
                <c:pt idx="37">
                  <c:v>126.33136094674549</c:v>
                </c:pt>
                <c:pt idx="38">
                  <c:v>124.26035502958572</c:v>
                </c:pt>
                <c:pt idx="39">
                  <c:v>122.78106508875733</c:v>
                </c:pt>
                <c:pt idx="40">
                  <c:v>131.50887573964491</c:v>
                </c:pt>
                <c:pt idx="41">
                  <c:v>130.32544378698219</c:v>
                </c:pt>
                <c:pt idx="42">
                  <c:v>128.84615384615378</c:v>
                </c:pt>
                <c:pt idx="43">
                  <c:v>128.69822485207095</c:v>
                </c:pt>
                <c:pt idx="44">
                  <c:v>129.73372781065083</c:v>
                </c:pt>
                <c:pt idx="45">
                  <c:v>128.69822485207095</c:v>
                </c:pt>
                <c:pt idx="46">
                  <c:v>126.92307692307686</c:v>
                </c:pt>
                <c:pt idx="47">
                  <c:v>130.91715976331355</c:v>
                </c:pt>
                <c:pt idx="48">
                  <c:v>125.88757396449698</c:v>
                </c:pt>
                <c:pt idx="49">
                  <c:v>125.14792899408278</c:v>
                </c:pt>
                <c:pt idx="50">
                  <c:v>124.55621301775142</c:v>
                </c:pt>
                <c:pt idx="51">
                  <c:v>118.63905325443781</c:v>
                </c:pt>
                <c:pt idx="52">
                  <c:v>120.56213017751473</c:v>
                </c:pt>
                <c:pt idx="53">
                  <c:v>120.71005917159756</c:v>
                </c:pt>
                <c:pt idx="54">
                  <c:v>117.89940828402359</c:v>
                </c:pt>
                <c:pt idx="55">
                  <c:v>120.11834319526619</c:v>
                </c:pt>
                <c:pt idx="56">
                  <c:v>123.07692307692301</c:v>
                </c:pt>
                <c:pt idx="57">
                  <c:v>121.30177514792894</c:v>
                </c:pt>
                <c:pt idx="58">
                  <c:v>130.02958579881653</c:v>
                </c:pt>
                <c:pt idx="59">
                  <c:v>128.40236686390529</c:v>
                </c:pt>
                <c:pt idx="60">
                  <c:v>134.91124260355025</c:v>
                </c:pt>
                <c:pt idx="61">
                  <c:v>135.20710059171594</c:v>
                </c:pt>
                <c:pt idx="62">
                  <c:v>133.87573964497039</c:v>
                </c:pt>
                <c:pt idx="63">
                  <c:v>135.3550295857988</c:v>
                </c:pt>
                <c:pt idx="64">
                  <c:v>136.09467455621299</c:v>
                </c:pt>
                <c:pt idx="65">
                  <c:v>134.17159763313609</c:v>
                </c:pt>
                <c:pt idx="66">
                  <c:v>131.80473372781063</c:v>
                </c:pt>
                <c:pt idx="67">
                  <c:v>126.77514792899406</c:v>
                </c:pt>
                <c:pt idx="68">
                  <c:v>127.21893491124257</c:v>
                </c:pt>
                <c:pt idx="69">
                  <c:v>125.59171597633133</c:v>
                </c:pt>
                <c:pt idx="70">
                  <c:v>123.96449704142009</c:v>
                </c:pt>
                <c:pt idx="71">
                  <c:v>117.75147928994079</c:v>
                </c:pt>
                <c:pt idx="72">
                  <c:v>124.85207100591713</c:v>
                </c:pt>
                <c:pt idx="73">
                  <c:v>132.98816568047334</c:v>
                </c:pt>
                <c:pt idx="74">
                  <c:v>129.1420118343195</c:v>
                </c:pt>
                <c:pt idx="75">
                  <c:v>124.26035502958578</c:v>
                </c:pt>
                <c:pt idx="76">
                  <c:v>119.67455621301774</c:v>
                </c:pt>
                <c:pt idx="77">
                  <c:v>117.75147928994082</c:v>
                </c:pt>
                <c:pt idx="78">
                  <c:v>115.38461538461537</c:v>
                </c:pt>
                <c:pt idx="79">
                  <c:v>126.1834319526627</c:v>
                </c:pt>
                <c:pt idx="80">
                  <c:v>121.59763313609464</c:v>
                </c:pt>
                <c:pt idx="81">
                  <c:v>124.85207100591714</c:v>
                </c:pt>
                <c:pt idx="82">
                  <c:v>126.92307692307689</c:v>
                </c:pt>
                <c:pt idx="83">
                  <c:v>121.59763313609464</c:v>
                </c:pt>
                <c:pt idx="84">
                  <c:v>123.37278106508872</c:v>
                </c:pt>
                <c:pt idx="85">
                  <c:v>122.78106508875736</c:v>
                </c:pt>
                <c:pt idx="86">
                  <c:v>124.40828402366861</c:v>
                </c:pt>
                <c:pt idx="87">
                  <c:v>121.74556213017749</c:v>
                </c:pt>
                <c:pt idx="88">
                  <c:v>131.50887573964494</c:v>
                </c:pt>
                <c:pt idx="89">
                  <c:v>129.1420118343195</c:v>
                </c:pt>
                <c:pt idx="90">
                  <c:v>132.10059171597629</c:v>
                </c:pt>
                <c:pt idx="91">
                  <c:v>128.55029585798812</c:v>
                </c:pt>
                <c:pt idx="92">
                  <c:v>127.66272189349108</c:v>
                </c:pt>
                <c:pt idx="93">
                  <c:v>126.77514792899403</c:v>
                </c:pt>
                <c:pt idx="94">
                  <c:v>125.44378698224847</c:v>
                </c:pt>
                <c:pt idx="95">
                  <c:v>130.32544378698219</c:v>
                </c:pt>
                <c:pt idx="96">
                  <c:v>128.69822485207095</c:v>
                </c:pt>
                <c:pt idx="97">
                  <c:v>126.92307692307686</c:v>
                </c:pt>
                <c:pt idx="98">
                  <c:v>139.34911242603545</c:v>
                </c:pt>
                <c:pt idx="99">
                  <c:v>139.05325443786975</c:v>
                </c:pt>
                <c:pt idx="100">
                  <c:v>143.63905325443781</c:v>
                </c:pt>
                <c:pt idx="101">
                  <c:v>141.12426035502952</c:v>
                </c:pt>
                <c:pt idx="102">
                  <c:v>135.05917159763308</c:v>
                </c:pt>
                <c:pt idx="103">
                  <c:v>133.57988165680467</c:v>
                </c:pt>
                <c:pt idx="104">
                  <c:v>132.98816568047332</c:v>
                </c:pt>
                <c:pt idx="105">
                  <c:v>132.84023668639045</c:v>
                </c:pt>
                <c:pt idx="106">
                  <c:v>125.73964497041412</c:v>
                </c:pt>
                <c:pt idx="107">
                  <c:v>126.18343195266263</c:v>
                </c:pt>
                <c:pt idx="108">
                  <c:v>127.66272189349102</c:v>
                </c:pt>
                <c:pt idx="109">
                  <c:v>128.84615384615375</c:v>
                </c:pt>
                <c:pt idx="110">
                  <c:v>129.14201183431942</c:v>
                </c:pt>
                <c:pt idx="111">
                  <c:v>135.35502958579872</c:v>
                </c:pt>
                <c:pt idx="112">
                  <c:v>129.58579881656794</c:v>
                </c:pt>
                <c:pt idx="113">
                  <c:v>131.95266272189338</c:v>
                </c:pt>
                <c:pt idx="114">
                  <c:v>139.79289940828392</c:v>
                </c:pt>
                <c:pt idx="115">
                  <c:v>141.27218934911232</c:v>
                </c:pt>
                <c:pt idx="116">
                  <c:v>139.64497041420108</c:v>
                </c:pt>
                <c:pt idx="117">
                  <c:v>139.79289940828394</c:v>
                </c:pt>
                <c:pt idx="118">
                  <c:v>150.7396449704141</c:v>
                </c:pt>
                <c:pt idx="119">
                  <c:v>146.15384615384605</c:v>
                </c:pt>
                <c:pt idx="120">
                  <c:v>147.78106508875729</c:v>
                </c:pt>
                <c:pt idx="121">
                  <c:v>149.55621301775136</c:v>
                </c:pt>
                <c:pt idx="122">
                  <c:v>146.44970414201171</c:v>
                </c:pt>
                <c:pt idx="123">
                  <c:v>149.26035502958567</c:v>
                </c:pt>
                <c:pt idx="124">
                  <c:v>148.22485207100578</c:v>
                </c:pt>
                <c:pt idx="125">
                  <c:v>150.59171597633122</c:v>
                </c:pt>
                <c:pt idx="126">
                  <c:v>147.1893491124259</c:v>
                </c:pt>
                <c:pt idx="127">
                  <c:v>150.88757396449691</c:v>
                </c:pt>
                <c:pt idx="128">
                  <c:v>157.98816568047323</c:v>
                </c:pt>
                <c:pt idx="129">
                  <c:v>156.50887573964482</c:v>
                </c:pt>
                <c:pt idx="130">
                  <c:v>153.40236686390517</c:v>
                </c:pt>
                <c:pt idx="131">
                  <c:v>158.87573964497025</c:v>
                </c:pt>
                <c:pt idx="132">
                  <c:v>156.36094674556199</c:v>
                </c:pt>
                <c:pt idx="133">
                  <c:v>152.95857988165665</c:v>
                </c:pt>
                <c:pt idx="134">
                  <c:v>158.28402366863889</c:v>
                </c:pt>
                <c:pt idx="135">
                  <c:v>157.24852071005901</c:v>
                </c:pt>
                <c:pt idx="136">
                  <c:v>157.39644970414184</c:v>
                </c:pt>
                <c:pt idx="137">
                  <c:v>153.69822485207084</c:v>
                </c:pt>
                <c:pt idx="138">
                  <c:v>151.03550295857971</c:v>
                </c:pt>
                <c:pt idx="139">
                  <c:v>154.58579881656789</c:v>
                </c:pt>
                <c:pt idx="140">
                  <c:v>149.26035502958564</c:v>
                </c:pt>
                <c:pt idx="141">
                  <c:v>147.92899408284009</c:v>
                </c:pt>
                <c:pt idx="142">
                  <c:v>148.07692307692292</c:v>
                </c:pt>
                <c:pt idx="143">
                  <c:v>148.37278106508859</c:v>
                </c:pt>
                <c:pt idx="144">
                  <c:v>146.74556213017735</c:v>
                </c:pt>
                <c:pt idx="145">
                  <c:v>146.74556213017735</c:v>
                </c:pt>
                <c:pt idx="146">
                  <c:v>143.49112426035487</c:v>
                </c:pt>
                <c:pt idx="147">
                  <c:v>139.64497041420103</c:v>
                </c:pt>
                <c:pt idx="148">
                  <c:v>138.60946745562114</c:v>
                </c:pt>
                <c:pt idx="149">
                  <c:v>136.68639053254421</c:v>
                </c:pt>
                <c:pt idx="150">
                  <c:v>136.09467455621285</c:v>
                </c:pt>
                <c:pt idx="151">
                  <c:v>139.94082840236669</c:v>
                </c:pt>
                <c:pt idx="152">
                  <c:v>158.4319526627217</c:v>
                </c:pt>
                <c:pt idx="153">
                  <c:v>165.38461538461519</c:v>
                </c:pt>
                <c:pt idx="154">
                  <c:v>158.28402366863887</c:v>
                </c:pt>
                <c:pt idx="155">
                  <c:v>150.29585798816549</c:v>
                </c:pt>
                <c:pt idx="156">
                  <c:v>152.81065088757376</c:v>
                </c:pt>
                <c:pt idx="157">
                  <c:v>151.03550295857968</c:v>
                </c:pt>
                <c:pt idx="158">
                  <c:v>150.44378698224833</c:v>
                </c:pt>
                <c:pt idx="159">
                  <c:v>154.88165680473352</c:v>
                </c:pt>
                <c:pt idx="160">
                  <c:v>158.43195266272167</c:v>
                </c:pt>
                <c:pt idx="161">
                  <c:v>157.39644970414179</c:v>
                </c:pt>
                <c:pt idx="162">
                  <c:v>157.39644970414179</c:v>
                </c:pt>
                <c:pt idx="163">
                  <c:v>170.41420118343169</c:v>
                </c:pt>
                <c:pt idx="164">
                  <c:v>167.1597633136092</c:v>
                </c:pt>
                <c:pt idx="165">
                  <c:v>168.93491124260328</c:v>
                </c:pt>
                <c:pt idx="166">
                  <c:v>165.97633136094649</c:v>
                </c:pt>
                <c:pt idx="167">
                  <c:v>163.75739644970389</c:v>
                </c:pt>
                <c:pt idx="168">
                  <c:v>162.27810650887548</c:v>
                </c:pt>
                <c:pt idx="169">
                  <c:v>160.20710059171574</c:v>
                </c:pt>
                <c:pt idx="170">
                  <c:v>161.53846153846129</c:v>
                </c:pt>
                <c:pt idx="171">
                  <c:v>163.75739644970389</c:v>
                </c:pt>
                <c:pt idx="172">
                  <c:v>164.05325443786958</c:v>
                </c:pt>
                <c:pt idx="173">
                  <c:v>163.31360946745539</c:v>
                </c:pt>
                <c:pt idx="174">
                  <c:v>161.98224852070985</c:v>
                </c:pt>
                <c:pt idx="175">
                  <c:v>152.2189349112424</c:v>
                </c:pt>
                <c:pt idx="176">
                  <c:v>151.18343195266252</c:v>
                </c:pt>
                <c:pt idx="177">
                  <c:v>156.6568047337276</c:v>
                </c:pt>
                <c:pt idx="178">
                  <c:v>158.72781065088733</c:v>
                </c:pt>
                <c:pt idx="179">
                  <c:v>160.35502958579858</c:v>
                </c:pt>
                <c:pt idx="180">
                  <c:v>161.98224852070982</c:v>
                </c:pt>
                <c:pt idx="181">
                  <c:v>165.97633136094649</c:v>
                </c:pt>
                <c:pt idx="182">
                  <c:v>171.74556213017723</c:v>
                </c:pt>
                <c:pt idx="183">
                  <c:v>177.51479289940798</c:v>
                </c:pt>
                <c:pt idx="184">
                  <c:v>202.81065088757362</c:v>
                </c:pt>
                <c:pt idx="185">
                  <c:v>208.43195266272153</c:v>
                </c:pt>
                <c:pt idx="186">
                  <c:v>215.68047337278068</c:v>
                </c:pt>
                <c:pt idx="187">
                  <c:v>220.41420118343154</c:v>
                </c:pt>
                <c:pt idx="188">
                  <c:v>233.87573964496997</c:v>
                </c:pt>
                <c:pt idx="189">
                  <c:v>235.65088757396404</c:v>
                </c:pt>
                <c:pt idx="190">
                  <c:v>239.20118343195219</c:v>
                </c:pt>
                <c:pt idx="191">
                  <c:v>237.86982248520664</c:v>
                </c:pt>
                <c:pt idx="192">
                  <c:v>244.82248520710013</c:v>
                </c:pt>
                <c:pt idx="193">
                  <c:v>239.20118343195222</c:v>
                </c:pt>
                <c:pt idx="194">
                  <c:v>232.1005917159759</c:v>
                </c:pt>
                <c:pt idx="195">
                  <c:v>246.15384615384568</c:v>
                </c:pt>
                <c:pt idx="196">
                  <c:v>258.87573964496988</c:v>
                </c:pt>
                <c:pt idx="197">
                  <c:v>265.38461538461485</c:v>
                </c:pt>
                <c:pt idx="198">
                  <c:v>280.32544378698168</c:v>
                </c:pt>
                <c:pt idx="199">
                  <c:v>276.03550295857934</c:v>
                </c:pt>
                <c:pt idx="200">
                  <c:v>271.74556213017695</c:v>
                </c:pt>
                <c:pt idx="201">
                  <c:v>269.23076923076866</c:v>
                </c:pt>
                <c:pt idx="202">
                  <c:v>267.01183431952609</c:v>
                </c:pt>
                <c:pt idx="203">
                  <c:v>270.41420118343137</c:v>
                </c:pt>
                <c:pt idx="204">
                  <c:v>266.27218934911184</c:v>
                </c:pt>
                <c:pt idx="205">
                  <c:v>264.20118343195207</c:v>
                </c:pt>
                <c:pt idx="206">
                  <c:v>258.57988165680416</c:v>
                </c:pt>
                <c:pt idx="207">
                  <c:v>259.17159763313555</c:v>
                </c:pt>
                <c:pt idx="208">
                  <c:v>251.47928994082787</c:v>
                </c:pt>
                <c:pt idx="209">
                  <c:v>257.54437869822431</c:v>
                </c:pt>
                <c:pt idx="210">
                  <c:v>255.76923076923023</c:v>
                </c:pt>
                <c:pt idx="211">
                  <c:v>251.1834319526622</c:v>
                </c:pt>
                <c:pt idx="212">
                  <c:v>249.85207100591663</c:v>
                </c:pt>
                <c:pt idx="213">
                  <c:v>249.26035502958527</c:v>
                </c:pt>
                <c:pt idx="214">
                  <c:v>245.56213017751429</c:v>
                </c:pt>
                <c:pt idx="215">
                  <c:v>238.9053254437865</c:v>
                </c:pt>
                <c:pt idx="216">
                  <c:v>246.15384615384565</c:v>
                </c:pt>
                <c:pt idx="217">
                  <c:v>234.31952662721844</c:v>
                </c:pt>
                <c:pt idx="218">
                  <c:v>236.09467455621251</c:v>
                </c:pt>
                <c:pt idx="219">
                  <c:v>225.88757396449654</c:v>
                </c:pt>
                <c:pt idx="220">
                  <c:v>246.00591715976276</c:v>
                </c:pt>
                <c:pt idx="221">
                  <c:v>253.84615384615324</c:v>
                </c:pt>
                <c:pt idx="222">
                  <c:v>241.71597633136037</c:v>
                </c:pt>
                <c:pt idx="223">
                  <c:v>251.47928994082781</c:v>
                </c:pt>
                <c:pt idx="224">
                  <c:v>235.05917159763257</c:v>
                </c:pt>
                <c:pt idx="225">
                  <c:v>240.08875739644913</c:v>
                </c:pt>
                <c:pt idx="226">
                  <c:v>228.25443786982191</c:v>
                </c:pt>
                <c:pt idx="227">
                  <c:v>231.36094674556153</c:v>
                </c:pt>
                <c:pt idx="228">
                  <c:v>229.58579881656746</c:v>
                </c:pt>
                <c:pt idx="229">
                  <c:v>209.61538461538407</c:v>
                </c:pt>
                <c:pt idx="230">
                  <c:v>214.6449704142006</c:v>
                </c:pt>
                <c:pt idx="231">
                  <c:v>214.05325443786924</c:v>
                </c:pt>
                <c:pt idx="232">
                  <c:v>211.83431952662664</c:v>
                </c:pt>
                <c:pt idx="233">
                  <c:v>213.31360946745505</c:v>
                </c:pt>
                <c:pt idx="234">
                  <c:v>213.75739644970358</c:v>
                </c:pt>
                <c:pt idx="235">
                  <c:v>217.60355029585742</c:v>
                </c:pt>
                <c:pt idx="236">
                  <c:v>221.44970414201126</c:v>
                </c:pt>
                <c:pt idx="237">
                  <c:v>221.00591715976273</c:v>
                </c:pt>
                <c:pt idx="238">
                  <c:v>213.60946745562075</c:v>
                </c:pt>
                <c:pt idx="239">
                  <c:v>217.45562130177456</c:v>
                </c:pt>
                <c:pt idx="240">
                  <c:v>219.23076923076866</c:v>
                </c:pt>
                <c:pt idx="241">
                  <c:v>217.45562130177458</c:v>
                </c:pt>
                <c:pt idx="242">
                  <c:v>217.60355029585742</c:v>
                </c:pt>
              </c:numCache>
            </c:numRef>
          </c:val>
          <c:smooth val="0"/>
          <c:extLst>
            <c:ext xmlns:c16="http://schemas.microsoft.com/office/drawing/2014/chart" uri="{C3380CC4-5D6E-409C-BE32-E72D297353CC}">
              <c16:uniqueId val="{00000003-5069-41F0-A972-CFC9FCB2FE47}"/>
            </c:ext>
          </c:extLst>
        </c:ser>
        <c:ser>
          <c:idx val="4"/>
          <c:order val="4"/>
          <c:tx>
            <c:strRef>
              <c:f>PRICE!$N$1</c:f>
              <c:strCache>
                <c:ptCount val="1"/>
                <c:pt idx="0">
                  <c:v>비씨엔씨</c:v>
                </c:pt>
              </c:strCache>
            </c:strRef>
          </c:tx>
          <c:spPr>
            <a:ln w="28575" cap="rnd">
              <a:solidFill>
                <a:schemeClr val="accent5"/>
              </a:solidFill>
              <a:round/>
            </a:ln>
            <a:effectLst/>
          </c:spPr>
          <c:marker>
            <c:symbol val="none"/>
          </c:marker>
          <c:cat>
            <c:strRef>
              <c:f>PRICE!$A$2:$A$244</c:f>
              <c:strCache>
                <c:ptCount val="243"/>
                <c:pt idx="0">
                  <c:v>2024/12/10</c:v>
                </c:pt>
                <c:pt idx="1">
                  <c:v>2024/12/11</c:v>
                </c:pt>
                <c:pt idx="2">
                  <c:v>2024/12/12</c:v>
                </c:pt>
                <c:pt idx="3">
                  <c:v>2024/12/13</c:v>
                </c:pt>
                <c:pt idx="4">
                  <c:v>2024/12/16</c:v>
                </c:pt>
                <c:pt idx="5">
                  <c:v>2024/12/17</c:v>
                </c:pt>
                <c:pt idx="6">
                  <c:v>2024/12/18</c:v>
                </c:pt>
                <c:pt idx="7">
                  <c:v>2024/12/19</c:v>
                </c:pt>
                <c:pt idx="8">
                  <c:v>2024/12/20</c:v>
                </c:pt>
                <c:pt idx="9">
                  <c:v>2024/12/23</c:v>
                </c:pt>
                <c:pt idx="10">
                  <c:v>2024/12/24</c:v>
                </c:pt>
                <c:pt idx="11">
                  <c:v>2024/12/26</c:v>
                </c:pt>
                <c:pt idx="12">
                  <c:v>2024/12/27</c:v>
                </c:pt>
                <c:pt idx="13">
                  <c:v>2024/12/30</c:v>
                </c:pt>
                <c:pt idx="14">
                  <c:v>2025/01/02</c:v>
                </c:pt>
                <c:pt idx="15">
                  <c:v>2025/01/03</c:v>
                </c:pt>
                <c:pt idx="16">
                  <c:v>2025/01/06</c:v>
                </c:pt>
                <c:pt idx="17">
                  <c:v>2025/01/07</c:v>
                </c:pt>
                <c:pt idx="18">
                  <c:v>2025/01/08</c:v>
                </c:pt>
                <c:pt idx="19">
                  <c:v>2025/01/09</c:v>
                </c:pt>
                <c:pt idx="20">
                  <c:v>2025/01/10</c:v>
                </c:pt>
                <c:pt idx="21">
                  <c:v>2025/01/13</c:v>
                </c:pt>
                <c:pt idx="22">
                  <c:v>2025/01/14</c:v>
                </c:pt>
                <c:pt idx="23">
                  <c:v>2025/01/15</c:v>
                </c:pt>
                <c:pt idx="24">
                  <c:v>2025/01/16</c:v>
                </c:pt>
                <c:pt idx="25">
                  <c:v>2025/01/17</c:v>
                </c:pt>
                <c:pt idx="26">
                  <c:v>2025/01/20</c:v>
                </c:pt>
                <c:pt idx="27">
                  <c:v>2025/01/21</c:v>
                </c:pt>
                <c:pt idx="28">
                  <c:v>2025/01/22</c:v>
                </c:pt>
                <c:pt idx="29">
                  <c:v>2025/01/23</c:v>
                </c:pt>
                <c:pt idx="30">
                  <c:v>2025/01/24</c:v>
                </c:pt>
                <c:pt idx="31">
                  <c:v>2025/01/31</c:v>
                </c:pt>
                <c:pt idx="32">
                  <c:v>2025/02/03</c:v>
                </c:pt>
                <c:pt idx="33">
                  <c:v>2025/02/04</c:v>
                </c:pt>
                <c:pt idx="34">
                  <c:v>2025/02/05</c:v>
                </c:pt>
                <c:pt idx="35">
                  <c:v>2025/02/06</c:v>
                </c:pt>
                <c:pt idx="36">
                  <c:v>2025/02/07</c:v>
                </c:pt>
                <c:pt idx="37">
                  <c:v>2025/02/10</c:v>
                </c:pt>
                <c:pt idx="38">
                  <c:v>2025/02/11</c:v>
                </c:pt>
                <c:pt idx="39">
                  <c:v>2025/02/12</c:v>
                </c:pt>
                <c:pt idx="40">
                  <c:v>2025/02/13</c:v>
                </c:pt>
                <c:pt idx="41">
                  <c:v>2025/02/14</c:v>
                </c:pt>
                <c:pt idx="42">
                  <c:v>2025/02/17</c:v>
                </c:pt>
                <c:pt idx="43">
                  <c:v>2025/02/18</c:v>
                </c:pt>
                <c:pt idx="44">
                  <c:v>2025/02/19</c:v>
                </c:pt>
                <c:pt idx="45">
                  <c:v>2025/02/20</c:v>
                </c:pt>
                <c:pt idx="46">
                  <c:v>2025/02/21</c:v>
                </c:pt>
                <c:pt idx="47">
                  <c:v>2025/02/24</c:v>
                </c:pt>
                <c:pt idx="48">
                  <c:v>2025/02/25</c:v>
                </c:pt>
                <c:pt idx="49">
                  <c:v>2025/02/26</c:v>
                </c:pt>
                <c:pt idx="50">
                  <c:v>2025/02/27</c:v>
                </c:pt>
                <c:pt idx="51">
                  <c:v>2025/02/28</c:v>
                </c:pt>
                <c:pt idx="52">
                  <c:v>2025/03/04</c:v>
                </c:pt>
                <c:pt idx="53">
                  <c:v>2025/03/05</c:v>
                </c:pt>
                <c:pt idx="54">
                  <c:v>2025/03/06</c:v>
                </c:pt>
                <c:pt idx="55">
                  <c:v>2025/03/07</c:v>
                </c:pt>
                <c:pt idx="56">
                  <c:v>2025/03/10</c:v>
                </c:pt>
                <c:pt idx="57">
                  <c:v>2025/03/11</c:v>
                </c:pt>
                <c:pt idx="58">
                  <c:v>2025/03/12</c:v>
                </c:pt>
                <c:pt idx="59">
                  <c:v>2025/03/13</c:v>
                </c:pt>
                <c:pt idx="60">
                  <c:v>2025/03/14</c:v>
                </c:pt>
                <c:pt idx="61">
                  <c:v>2025/03/17</c:v>
                </c:pt>
                <c:pt idx="62">
                  <c:v>2025/03/18</c:v>
                </c:pt>
                <c:pt idx="63">
                  <c:v>2025/03/19</c:v>
                </c:pt>
                <c:pt idx="64">
                  <c:v>2025/03/20</c:v>
                </c:pt>
                <c:pt idx="65">
                  <c:v>2025/03/21</c:v>
                </c:pt>
                <c:pt idx="66">
                  <c:v>2025/03/24</c:v>
                </c:pt>
                <c:pt idx="67">
                  <c:v>2025/03/25</c:v>
                </c:pt>
                <c:pt idx="68">
                  <c:v>2025/03/26</c:v>
                </c:pt>
                <c:pt idx="69">
                  <c:v>2025/03/27</c:v>
                </c:pt>
                <c:pt idx="70">
                  <c:v>2025/03/28</c:v>
                </c:pt>
                <c:pt idx="71">
                  <c:v>2025/03/31</c:v>
                </c:pt>
                <c:pt idx="72">
                  <c:v>2025/04/01</c:v>
                </c:pt>
                <c:pt idx="73">
                  <c:v>2025/04/02</c:v>
                </c:pt>
                <c:pt idx="74">
                  <c:v>2025/04/03</c:v>
                </c:pt>
                <c:pt idx="75">
                  <c:v>2025/04/04</c:v>
                </c:pt>
                <c:pt idx="76">
                  <c:v>2025/04/07</c:v>
                </c:pt>
                <c:pt idx="77">
                  <c:v>2025/04/08</c:v>
                </c:pt>
                <c:pt idx="78">
                  <c:v>2025/04/09</c:v>
                </c:pt>
                <c:pt idx="79">
                  <c:v>2025/04/10</c:v>
                </c:pt>
                <c:pt idx="80">
                  <c:v>2025/04/11</c:v>
                </c:pt>
                <c:pt idx="81">
                  <c:v>2025/04/14</c:v>
                </c:pt>
                <c:pt idx="82">
                  <c:v>2025/04/15</c:v>
                </c:pt>
                <c:pt idx="83">
                  <c:v>2025/04/16</c:v>
                </c:pt>
                <c:pt idx="84">
                  <c:v>2025/04/17</c:v>
                </c:pt>
                <c:pt idx="85">
                  <c:v>2025/04/18</c:v>
                </c:pt>
                <c:pt idx="86">
                  <c:v>2025/04/21</c:v>
                </c:pt>
                <c:pt idx="87">
                  <c:v>2025/04/22</c:v>
                </c:pt>
                <c:pt idx="88">
                  <c:v>2025/04/23</c:v>
                </c:pt>
                <c:pt idx="89">
                  <c:v>2025/04/24</c:v>
                </c:pt>
                <c:pt idx="90">
                  <c:v>2025/04/25</c:v>
                </c:pt>
                <c:pt idx="91">
                  <c:v>2025/04/28</c:v>
                </c:pt>
                <c:pt idx="92">
                  <c:v>2025/04/29</c:v>
                </c:pt>
                <c:pt idx="93">
                  <c:v>2025/04/30</c:v>
                </c:pt>
                <c:pt idx="94">
                  <c:v>2025/05/02</c:v>
                </c:pt>
                <c:pt idx="95">
                  <c:v>2025/05/07</c:v>
                </c:pt>
                <c:pt idx="96">
                  <c:v>2025/05/08</c:v>
                </c:pt>
                <c:pt idx="97">
                  <c:v>2025/05/09</c:v>
                </c:pt>
                <c:pt idx="98">
                  <c:v>2025/05/12</c:v>
                </c:pt>
                <c:pt idx="99">
                  <c:v>2025/05/13</c:v>
                </c:pt>
                <c:pt idx="100">
                  <c:v>2025/05/14</c:v>
                </c:pt>
                <c:pt idx="101">
                  <c:v>2025/05/15</c:v>
                </c:pt>
                <c:pt idx="102">
                  <c:v>2025/05/16</c:v>
                </c:pt>
                <c:pt idx="103">
                  <c:v>2025/05/19</c:v>
                </c:pt>
                <c:pt idx="104">
                  <c:v>2025/05/20</c:v>
                </c:pt>
                <c:pt idx="105">
                  <c:v>2025/05/21</c:v>
                </c:pt>
                <c:pt idx="106">
                  <c:v>2025/05/22</c:v>
                </c:pt>
                <c:pt idx="107">
                  <c:v>2025/05/23</c:v>
                </c:pt>
                <c:pt idx="108">
                  <c:v>2025/05/26</c:v>
                </c:pt>
                <c:pt idx="109">
                  <c:v>2025/05/27</c:v>
                </c:pt>
                <c:pt idx="110">
                  <c:v>2025/05/28</c:v>
                </c:pt>
                <c:pt idx="111">
                  <c:v>2025/05/29</c:v>
                </c:pt>
                <c:pt idx="112">
                  <c:v>2025/05/30</c:v>
                </c:pt>
                <c:pt idx="113">
                  <c:v>2025/06/02</c:v>
                </c:pt>
                <c:pt idx="114">
                  <c:v>2025/06/04</c:v>
                </c:pt>
                <c:pt idx="115">
                  <c:v>2025/06/05</c:v>
                </c:pt>
                <c:pt idx="116">
                  <c:v>2025/06/09</c:v>
                </c:pt>
                <c:pt idx="117">
                  <c:v>2025/06/10</c:v>
                </c:pt>
                <c:pt idx="118">
                  <c:v>2025/06/11</c:v>
                </c:pt>
                <c:pt idx="119">
                  <c:v>2025/06/12</c:v>
                </c:pt>
                <c:pt idx="120">
                  <c:v>2025/06/13</c:v>
                </c:pt>
                <c:pt idx="121">
                  <c:v>2025/06/16</c:v>
                </c:pt>
                <c:pt idx="122">
                  <c:v>2025/06/17</c:v>
                </c:pt>
                <c:pt idx="123">
                  <c:v>2025/06/18</c:v>
                </c:pt>
                <c:pt idx="124">
                  <c:v>2025/06/19</c:v>
                </c:pt>
                <c:pt idx="125">
                  <c:v>2025/06/20</c:v>
                </c:pt>
                <c:pt idx="126">
                  <c:v>2025/06/23</c:v>
                </c:pt>
                <c:pt idx="127">
                  <c:v>2025/06/24</c:v>
                </c:pt>
                <c:pt idx="128">
                  <c:v>2025/06/25</c:v>
                </c:pt>
                <c:pt idx="129">
                  <c:v>2025/06/26</c:v>
                </c:pt>
                <c:pt idx="130">
                  <c:v>2025/06/27</c:v>
                </c:pt>
                <c:pt idx="131">
                  <c:v>2025/06/30</c:v>
                </c:pt>
                <c:pt idx="132">
                  <c:v>2025/07/01</c:v>
                </c:pt>
                <c:pt idx="133">
                  <c:v>2025/07/02</c:v>
                </c:pt>
                <c:pt idx="134">
                  <c:v>2025/07/03</c:v>
                </c:pt>
                <c:pt idx="135">
                  <c:v>2025/07/04</c:v>
                </c:pt>
                <c:pt idx="136">
                  <c:v>2025/07/07</c:v>
                </c:pt>
                <c:pt idx="137">
                  <c:v>2025/07/08</c:v>
                </c:pt>
                <c:pt idx="138">
                  <c:v>2025/07/09</c:v>
                </c:pt>
                <c:pt idx="139">
                  <c:v>2025/07/10</c:v>
                </c:pt>
                <c:pt idx="140">
                  <c:v>2025/07/11</c:v>
                </c:pt>
                <c:pt idx="141">
                  <c:v>2025/07/14</c:v>
                </c:pt>
                <c:pt idx="142">
                  <c:v>2025/07/15</c:v>
                </c:pt>
                <c:pt idx="143">
                  <c:v>2025/07/16</c:v>
                </c:pt>
                <c:pt idx="144">
                  <c:v>2025/07/17</c:v>
                </c:pt>
                <c:pt idx="145">
                  <c:v>2025/07/18</c:v>
                </c:pt>
                <c:pt idx="146">
                  <c:v>2025/07/21</c:v>
                </c:pt>
                <c:pt idx="147">
                  <c:v>2025/07/22</c:v>
                </c:pt>
                <c:pt idx="148">
                  <c:v>2025/07/23</c:v>
                </c:pt>
                <c:pt idx="149">
                  <c:v>2025/07/24</c:v>
                </c:pt>
                <c:pt idx="150">
                  <c:v>2025/07/25</c:v>
                </c:pt>
                <c:pt idx="151">
                  <c:v>2025/07/28</c:v>
                </c:pt>
                <c:pt idx="152">
                  <c:v>2025/07/29</c:v>
                </c:pt>
                <c:pt idx="153">
                  <c:v>2025/07/30</c:v>
                </c:pt>
                <c:pt idx="154">
                  <c:v>2025/07/31</c:v>
                </c:pt>
                <c:pt idx="155">
                  <c:v>2025/08/01</c:v>
                </c:pt>
                <c:pt idx="156">
                  <c:v>2025/08/04</c:v>
                </c:pt>
                <c:pt idx="157">
                  <c:v>2025/08/05</c:v>
                </c:pt>
                <c:pt idx="158">
                  <c:v>2025/08/06</c:v>
                </c:pt>
                <c:pt idx="159">
                  <c:v>2025/08/07</c:v>
                </c:pt>
                <c:pt idx="160">
                  <c:v>2025/08/08</c:v>
                </c:pt>
                <c:pt idx="161">
                  <c:v>2025/08/11</c:v>
                </c:pt>
                <c:pt idx="162">
                  <c:v>2025/08/12</c:v>
                </c:pt>
                <c:pt idx="163">
                  <c:v>2025/08/13</c:v>
                </c:pt>
                <c:pt idx="164">
                  <c:v>2025/08/14</c:v>
                </c:pt>
                <c:pt idx="165">
                  <c:v>2025/08/18</c:v>
                </c:pt>
                <c:pt idx="166">
                  <c:v>2025/08/19</c:v>
                </c:pt>
                <c:pt idx="167">
                  <c:v>2025/08/20</c:v>
                </c:pt>
                <c:pt idx="168">
                  <c:v>2025/08/21</c:v>
                </c:pt>
                <c:pt idx="169">
                  <c:v>2025/08/22</c:v>
                </c:pt>
                <c:pt idx="170">
                  <c:v>2025/08/25</c:v>
                </c:pt>
                <c:pt idx="171">
                  <c:v>2025/08/26</c:v>
                </c:pt>
                <c:pt idx="172">
                  <c:v>2025/08/27</c:v>
                </c:pt>
                <c:pt idx="173">
                  <c:v>2025/08/28</c:v>
                </c:pt>
                <c:pt idx="174">
                  <c:v>2025/08/29</c:v>
                </c:pt>
                <c:pt idx="175">
                  <c:v>2025/09/01</c:v>
                </c:pt>
                <c:pt idx="176">
                  <c:v>2025/09/02</c:v>
                </c:pt>
                <c:pt idx="177">
                  <c:v>2025/09/03</c:v>
                </c:pt>
                <c:pt idx="178">
                  <c:v>2025/09/04</c:v>
                </c:pt>
                <c:pt idx="179">
                  <c:v>2025/09/05</c:v>
                </c:pt>
                <c:pt idx="180">
                  <c:v>2025/09/08</c:v>
                </c:pt>
                <c:pt idx="181">
                  <c:v>2025/09/09</c:v>
                </c:pt>
                <c:pt idx="182">
                  <c:v>2025/09/10</c:v>
                </c:pt>
                <c:pt idx="183">
                  <c:v>2025/09/11</c:v>
                </c:pt>
                <c:pt idx="184">
                  <c:v>2025/09/12</c:v>
                </c:pt>
                <c:pt idx="185">
                  <c:v>2025/09/15</c:v>
                </c:pt>
                <c:pt idx="186">
                  <c:v>2025/09/16</c:v>
                </c:pt>
                <c:pt idx="187">
                  <c:v>2025/09/17</c:v>
                </c:pt>
                <c:pt idx="188">
                  <c:v>2025/09/18</c:v>
                </c:pt>
                <c:pt idx="189">
                  <c:v>2025/09/19</c:v>
                </c:pt>
                <c:pt idx="190">
                  <c:v>2025/09/22</c:v>
                </c:pt>
                <c:pt idx="191">
                  <c:v>2025/09/23</c:v>
                </c:pt>
                <c:pt idx="192">
                  <c:v>2025/09/24</c:v>
                </c:pt>
                <c:pt idx="193">
                  <c:v>2025/09/25</c:v>
                </c:pt>
                <c:pt idx="194">
                  <c:v>2025/09/26</c:v>
                </c:pt>
                <c:pt idx="195">
                  <c:v>2025/09/29</c:v>
                </c:pt>
                <c:pt idx="196">
                  <c:v>2025/09/30</c:v>
                </c:pt>
                <c:pt idx="197">
                  <c:v>2025/10/01</c:v>
                </c:pt>
                <c:pt idx="198">
                  <c:v>2025/10/02</c:v>
                </c:pt>
                <c:pt idx="199">
                  <c:v>2025/10/10</c:v>
                </c:pt>
                <c:pt idx="200">
                  <c:v>2025/10/13</c:v>
                </c:pt>
                <c:pt idx="201">
                  <c:v>2025/10/14</c:v>
                </c:pt>
                <c:pt idx="202">
                  <c:v>2025/10/15</c:v>
                </c:pt>
                <c:pt idx="203">
                  <c:v>2025/10/16</c:v>
                </c:pt>
                <c:pt idx="204">
                  <c:v>2025/10/17</c:v>
                </c:pt>
                <c:pt idx="205">
                  <c:v>2025/10/20</c:v>
                </c:pt>
                <c:pt idx="206">
                  <c:v>2025/10/21</c:v>
                </c:pt>
                <c:pt idx="207">
                  <c:v>2025/10/22</c:v>
                </c:pt>
                <c:pt idx="208">
                  <c:v>2025/10/23</c:v>
                </c:pt>
                <c:pt idx="209">
                  <c:v>2025/10/24</c:v>
                </c:pt>
                <c:pt idx="210">
                  <c:v>2025/10/27</c:v>
                </c:pt>
                <c:pt idx="211">
                  <c:v>2025/10/28</c:v>
                </c:pt>
                <c:pt idx="212">
                  <c:v>2025/10/29</c:v>
                </c:pt>
                <c:pt idx="213">
                  <c:v>2025/10/30</c:v>
                </c:pt>
                <c:pt idx="214">
                  <c:v>2025/10/31</c:v>
                </c:pt>
                <c:pt idx="215">
                  <c:v>2025/11/03</c:v>
                </c:pt>
                <c:pt idx="216">
                  <c:v>2025/11/04</c:v>
                </c:pt>
                <c:pt idx="217">
                  <c:v>2025/11/05</c:v>
                </c:pt>
                <c:pt idx="218">
                  <c:v>2025/11/06</c:v>
                </c:pt>
                <c:pt idx="219">
                  <c:v>2025/11/07</c:v>
                </c:pt>
                <c:pt idx="220">
                  <c:v>2025/11/10</c:v>
                </c:pt>
                <c:pt idx="221">
                  <c:v>2025/11/11</c:v>
                </c:pt>
                <c:pt idx="222">
                  <c:v>2025/11/12</c:v>
                </c:pt>
                <c:pt idx="223">
                  <c:v>2025/11/13</c:v>
                </c:pt>
                <c:pt idx="224">
                  <c:v>2025/11/14</c:v>
                </c:pt>
                <c:pt idx="225">
                  <c:v>2025/11/17</c:v>
                </c:pt>
                <c:pt idx="226">
                  <c:v>2025/11/18</c:v>
                </c:pt>
                <c:pt idx="227">
                  <c:v>2025/11/19</c:v>
                </c:pt>
                <c:pt idx="228">
                  <c:v>2025/11/20</c:v>
                </c:pt>
                <c:pt idx="229">
                  <c:v>2025/11/21</c:v>
                </c:pt>
                <c:pt idx="230">
                  <c:v>2025/11/24</c:v>
                </c:pt>
                <c:pt idx="231">
                  <c:v>2025/11/25</c:v>
                </c:pt>
                <c:pt idx="232">
                  <c:v>2025/11/26</c:v>
                </c:pt>
                <c:pt idx="233">
                  <c:v>2025/11/27</c:v>
                </c:pt>
                <c:pt idx="234">
                  <c:v>2025/11/28</c:v>
                </c:pt>
                <c:pt idx="235">
                  <c:v>2025/12/01</c:v>
                </c:pt>
                <c:pt idx="236">
                  <c:v>2025/12/02</c:v>
                </c:pt>
                <c:pt idx="237">
                  <c:v>2025/12/03</c:v>
                </c:pt>
                <c:pt idx="238">
                  <c:v>2025/12/04</c:v>
                </c:pt>
                <c:pt idx="239">
                  <c:v>2025/12/05</c:v>
                </c:pt>
                <c:pt idx="240">
                  <c:v>2025/12/08</c:v>
                </c:pt>
                <c:pt idx="241">
                  <c:v>2025/12/09</c:v>
                </c:pt>
                <c:pt idx="242">
                  <c:v>2025/12/10</c:v>
                </c:pt>
              </c:strCache>
            </c:strRef>
          </c:cat>
          <c:val>
            <c:numRef>
              <c:f>PRICE!$O$2:$O$244</c:f>
              <c:numCache>
                <c:formatCode>#,##0</c:formatCode>
                <c:ptCount val="243"/>
                <c:pt idx="0">
                  <c:v>100</c:v>
                </c:pt>
                <c:pt idx="1">
                  <c:v>105.7618437900128</c:v>
                </c:pt>
                <c:pt idx="2">
                  <c:v>106.91421254801537</c:v>
                </c:pt>
                <c:pt idx="3">
                  <c:v>109.34699103713189</c:v>
                </c:pt>
                <c:pt idx="4">
                  <c:v>112.54801536491676</c:v>
                </c:pt>
                <c:pt idx="5">
                  <c:v>113.31626120358516</c:v>
                </c:pt>
                <c:pt idx="6">
                  <c:v>113.82842509603074</c:v>
                </c:pt>
                <c:pt idx="7">
                  <c:v>110.11523687580026</c:v>
                </c:pt>
                <c:pt idx="8">
                  <c:v>105.8898847631242</c:v>
                </c:pt>
                <c:pt idx="9">
                  <c:v>108.32266325224072</c:v>
                </c:pt>
                <c:pt idx="10">
                  <c:v>105.24967989756722</c:v>
                </c:pt>
                <c:pt idx="11">
                  <c:v>102.68886043533931</c:v>
                </c:pt>
                <c:pt idx="12">
                  <c:v>102.43277848911652</c:v>
                </c:pt>
                <c:pt idx="13">
                  <c:v>103.20102432778489</c:v>
                </c:pt>
                <c:pt idx="14">
                  <c:v>103.71318822023048</c:v>
                </c:pt>
                <c:pt idx="15">
                  <c:v>109.98719590268887</c:v>
                </c:pt>
                <c:pt idx="16">
                  <c:v>116.00512163892446</c:v>
                </c:pt>
                <c:pt idx="17">
                  <c:v>113.70038412291935</c:v>
                </c:pt>
                <c:pt idx="18">
                  <c:v>117.66965428937262</c:v>
                </c:pt>
                <c:pt idx="19">
                  <c:v>116.51728553137005</c:v>
                </c:pt>
                <c:pt idx="20">
                  <c:v>116.00512163892446</c:v>
                </c:pt>
                <c:pt idx="21">
                  <c:v>112.67605633802818</c:v>
                </c:pt>
                <c:pt idx="22">
                  <c:v>113.70038412291933</c:v>
                </c:pt>
                <c:pt idx="23">
                  <c:v>111.9078104993598</c:v>
                </c:pt>
                <c:pt idx="24">
                  <c:v>114.08450704225352</c:v>
                </c:pt>
                <c:pt idx="25">
                  <c:v>126.63252240717028</c:v>
                </c:pt>
                <c:pt idx="26">
                  <c:v>129.19334186939818</c:v>
                </c:pt>
                <c:pt idx="27">
                  <c:v>128.04097311139563</c:v>
                </c:pt>
                <c:pt idx="28">
                  <c:v>132.77848911651725</c:v>
                </c:pt>
                <c:pt idx="29">
                  <c:v>130.9859154929577</c:v>
                </c:pt>
                <c:pt idx="30">
                  <c:v>131.49807938540329</c:v>
                </c:pt>
                <c:pt idx="31">
                  <c:v>122.40717029449419</c:v>
                </c:pt>
                <c:pt idx="32">
                  <c:v>113.31626120358511</c:v>
                </c:pt>
                <c:pt idx="33">
                  <c:v>117.41357234314978</c:v>
                </c:pt>
                <c:pt idx="34">
                  <c:v>122.15108834827141</c:v>
                </c:pt>
                <c:pt idx="35">
                  <c:v>131.62612035851467</c:v>
                </c:pt>
                <c:pt idx="36">
                  <c:v>129.44942381562095</c:v>
                </c:pt>
                <c:pt idx="37">
                  <c:v>137.77208706786166</c:v>
                </c:pt>
                <c:pt idx="38">
                  <c:v>133.80281690140839</c:v>
                </c:pt>
                <c:pt idx="39">
                  <c:v>131.88220230473746</c:v>
                </c:pt>
                <c:pt idx="40">
                  <c:v>130.6017925736235</c:v>
                </c:pt>
                <c:pt idx="41">
                  <c:v>137.13188220230467</c:v>
                </c:pt>
                <c:pt idx="42">
                  <c:v>138.66837387964142</c:v>
                </c:pt>
                <c:pt idx="43">
                  <c:v>138.02816901408445</c:v>
                </c:pt>
                <c:pt idx="44">
                  <c:v>157.74647887323937</c:v>
                </c:pt>
                <c:pt idx="45">
                  <c:v>147.8873239436619</c:v>
                </c:pt>
                <c:pt idx="46">
                  <c:v>150.832266325224</c:v>
                </c:pt>
                <c:pt idx="47">
                  <c:v>149.55185659411003</c:v>
                </c:pt>
                <c:pt idx="48">
                  <c:v>145.83866837387956</c:v>
                </c:pt>
                <c:pt idx="49">
                  <c:v>142.12548015364908</c:v>
                </c:pt>
                <c:pt idx="50">
                  <c:v>137.90012804097302</c:v>
                </c:pt>
                <c:pt idx="51">
                  <c:v>132.5224071702944</c:v>
                </c:pt>
                <c:pt idx="52">
                  <c:v>128.16901408450695</c:v>
                </c:pt>
                <c:pt idx="53">
                  <c:v>128.93725992317533</c:v>
                </c:pt>
                <c:pt idx="54">
                  <c:v>127.27272727272718</c:v>
                </c:pt>
                <c:pt idx="55">
                  <c:v>127.40076824583859</c:v>
                </c:pt>
                <c:pt idx="56">
                  <c:v>127.40076824583859</c:v>
                </c:pt>
                <c:pt idx="57">
                  <c:v>125.86427656850185</c:v>
                </c:pt>
                <c:pt idx="58">
                  <c:v>133.80281690140839</c:v>
                </c:pt>
                <c:pt idx="59">
                  <c:v>129.96158770806653</c:v>
                </c:pt>
                <c:pt idx="60">
                  <c:v>134.57106274007677</c:v>
                </c:pt>
                <c:pt idx="61">
                  <c:v>135.46734955185656</c:v>
                </c:pt>
                <c:pt idx="62">
                  <c:v>131.24199743918049</c:v>
                </c:pt>
                <c:pt idx="63">
                  <c:v>133.16261203585142</c:v>
                </c:pt>
                <c:pt idx="64">
                  <c:v>133.67477592829701</c:v>
                </c:pt>
                <c:pt idx="65">
                  <c:v>136.36363636363632</c:v>
                </c:pt>
                <c:pt idx="66">
                  <c:v>131.75416133162608</c:v>
                </c:pt>
                <c:pt idx="67">
                  <c:v>128.29705505761839</c:v>
                </c:pt>
                <c:pt idx="68">
                  <c:v>128.16901408450698</c:v>
                </c:pt>
                <c:pt idx="69">
                  <c:v>125.60819462227907</c:v>
                </c:pt>
                <c:pt idx="70">
                  <c:v>120.74263764404604</c:v>
                </c:pt>
                <c:pt idx="71">
                  <c:v>113.95646606914207</c:v>
                </c:pt>
                <c:pt idx="72">
                  <c:v>118.05377720870672</c:v>
                </c:pt>
                <c:pt idx="73">
                  <c:v>117.15749039692696</c:v>
                </c:pt>
                <c:pt idx="74">
                  <c:v>112.6760563380281</c:v>
                </c:pt>
                <c:pt idx="75">
                  <c:v>109.34699103713182</c:v>
                </c:pt>
                <c:pt idx="76">
                  <c:v>101.1523687580025</c:v>
                </c:pt>
                <c:pt idx="77">
                  <c:v>100.25608194622272</c:v>
                </c:pt>
                <c:pt idx="78">
                  <c:v>96.158770806658069</c:v>
                </c:pt>
                <c:pt idx="79">
                  <c:v>103.32906530089623</c:v>
                </c:pt>
                <c:pt idx="80">
                  <c:v>107.5544174135723</c:v>
                </c:pt>
                <c:pt idx="81">
                  <c:v>107.2983354673495</c:v>
                </c:pt>
                <c:pt idx="82">
                  <c:v>108.57874519846345</c:v>
                </c:pt>
                <c:pt idx="83">
                  <c:v>105.76184379001275</c:v>
                </c:pt>
                <c:pt idx="84">
                  <c:v>107.55441741357228</c:v>
                </c:pt>
                <c:pt idx="85">
                  <c:v>107.0422535211267</c:v>
                </c:pt>
                <c:pt idx="86">
                  <c:v>106.27400768245832</c:v>
                </c:pt>
                <c:pt idx="87">
                  <c:v>106.01792573623553</c:v>
                </c:pt>
                <c:pt idx="88">
                  <c:v>107.68245838668368</c:v>
                </c:pt>
                <c:pt idx="89">
                  <c:v>108.57874519846345</c:v>
                </c:pt>
                <c:pt idx="90">
                  <c:v>111.52368758002554</c:v>
                </c:pt>
                <c:pt idx="91">
                  <c:v>108.45070422535204</c:v>
                </c:pt>
                <c:pt idx="92">
                  <c:v>107.68245838668366</c:v>
                </c:pt>
                <c:pt idx="93">
                  <c:v>105.63380281690134</c:v>
                </c:pt>
                <c:pt idx="94">
                  <c:v>106.01792573623553</c:v>
                </c:pt>
                <c:pt idx="95">
                  <c:v>104.99359795134436</c:v>
                </c:pt>
                <c:pt idx="96">
                  <c:v>101.53649167733667</c:v>
                </c:pt>
                <c:pt idx="97">
                  <c:v>101.15236875800248</c:v>
                </c:pt>
                <c:pt idx="98">
                  <c:v>106.14596670934691</c:v>
                </c:pt>
                <c:pt idx="99">
                  <c:v>105.63380281690132</c:v>
                </c:pt>
                <c:pt idx="100">
                  <c:v>107.81049935979503</c:v>
                </c:pt>
                <c:pt idx="101">
                  <c:v>117.79769526248388</c:v>
                </c:pt>
                <c:pt idx="102">
                  <c:v>127.40076824583855</c:v>
                </c:pt>
                <c:pt idx="103">
                  <c:v>122.66325224071691</c:v>
                </c:pt>
                <c:pt idx="104">
                  <c:v>118.69398207426366</c:v>
                </c:pt>
                <c:pt idx="105">
                  <c:v>117.6696542893725</c:v>
                </c:pt>
                <c:pt idx="106">
                  <c:v>112.93213828425087</c:v>
                </c:pt>
                <c:pt idx="107">
                  <c:v>113.44430217669645</c:v>
                </c:pt>
                <c:pt idx="108">
                  <c:v>117.92573623559529</c:v>
                </c:pt>
                <c:pt idx="109">
                  <c:v>116.26120358514716</c:v>
                </c:pt>
                <c:pt idx="110">
                  <c:v>114.8527528809218</c:v>
                </c:pt>
                <c:pt idx="111">
                  <c:v>115.23687580025599</c:v>
                </c:pt>
                <c:pt idx="112">
                  <c:v>115.62099871959018</c:v>
                </c:pt>
                <c:pt idx="113">
                  <c:v>116.64532650448133</c:v>
                </c:pt>
                <c:pt idx="114">
                  <c:v>116.38924455825854</c:v>
                </c:pt>
                <c:pt idx="115">
                  <c:v>118.69398207426366</c:v>
                </c:pt>
                <c:pt idx="116">
                  <c:v>119.46222791293202</c:v>
                </c:pt>
                <c:pt idx="117">
                  <c:v>118.18181818181807</c:v>
                </c:pt>
                <c:pt idx="118">
                  <c:v>122.91933418693969</c:v>
                </c:pt>
                <c:pt idx="119">
                  <c:v>120.99871959026876</c:v>
                </c:pt>
                <c:pt idx="120">
                  <c:v>116.26120358514713</c:v>
                </c:pt>
                <c:pt idx="121">
                  <c:v>112.93213828425084</c:v>
                </c:pt>
                <c:pt idx="122">
                  <c:v>111.52368758002548</c:v>
                </c:pt>
                <c:pt idx="123">
                  <c:v>112.54801536491665</c:v>
                </c:pt>
                <c:pt idx="124">
                  <c:v>113.06017925736224</c:v>
                </c:pt>
                <c:pt idx="125">
                  <c:v>114.46862996158758</c:v>
                </c:pt>
                <c:pt idx="126">
                  <c:v>110.37131882202293</c:v>
                </c:pt>
                <c:pt idx="127">
                  <c:v>114.2125480153648</c:v>
                </c:pt>
                <c:pt idx="128">
                  <c:v>117.79769526248388</c:v>
                </c:pt>
                <c:pt idx="129">
                  <c:v>117.66965428937249</c:v>
                </c:pt>
                <c:pt idx="130">
                  <c:v>115.62099871959016</c:v>
                </c:pt>
                <c:pt idx="131">
                  <c:v>113.82842509603063</c:v>
                </c:pt>
                <c:pt idx="132">
                  <c:v>112.67605633802806</c:v>
                </c:pt>
                <c:pt idx="133">
                  <c:v>110.49935979513434</c:v>
                </c:pt>
                <c:pt idx="134">
                  <c:v>116.38924455825854</c:v>
                </c:pt>
                <c:pt idx="135">
                  <c:v>113.95646606914202</c:v>
                </c:pt>
                <c:pt idx="136">
                  <c:v>112.54801536491668</c:v>
                </c:pt>
                <c:pt idx="137">
                  <c:v>111.9078104993597</c:v>
                </c:pt>
                <c:pt idx="138">
                  <c:v>113.70038412291925</c:v>
                </c:pt>
                <c:pt idx="139">
                  <c:v>114.08450704225342</c:v>
                </c:pt>
                <c:pt idx="140">
                  <c:v>116.51728553136994</c:v>
                </c:pt>
                <c:pt idx="141">
                  <c:v>114.08450704225342</c:v>
                </c:pt>
                <c:pt idx="142">
                  <c:v>122.91933418693971</c:v>
                </c:pt>
                <c:pt idx="143">
                  <c:v>125.4801536491676</c:v>
                </c:pt>
                <c:pt idx="144">
                  <c:v>124.58386683738784</c:v>
                </c:pt>
                <c:pt idx="145">
                  <c:v>121.25480153649156</c:v>
                </c:pt>
                <c:pt idx="146">
                  <c:v>121.12676056338016</c:v>
                </c:pt>
                <c:pt idx="147">
                  <c:v>119.20614596670923</c:v>
                </c:pt>
                <c:pt idx="148">
                  <c:v>120.35851472471178</c:v>
                </c:pt>
                <c:pt idx="149">
                  <c:v>118.69398207426363</c:v>
                </c:pt>
                <c:pt idx="150">
                  <c:v>118.05377720870665</c:v>
                </c:pt>
                <c:pt idx="151">
                  <c:v>123.17541613316246</c:v>
                </c:pt>
                <c:pt idx="152">
                  <c:v>125.73623559539035</c:v>
                </c:pt>
                <c:pt idx="153">
                  <c:v>129.32138284250942</c:v>
                </c:pt>
                <c:pt idx="154">
                  <c:v>127.52880921894989</c:v>
                </c:pt>
                <c:pt idx="155">
                  <c:v>128.04097311139549</c:v>
                </c:pt>
                <c:pt idx="156">
                  <c:v>127.6568501920613</c:v>
                </c:pt>
                <c:pt idx="157">
                  <c:v>132.52240717029434</c:v>
                </c:pt>
                <c:pt idx="158">
                  <c:v>130.98591549295759</c:v>
                </c:pt>
                <c:pt idx="159">
                  <c:v>130.98591549295759</c:v>
                </c:pt>
                <c:pt idx="160">
                  <c:v>131.75416133162597</c:v>
                </c:pt>
                <c:pt idx="161">
                  <c:v>135.72343149807921</c:v>
                </c:pt>
                <c:pt idx="162">
                  <c:v>134.95518565941083</c:v>
                </c:pt>
                <c:pt idx="163">
                  <c:v>137.00384122919314</c:v>
                </c:pt>
                <c:pt idx="164">
                  <c:v>135.08322663252221</c:v>
                </c:pt>
                <c:pt idx="165">
                  <c:v>131.62612035851453</c:v>
                </c:pt>
                <c:pt idx="166">
                  <c:v>130.98591549295756</c:v>
                </c:pt>
                <c:pt idx="167">
                  <c:v>130.85787451984618</c:v>
                </c:pt>
                <c:pt idx="168">
                  <c:v>128.93725992317525</c:v>
                </c:pt>
                <c:pt idx="169">
                  <c:v>131.37003841229176</c:v>
                </c:pt>
                <c:pt idx="170">
                  <c:v>133.6747759282969</c:v>
                </c:pt>
                <c:pt idx="171">
                  <c:v>141.74135723431482</c:v>
                </c:pt>
                <c:pt idx="172">
                  <c:v>140.20486555697809</c:v>
                </c:pt>
                <c:pt idx="173">
                  <c:v>141.74135723431482</c:v>
                </c:pt>
                <c:pt idx="174">
                  <c:v>144.68629961587692</c:v>
                </c:pt>
                <c:pt idx="175">
                  <c:v>135.33930857874503</c:v>
                </c:pt>
                <c:pt idx="176">
                  <c:v>134.69910371318807</c:v>
                </c:pt>
                <c:pt idx="177">
                  <c:v>139.5646606914211</c:v>
                </c:pt>
                <c:pt idx="178">
                  <c:v>140.46094750320086</c:v>
                </c:pt>
                <c:pt idx="179">
                  <c:v>147.88732394366178</c:v>
                </c:pt>
                <c:pt idx="180">
                  <c:v>152.75288092189481</c:v>
                </c:pt>
                <c:pt idx="181">
                  <c:v>152.49679897567202</c:v>
                </c:pt>
                <c:pt idx="182">
                  <c:v>154.92957746478854</c:v>
                </c:pt>
                <c:pt idx="183">
                  <c:v>152.8809218950062</c:v>
                </c:pt>
                <c:pt idx="184">
                  <c:v>155.44174135723409</c:v>
                </c:pt>
                <c:pt idx="185">
                  <c:v>155.8258642765683</c:v>
                </c:pt>
                <c:pt idx="186">
                  <c:v>157.49039692701643</c:v>
                </c:pt>
                <c:pt idx="187">
                  <c:v>156.20998719590247</c:v>
                </c:pt>
                <c:pt idx="188">
                  <c:v>163.50832266325202</c:v>
                </c:pt>
                <c:pt idx="189">
                  <c:v>175.4161331626118</c:v>
                </c:pt>
                <c:pt idx="190">
                  <c:v>172.34314980793832</c:v>
                </c:pt>
                <c:pt idx="191">
                  <c:v>170.93469910371297</c:v>
                </c:pt>
                <c:pt idx="192">
                  <c:v>183.61075544174113</c:v>
                </c:pt>
                <c:pt idx="193">
                  <c:v>184.6350832266323</c:v>
                </c:pt>
                <c:pt idx="194">
                  <c:v>177.33674775928276</c:v>
                </c:pt>
                <c:pt idx="195">
                  <c:v>190.65300896286789</c:v>
                </c:pt>
                <c:pt idx="196">
                  <c:v>177.72087067861693</c:v>
                </c:pt>
                <c:pt idx="197">
                  <c:v>179.25736235595366</c:v>
                </c:pt>
                <c:pt idx="198">
                  <c:v>180.02560819462201</c:v>
                </c:pt>
                <c:pt idx="199">
                  <c:v>180.53777208706757</c:v>
                </c:pt>
                <c:pt idx="200">
                  <c:v>176.69654289372571</c:v>
                </c:pt>
                <c:pt idx="201">
                  <c:v>168.88604353393058</c:v>
                </c:pt>
                <c:pt idx="202">
                  <c:v>172.08706786171547</c:v>
                </c:pt>
                <c:pt idx="203">
                  <c:v>170.03841229193316</c:v>
                </c:pt>
                <c:pt idx="204">
                  <c:v>171.19078104993571</c:v>
                </c:pt>
                <c:pt idx="205">
                  <c:v>184.25096030729807</c:v>
                </c:pt>
                <c:pt idx="206">
                  <c:v>191.80537772087041</c:v>
                </c:pt>
                <c:pt idx="207">
                  <c:v>199.74391805377695</c:v>
                </c:pt>
                <c:pt idx="208">
                  <c:v>194.62227912932113</c:v>
                </c:pt>
                <c:pt idx="209">
                  <c:v>191.67733674775903</c:v>
                </c:pt>
                <c:pt idx="210">
                  <c:v>205.37772087067836</c:v>
                </c:pt>
                <c:pt idx="211">
                  <c:v>194.36619718309834</c:v>
                </c:pt>
                <c:pt idx="212">
                  <c:v>194.62227912932113</c:v>
                </c:pt>
                <c:pt idx="213">
                  <c:v>192.44558258642741</c:v>
                </c:pt>
                <c:pt idx="214">
                  <c:v>190.65300896286786</c:v>
                </c:pt>
                <c:pt idx="215">
                  <c:v>188.86043533930831</c:v>
                </c:pt>
                <c:pt idx="216">
                  <c:v>184.63508322663228</c:v>
                </c:pt>
                <c:pt idx="217">
                  <c:v>180.79385403329042</c:v>
                </c:pt>
                <c:pt idx="218">
                  <c:v>192.31754161331602</c:v>
                </c:pt>
                <c:pt idx="219">
                  <c:v>182.45838668373858</c:v>
                </c:pt>
                <c:pt idx="220">
                  <c:v>181.6901408450702</c:v>
                </c:pt>
                <c:pt idx="221">
                  <c:v>178.36107554417393</c:v>
                </c:pt>
                <c:pt idx="222">
                  <c:v>172.59923175416114</c:v>
                </c:pt>
                <c:pt idx="223">
                  <c:v>180.53777208706765</c:v>
                </c:pt>
                <c:pt idx="224">
                  <c:v>165.94110115236856</c:v>
                </c:pt>
                <c:pt idx="225">
                  <c:v>164.78873239436601</c:v>
                </c:pt>
                <c:pt idx="226">
                  <c:v>155.44174135723412</c:v>
                </c:pt>
                <c:pt idx="227">
                  <c:v>154.41741357234295</c:v>
                </c:pt>
                <c:pt idx="228">
                  <c:v>158.00256081946202</c:v>
                </c:pt>
                <c:pt idx="229">
                  <c:v>151.85659411011503</c:v>
                </c:pt>
                <c:pt idx="230">
                  <c:v>146.991037131882</c:v>
                </c:pt>
                <c:pt idx="231">
                  <c:v>156.20998719590247</c:v>
                </c:pt>
                <c:pt idx="232">
                  <c:v>157.49039692701641</c:v>
                </c:pt>
                <c:pt idx="233">
                  <c:v>167.73367477592802</c:v>
                </c:pt>
                <c:pt idx="234">
                  <c:v>164.40460947503175</c:v>
                </c:pt>
                <c:pt idx="235">
                  <c:v>167.8617157490394</c:v>
                </c:pt>
                <c:pt idx="236">
                  <c:v>167.34955185659382</c:v>
                </c:pt>
                <c:pt idx="237">
                  <c:v>167.8617157490394</c:v>
                </c:pt>
                <c:pt idx="238">
                  <c:v>163.50832266325196</c:v>
                </c:pt>
                <c:pt idx="239">
                  <c:v>167.98975672215082</c:v>
                </c:pt>
                <c:pt idx="240">
                  <c:v>169.65428937259898</c:v>
                </c:pt>
                <c:pt idx="241">
                  <c:v>172.21510883482688</c:v>
                </c:pt>
                <c:pt idx="242">
                  <c:v>174.7759282970548</c:v>
                </c:pt>
              </c:numCache>
            </c:numRef>
          </c:val>
          <c:smooth val="0"/>
          <c:extLst>
            <c:ext xmlns:c16="http://schemas.microsoft.com/office/drawing/2014/chart" uri="{C3380CC4-5D6E-409C-BE32-E72D297353CC}">
              <c16:uniqueId val="{00000004-5069-41F0-A972-CFC9FCB2FE47}"/>
            </c:ext>
          </c:extLst>
        </c:ser>
        <c:dLbls>
          <c:showLegendKey val="0"/>
          <c:showVal val="0"/>
          <c:showCatName val="0"/>
          <c:showSerName val="0"/>
          <c:showPercent val="0"/>
          <c:showBubbleSize val="0"/>
        </c:dLbls>
        <c:smooth val="0"/>
        <c:axId val="927595871"/>
        <c:axId val="927597791"/>
      </c:lineChart>
      <c:catAx>
        <c:axId val="927595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927597791"/>
        <c:crosses val="autoZero"/>
        <c:auto val="1"/>
        <c:lblAlgn val="ctr"/>
        <c:lblOffset val="100"/>
        <c:noMultiLvlLbl val="0"/>
      </c:catAx>
      <c:valAx>
        <c:axId val="9275977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9275958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cat>
            <c:strRef>
              <c:f>'Chart pack'!$B$100:$B$103</c:f>
              <c:strCache>
                <c:ptCount val="4"/>
                <c:pt idx="0">
                  <c:v>2017 </c:v>
                </c:pt>
                <c:pt idx="1">
                  <c:v>2021 </c:v>
                </c:pt>
                <c:pt idx="2">
                  <c:v>2025 </c:v>
                </c:pt>
                <c:pt idx="3">
                  <c:v>2030E</c:v>
                </c:pt>
              </c:strCache>
            </c:strRef>
          </c:cat>
          <c:val>
            <c:numRef>
              <c:f>'Chart pack'!$C$100:$C$103</c:f>
              <c:numCache>
                <c:formatCode>#,##0_ </c:formatCode>
                <c:ptCount val="4"/>
                <c:pt idx="0">
                  <c:v>30</c:v>
                </c:pt>
                <c:pt idx="1">
                  <c:v>14</c:v>
                </c:pt>
                <c:pt idx="2">
                  <c:v>5</c:v>
                </c:pt>
                <c:pt idx="3">
                  <c:v>3</c:v>
                </c:pt>
              </c:numCache>
            </c:numRef>
          </c:val>
          <c:extLst>
            <c:ext xmlns:c16="http://schemas.microsoft.com/office/drawing/2014/chart" uri="{C3380CC4-5D6E-409C-BE32-E72D297353CC}">
              <c16:uniqueId val="{00000000-FB2C-4CD7-99D1-49C1EE0A4D08}"/>
            </c:ext>
          </c:extLst>
        </c:ser>
        <c:dLbls>
          <c:showLegendKey val="0"/>
          <c:showVal val="0"/>
          <c:showCatName val="0"/>
          <c:showSerName val="0"/>
          <c:showPercent val="0"/>
          <c:showBubbleSize val="0"/>
        </c:dLbls>
        <c:gapWidth val="219"/>
        <c:overlap val="-27"/>
        <c:axId val="412068879"/>
        <c:axId val="412066479"/>
      </c:barChart>
      <c:catAx>
        <c:axId val="412068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412066479"/>
        <c:crosses val="autoZero"/>
        <c:auto val="1"/>
        <c:lblAlgn val="ctr"/>
        <c:lblOffset val="100"/>
        <c:noMultiLvlLbl val="0"/>
      </c:catAx>
      <c:valAx>
        <c:axId val="412066479"/>
        <c:scaling>
          <c:orientation val="minMax"/>
        </c:scaling>
        <c:delete val="0"/>
        <c:axPos val="l"/>
        <c:majorGridlines>
          <c:spPr>
            <a:ln w="9525" cap="flat" cmpd="sng" algn="ctr">
              <a:solidFill>
                <a:schemeClr val="tx1">
                  <a:lumMod val="15000"/>
                  <a:lumOff val="85000"/>
                </a:schemeClr>
              </a:solidFill>
              <a:round/>
            </a:ln>
            <a:effectLst/>
          </c:spPr>
        </c:majorGridlines>
        <c:numFmt formatCode="#,##0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41206887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cat>
            <c:numRef>
              <c:f>'Chart pack'!$B$140:$B$143</c:f>
              <c:numCache>
                <c:formatCode>0_);[Red]\(0\)</c:formatCode>
                <c:ptCount val="4"/>
                <c:pt idx="0">
                  <c:v>2017</c:v>
                </c:pt>
                <c:pt idx="1">
                  <c:v>2021</c:v>
                </c:pt>
                <c:pt idx="2">
                  <c:v>2025</c:v>
                </c:pt>
                <c:pt idx="3">
                  <c:v>2030</c:v>
                </c:pt>
              </c:numCache>
            </c:numRef>
          </c:cat>
          <c:val>
            <c:numRef>
              <c:f>'Chart pack'!$C$140:$C$143</c:f>
              <c:numCache>
                <c:formatCode>#,##0_ </c:formatCode>
                <c:ptCount val="4"/>
                <c:pt idx="0">
                  <c:v>12</c:v>
                </c:pt>
                <c:pt idx="1">
                  <c:v>27</c:v>
                </c:pt>
                <c:pt idx="2">
                  <c:v>54</c:v>
                </c:pt>
                <c:pt idx="3">
                  <c:v>108</c:v>
                </c:pt>
              </c:numCache>
            </c:numRef>
          </c:val>
          <c:extLst>
            <c:ext xmlns:c16="http://schemas.microsoft.com/office/drawing/2014/chart" uri="{C3380CC4-5D6E-409C-BE32-E72D297353CC}">
              <c16:uniqueId val="{00000000-403C-4D85-8D66-E1AEECD7BA78}"/>
            </c:ext>
          </c:extLst>
        </c:ser>
        <c:dLbls>
          <c:showLegendKey val="0"/>
          <c:showVal val="0"/>
          <c:showCatName val="0"/>
          <c:showSerName val="0"/>
          <c:showPercent val="0"/>
          <c:showBubbleSize val="0"/>
        </c:dLbls>
        <c:gapWidth val="219"/>
        <c:overlap val="-27"/>
        <c:axId val="580796640"/>
        <c:axId val="580807200"/>
      </c:barChart>
      <c:catAx>
        <c:axId val="580796640"/>
        <c:scaling>
          <c:orientation val="minMax"/>
        </c:scaling>
        <c:delete val="0"/>
        <c:axPos val="b"/>
        <c:numFmt formatCode="0_);[Red]\(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580807200"/>
        <c:crosses val="autoZero"/>
        <c:auto val="1"/>
        <c:lblAlgn val="ctr"/>
        <c:lblOffset val="100"/>
        <c:noMultiLvlLbl val="0"/>
      </c:catAx>
      <c:valAx>
        <c:axId val="580807200"/>
        <c:scaling>
          <c:orientation val="minMax"/>
        </c:scaling>
        <c:delete val="0"/>
        <c:axPos val="l"/>
        <c:majorGridlines>
          <c:spPr>
            <a:ln w="9525" cap="flat" cmpd="sng" algn="ctr">
              <a:solidFill>
                <a:schemeClr val="tx1">
                  <a:lumMod val="15000"/>
                  <a:lumOff val="85000"/>
                </a:schemeClr>
              </a:solidFill>
              <a:round/>
            </a:ln>
            <a:effectLst/>
          </c:spPr>
        </c:majorGridlines>
        <c:numFmt formatCode="#,##0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5807966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02E-4898-AFEE-3A8F0C923C1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02E-4898-AFEE-3A8F0C923C1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02E-4898-AFEE-3A8F0C923C1D}"/>
              </c:ext>
            </c:extLst>
          </c:dPt>
          <c:val>
            <c:numRef>
              <c:f>('Chart pack'!$G$162,'Chart pack'!$G$168:$G$169)</c:f>
              <c:numCache>
                <c:formatCode>0.00%</c:formatCode>
                <c:ptCount val="3"/>
                <c:pt idx="0">
                  <c:v>0.30599999999999999</c:v>
                </c:pt>
                <c:pt idx="1">
                  <c:v>0.34699999999999998</c:v>
                </c:pt>
                <c:pt idx="2" formatCode="0.0%">
                  <c:v>0.34700000000000009</c:v>
                </c:pt>
              </c:numCache>
            </c:numRef>
          </c:val>
          <c:extLst>
            <c:ext xmlns:c16="http://schemas.microsoft.com/office/drawing/2014/chart" uri="{C3380CC4-5D6E-409C-BE32-E72D297353CC}">
              <c16:uniqueId val="{00000000-8785-438B-9321-976A1AACD024}"/>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0BF-40F8-A0EF-5B0F618B689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0BF-40F8-A0EF-5B0F618B689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0BF-40F8-A0EF-5B0F618B689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0BF-40F8-A0EF-5B0F618B689F}"/>
              </c:ext>
            </c:extLst>
          </c:dPt>
          <c:cat>
            <c:strRef>
              <c:f>'Chart pack'!$B$186:$B$189</c:f>
              <c:strCache>
                <c:ptCount val="4"/>
                <c:pt idx="0">
                  <c:v>Silicon Parts</c:v>
                </c:pt>
                <c:pt idx="1">
                  <c:v>Ceramic Parts</c:v>
                </c:pt>
                <c:pt idx="2">
                  <c:v>Sapphire Parts</c:v>
                </c:pt>
                <c:pt idx="3">
                  <c:v>기타</c:v>
                </c:pt>
              </c:strCache>
            </c:strRef>
          </c:cat>
          <c:val>
            <c:numRef>
              <c:f>'Chart pack'!$E$186:$E$189</c:f>
              <c:numCache>
                <c:formatCode>0.0%</c:formatCode>
                <c:ptCount val="4"/>
                <c:pt idx="0">
                  <c:v>0.55500000000000005</c:v>
                </c:pt>
                <c:pt idx="1">
                  <c:v>6.0000000000000001E-3</c:v>
                </c:pt>
                <c:pt idx="2">
                  <c:v>1.7000000000000001E-2</c:v>
                </c:pt>
                <c:pt idx="3">
                  <c:v>0.42199999999999999</c:v>
                </c:pt>
              </c:numCache>
            </c:numRef>
          </c:val>
          <c:extLst>
            <c:ext xmlns:c16="http://schemas.microsoft.com/office/drawing/2014/chart" uri="{C3380CC4-5D6E-409C-BE32-E72D297353CC}">
              <c16:uniqueId val="{00000000-4788-4D58-85A5-8EDA6E70BE69}"/>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'Chart pack'!$B$217</c:f>
              <c:strCache>
                <c:ptCount val="1"/>
                <c:pt idx="0">
                  <c:v>영업활동현금흐름</c:v>
                </c:pt>
              </c:strCache>
            </c:strRef>
          </c:tx>
          <c:spPr>
            <a:solidFill>
              <a:schemeClr val="accent1"/>
            </a:solidFill>
            <a:ln>
              <a:noFill/>
            </a:ln>
            <a:effectLst/>
          </c:spPr>
          <c:invertIfNegative val="0"/>
          <c:cat>
            <c:numRef>
              <c:f>'Chart pack'!$C$216:$E$216</c:f>
              <c:numCache>
                <c:formatCode>General</c:formatCode>
                <c:ptCount val="3"/>
                <c:pt idx="0">
                  <c:v>2022</c:v>
                </c:pt>
                <c:pt idx="1">
                  <c:v>2023</c:v>
                </c:pt>
                <c:pt idx="2">
                  <c:v>2024</c:v>
                </c:pt>
              </c:numCache>
            </c:numRef>
          </c:cat>
          <c:val>
            <c:numRef>
              <c:f>'Chart pack'!$C$217:$E$217</c:f>
              <c:numCache>
                <c:formatCode>#,##0.0_ </c:formatCode>
                <c:ptCount val="3"/>
                <c:pt idx="0">
                  <c:v>-144.80525696999999</c:v>
                </c:pt>
                <c:pt idx="1">
                  <c:v>12.495600899999999</c:v>
                </c:pt>
                <c:pt idx="2">
                  <c:v>354.90332211999998</c:v>
                </c:pt>
              </c:numCache>
            </c:numRef>
          </c:val>
          <c:extLst>
            <c:ext xmlns:c16="http://schemas.microsoft.com/office/drawing/2014/chart" uri="{C3380CC4-5D6E-409C-BE32-E72D297353CC}">
              <c16:uniqueId val="{00000000-657F-438C-AA8A-349610CD9965}"/>
            </c:ext>
          </c:extLst>
        </c:ser>
        <c:ser>
          <c:idx val="1"/>
          <c:order val="1"/>
          <c:tx>
            <c:strRef>
              <c:f>'Chart pack'!$B$218</c:f>
              <c:strCache>
                <c:ptCount val="1"/>
                <c:pt idx="0">
                  <c:v>투자활동현금흐름</c:v>
                </c:pt>
              </c:strCache>
            </c:strRef>
          </c:tx>
          <c:spPr>
            <a:solidFill>
              <a:schemeClr val="accent2"/>
            </a:solidFill>
            <a:ln>
              <a:noFill/>
            </a:ln>
            <a:effectLst/>
          </c:spPr>
          <c:invertIfNegative val="0"/>
          <c:cat>
            <c:numRef>
              <c:f>'Chart pack'!$C$216:$E$216</c:f>
              <c:numCache>
                <c:formatCode>General</c:formatCode>
                <c:ptCount val="3"/>
                <c:pt idx="0">
                  <c:v>2022</c:v>
                </c:pt>
                <c:pt idx="1">
                  <c:v>2023</c:v>
                </c:pt>
                <c:pt idx="2">
                  <c:v>2024</c:v>
                </c:pt>
              </c:numCache>
            </c:numRef>
          </c:cat>
          <c:val>
            <c:numRef>
              <c:f>'Chart pack'!$C$218:$E$218</c:f>
              <c:numCache>
                <c:formatCode>#,##0.0_ </c:formatCode>
                <c:ptCount val="3"/>
                <c:pt idx="0">
                  <c:v>-323.57965059999998</c:v>
                </c:pt>
                <c:pt idx="1">
                  <c:v>-316.72732919000003</c:v>
                </c:pt>
                <c:pt idx="2">
                  <c:v>-267.44587619999999</c:v>
                </c:pt>
              </c:numCache>
            </c:numRef>
          </c:val>
          <c:extLst>
            <c:ext xmlns:c16="http://schemas.microsoft.com/office/drawing/2014/chart" uri="{C3380CC4-5D6E-409C-BE32-E72D297353CC}">
              <c16:uniqueId val="{00000001-657F-438C-AA8A-349610CD9965}"/>
            </c:ext>
          </c:extLst>
        </c:ser>
        <c:ser>
          <c:idx val="2"/>
          <c:order val="2"/>
          <c:tx>
            <c:strRef>
              <c:f>'Chart pack'!$B$219</c:f>
              <c:strCache>
                <c:ptCount val="1"/>
                <c:pt idx="0">
                  <c:v>재무활동현금흐름</c:v>
                </c:pt>
              </c:strCache>
            </c:strRef>
          </c:tx>
          <c:spPr>
            <a:solidFill>
              <a:schemeClr val="accent3"/>
            </a:solidFill>
            <a:ln>
              <a:noFill/>
            </a:ln>
            <a:effectLst/>
          </c:spPr>
          <c:invertIfNegative val="0"/>
          <c:cat>
            <c:numRef>
              <c:f>'Chart pack'!$C$216:$E$216</c:f>
              <c:numCache>
                <c:formatCode>General</c:formatCode>
                <c:ptCount val="3"/>
                <c:pt idx="0">
                  <c:v>2022</c:v>
                </c:pt>
                <c:pt idx="1">
                  <c:v>2023</c:v>
                </c:pt>
                <c:pt idx="2">
                  <c:v>2024</c:v>
                </c:pt>
              </c:numCache>
            </c:numRef>
          </c:cat>
          <c:val>
            <c:numRef>
              <c:f>'Chart pack'!$C$219:$E$219</c:f>
              <c:numCache>
                <c:formatCode>#,##0.0_ </c:formatCode>
                <c:ptCount val="3"/>
                <c:pt idx="0">
                  <c:v>623.00096228000007</c:v>
                </c:pt>
                <c:pt idx="1">
                  <c:v>251.28755343</c:v>
                </c:pt>
                <c:pt idx="2">
                  <c:v>-72.617586090000003</c:v>
                </c:pt>
              </c:numCache>
            </c:numRef>
          </c:val>
          <c:extLst>
            <c:ext xmlns:c16="http://schemas.microsoft.com/office/drawing/2014/chart" uri="{C3380CC4-5D6E-409C-BE32-E72D297353CC}">
              <c16:uniqueId val="{00000002-657F-438C-AA8A-349610CD9965}"/>
            </c:ext>
          </c:extLst>
        </c:ser>
        <c:dLbls>
          <c:showLegendKey val="0"/>
          <c:showVal val="0"/>
          <c:showCatName val="0"/>
          <c:showSerName val="0"/>
          <c:showPercent val="0"/>
          <c:showBubbleSize val="0"/>
        </c:dLbls>
        <c:gapWidth val="219"/>
        <c:overlap val="-27"/>
        <c:axId val="991609488"/>
        <c:axId val="991612848"/>
      </c:barChart>
      <c:catAx>
        <c:axId val="991609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991612848"/>
        <c:crosses val="autoZero"/>
        <c:auto val="1"/>
        <c:lblAlgn val="ctr"/>
        <c:lblOffset val="100"/>
        <c:noMultiLvlLbl val="0"/>
      </c:catAx>
      <c:valAx>
        <c:axId val="991612848"/>
        <c:scaling>
          <c:orientation val="minMax"/>
        </c:scaling>
        <c:delete val="0"/>
        <c:axPos val="l"/>
        <c:majorGridlines>
          <c:spPr>
            <a:ln w="9525" cap="flat" cmpd="sng" algn="ctr">
              <a:solidFill>
                <a:schemeClr val="tx1">
                  <a:lumMod val="15000"/>
                  <a:lumOff val="85000"/>
                </a:schemeClr>
              </a:solidFill>
              <a:round/>
            </a:ln>
            <a:effectLst/>
          </c:spPr>
        </c:majorGridlines>
        <c:numFmt formatCode="#,##0.0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9916094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barChart>
        <c:barDir val="col"/>
        <c:grouping val="clustered"/>
        <c:varyColors val="0"/>
        <c:ser>
          <c:idx val="0"/>
          <c:order val="0"/>
          <c:spPr>
            <a:solidFill>
              <a:schemeClr val="accent1"/>
            </a:solidFill>
            <a:ln>
              <a:noFill/>
            </a:ln>
            <a:effectLst/>
          </c:spPr>
          <c:invertIfNegative val="0"/>
          <c:cat>
            <c:numRef>
              <c:f>'Chart pack'!$C$237:$D$237</c:f>
              <c:numCache>
                <c:formatCode>0_);[Red]\(0\)</c:formatCode>
                <c:ptCount val="2"/>
                <c:pt idx="0">
                  <c:v>2025</c:v>
                </c:pt>
                <c:pt idx="1">
                  <c:v>2026</c:v>
                </c:pt>
              </c:numCache>
            </c:numRef>
          </c:cat>
          <c:val>
            <c:numRef>
              <c:f>'Chart pack'!$C$238:$D$238</c:f>
              <c:numCache>
                <c:formatCode>#,##0_ </c:formatCode>
                <c:ptCount val="2"/>
                <c:pt idx="0">
                  <c:v>50</c:v>
                </c:pt>
                <c:pt idx="1">
                  <c:v>100</c:v>
                </c:pt>
              </c:numCache>
            </c:numRef>
          </c:val>
          <c:extLst>
            <c:ext xmlns:c16="http://schemas.microsoft.com/office/drawing/2014/chart" uri="{C3380CC4-5D6E-409C-BE32-E72D297353CC}">
              <c16:uniqueId val="{00000000-F0CD-4624-B9A1-2E27A8D53900}"/>
            </c:ext>
          </c:extLst>
        </c:ser>
        <c:dLbls>
          <c:showLegendKey val="0"/>
          <c:showVal val="0"/>
          <c:showCatName val="0"/>
          <c:showSerName val="0"/>
          <c:showPercent val="0"/>
          <c:showBubbleSize val="0"/>
        </c:dLbls>
        <c:gapWidth val="219"/>
        <c:overlap val="-27"/>
        <c:axId val="991600848"/>
        <c:axId val="991604208"/>
      </c:barChart>
      <c:catAx>
        <c:axId val="991600848"/>
        <c:scaling>
          <c:orientation val="minMax"/>
        </c:scaling>
        <c:delete val="0"/>
        <c:axPos val="b"/>
        <c:numFmt formatCode="0_);[Red]\(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991604208"/>
        <c:crosses val="autoZero"/>
        <c:auto val="1"/>
        <c:lblAlgn val="ctr"/>
        <c:lblOffset val="100"/>
        <c:noMultiLvlLbl val="0"/>
      </c:catAx>
      <c:valAx>
        <c:axId val="991604208"/>
        <c:scaling>
          <c:orientation val="minMax"/>
        </c:scaling>
        <c:delete val="0"/>
        <c:axPos val="l"/>
        <c:majorGridlines>
          <c:spPr>
            <a:ln w="9525" cap="flat" cmpd="sng" algn="ctr">
              <a:solidFill>
                <a:schemeClr val="tx1">
                  <a:lumMod val="15000"/>
                  <a:lumOff val="85000"/>
                </a:schemeClr>
              </a:solidFill>
              <a:round/>
            </a:ln>
            <a:effectLst/>
          </c:spPr>
        </c:majorGridlines>
        <c:numFmt formatCode="#,##0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9916008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cat>
            <c:strRef>
              <c:f>'Chart pack'!$C$256:$F$256</c:f>
              <c:strCache>
                <c:ptCount val="4"/>
                <c:pt idx="0">
                  <c:v>2023</c:v>
                </c:pt>
                <c:pt idx="1">
                  <c:v>2024</c:v>
                </c:pt>
                <c:pt idx="2">
                  <c:v>2025</c:v>
                </c:pt>
                <c:pt idx="3">
                  <c:v>2026F</c:v>
                </c:pt>
              </c:strCache>
            </c:strRef>
          </c:cat>
          <c:val>
            <c:numRef>
              <c:f>'Chart pack'!$C$259:$F$259</c:f>
              <c:numCache>
                <c:formatCode>General</c:formatCode>
                <c:ptCount val="4"/>
                <c:pt idx="0">
                  <c:v>95.61</c:v>
                </c:pt>
                <c:pt idx="1">
                  <c:v>104.27</c:v>
                </c:pt>
                <c:pt idx="2">
                  <c:v>110.77</c:v>
                </c:pt>
                <c:pt idx="3">
                  <c:v>122.1</c:v>
                </c:pt>
              </c:numCache>
            </c:numRef>
          </c:val>
          <c:extLst>
            <c:ext xmlns:c16="http://schemas.microsoft.com/office/drawing/2014/chart" uri="{C3380CC4-5D6E-409C-BE32-E72D297353CC}">
              <c16:uniqueId val="{00000000-A448-4A8B-AA5F-07F1DCE05F73}"/>
            </c:ext>
          </c:extLst>
        </c:ser>
        <c:dLbls>
          <c:showLegendKey val="0"/>
          <c:showVal val="0"/>
          <c:showCatName val="0"/>
          <c:showSerName val="0"/>
          <c:showPercent val="0"/>
          <c:showBubbleSize val="0"/>
        </c:dLbls>
        <c:gapWidth val="219"/>
        <c:overlap val="-27"/>
        <c:axId val="1490744911"/>
        <c:axId val="1490745391"/>
      </c:barChart>
      <c:catAx>
        <c:axId val="1490744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490745391"/>
        <c:crosses val="autoZero"/>
        <c:auto val="1"/>
        <c:lblAlgn val="ctr"/>
        <c:lblOffset val="100"/>
        <c:noMultiLvlLbl val="0"/>
      </c:catAx>
      <c:valAx>
        <c:axId val="1490745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49074491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cat>
            <c:numRef>
              <c:f>'Chart pack'!$C$279:$J$279</c:f>
              <c:numCache>
                <c:formatCode>General</c:formatCode>
                <c:ptCount val="8"/>
                <c:pt idx="0">
                  <c:v>2024</c:v>
                </c:pt>
                <c:pt idx="1">
                  <c:v>2025</c:v>
                </c:pt>
                <c:pt idx="2">
                  <c:v>2026</c:v>
                </c:pt>
                <c:pt idx="3">
                  <c:v>2027</c:v>
                </c:pt>
                <c:pt idx="4">
                  <c:v>2028</c:v>
                </c:pt>
                <c:pt idx="5">
                  <c:v>2029</c:v>
                </c:pt>
                <c:pt idx="6">
                  <c:v>2030</c:v>
                </c:pt>
                <c:pt idx="7">
                  <c:v>2031</c:v>
                </c:pt>
              </c:numCache>
            </c:numRef>
          </c:cat>
          <c:val>
            <c:numRef>
              <c:f>'Chart pack'!$C$280:$J$280</c:f>
              <c:numCache>
                <c:formatCode>#,##0.00</c:formatCode>
                <c:ptCount val="8"/>
                <c:pt idx="0">
                  <c:v>1727.6</c:v>
                </c:pt>
                <c:pt idx="1">
                  <c:v>1819.3</c:v>
                </c:pt>
                <c:pt idx="2">
                  <c:v>1936.2</c:v>
                </c:pt>
                <c:pt idx="3">
                  <c:v>1989.2</c:v>
                </c:pt>
                <c:pt idx="4">
                  <c:v>2130.1999999999998</c:v>
                </c:pt>
                <c:pt idx="5">
                  <c:v>2421</c:v>
                </c:pt>
                <c:pt idx="6">
                  <c:v>2625.7</c:v>
                </c:pt>
                <c:pt idx="7">
                  <c:v>2771.3</c:v>
                </c:pt>
              </c:numCache>
            </c:numRef>
          </c:val>
          <c:extLst>
            <c:ext xmlns:c16="http://schemas.microsoft.com/office/drawing/2014/chart" uri="{C3380CC4-5D6E-409C-BE32-E72D297353CC}">
              <c16:uniqueId val="{00000000-77AE-4B6F-8A30-4D7AF92B4E12}"/>
            </c:ext>
          </c:extLst>
        </c:ser>
        <c:dLbls>
          <c:showLegendKey val="0"/>
          <c:showVal val="0"/>
          <c:showCatName val="0"/>
          <c:showSerName val="0"/>
          <c:showPercent val="0"/>
          <c:showBubbleSize val="0"/>
        </c:dLbls>
        <c:gapWidth val="219"/>
        <c:overlap val="-27"/>
        <c:axId val="397455951"/>
        <c:axId val="397456431"/>
      </c:barChart>
      <c:catAx>
        <c:axId val="397455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397456431"/>
        <c:crosses val="autoZero"/>
        <c:auto val="1"/>
        <c:lblAlgn val="ctr"/>
        <c:lblOffset val="100"/>
        <c:noMultiLvlLbl val="0"/>
      </c:catAx>
      <c:valAx>
        <c:axId val="3974564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39745595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B2D-4482-9C98-8A8E7A155AD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B2D-4482-9C98-8A8E7A155AD4}"/>
              </c:ext>
            </c:extLst>
          </c:dPt>
          <c:cat>
            <c:strRef>
              <c:f>'Chart pack'!$B$294:$B$295</c:f>
              <c:strCache>
                <c:ptCount val="2"/>
                <c:pt idx="0">
                  <c:v>Si</c:v>
                </c:pt>
                <c:pt idx="1">
                  <c:v>SiC</c:v>
                </c:pt>
              </c:strCache>
            </c:strRef>
          </c:cat>
          <c:val>
            <c:numRef>
              <c:f>'Chart pack'!$C$294:$C$295</c:f>
              <c:numCache>
                <c:formatCode>0%</c:formatCode>
                <c:ptCount val="2"/>
                <c:pt idx="0">
                  <c:v>0.78</c:v>
                </c:pt>
                <c:pt idx="1">
                  <c:v>0.22</c:v>
                </c:pt>
              </c:numCache>
            </c:numRef>
          </c:val>
          <c:extLst>
            <c:ext xmlns:c16="http://schemas.microsoft.com/office/drawing/2014/chart" uri="{C3380CC4-5D6E-409C-BE32-E72D297353CC}">
              <c16:uniqueId val="{00000000-63E8-43AD-AC5C-39C970FBA2D9}"/>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cat>
            <c:numRef>
              <c:f>'Chart pack'!$C$307:$K$307</c:f>
              <c:numCache>
                <c:formatCode>0_);[Red]\(0\)</c:formatCode>
                <c:ptCount val="9"/>
                <c:pt idx="0">
                  <c:v>2022</c:v>
                </c:pt>
                <c:pt idx="1">
                  <c:v>2023</c:v>
                </c:pt>
                <c:pt idx="2">
                  <c:v>2024</c:v>
                </c:pt>
                <c:pt idx="3">
                  <c:v>2025</c:v>
                </c:pt>
                <c:pt idx="4">
                  <c:v>2026</c:v>
                </c:pt>
                <c:pt idx="5">
                  <c:v>2027</c:v>
                </c:pt>
                <c:pt idx="6">
                  <c:v>2028</c:v>
                </c:pt>
                <c:pt idx="7">
                  <c:v>2029</c:v>
                </c:pt>
                <c:pt idx="8">
                  <c:v>2030</c:v>
                </c:pt>
              </c:numCache>
            </c:numRef>
          </c:cat>
          <c:val>
            <c:numRef>
              <c:f>'Chart pack'!$C$308:$K$308</c:f>
              <c:numCache>
                <c:formatCode>#,##0.00_ </c:formatCode>
                <c:ptCount val="9"/>
                <c:pt idx="0">
                  <c:v>1.52</c:v>
                </c:pt>
                <c:pt idx="1">
                  <c:v>1.8817600000000001</c:v>
                </c:pt>
                <c:pt idx="2">
                  <c:v>2.3296188799999999</c:v>
                </c:pt>
                <c:pt idx="3">
                  <c:v>2.8840681734399998</c:v>
                </c:pt>
                <c:pt idx="4">
                  <c:v>3.5704763987187196</c:v>
                </c:pt>
                <c:pt idx="5">
                  <c:v>4.4202497816137747</c:v>
                </c:pt>
                <c:pt idx="6">
                  <c:v>5.4722692296378534</c:v>
                </c:pt>
                <c:pt idx="7">
                  <c:v>6.7746693062916625</c:v>
                </c:pt>
                <c:pt idx="8">
                  <c:v>8.3870406011890779</c:v>
                </c:pt>
              </c:numCache>
            </c:numRef>
          </c:val>
          <c:extLst>
            <c:ext xmlns:c16="http://schemas.microsoft.com/office/drawing/2014/chart" uri="{C3380CC4-5D6E-409C-BE32-E72D297353CC}">
              <c16:uniqueId val="{00000000-8A18-488F-AB49-21BD60CFE47C}"/>
            </c:ext>
          </c:extLst>
        </c:ser>
        <c:dLbls>
          <c:showLegendKey val="0"/>
          <c:showVal val="0"/>
          <c:showCatName val="0"/>
          <c:showSerName val="0"/>
          <c:showPercent val="0"/>
          <c:showBubbleSize val="0"/>
        </c:dLbls>
        <c:gapWidth val="219"/>
        <c:overlap val="-27"/>
        <c:axId val="1895783536"/>
        <c:axId val="1895775856"/>
      </c:barChart>
      <c:catAx>
        <c:axId val="1895783536"/>
        <c:scaling>
          <c:orientation val="minMax"/>
        </c:scaling>
        <c:delete val="0"/>
        <c:axPos val="b"/>
        <c:numFmt formatCode="0_);[Red]\(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895775856"/>
        <c:crosses val="autoZero"/>
        <c:auto val="1"/>
        <c:lblAlgn val="ctr"/>
        <c:lblOffset val="100"/>
        <c:noMultiLvlLbl val="0"/>
      </c:catAx>
      <c:valAx>
        <c:axId val="1895775856"/>
        <c:scaling>
          <c:orientation val="minMax"/>
        </c:scaling>
        <c:delete val="0"/>
        <c:axPos val="l"/>
        <c:majorGridlines>
          <c:spPr>
            <a:ln w="9525" cap="flat" cmpd="sng" algn="ctr">
              <a:solidFill>
                <a:schemeClr val="tx1">
                  <a:lumMod val="15000"/>
                  <a:lumOff val="85000"/>
                </a:schemeClr>
              </a:solidFill>
              <a:round/>
            </a:ln>
            <a:effectLst/>
          </c:spPr>
        </c:majorGridlines>
        <c:numFmt formatCode="#,##0_ "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8957835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barChart>
        <c:barDir val="col"/>
        <c:grouping val="stacked"/>
        <c:varyColors val="0"/>
        <c:ser>
          <c:idx val="0"/>
          <c:order val="0"/>
          <c:tx>
            <c:strRef>
              <c:f>'Chart pack'!$B$314</c:f>
              <c:strCache>
                <c:ptCount val="1"/>
                <c:pt idx="0">
                  <c:v>비포마켓</c:v>
                </c:pt>
              </c:strCache>
            </c:strRef>
          </c:tx>
          <c:spPr>
            <a:solidFill>
              <a:schemeClr val="accent1"/>
            </a:solidFill>
            <a:ln>
              <a:noFill/>
            </a:ln>
            <a:effectLst/>
          </c:spPr>
          <c:invertIfNegative val="0"/>
          <c:cat>
            <c:numRef>
              <c:f>'Chart pack'!$C$313:$N$313</c:f>
              <c:numCache>
                <c:formatCode>0_);[Red]\(0\)</c:formatCode>
                <c:ptCount val="12"/>
                <c:pt idx="0">
                  <c:v>2020</c:v>
                </c:pt>
                <c:pt idx="1">
                  <c:v>2021</c:v>
                </c:pt>
                <c:pt idx="2">
                  <c:v>2022</c:v>
                </c:pt>
                <c:pt idx="3">
                  <c:v>2023</c:v>
                </c:pt>
                <c:pt idx="4">
                  <c:v>2024</c:v>
                </c:pt>
                <c:pt idx="5">
                  <c:v>2025</c:v>
                </c:pt>
                <c:pt idx="6">
                  <c:v>2026</c:v>
                </c:pt>
                <c:pt idx="7">
                  <c:v>2027</c:v>
                </c:pt>
                <c:pt idx="8">
                  <c:v>2028</c:v>
                </c:pt>
                <c:pt idx="9">
                  <c:v>2029</c:v>
                </c:pt>
                <c:pt idx="10">
                  <c:v>2030</c:v>
                </c:pt>
                <c:pt idx="11">
                  <c:v>2031</c:v>
                </c:pt>
              </c:numCache>
            </c:numRef>
          </c:cat>
          <c:val>
            <c:numRef>
              <c:f>'Chart pack'!$C$314:$N$314</c:f>
              <c:numCache>
                <c:formatCode>#,##0_ </c:formatCode>
                <c:ptCount val="12"/>
                <c:pt idx="0">
                  <c:v>885</c:v>
                </c:pt>
                <c:pt idx="1">
                  <c:v>1173</c:v>
                </c:pt>
                <c:pt idx="2">
                  <c:v>1233</c:v>
                </c:pt>
                <c:pt idx="3">
                  <c:v>1095</c:v>
                </c:pt>
                <c:pt idx="4">
                  <c:v>1179</c:v>
                </c:pt>
                <c:pt idx="5">
                  <c:v>1250</c:v>
                </c:pt>
                <c:pt idx="6">
                  <c:v>1333</c:v>
                </c:pt>
                <c:pt idx="7">
                  <c:v>1368</c:v>
                </c:pt>
                <c:pt idx="8">
                  <c:v>1464</c:v>
                </c:pt>
                <c:pt idx="9">
                  <c:v>1663</c:v>
                </c:pt>
                <c:pt idx="10">
                  <c:v>1800</c:v>
                </c:pt>
                <c:pt idx="11">
                  <c:v>1899</c:v>
                </c:pt>
              </c:numCache>
            </c:numRef>
          </c:val>
          <c:extLst>
            <c:ext xmlns:c16="http://schemas.microsoft.com/office/drawing/2014/chart" uri="{C3380CC4-5D6E-409C-BE32-E72D297353CC}">
              <c16:uniqueId val="{00000000-62FA-405B-8242-16FC3FED30B3}"/>
            </c:ext>
          </c:extLst>
        </c:ser>
        <c:ser>
          <c:idx val="1"/>
          <c:order val="1"/>
          <c:tx>
            <c:strRef>
              <c:f>'Chart pack'!$B$315</c:f>
              <c:strCache>
                <c:ptCount val="1"/>
                <c:pt idx="0">
                  <c:v>애프터마켓</c:v>
                </c:pt>
              </c:strCache>
            </c:strRef>
          </c:tx>
          <c:spPr>
            <a:solidFill>
              <a:schemeClr val="accent2"/>
            </a:solidFill>
            <a:ln>
              <a:noFill/>
            </a:ln>
            <a:effectLst/>
          </c:spPr>
          <c:invertIfNegative val="0"/>
          <c:cat>
            <c:numRef>
              <c:f>'Chart pack'!$C$313:$N$313</c:f>
              <c:numCache>
                <c:formatCode>0_);[Red]\(0\)</c:formatCode>
                <c:ptCount val="12"/>
                <c:pt idx="0">
                  <c:v>2020</c:v>
                </c:pt>
                <c:pt idx="1">
                  <c:v>2021</c:v>
                </c:pt>
                <c:pt idx="2">
                  <c:v>2022</c:v>
                </c:pt>
                <c:pt idx="3">
                  <c:v>2023</c:v>
                </c:pt>
                <c:pt idx="4">
                  <c:v>2024</c:v>
                </c:pt>
                <c:pt idx="5">
                  <c:v>2025</c:v>
                </c:pt>
                <c:pt idx="6">
                  <c:v>2026</c:v>
                </c:pt>
                <c:pt idx="7">
                  <c:v>2027</c:v>
                </c:pt>
                <c:pt idx="8">
                  <c:v>2028</c:v>
                </c:pt>
                <c:pt idx="9">
                  <c:v>2029</c:v>
                </c:pt>
                <c:pt idx="10">
                  <c:v>2030</c:v>
                </c:pt>
                <c:pt idx="11">
                  <c:v>2031</c:v>
                </c:pt>
              </c:numCache>
            </c:numRef>
          </c:cat>
          <c:val>
            <c:numRef>
              <c:f>'Chart pack'!$C$315:$N$315</c:f>
              <c:numCache>
                <c:formatCode>#,##0_ </c:formatCode>
                <c:ptCount val="12"/>
                <c:pt idx="0">
                  <c:v>360</c:v>
                </c:pt>
                <c:pt idx="1">
                  <c:v>481</c:v>
                </c:pt>
                <c:pt idx="2">
                  <c:v>527</c:v>
                </c:pt>
                <c:pt idx="3">
                  <c:v>517</c:v>
                </c:pt>
                <c:pt idx="4">
                  <c:v>549</c:v>
                </c:pt>
                <c:pt idx="5">
                  <c:v>569</c:v>
                </c:pt>
                <c:pt idx="6">
                  <c:v>603</c:v>
                </c:pt>
                <c:pt idx="7">
                  <c:v>621</c:v>
                </c:pt>
                <c:pt idx="8">
                  <c:v>666</c:v>
                </c:pt>
                <c:pt idx="9">
                  <c:v>758</c:v>
                </c:pt>
                <c:pt idx="10">
                  <c:v>825</c:v>
                </c:pt>
                <c:pt idx="11">
                  <c:v>872</c:v>
                </c:pt>
              </c:numCache>
            </c:numRef>
          </c:val>
          <c:extLst>
            <c:ext xmlns:c16="http://schemas.microsoft.com/office/drawing/2014/chart" uri="{C3380CC4-5D6E-409C-BE32-E72D297353CC}">
              <c16:uniqueId val="{00000001-62FA-405B-8242-16FC3FED30B3}"/>
            </c:ext>
          </c:extLst>
        </c:ser>
        <c:dLbls>
          <c:showLegendKey val="0"/>
          <c:showVal val="0"/>
          <c:showCatName val="0"/>
          <c:showSerName val="0"/>
          <c:showPercent val="0"/>
          <c:showBubbleSize val="0"/>
        </c:dLbls>
        <c:gapWidth val="150"/>
        <c:overlap val="100"/>
        <c:axId val="1895800336"/>
        <c:axId val="1895797936"/>
      </c:barChart>
      <c:catAx>
        <c:axId val="1895800336"/>
        <c:scaling>
          <c:orientation val="minMax"/>
        </c:scaling>
        <c:delete val="0"/>
        <c:axPos val="b"/>
        <c:numFmt formatCode="0_);[Red]\(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895797936"/>
        <c:crosses val="autoZero"/>
        <c:auto val="1"/>
        <c:lblAlgn val="ctr"/>
        <c:lblOffset val="100"/>
        <c:noMultiLvlLbl val="0"/>
      </c:catAx>
      <c:valAx>
        <c:axId val="1895797936"/>
        <c:scaling>
          <c:orientation val="minMax"/>
        </c:scaling>
        <c:delete val="0"/>
        <c:axPos val="l"/>
        <c:majorGridlines>
          <c:spPr>
            <a:ln w="9525" cap="flat" cmpd="sng" algn="ctr">
              <a:solidFill>
                <a:schemeClr val="tx1">
                  <a:lumMod val="15000"/>
                  <a:lumOff val="85000"/>
                </a:schemeClr>
              </a:solidFill>
              <a:round/>
            </a:ln>
            <a:effectLst/>
          </c:spPr>
        </c:majorGridlines>
        <c:numFmt formatCode="#,##0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8958003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chemeClr val="accent1"/>
              </a:solidFill>
              <a:round/>
            </a:ln>
            <a:effectLst/>
          </c:spPr>
          <c:marker>
            <c:symbol val="none"/>
          </c:marker>
          <c:cat>
            <c:numRef>
              <c:f>Sheet1!$A$1:$A$17</c:f>
              <c:numCache>
                <c:formatCode>m/d/yyyy</c:formatCode>
                <c:ptCount val="17"/>
                <c:pt idx="0">
                  <c:v>45981</c:v>
                </c:pt>
                <c:pt idx="1">
                  <c:v>45982</c:v>
                </c:pt>
                <c:pt idx="2">
                  <c:v>45985</c:v>
                </c:pt>
                <c:pt idx="3">
                  <c:v>45986</c:v>
                </c:pt>
                <c:pt idx="4">
                  <c:v>45987</c:v>
                </c:pt>
                <c:pt idx="5">
                  <c:v>45988</c:v>
                </c:pt>
                <c:pt idx="6">
                  <c:v>45989</c:v>
                </c:pt>
                <c:pt idx="7">
                  <c:v>45992</c:v>
                </c:pt>
                <c:pt idx="8">
                  <c:v>45993</c:v>
                </c:pt>
                <c:pt idx="9">
                  <c:v>45994</c:v>
                </c:pt>
                <c:pt idx="10">
                  <c:v>45995</c:v>
                </c:pt>
                <c:pt idx="11">
                  <c:v>45996</c:v>
                </c:pt>
                <c:pt idx="12">
                  <c:v>45999</c:v>
                </c:pt>
                <c:pt idx="13">
                  <c:v>46000</c:v>
                </c:pt>
                <c:pt idx="14">
                  <c:v>46001</c:v>
                </c:pt>
                <c:pt idx="15">
                  <c:v>46002</c:v>
                </c:pt>
                <c:pt idx="16">
                  <c:v>46003</c:v>
                </c:pt>
              </c:numCache>
            </c:numRef>
          </c:cat>
          <c:val>
            <c:numRef>
              <c:f>Sheet1!$B$1:$B$17</c:f>
              <c:numCache>
                <c:formatCode>#,##0</c:formatCode>
                <c:ptCount val="17"/>
                <c:pt idx="0">
                  <c:v>131600</c:v>
                </c:pt>
                <c:pt idx="1">
                  <c:v>103800</c:v>
                </c:pt>
                <c:pt idx="2">
                  <c:v>98300</c:v>
                </c:pt>
                <c:pt idx="3">
                  <c:v>92100</c:v>
                </c:pt>
                <c:pt idx="4">
                  <c:v>92300</c:v>
                </c:pt>
                <c:pt idx="5">
                  <c:v>95400</c:v>
                </c:pt>
                <c:pt idx="6">
                  <c:v>91200</c:v>
                </c:pt>
                <c:pt idx="7">
                  <c:v>94100</c:v>
                </c:pt>
                <c:pt idx="8">
                  <c:v>91900</c:v>
                </c:pt>
                <c:pt idx="9">
                  <c:v>87600</c:v>
                </c:pt>
                <c:pt idx="10">
                  <c:v>88600</c:v>
                </c:pt>
                <c:pt idx="11">
                  <c:v>83500</c:v>
                </c:pt>
                <c:pt idx="12">
                  <c:v>84200</c:v>
                </c:pt>
                <c:pt idx="13">
                  <c:v>79600</c:v>
                </c:pt>
                <c:pt idx="14">
                  <c:v>77900</c:v>
                </c:pt>
                <c:pt idx="15">
                  <c:v>74300</c:v>
                </c:pt>
                <c:pt idx="16">
                  <c:v>75900</c:v>
                </c:pt>
              </c:numCache>
            </c:numRef>
          </c:val>
          <c:smooth val="0"/>
          <c:extLst>
            <c:ext xmlns:c16="http://schemas.microsoft.com/office/drawing/2014/chart" uri="{C3380CC4-5D6E-409C-BE32-E72D297353CC}">
              <c16:uniqueId val="{00000000-A9F8-412E-8FE5-C368541469EE}"/>
            </c:ext>
          </c:extLst>
        </c:ser>
        <c:dLbls>
          <c:showLegendKey val="0"/>
          <c:showVal val="0"/>
          <c:showCatName val="0"/>
          <c:showSerName val="0"/>
          <c:showPercent val="0"/>
          <c:showBubbleSize val="0"/>
        </c:dLbls>
        <c:smooth val="0"/>
        <c:axId val="1679033792"/>
        <c:axId val="1679034752"/>
      </c:lineChart>
      <c:dateAx>
        <c:axId val="1679033792"/>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679034752"/>
        <c:crosses val="autoZero"/>
        <c:auto val="1"/>
        <c:lblOffset val="100"/>
        <c:baseTimeUnit val="days"/>
        <c:majorUnit val="5"/>
        <c:majorTimeUnit val="days"/>
      </c:dateAx>
      <c:valAx>
        <c:axId val="1679034752"/>
        <c:scaling>
          <c:orientation val="minMax"/>
          <c:min val="70000"/>
        </c:scaling>
        <c:delete val="0"/>
        <c:axPos val="l"/>
        <c:numFmt formatCode="#,##0" sourceLinked="1"/>
        <c:majorTickMark val="in"/>
        <c:minorTickMark val="none"/>
        <c:tickLblPos val="nextTo"/>
        <c:spPr>
          <a:noFill/>
          <a:ln>
            <a:solidFill>
              <a:schemeClr val="bg2">
                <a:lumMod val="9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6790337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lineChart>
        <c:grouping val="standard"/>
        <c:varyColors val="0"/>
        <c:ser>
          <c:idx val="0"/>
          <c:order val="0"/>
          <c:spPr>
            <a:ln w="28575" cap="rnd">
              <a:solidFill>
                <a:schemeClr val="accent1"/>
              </a:solidFill>
              <a:round/>
            </a:ln>
            <a:effectLst/>
          </c:spPr>
          <c:marker>
            <c:symbol val="none"/>
          </c:marker>
          <c:cat>
            <c:numRef>
              <c:f>Sheet1!$A$1:$A$17</c:f>
              <c:numCache>
                <c:formatCode>m/d/yyyy</c:formatCode>
                <c:ptCount val="17"/>
                <c:pt idx="0">
                  <c:v>45981</c:v>
                </c:pt>
                <c:pt idx="1">
                  <c:v>45982</c:v>
                </c:pt>
                <c:pt idx="2">
                  <c:v>45985</c:v>
                </c:pt>
                <c:pt idx="3">
                  <c:v>45986</c:v>
                </c:pt>
                <c:pt idx="4">
                  <c:v>45987</c:v>
                </c:pt>
                <c:pt idx="5">
                  <c:v>45988</c:v>
                </c:pt>
                <c:pt idx="6">
                  <c:v>45989</c:v>
                </c:pt>
                <c:pt idx="7">
                  <c:v>45992</c:v>
                </c:pt>
                <c:pt idx="8">
                  <c:v>45993</c:v>
                </c:pt>
                <c:pt idx="9">
                  <c:v>45994</c:v>
                </c:pt>
                <c:pt idx="10">
                  <c:v>45995</c:v>
                </c:pt>
                <c:pt idx="11">
                  <c:v>45996</c:v>
                </c:pt>
                <c:pt idx="12">
                  <c:v>45999</c:v>
                </c:pt>
                <c:pt idx="13">
                  <c:v>46000</c:v>
                </c:pt>
                <c:pt idx="14">
                  <c:v>46001</c:v>
                </c:pt>
                <c:pt idx="15">
                  <c:v>46002</c:v>
                </c:pt>
                <c:pt idx="16">
                  <c:v>46003</c:v>
                </c:pt>
              </c:numCache>
            </c:numRef>
          </c:cat>
          <c:val>
            <c:numRef>
              <c:f>Sheet1!$C$1:$C$17</c:f>
              <c:numCache>
                <c:formatCode>General</c:formatCode>
                <c:ptCount val="17"/>
                <c:pt idx="0">
                  <c:v>100</c:v>
                </c:pt>
                <c:pt idx="1">
                  <c:v>78.875379939209722</c:v>
                </c:pt>
                <c:pt idx="2">
                  <c:v>74.696048632218847</c:v>
                </c:pt>
                <c:pt idx="3">
                  <c:v>69.984802431610944</c:v>
                </c:pt>
                <c:pt idx="4">
                  <c:v>70.136778115501528</c:v>
                </c:pt>
                <c:pt idx="5">
                  <c:v>72.492401215805501</c:v>
                </c:pt>
                <c:pt idx="6">
                  <c:v>69.300911854103376</c:v>
                </c:pt>
                <c:pt idx="7">
                  <c:v>71.504559270516751</c:v>
                </c:pt>
                <c:pt idx="8">
                  <c:v>69.832826747720389</c:v>
                </c:pt>
                <c:pt idx="9">
                  <c:v>66.565349544072973</c:v>
                </c:pt>
                <c:pt idx="10">
                  <c:v>67.325227963525862</c:v>
                </c:pt>
                <c:pt idx="11">
                  <c:v>63.44984802431614</c:v>
                </c:pt>
                <c:pt idx="12">
                  <c:v>63.98176291793316</c:v>
                </c:pt>
                <c:pt idx="13">
                  <c:v>60.486322188449876</c:v>
                </c:pt>
                <c:pt idx="14">
                  <c:v>59.194528875379959</c:v>
                </c:pt>
                <c:pt idx="15">
                  <c:v>56.458966565349556</c:v>
                </c:pt>
                <c:pt idx="16">
                  <c:v>57.674772036474174</c:v>
                </c:pt>
              </c:numCache>
            </c:numRef>
          </c:val>
          <c:smooth val="0"/>
          <c:extLst>
            <c:ext xmlns:c16="http://schemas.microsoft.com/office/drawing/2014/chart" uri="{C3380CC4-5D6E-409C-BE32-E72D297353CC}">
              <c16:uniqueId val="{00000000-B10B-4B39-AB84-821EA332CF43}"/>
            </c:ext>
          </c:extLst>
        </c:ser>
        <c:dLbls>
          <c:showLegendKey val="0"/>
          <c:showVal val="0"/>
          <c:showCatName val="0"/>
          <c:showSerName val="0"/>
          <c:showPercent val="0"/>
          <c:showBubbleSize val="0"/>
        </c:dLbls>
        <c:smooth val="0"/>
        <c:axId val="1679050112"/>
        <c:axId val="1679035712"/>
      </c:lineChart>
      <c:dateAx>
        <c:axId val="1679050112"/>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679035712"/>
        <c:crosses val="autoZero"/>
        <c:auto val="1"/>
        <c:lblOffset val="100"/>
        <c:baseTimeUnit val="days"/>
      </c:dateAx>
      <c:valAx>
        <c:axId val="1679035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6790501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6.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image" Target="../media/image13.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5" Type="http://schemas.openxmlformats.org/officeDocument/2006/relationships/image" Target="../media/image1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s>
</file>

<file path=xl/drawings/_rels/drawing7.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editAs="oneCell">
    <xdr:from>
      <xdr:col>17</xdr:col>
      <xdr:colOff>66586</xdr:colOff>
      <xdr:row>3</xdr:row>
      <xdr:rowOff>110760</xdr:rowOff>
    </xdr:from>
    <xdr:to>
      <xdr:col>19</xdr:col>
      <xdr:colOff>592203</xdr:colOff>
      <xdr:row>7</xdr:row>
      <xdr:rowOff>48980</xdr:rowOff>
    </xdr:to>
    <xdr:pic>
      <xdr:nvPicPr>
        <xdr:cNvPr id="2" name="그림 1">
          <a:extLst>
            <a:ext uri="{FF2B5EF4-FFF2-40B4-BE49-F238E27FC236}">
              <a16:creationId xmlns:a16="http://schemas.microsoft.com/office/drawing/2014/main" id="{996DF551-4722-3954-86E9-995C695E5E96}"/>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backgroundRemoval t="10000" b="90000" l="10000" r="90000">
                      <a14:foregroundMark x1="23875" y1="34043" x2="23875" y2="34043"/>
                      <a14:foregroundMark x1="19938" y1="32397" x2="13149" y2="30851"/>
                      <a14:foregroundMark x1="22491" y1="32979" x2="20268" y2="32473"/>
                      <a14:foregroundMark x1="32180" y1="36170" x2="32180" y2="36170"/>
                      <a14:foregroundMark x1="32180" y1="39362" x2="31488" y2="24468"/>
                      <a14:foregroundMark x1="35294" y1="42553" x2="34602" y2="29787"/>
                      <a14:foregroundMark x1="51557" y1="24468" x2="47059" y2="27660"/>
                      <a14:foregroundMark x1="29758" y1="67021" x2="29758" y2="67021"/>
                      <a14:foregroundMark x1="20415" y1="29787" x2="20415" y2="29787"/>
                      <a14:foregroundMark x1="19031" y1="32979" x2="19031" y2="32979"/>
                      <a14:foregroundMark x1="19031" y1="34043" x2="19031" y2="34043"/>
                      <a14:foregroundMark x1="19031" y1="35106" x2="19031" y2="35106"/>
                      <a14:foregroundMark x1="19031" y1="36170" x2="19031" y2="36170"/>
                      <a14:foregroundMark x1="19377" y1="37234" x2="19377" y2="37234"/>
                      <a14:foregroundMark x1="19377" y1="37234" x2="19377" y2="37234"/>
                      <a14:backgroundMark x1="19723" y1="36170" x2="19723" y2="36170"/>
                      <a14:backgroundMark x1="19723" y1="38298" x2="19723" y2="38298"/>
                      <a14:backgroundMark x1="19377" y1="35106" x2="19377" y2="35106"/>
                      <a14:backgroundMark x1="18685" y1="35106" x2="18685" y2="35106"/>
                      <a14:backgroundMark x1="19377" y1="35106" x2="19723" y2="35106"/>
                      <a14:backgroundMark x1="19377" y1="35106" x2="19377" y2="35106"/>
                      <a14:backgroundMark x1="19031" y1="37234" x2="19031" y2="37234"/>
                      <a14:backgroundMark x1="18685" y1="39362" x2="18685" y2="39362"/>
                      <a14:backgroundMark x1="18685" y1="34043" x2="18685" y2="34043"/>
                    </a14:backgroundRemoval>
                  </a14:imgEffect>
                </a14:imgLayer>
              </a14:imgProps>
            </a:ext>
          </a:extLst>
        </a:blip>
        <a:stretch>
          <a:fillRect/>
        </a:stretch>
      </xdr:blipFill>
      <xdr:spPr>
        <a:xfrm>
          <a:off x="10894716" y="607717"/>
          <a:ext cx="1850835" cy="60082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303696</xdr:colOff>
      <xdr:row>3</xdr:row>
      <xdr:rowOff>88347</xdr:rowOff>
    </xdr:from>
    <xdr:to>
      <xdr:col>15</xdr:col>
      <xdr:colOff>157139</xdr:colOff>
      <xdr:row>6</xdr:row>
      <xdr:rowOff>110271</xdr:rowOff>
    </xdr:to>
    <xdr:pic>
      <xdr:nvPicPr>
        <xdr:cNvPr id="3" name="그림 2">
          <a:extLst>
            <a:ext uri="{FF2B5EF4-FFF2-40B4-BE49-F238E27FC236}">
              <a16:creationId xmlns:a16="http://schemas.microsoft.com/office/drawing/2014/main" id="{D30B480B-CD9F-448B-91A3-008B3D8BC919}"/>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backgroundRemoval t="10000" b="90000" l="10000" r="90000">
                      <a14:foregroundMark x1="23875" y1="34043" x2="23875" y2="34043"/>
                      <a14:foregroundMark x1="19938" y1="32397" x2="13149" y2="30851"/>
                      <a14:foregroundMark x1="22491" y1="32979" x2="20268" y2="32473"/>
                      <a14:foregroundMark x1="32180" y1="36170" x2="32180" y2="36170"/>
                      <a14:foregroundMark x1="32180" y1="39362" x2="31488" y2="24468"/>
                      <a14:foregroundMark x1="35294" y1="42553" x2="34602" y2="29787"/>
                      <a14:foregroundMark x1="51557" y1="24468" x2="47059" y2="27660"/>
                      <a14:foregroundMark x1="29758" y1="67021" x2="29758" y2="67021"/>
                      <a14:foregroundMark x1="20415" y1="29787" x2="20415" y2="29787"/>
                      <a14:foregroundMark x1="19031" y1="32979" x2="19031" y2="32979"/>
                      <a14:foregroundMark x1="19031" y1="34043" x2="19031" y2="34043"/>
                      <a14:foregroundMark x1="19031" y1="35106" x2="19031" y2="35106"/>
                      <a14:foregroundMark x1="19031" y1="36170" x2="19031" y2="36170"/>
                      <a14:foregroundMark x1="19377" y1="37234" x2="19377" y2="37234"/>
                      <a14:foregroundMark x1="19377" y1="37234" x2="19377" y2="37234"/>
                      <a14:backgroundMark x1="19723" y1="36170" x2="19723" y2="36170"/>
                      <a14:backgroundMark x1="19723" y1="38298" x2="19723" y2="38298"/>
                      <a14:backgroundMark x1="19377" y1="35106" x2="19377" y2="35106"/>
                      <a14:backgroundMark x1="18685" y1="35106" x2="18685" y2="35106"/>
                      <a14:backgroundMark x1="19377" y1="35106" x2="19723" y2="35106"/>
                      <a14:backgroundMark x1="19377" y1="35106" x2="19377" y2="35106"/>
                      <a14:backgroundMark x1="19031" y1="37234" x2="19031" y2="37234"/>
                      <a14:backgroundMark x1="18685" y1="39362" x2="18685" y2="39362"/>
                      <a14:backgroundMark x1="18685" y1="34043" x2="18685" y2="34043"/>
                    </a14:backgroundRemoval>
                  </a14:imgEffect>
                </a14:imgLayer>
              </a14:imgProps>
            </a:ext>
          </a:extLst>
        </a:blip>
        <a:stretch>
          <a:fillRect/>
        </a:stretch>
      </xdr:blipFill>
      <xdr:spPr>
        <a:xfrm>
          <a:off x="10489096" y="583647"/>
          <a:ext cx="1834643" cy="59342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303696</xdr:colOff>
      <xdr:row>3</xdr:row>
      <xdr:rowOff>88347</xdr:rowOff>
    </xdr:from>
    <xdr:to>
      <xdr:col>21</xdr:col>
      <xdr:colOff>404789</xdr:colOff>
      <xdr:row>7</xdr:row>
      <xdr:rowOff>21371</xdr:rowOff>
    </xdr:to>
    <xdr:pic>
      <xdr:nvPicPr>
        <xdr:cNvPr id="2" name="그림 1">
          <a:extLst>
            <a:ext uri="{FF2B5EF4-FFF2-40B4-BE49-F238E27FC236}">
              <a16:creationId xmlns:a16="http://schemas.microsoft.com/office/drawing/2014/main" id="{F614E10B-C546-4E65-8668-E6E7E13FB94C}"/>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backgroundRemoval t="10000" b="90000" l="10000" r="90000">
                      <a14:foregroundMark x1="23875" y1="34043" x2="23875" y2="34043"/>
                      <a14:foregroundMark x1="19938" y1="32397" x2="13149" y2="30851"/>
                      <a14:foregroundMark x1="22491" y1="32979" x2="20268" y2="32473"/>
                      <a14:foregroundMark x1="32180" y1="36170" x2="32180" y2="36170"/>
                      <a14:foregroundMark x1="32180" y1="39362" x2="31488" y2="24468"/>
                      <a14:foregroundMark x1="35294" y1="42553" x2="34602" y2="29787"/>
                      <a14:foregroundMark x1="51557" y1="24468" x2="47059" y2="27660"/>
                      <a14:foregroundMark x1="29758" y1="67021" x2="29758" y2="67021"/>
                      <a14:foregroundMark x1="20415" y1="29787" x2="20415" y2="29787"/>
                      <a14:foregroundMark x1="19031" y1="32979" x2="19031" y2="32979"/>
                      <a14:foregroundMark x1="19031" y1="34043" x2="19031" y2="34043"/>
                      <a14:foregroundMark x1="19031" y1="35106" x2="19031" y2="35106"/>
                      <a14:foregroundMark x1="19031" y1="36170" x2="19031" y2="36170"/>
                      <a14:foregroundMark x1="19377" y1="37234" x2="19377" y2="37234"/>
                      <a14:foregroundMark x1="19377" y1="37234" x2="19377" y2="37234"/>
                      <a14:backgroundMark x1="19723" y1="36170" x2="19723" y2="36170"/>
                      <a14:backgroundMark x1="19723" y1="38298" x2="19723" y2="38298"/>
                      <a14:backgroundMark x1="19377" y1="35106" x2="19377" y2="35106"/>
                      <a14:backgroundMark x1="18685" y1="35106" x2="18685" y2="35106"/>
                      <a14:backgroundMark x1="19377" y1="35106" x2="19723" y2="35106"/>
                      <a14:backgroundMark x1="19377" y1="35106" x2="19377" y2="35106"/>
                      <a14:backgroundMark x1="19031" y1="37234" x2="19031" y2="37234"/>
                      <a14:backgroundMark x1="18685" y1="39362" x2="18685" y2="39362"/>
                      <a14:backgroundMark x1="18685" y1="34043" x2="18685" y2="34043"/>
                    </a14:backgroundRemoval>
                  </a14:imgEffect>
                </a14:imgLayer>
              </a14:imgProps>
            </a:ext>
          </a:extLst>
        </a:blip>
        <a:stretch>
          <a:fillRect/>
        </a:stretch>
      </xdr:blipFill>
      <xdr:spPr>
        <a:xfrm>
          <a:off x="10518913" y="585304"/>
          <a:ext cx="1840441" cy="59563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18</xdr:col>
      <xdr:colOff>292100</xdr:colOff>
      <xdr:row>3</xdr:row>
      <xdr:rowOff>107950</xdr:rowOff>
    </xdr:from>
    <xdr:to>
      <xdr:col>21</xdr:col>
      <xdr:colOff>398991</xdr:colOff>
      <xdr:row>7</xdr:row>
      <xdr:rowOff>43182</xdr:rowOff>
    </xdr:to>
    <xdr:pic>
      <xdr:nvPicPr>
        <xdr:cNvPr id="2" name="그림 1">
          <a:extLst>
            <a:ext uri="{FF2B5EF4-FFF2-40B4-BE49-F238E27FC236}">
              <a16:creationId xmlns:a16="http://schemas.microsoft.com/office/drawing/2014/main" id="{4F089808-AA0B-4EA2-9122-C80B9383DDF8}"/>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backgroundRemoval t="10000" b="90000" l="10000" r="90000">
                      <a14:foregroundMark x1="23875" y1="34043" x2="23875" y2="34043"/>
                      <a14:foregroundMark x1="19938" y1="32397" x2="13149" y2="30851"/>
                      <a14:foregroundMark x1="22491" y1="32979" x2="20268" y2="32473"/>
                      <a14:foregroundMark x1="32180" y1="36170" x2="32180" y2="36170"/>
                      <a14:foregroundMark x1="32180" y1="39362" x2="31488" y2="24468"/>
                      <a14:foregroundMark x1="35294" y1="42553" x2="34602" y2="29787"/>
                      <a14:foregroundMark x1="51557" y1="24468" x2="47059" y2="27660"/>
                      <a14:foregroundMark x1="29758" y1="67021" x2="29758" y2="67021"/>
                      <a14:foregroundMark x1="20415" y1="29787" x2="20415" y2="29787"/>
                      <a14:foregroundMark x1="19031" y1="32979" x2="19031" y2="32979"/>
                      <a14:foregroundMark x1="19031" y1="34043" x2="19031" y2="34043"/>
                      <a14:foregroundMark x1="19031" y1="35106" x2="19031" y2="35106"/>
                      <a14:foregroundMark x1="19031" y1="36170" x2="19031" y2="36170"/>
                      <a14:foregroundMark x1="19377" y1="37234" x2="19377" y2="37234"/>
                      <a14:foregroundMark x1="19377" y1="37234" x2="19377" y2="37234"/>
                      <a14:backgroundMark x1="19723" y1="36170" x2="19723" y2="36170"/>
                      <a14:backgroundMark x1="19723" y1="38298" x2="19723" y2="38298"/>
                      <a14:backgroundMark x1="19377" y1="35106" x2="19377" y2="35106"/>
                      <a14:backgroundMark x1="18685" y1="35106" x2="18685" y2="35106"/>
                      <a14:backgroundMark x1="19377" y1="35106" x2="19723" y2="35106"/>
                      <a14:backgroundMark x1="19377" y1="35106" x2="19377" y2="35106"/>
                      <a14:backgroundMark x1="19031" y1="37234" x2="19031" y2="37234"/>
                      <a14:backgroundMark x1="18685" y1="39362" x2="18685" y2="39362"/>
                      <a14:backgroundMark x1="18685" y1="34043" x2="18685" y2="34043"/>
                    </a14:backgroundRemoval>
                  </a14:imgEffect>
                </a14:imgLayer>
              </a14:imgProps>
            </a:ext>
          </a:extLst>
        </a:blip>
        <a:stretch>
          <a:fillRect/>
        </a:stretch>
      </xdr:blipFill>
      <xdr:spPr>
        <a:xfrm>
          <a:off x="10629900" y="603250"/>
          <a:ext cx="1840441" cy="59563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168274</xdr:colOff>
      <xdr:row>25</xdr:row>
      <xdr:rowOff>168275</xdr:rowOff>
    </xdr:from>
    <xdr:to>
      <xdr:col>9</xdr:col>
      <xdr:colOff>196849</xdr:colOff>
      <xdr:row>38</xdr:row>
      <xdr:rowOff>69850</xdr:rowOff>
    </xdr:to>
    <xdr:graphicFrame macro="">
      <xdr:nvGraphicFramePr>
        <xdr:cNvPr id="2" name="차트 1">
          <a:extLst>
            <a:ext uri="{FF2B5EF4-FFF2-40B4-BE49-F238E27FC236}">
              <a16:creationId xmlns:a16="http://schemas.microsoft.com/office/drawing/2014/main" id="{7D42B126-FA98-468D-E216-D0C98496E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158513</xdr:colOff>
      <xdr:row>41</xdr:row>
      <xdr:rowOff>14475</xdr:rowOff>
    </xdr:from>
    <xdr:to>
      <xdr:col>5</xdr:col>
      <xdr:colOff>576706</xdr:colOff>
      <xdr:row>53</xdr:row>
      <xdr:rowOff>168688</xdr:rowOff>
    </xdr:to>
    <xdr:graphicFrame macro="">
      <xdr:nvGraphicFramePr>
        <xdr:cNvPr id="4" name="차트 1">
          <a:extLst>
            <a:ext uri="{FF2B5EF4-FFF2-40B4-BE49-F238E27FC236}">
              <a16:creationId xmlns:a16="http://schemas.microsoft.com/office/drawing/2014/main" id="{B56347B2-46C9-B95F-D2E5-52A8523C7A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2209</xdr:colOff>
      <xdr:row>57</xdr:row>
      <xdr:rowOff>10768</xdr:rowOff>
    </xdr:from>
    <xdr:to>
      <xdr:col>8</xdr:col>
      <xdr:colOff>298173</xdr:colOff>
      <xdr:row>69</xdr:row>
      <xdr:rowOff>137768</xdr:rowOff>
    </xdr:to>
    <xdr:graphicFrame macro="">
      <xdr:nvGraphicFramePr>
        <xdr:cNvPr id="5" name="차트 2">
          <a:extLst>
            <a:ext uri="{FF2B5EF4-FFF2-40B4-BE49-F238E27FC236}">
              <a16:creationId xmlns:a16="http://schemas.microsoft.com/office/drawing/2014/main" id="{91BEB38E-24BE-9A67-22CD-3CC954E7BB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193261</xdr:colOff>
      <xdr:row>93</xdr:row>
      <xdr:rowOff>39205</xdr:rowOff>
    </xdr:from>
    <xdr:to>
      <xdr:col>4</xdr:col>
      <xdr:colOff>71783</xdr:colOff>
      <xdr:row>105</xdr:row>
      <xdr:rowOff>198232</xdr:rowOff>
    </xdr:to>
    <xdr:graphicFrame macro="">
      <xdr:nvGraphicFramePr>
        <xdr:cNvPr id="7" name="차트 6">
          <a:extLst>
            <a:ext uri="{FF2B5EF4-FFF2-40B4-BE49-F238E27FC236}">
              <a16:creationId xmlns:a16="http://schemas.microsoft.com/office/drawing/2014/main" id="{3A93C3A4-9823-DAA2-259B-E1CB9C1513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176695</xdr:colOff>
      <xdr:row>138</xdr:row>
      <xdr:rowOff>105466</xdr:rowOff>
    </xdr:from>
    <xdr:to>
      <xdr:col>2</xdr:col>
      <xdr:colOff>2556565</xdr:colOff>
      <xdr:row>151</xdr:row>
      <xdr:rowOff>49145</xdr:rowOff>
    </xdr:to>
    <xdr:graphicFrame macro="">
      <xdr:nvGraphicFramePr>
        <xdr:cNvPr id="3" name="차트 2">
          <a:extLst>
            <a:ext uri="{FF2B5EF4-FFF2-40B4-BE49-F238E27FC236}">
              <a16:creationId xmlns:a16="http://schemas.microsoft.com/office/drawing/2014/main" id="{3E37C8F6-9829-3C25-2131-A1606C3DA9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182217</xdr:colOff>
      <xdr:row>169</xdr:row>
      <xdr:rowOff>149639</xdr:rowOff>
    </xdr:from>
    <xdr:to>
      <xdr:col>2</xdr:col>
      <xdr:colOff>2562087</xdr:colOff>
      <xdr:row>182</xdr:row>
      <xdr:rowOff>93317</xdr:rowOff>
    </xdr:to>
    <xdr:graphicFrame macro="">
      <xdr:nvGraphicFramePr>
        <xdr:cNvPr id="8" name="차트 7">
          <a:extLst>
            <a:ext uri="{FF2B5EF4-FFF2-40B4-BE49-F238E27FC236}">
              <a16:creationId xmlns:a16="http://schemas.microsoft.com/office/drawing/2014/main" id="{2C08BBA1-0B18-50CA-D802-BCD54B9204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905565</xdr:colOff>
      <xdr:row>191</xdr:row>
      <xdr:rowOff>210377</xdr:rowOff>
    </xdr:from>
    <xdr:to>
      <xdr:col>2</xdr:col>
      <xdr:colOff>3484218</xdr:colOff>
      <xdr:row>204</xdr:row>
      <xdr:rowOff>154056</xdr:rowOff>
    </xdr:to>
    <xdr:graphicFrame macro="">
      <xdr:nvGraphicFramePr>
        <xdr:cNvPr id="9" name="차트 8">
          <a:extLst>
            <a:ext uri="{FF2B5EF4-FFF2-40B4-BE49-F238E27FC236}">
              <a16:creationId xmlns:a16="http://schemas.microsoft.com/office/drawing/2014/main" id="{DAD5158D-4180-3969-E590-7B4FB41018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695739</xdr:colOff>
      <xdr:row>219</xdr:row>
      <xdr:rowOff>199334</xdr:rowOff>
    </xdr:from>
    <xdr:to>
      <xdr:col>2</xdr:col>
      <xdr:colOff>3274392</xdr:colOff>
      <xdr:row>232</xdr:row>
      <xdr:rowOff>143013</xdr:rowOff>
    </xdr:to>
    <xdr:graphicFrame macro="">
      <xdr:nvGraphicFramePr>
        <xdr:cNvPr id="11" name="차트 10">
          <a:extLst>
            <a:ext uri="{FF2B5EF4-FFF2-40B4-BE49-F238E27FC236}">
              <a16:creationId xmlns:a16="http://schemas.microsoft.com/office/drawing/2014/main" id="{A27344BB-5B87-8BC4-EDDF-A02DDE5D23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916609</xdr:colOff>
      <xdr:row>235</xdr:row>
      <xdr:rowOff>160683</xdr:rowOff>
    </xdr:from>
    <xdr:to>
      <xdr:col>2</xdr:col>
      <xdr:colOff>3495262</xdr:colOff>
      <xdr:row>248</xdr:row>
      <xdr:rowOff>104361</xdr:rowOff>
    </xdr:to>
    <xdr:graphicFrame macro="">
      <xdr:nvGraphicFramePr>
        <xdr:cNvPr id="12" name="차트 11">
          <a:extLst>
            <a:ext uri="{FF2B5EF4-FFF2-40B4-BE49-F238E27FC236}">
              <a16:creationId xmlns:a16="http://schemas.microsoft.com/office/drawing/2014/main" id="{EF3F9C61-9956-28A6-2115-2AD49B2DF0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1308652</xdr:colOff>
      <xdr:row>261</xdr:row>
      <xdr:rowOff>188290</xdr:rowOff>
    </xdr:from>
    <xdr:to>
      <xdr:col>2</xdr:col>
      <xdr:colOff>3887305</xdr:colOff>
      <xdr:row>274</xdr:row>
      <xdr:rowOff>131968</xdr:rowOff>
    </xdr:to>
    <xdr:graphicFrame macro="">
      <xdr:nvGraphicFramePr>
        <xdr:cNvPr id="6" name="차트 5">
          <a:extLst>
            <a:ext uri="{FF2B5EF4-FFF2-40B4-BE49-F238E27FC236}">
              <a16:creationId xmlns:a16="http://schemas.microsoft.com/office/drawing/2014/main" id="{D667941B-5287-CF83-89D6-2C45C1B98A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22087</xdr:colOff>
      <xdr:row>277</xdr:row>
      <xdr:rowOff>133075</xdr:rowOff>
    </xdr:from>
    <xdr:to>
      <xdr:col>2</xdr:col>
      <xdr:colOff>2600740</xdr:colOff>
      <xdr:row>290</xdr:row>
      <xdr:rowOff>76753</xdr:rowOff>
    </xdr:to>
    <xdr:graphicFrame macro="">
      <xdr:nvGraphicFramePr>
        <xdr:cNvPr id="10" name="차트 9">
          <a:extLst>
            <a:ext uri="{FF2B5EF4-FFF2-40B4-BE49-F238E27FC236}">
              <a16:creationId xmlns:a16="http://schemas.microsoft.com/office/drawing/2014/main" id="{05D56430-4AE2-D97D-7984-2C53C1B1AF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xdr:col>
      <xdr:colOff>60739</xdr:colOff>
      <xdr:row>292</xdr:row>
      <xdr:rowOff>77857</xdr:rowOff>
    </xdr:from>
    <xdr:to>
      <xdr:col>2</xdr:col>
      <xdr:colOff>2639392</xdr:colOff>
      <xdr:row>305</xdr:row>
      <xdr:rowOff>21535</xdr:rowOff>
    </xdr:to>
    <xdr:graphicFrame macro="">
      <xdr:nvGraphicFramePr>
        <xdr:cNvPr id="13" name="차트 12">
          <a:extLst>
            <a:ext uri="{FF2B5EF4-FFF2-40B4-BE49-F238E27FC236}">
              <a16:creationId xmlns:a16="http://schemas.microsoft.com/office/drawing/2014/main" id="{A26AE297-B7A4-B70F-F62A-ED9D355DAA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xdr:col>
      <xdr:colOff>1032564</xdr:colOff>
      <xdr:row>291</xdr:row>
      <xdr:rowOff>177247</xdr:rowOff>
    </xdr:from>
    <xdr:to>
      <xdr:col>2</xdr:col>
      <xdr:colOff>3611217</xdr:colOff>
      <xdr:row>304</xdr:row>
      <xdr:rowOff>120926</xdr:rowOff>
    </xdr:to>
    <xdr:graphicFrame macro="">
      <xdr:nvGraphicFramePr>
        <xdr:cNvPr id="14" name="차트 13">
          <a:extLst>
            <a:ext uri="{FF2B5EF4-FFF2-40B4-BE49-F238E27FC236}">
              <a16:creationId xmlns:a16="http://schemas.microsoft.com/office/drawing/2014/main" id="{4BCEDB39-560D-6131-EAC6-83E3BABB91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22087</xdr:colOff>
      <xdr:row>312</xdr:row>
      <xdr:rowOff>99943</xdr:rowOff>
    </xdr:from>
    <xdr:to>
      <xdr:col>2</xdr:col>
      <xdr:colOff>2600740</xdr:colOff>
      <xdr:row>325</xdr:row>
      <xdr:rowOff>43621</xdr:rowOff>
    </xdr:to>
    <xdr:graphicFrame macro="">
      <xdr:nvGraphicFramePr>
        <xdr:cNvPr id="15" name="차트 14">
          <a:extLst>
            <a:ext uri="{FF2B5EF4-FFF2-40B4-BE49-F238E27FC236}">
              <a16:creationId xmlns:a16="http://schemas.microsoft.com/office/drawing/2014/main" id="{E5F8ABAE-370E-D985-9D14-83BD0A1CEB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26</xdr:row>
      <xdr:rowOff>0</xdr:rowOff>
    </xdr:from>
    <xdr:to>
      <xdr:col>10</xdr:col>
      <xdr:colOff>458093</xdr:colOff>
      <xdr:row>37</xdr:row>
      <xdr:rowOff>168630</xdr:rowOff>
    </xdr:to>
    <xdr:pic>
      <xdr:nvPicPr>
        <xdr:cNvPr id="2" name="그림 1">
          <a:extLst>
            <a:ext uri="{FF2B5EF4-FFF2-40B4-BE49-F238E27FC236}">
              <a16:creationId xmlns:a16="http://schemas.microsoft.com/office/drawing/2014/main" id="{9835AE8D-C929-ED63-D58C-CA556FB97F7D}"/>
            </a:ext>
          </a:extLst>
        </xdr:cNvPr>
        <xdr:cNvPicPr>
          <a:picLocks noChangeAspect="1"/>
        </xdr:cNvPicPr>
      </xdr:nvPicPr>
      <xdr:blipFill>
        <a:blip xmlns:r="http://schemas.openxmlformats.org/officeDocument/2006/relationships" r:embed="rId1"/>
        <a:stretch>
          <a:fillRect/>
        </a:stretch>
      </xdr:blipFill>
      <xdr:spPr>
        <a:xfrm>
          <a:off x="196850" y="4102100"/>
          <a:ext cx="6401693" cy="2543530"/>
        </a:xfrm>
        <a:prstGeom prst="rect">
          <a:avLst/>
        </a:prstGeom>
      </xdr:spPr>
    </xdr:pic>
    <xdr:clientData/>
  </xdr:twoCellAnchor>
  <xdr:twoCellAnchor editAs="oneCell">
    <xdr:from>
      <xdr:col>11</xdr:col>
      <xdr:colOff>6350</xdr:colOff>
      <xdr:row>26</xdr:row>
      <xdr:rowOff>69850</xdr:rowOff>
    </xdr:from>
    <xdr:to>
      <xdr:col>20</xdr:col>
      <xdr:colOff>169127</xdr:colOff>
      <xdr:row>32</xdr:row>
      <xdr:rowOff>174820</xdr:rowOff>
    </xdr:to>
    <xdr:pic>
      <xdr:nvPicPr>
        <xdr:cNvPr id="3" name="그림 2">
          <a:extLst>
            <a:ext uri="{FF2B5EF4-FFF2-40B4-BE49-F238E27FC236}">
              <a16:creationId xmlns:a16="http://schemas.microsoft.com/office/drawing/2014/main" id="{632FE72E-561B-9663-2AFB-4F2A448F740E}"/>
            </a:ext>
          </a:extLst>
        </xdr:cNvPr>
        <xdr:cNvPicPr>
          <a:picLocks noChangeAspect="1"/>
        </xdr:cNvPicPr>
      </xdr:nvPicPr>
      <xdr:blipFill>
        <a:blip xmlns:r="http://schemas.openxmlformats.org/officeDocument/2006/relationships" r:embed="rId2"/>
        <a:stretch>
          <a:fillRect/>
        </a:stretch>
      </xdr:blipFill>
      <xdr:spPr>
        <a:xfrm>
          <a:off x="6807200" y="4171950"/>
          <a:ext cx="6106377" cy="1400370"/>
        </a:xfrm>
        <a:prstGeom prst="rect">
          <a:avLst/>
        </a:prstGeom>
      </xdr:spPr>
    </xdr:pic>
    <xdr:clientData/>
  </xdr:twoCellAnchor>
  <xdr:twoCellAnchor editAs="oneCell">
    <xdr:from>
      <xdr:col>1</xdr:col>
      <xdr:colOff>0</xdr:colOff>
      <xdr:row>38</xdr:row>
      <xdr:rowOff>0</xdr:rowOff>
    </xdr:from>
    <xdr:to>
      <xdr:col>10</xdr:col>
      <xdr:colOff>210409</xdr:colOff>
      <xdr:row>48</xdr:row>
      <xdr:rowOff>155898</xdr:rowOff>
    </xdr:to>
    <xdr:pic>
      <xdr:nvPicPr>
        <xdr:cNvPr id="4" name="그림 3">
          <a:extLst>
            <a:ext uri="{FF2B5EF4-FFF2-40B4-BE49-F238E27FC236}">
              <a16:creationId xmlns:a16="http://schemas.microsoft.com/office/drawing/2014/main" id="{9E52F915-7305-F1CB-55FF-3AD34D559FC5}"/>
            </a:ext>
          </a:extLst>
        </xdr:cNvPr>
        <xdr:cNvPicPr>
          <a:picLocks noChangeAspect="1"/>
        </xdr:cNvPicPr>
      </xdr:nvPicPr>
      <xdr:blipFill>
        <a:blip xmlns:r="http://schemas.openxmlformats.org/officeDocument/2006/relationships" r:embed="rId3"/>
        <a:stretch>
          <a:fillRect/>
        </a:stretch>
      </xdr:blipFill>
      <xdr:spPr>
        <a:xfrm>
          <a:off x="196850" y="6692900"/>
          <a:ext cx="6154009" cy="2314898"/>
        </a:xfrm>
        <a:prstGeom prst="rect">
          <a:avLst/>
        </a:prstGeom>
      </xdr:spPr>
    </xdr:pic>
    <xdr:clientData/>
  </xdr:twoCellAnchor>
  <xdr:twoCellAnchor editAs="oneCell">
    <xdr:from>
      <xdr:col>11</xdr:col>
      <xdr:colOff>25400</xdr:colOff>
      <xdr:row>37</xdr:row>
      <xdr:rowOff>50800</xdr:rowOff>
    </xdr:from>
    <xdr:to>
      <xdr:col>20</xdr:col>
      <xdr:colOff>140546</xdr:colOff>
      <xdr:row>49</xdr:row>
      <xdr:rowOff>3530</xdr:rowOff>
    </xdr:to>
    <xdr:pic>
      <xdr:nvPicPr>
        <xdr:cNvPr id="5" name="그림 4">
          <a:extLst>
            <a:ext uri="{FF2B5EF4-FFF2-40B4-BE49-F238E27FC236}">
              <a16:creationId xmlns:a16="http://schemas.microsoft.com/office/drawing/2014/main" id="{3D0E050D-5C44-BF19-8D10-8195F01D2D62}"/>
            </a:ext>
          </a:extLst>
        </xdr:cNvPr>
        <xdr:cNvPicPr>
          <a:picLocks noChangeAspect="1"/>
        </xdr:cNvPicPr>
      </xdr:nvPicPr>
      <xdr:blipFill>
        <a:blip xmlns:r="http://schemas.openxmlformats.org/officeDocument/2006/relationships" r:embed="rId4"/>
        <a:stretch>
          <a:fillRect/>
        </a:stretch>
      </xdr:blipFill>
      <xdr:spPr>
        <a:xfrm>
          <a:off x="6826250" y="6527800"/>
          <a:ext cx="6058746" cy="2543530"/>
        </a:xfrm>
        <a:prstGeom prst="rect">
          <a:avLst/>
        </a:prstGeom>
      </xdr:spPr>
    </xdr:pic>
    <xdr:clientData/>
  </xdr:twoCellAnchor>
  <xdr:twoCellAnchor editAs="oneCell">
    <xdr:from>
      <xdr:col>1</xdr:col>
      <xdr:colOff>19050</xdr:colOff>
      <xdr:row>59</xdr:row>
      <xdr:rowOff>69850</xdr:rowOff>
    </xdr:from>
    <xdr:to>
      <xdr:col>7</xdr:col>
      <xdr:colOff>438375</xdr:colOff>
      <xdr:row>75</xdr:row>
      <xdr:rowOff>165282</xdr:rowOff>
    </xdr:to>
    <xdr:pic>
      <xdr:nvPicPr>
        <xdr:cNvPr id="6" name="그림 5">
          <a:extLst>
            <a:ext uri="{FF2B5EF4-FFF2-40B4-BE49-F238E27FC236}">
              <a16:creationId xmlns:a16="http://schemas.microsoft.com/office/drawing/2014/main" id="{1064B060-5F4D-1617-B9C9-D6FAB93D2C49}"/>
            </a:ext>
          </a:extLst>
        </xdr:cNvPr>
        <xdr:cNvPicPr>
          <a:picLocks noChangeAspect="1"/>
        </xdr:cNvPicPr>
      </xdr:nvPicPr>
      <xdr:blipFill>
        <a:blip xmlns:r="http://schemas.openxmlformats.org/officeDocument/2006/relationships" r:embed="rId5"/>
        <a:stretch>
          <a:fillRect/>
        </a:stretch>
      </xdr:blipFill>
      <xdr:spPr>
        <a:xfrm>
          <a:off x="215900" y="11296650"/>
          <a:ext cx="4381725" cy="3549832"/>
        </a:xfrm>
        <a:prstGeom prst="rect">
          <a:avLst/>
        </a:prstGeom>
      </xdr:spPr>
    </xdr:pic>
    <xdr:clientData/>
  </xdr:twoCellAnchor>
  <xdr:twoCellAnchor editAs="oneCell">
    <xdr:from>
      <xdr:col>9</xdr:col>
      <xdr:colOff>0</xdr:colOff>
      <xdr:row>60</xdr:row>
      <xdr:rowOff>0</xdr:rowOff>
    </xdr:from>
    <xdr:to>
      <xdr:col>18</xdr:col>
      <xdr:colOff>476580</xdr:colOff>
      <xdr:row>86</xdr:row>
      <xdr:rowOff>108244</xdr:rowOff>
    </xdr:to>
    <xdr:pic>
      <xdr:nvPicPr>
        <xdr:cNvPr id="7" name="그림 6">
          <a:extLst>
            <a:ext uri="{FF2B5EF4-FFF2-40B4-BE49-F238E27FC236}">
              <a16:creationId xmlns:a16="http://schemas.microsoft.com/office/drawing/2014/main" id="{49F7C13B-57F3-9879-258A-24693A489BE6}"/>
            </a:ext>
          </a:extLst>
        </xdr:cNvPr>
        <xdr:cNvPicPr>
          <a:picLocks noChangeAspect="1"/>
        </xdr:cNvPicPr>
      </xdr:nvPicPr>
      <xdr:blipFill>
        <a:blip xmlns:r="http://schemas.openxmlformats.org/officeDocument/2006/relationships" r:embed="rId6"/>
        <a:stretch>
          <a:fillRect/>
        </a:stretch>
      </xdr:blipFill>
      <xdr:spPr>
        <a:xfrm>
          <a:off x="5480050" y="11442700"/>
          <a:ext cx="6420180" cy="5721644"/>
        </a:xfrm>
        <a:prstGeom prst="rect">
          <a:avLst/>
        </a:prstGeom>
      </xdr:spPr>
    </xdr:pic>
    <xdr:clientData/>
  </xdr:twoCellAnchor>
  <xdr:twoCellAnchor editAs="oneCell">
    <xdr:from>
      <xdr:col>10</xdr:col>
      <xdr:colOff>393700</xdr:colOff>
      <xdr:row>50</xdr:row>
      <xdr:rowOff>95250</xdr:rowOff>
    </xdr:from>
    <xdr:to>
      <xdr:col>21</xdr:col>
      <xdr:colOff>622685</xdr:colOff>
      <xdr:row>54</xdr:row>
      <xdr:rowOff>190549</xdr:rowOff>
    </xdr:to>
    <xdr:pic>
      <xdr:nvPicPr>
        <xdr:cNvPr id="8" name="그림 7">
          <a:extLst>
            <a:ext uri="{FF2B5EF4-FFF2-40B4-BE49-F238E27FC236}">
              <a16:creationId xmlns:a16="http://schemas.microsoft.com/office/drawing/2014/main" id="{24274694-9C73-7C28-3496-1FF6C3FFB86C}"/>
            </a:ext>
          </a:extLst>
        </xdr:cNvPr>
        <xdr:cNvPicPr>
          <a:picLocks noChangeAspect="1"/>
        </xdr:cNvPicPr>
      </xdr:nvPicPr>
      <xdr:blipFill>
        <a:blip xmlns:r="http://schemas.openxmlformats.org/officeDocument/2006/relationships" r:embed="rId7"/>
        <a:stretch>
          <a:fillRect/>
        </a:stretch>
      </xdr:blipFill>
      <xdr:spPr>
        <a:xfrm>
          <a:off x="6534150" y="9378950"/>
          <a:ext cx="7493385" cy="958899"/>
        </a:xfrm>
        <a:prstGeom prst="rect">
          <a:avLst/>
        </a:prstGeom>
      </xdr:spPr>
    </xdr:pic>
    <xdr:clientData/>
  </xdr:twoCellAnchor>
  <xdr:twoCellAnchor editAs="oneCell">
    <xdr:from>
      <xdr:col>1</xdr:col>
      <xdr:colOff>0</xdr:colOff>
      <xdr:row>87</xdr:row>
      <xdr:rowOff>0</xdr:rowOff>
    </xdr:from>
    <xdr:to>
      <xdr:col>11</xdr:col>
      <xdr:colOff>292454</xdr:colOff>
      <xdr:row>99</xdr:row>
      <xdr:rowOff>114439</xdr:rowOff>
    </xdr:to>
    <xdr:pic>
      <xdr:nvPicPr>
        <xdr:cNvPr id="9" name="그림 8">
          <a:extLst>
            <a:ext uri="{FF2B5EF4-FFF2-40B4-BE49-F238E27FC236}">
              <a16:creationId xmlns:a16="http://schemas.microsoft.com/office/drawing/2014/main" id="{C5683801-82E0-3F4C-BA3E-F1E80EC7AD5A}"/>
            </a:ext>
          </a:extLst>
        </xdr:cNvPr>
        <xdr:cNvPicPr>
          <a:picLocks noChangeAspect="1"/>
        </xdr:cNvPicPr>
      </xdr:nvPicPr>
      <xdr:blipFill>
        <a:blip xmlns:r="http://schemas.openxmlformats.org/officeDocument/2006/relationships" r:embed="rId8"/>
        <a:stretch>
          <a:fillRect/>
        </a:stretch>
      </xdr:blipFill>
      <xdr:spPr>
        <a:xfrm>
          <a:off x="196850" y="17272000"/>
          <a:ext cx="6896454" cy="2705239"/>
        </a:xfrm>
        <a:prstGeom prst="rect">
          <a:avLst/>
        </a:prstGeom>
      </xdr:spPr>
    </xdr:pic>
    <xdr:clientData/>
  </xdr:twoCellAnchor>
  <xdr:twoCellAnchor editAs="oneCell">
    <xdr:from>
      <xdr:col>1</xdr:col>
      <xdr:colOff>0</xdr:colOff>
      <xdr:row>101</xdr:row>
      <xdr:rowOff>0</xdr:rowOff>
    </xdr:from>
    <xdr:to>
      <xdr:col>25</xdr:col>
      <xdr:colOff>159573</xdr:colOff>
      <xdr:row>121</xdr:row>
      <xdr:rowOff>120878</xdr:rowOff>
    </xdr:to>
    <xdr:pic>
      <xdr:nvPicPr>
        <xdr:cNvPr id="10" name="그림 9">
          <a:extLst>
            <a:ext uri="{FF2B5EF4-FFF2-40B4-BE49-F238E27FC236}">
              <a16:creationId xmlns:a16="http://schemas.microsoft.com/office/drawing/2014/main" id="{FC65ACF7-5D34-C311-FAE7-1A2A7D3E8F4E}"/>
            </a:ext>
          </a:extLst>
        </xdr:cNvPr>
        <xdr:cNvPicPr>
          <a:picLocks noChangeAspect="1"/>
        </xdr:cNvPicPr>
      </xdr:nvPicPr>
      <xdr:blipFill>
        <a:blip xmlns:r="http://schemas.openxmlformats.org/officeDocument/2006/relationships" r:embed="rId9"/>
        <a:stretch>
          <a:fillRect/>
        </a:stretch>
      </xdr:blipFill>
      <xdr:spPr>
        <a:xfrm>
          <a:off x="196850" y="20294600"/>
          <a:ext cx="16009173" cy="4438878"/>
        </a:xfrm>
        <a:prstGeom prst="rect">
          <a:avLst/>
        </a:prstGeom>
      </xdr:spPr>
    </xdr:pic>
    <xdr:clientData/>
  </xdr:twoCellAnchor>
  <xdr:twoCellAnchor editAs="oneCell">
    <xdr:from>
      <xdr:col>1</xdr:col>
      <xdr:colOff>0</xdr:colOff>
      <xdr:row>123</xdr:row>
      <xdr:rowOff>0</xdr:rowOff>
    </xdr:from>
    <xdr:to>
      <xdr:col>12</xdr:col>
      <xdr:colOff>19424</xdr:colOff>
      <xdr:row>137</xdr:row>
      <xdr:rowOff>177964</xdr:rowOff>
    </xdr:to>
    <xdr:pic>
      <xdr:nvPicPr>
        <xdr:cNvPr id="11" name="그림 10">
          <a:extLst>
            <a:ext uri="{FF2B5EF4-FFF2-40B4-BE49-F238E27FC236}">
              <a16:creationId xmlns:a16="http://schemas.microsoft.com/office/drawing/2014/main" id="{23E39B43-408B-80F1-3ACB-CB88C9CDB7CE}"/>
            </a:ext>
          </a:extLst>
        </xdr:cNvPr>
        <xdr:cNvPicPr>
          <a:picLocks noChangeAspect="1"/>
        </xdr:cNvPicPr>
      </xdr:nvPicPr>
      <xdr:blipFill>
        <a:blip xmlns:r="http://schemas.openxmlformats.org/officeDocument/2006/relationships" r:embed="rId10"/>
        <a:stretch>
          <a:fillRect/>
        </a:stretch>
      </xdr:blipFill>
      <xdr:spPr>
        <a:xfrm>
          <a:off x="196850" y="25476200"/>
          <a:ext cx="7283824" cy="3200564"/>
        </a:xfrm>
        <a:prstGeom prst="rect">
          <a:avLst/>
        </a:prstGeom>
      </xdr:spPr>
    </xdr:pic>
    <xdr:clientData/>
  </xdr:twoCellAnchor>
  <xdr:twoCellAnchor editAs="oneCell">
    <xdr:from>
      <xdr:col>14</xdr:col>
      <xdr:colOff>0</xdr:colOff>
      <xdr:row>124</xdr:row>
      <xdr:rowOff>0</xdr:rowOff>
    </xdr:from>
    <xdr:to>
      <xdr:col>24</xdr:col>
      <xdr:colOff>521066</xdr:colOff>
      <xdr:row>140</xdr:row>
      <xdr:rowOff>31929</xdr:rowOff>
    </xdr:to>
    <xdr:pic>
      <xdr:nvPicPr>
        <xdr:cNvPr id="12" name="그림 11">
          <a:extLst>
            <a:ext uri="{FF2B5EF4-FFF2-40B4-BE49-F238E27FC236}">
              <a16:creationId xmlns:a16="http://schemas.microsoft.com/office/drawing/2014/main" id="{4B6DCD0A-F3E9-B0A1-0534-F0904CF13AF3}"/>
            </a:ext>
          </a:extLst>
        </xdr:cNvPr>
        <xdr:cNvPicPr>
          <a:picLocks noChangeAspect="1"/>
        </xdr:cNvPicPr>
      </xdr:nvPicPr>
      <xdr:blipFill>
        <a:blip xmlns:r="http://schemas.openxmlformats.org/officeDocument/2006/relationships" r:embed="rId11"/>
        <a:stretch>
          <a:fillRect/>
        </a:stretch>
      </xdr:blipFill>
      <xdr:spPr>
        <a:xfrm>
          <a:off x="8782050" y="25692100"/>
          <a:ext cx="7125066" cy="3486329"/>
        </a:xfrm>
        <a:prstGeom prst="rect">
          <a:avLst/>
        </a:prstGeom>
      </xdr:spPr>
    </xdr:pic>
    <xdr:clientData/>
  </xdr:twoCellAnchor>
  <xdr:twoCellAnchor editAs="oneCell">
    <xdr:from>
      <xdr:col>1</xdr:col>
      <xdr:colOff>82550</xdr:colOff>
      <xdr:row>140</xdr:row>
      <xdr:rowOff>0</xdr:rowOff>
    </xdr:from>
    <xdr:to>
      <xdr:col>11</xdr:col>
      <xdr:colOff>457559</xdr:colOff>
      <xdr:row>154</xdr:row>
      <xdr:rowOff>158914</xdr:rowOff>
    </xdr:to>
    <xdr:pic>
      <xdr:nvPicPr>
        <xdr:cNvPr id="13" name="그림 12">
          <a:extLst>
            <a:ext uri="{FF2B5EF4-FFF2-40B4-BE49-F238E27FC236}">
              <a16:creationId xmlns:a16="http://schemas.microsoft.com/office/drawing/2014/main" id="{FFD8790C-1E1E-3088-1654-2DF97394FECB}"/>
            </a:ext>
          </a:extLst>
        </xdr:cNvPr>
        <xdr:cNvPicPr>
          <a:picLocks noChangeAspect="1"/>
        </xdr:cNvPicPr>
      </xdr:nvPicPr>
      <xdr:blipFill>
        <a:blip xmlns:r="http://schemas.openxmlformats.org/officeDocument/2006/relationships" r:embed="rId12"/>
        <a:stretch>
          <a:fillRect/>
        </a:stretch>
      </xdr:blipFill>
      <xdr:spPr>
        <a:xfrm>
          <a:off x="279400" y="29146500"/>
          <a:ext cx="6979009" cy="3181514"/>
        </a:xfrm>
        <a:prstGeom prst="rect">
          <a:avLst/>
        </a:prstGeom>
      </xdr:spPr>
    </xdr:pic>
    <xdr:clientData/>
  </xdr:twoCellAnchor>
  <xdr:twoCellAnchor editAs="oneCell">
    <xdr:from>
      <xdr:col>13</xdr:col>
      <xdr:colOff>603250</xdr:colOff>
      <xdr:row>142</xdr:row>
      <xdr:rowOff>31750</xdr:rowOff>
    </xdr:from>
    <xdr:to>
      <xdr:col>26</xdr:col>
      <xdr:colOff>178219</xdr:colOff>
      <xdr:row>152</xdr:row>
      <xdr:rowOff>6460</xdr:rowOff>
    </xdr:to>
    <xdr:pic>
      <xdr:nvPicPr>
        <xdr:cNvPr id="14" name="그림 13">
          <a:extLst>
            <a:ext uri="{FF2B5EF4-FFF2-40B4-BE49-F238E27FC236}">
              <a16:creationId xmlns:a16="http://schemas.microsoft.com/office/drawing/2014/main" id="{CA2497CE-C774-B2E7-2F47-74A2F53048F8}"/>
            </a:ext>
          </a:extLst>
        </xdr:cNvPr>
        <xdr:cNvPicPr>
          <a:picLocks noChangeAspect="1"/>
        </xdr:cNvPicPr>
      </xdr:nvPicPr>
      <xdr:blipFill>
        <a:blip xmlns:r="http://schemas.openxmlformats.org/officeDocument/2006/relationships" r:embed="rId13"/>
        <a:stretch>
          <a:fillRect/>
        </a:stretch>
      </xdr:blipFill>
      <xdr:spPr>
        <a:xfrm>
          <a:off x="8724900" y="29610050"/>
          <a:ext cx="8160169" cy="2133710"/>
        </a:xfrm>
        <a:prstGeom prst="rect">
          <a:avLst/>
        </a:prstGeom>
      </xdr:spPr>
    </xdr:pic>
    <xdr:clientData/>
  </xdr:twoCellAnchor>
  <xdr:twoCellAnchor editAs="oneCell">
    <xdr:from>
      <xdr:col>1</xdr:col>
      <xdr:colOff>0</xdr:colOff>
      <xdr:row>157</xdr:row>
      <xdr:rowOff>0</xdr:rowOff>
    </xdr:from>
    <xdr:to>
      <xdr:col>12</xdr:col>
      <xdr:colOff>146431</xdr:colOff>
      <xdr:row>177</xdr:row>
      <xdr:rowOff>70076</xdr:rowOff>
    </xdr:to>
    <xdr:pic>
      <xdr:nvPicPr>
        <xdr:cNvPr id="15" name="그림 14">
          <a:extLst>
            <a:ext uri="{FF2B5EF4-FFF2-40B4-BE49-F238E27FC236}">
              <a16:creationId xmlns:a16="http://schemas.microsoft.com/office/drawing/2014/main" id="{75A6E6F6-3179-CE8C-1CA0-C310F9B4F1E1}"/>
            </a:ext>
          </a:extLst>
        </xdr:cNvPr>
        <xdr:cNvPicPr>
          <a:picLocks noChangeAspect="1"/>
        </xdr:cNvPicPr>
      </xdr:nvPicPr>
      <xdr:blipFill>
        <a:blip xmlns:r="http://schemas.openxmlformats.org/officeDocument/2006/relationships" r:embed="rId14"/>
        <a:stretch>
          <a:fillRect/>
        </a:stretch>
      </xdr:blipFill>
      <xdr:spPr>
        <a:xfrm>
          <a:off x="196850" y="32816800"/>
          <a:ext cx="7410831" cy="4388076"/>
        </a:xfrm>
        <a:prstGeom prst="rect">
          <a:avLst/>
        </a:prstGeom>
      </xdr:spPr>
    </xdr:pic>
    <xdr:clientData/>
  </xdr:twoCellAnchor>
  <xdr:twoCellAnchor editAs="oneCell">
    <xdr:from>
      <xdr:col>1</xdr:col>
      <xdr:colOff>146050</xdr:colOff>
      <xdr:row>178</xdr:row>
      <xdr:rowOff>14890</xdr:rowOff>
    </xdr:from>
    <xdr:to>
      <xdr:col>16</xdr:col>
      <xdr:colOff>13474</xdr:colOff>
      <xdr:row>196</xdr:row>
      <xdr:rowOff>197171</xdr:rowOff>
    </xdr:to>
    <xdr:pic>
      <xdr:nvPicPr>
        <xdr:cNvPr id="16" name="그림 15">
          <a:extLst>
            <a:ext uri="{FF2B5EF4-FFF2-40B4-BE49-F238E27FC236}">
              <a16:creationId xmlns:a16="http://schemas.microsoft.com/office/drawing/2014/main" id="{CB529B8F-9C45-B748-41E9-C236DE5667BA}"/>
            </a:ext>
          </a:extLst>
        </xdr:cNvPr>
        <xdr:cNvPicPr>
          <a:picLocks noChangeAspect="1"/>
        </xdr:cNvPicPr>
      </xdr:nvPicPr>
      <xdr:blipFill>
        <a:blip xmlns:r="http://schemas.openxmlformats.org/officeDocument/2006/relationships" r:embed="rId15"/>
        <a:stretch>
          <a:fillRect/>
        </a:stretch>
      </xdr:blipFill>
      <xdr:spPr>
        <a:xfrm>
          <a:off x="342900" y="38445090"/>
          <a:ext cx="9773424" cy="406848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8</xdr:col>
      <xdr:colOff>149225</xdr:colOff>
      <xdr:row>7</xdr:row>
      <xdr:rowOff>193675</xdr:rowOff>
    </xdr:from>
    <xdr:to>
      <xdr:col>15</xdr:col>
      <xdr:colOff>98425</xdr:colOff>
      <xdr:row>20</xdr:row>
      <xdr:rowOff>130175</xdr:rowOff>
    </xdr:to>
    <xdr:graphicFrame macro="">
      <xdr:nvGraphicFramePr>
        <xdr:cNvPr id="2" name="차트 1">
          <a:extLst>
            <a:ext uri="{FF2B5EF4-FFF2-40B4-BE49-F238E27FC236}">
              <a16:creationId xmlns:a16="http://schemas.microsoft.com/office/drawing/2014/main" id="{B4628DD4-17DF-003C-5F02-B8D8FB0AEA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15875</xdr:colOff>
      <xdr:row>5</xdr:row>
      <xdr:rowOff>9525</xdr:rowOff>
    </xdr:from>
    <xdr:to>
      <xdr:col>10</xdr:col>
      <xdr:colOff>625475</xdr:colOff>
      <xdr:row>17</xdr:row>
      <xdr:rowOff>161925</xdr:rowOff>
    </xdr:to>
    <xdr:graphicFrame macro="">
      <xdr:nvGraphicFramePr>
        <xdr:cNvPr id="3" name="차트 2">
          <a:extLst>
            <a:ext uri="{FF2B5EF4-FFF2-40B4-BE49-F238E27FC236}">
              <a16:creationId xmlns:a16="http://schemas.microsoft.com/office/drawing/2014/main" id="{31025624-9893-A9B3-7B89-F4F058FE2A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강지현" id="{A45F4ACD-3101-41BD-BB9C-D643CDBA8551}" userId="S::kjhdudwo@soongsil.ac.kr::4d34b18e-8d2a-4b26-b6d5-01bfa2b805c4"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17">
  <rv s="0">
    <v>en-US</v>
    <v>ciklpr</v>
    <v>268435456</v>
    <v>1</v>
    <v>Powered by Refinitiv</v>
    <v>0</v>
    <v>CMTX Co.,Ltd. (XKRX:388210)</v>
    <v>2</v>
    <v>3</v>
    <v>Finance</v>
    <v>4</v>
    <v>170300</v>
    <v>71500</v>
    <v>-11100</v>
    <v>-8.8094999999999993E-2</v>
    <v>KRW</v>
    <v>CMTX Co Ltd is a Korea-based company primarily engaged in the production of semiconductor components and materials. The Company manufactures high-performance precision components used in the etching and deposition processes of the semiconductor manufacturing process. The Company's products include silicon, ceramic, and sapphire parts. The Company’s products are primarily used in semiconductor equipment.</v>
    <v>Korea Stock Exchange</v>
    <v>XKRX</v>
    <v>XKRX</v>
    <v>118, 5gongdan 5-ro, Sandong-eup, GUMI, GYEONGSANGBUK-DO, 39158 KR</v>
    <v>123000</v>
    <v>Semiconductors &amp; Semiconductor Equipment</v>
    <v>Stock</v>
    <v>46160.028981481482</v>
    <v>114800</v>
    <v>930977900000</v>
    <v>CMTX Co.,Ltd.</v>
    <v>CMTX Co.,Ltd.</v>
    <v>121000</v>
    <v>126000</v>
    <v>114900</v>
    <v>9634440</v>
    <v>388210</v>
    <v>CMTX Co.,Ltd. (XKRX:388210)</v>
    <v>33060</v>
    <v>114160</v>
    <v>2013</v>
  </rv>
  <rv s="1">
    <v>0</v>
  </rv>
  <rv s="2">
    <v>https://www.bing.com/financeapi/forcetrigger?t=ajq6r7&amp;q=XKRX%3a101160&amp;form=skydnc</v>
    <v>Learn more on Bing</v>
  </rv>
  <rv s="3">
    <v>en-US</v>
    <v>ajq6r7</v>
    <v>268435456</v>
    <v>1</v>
    <v>Powered by Refinitiv</v>
    <v>5</v>
    <v>WORLDEXINDUSTRY&amp;TRADINGCO.,LTD (XKRX:101160)</v>
    <v>6</v>
    <v>7</v>
    <v>Finance</v>
    <v>4</v>
    <v>35400</v>
    <v>17640</v>
    <v>0.67200000000000004</v>
    <v>-1850</v>
    <v>-6.666699999999999E-2</v>
    <v>KRW</v>
    <v>WORLDEX INDUSTRY &amp; TRADING CO., Ltd. is a Korea-based company mainly engaged in the manufacturing and distribution of silicon parts used in semiconductor surface etching process. The Company's product portfolio consists of silicon parts, including silicon electrodes, silicon rings, silicon boats, silicon solar batteries and others, quartzes as well as alumina products used for semiconductor, liquid crystal display (LCD) and liquid emitting diode (LED) parts. The Company distributes its products within domestic market and to the overseas markets. It is also engaged in the manufacturing and distribution of LED lightings through its subsidiary.</v>
    <v>217</v>
    <v>Korea Stock Exchange</v>
    <v>XKRX</v>
    <v>XKRX</v>
    <v>53-77, 4Gongdan-Ro 7-Gil, GUMI, GYEONGSANGBUK-DO, 39422 KR</v>
    <v>27050</v>
    <v>Semiconductors &amp; Semiconductor Equipment</v>
    <v>Stock</v>
    <v>46160.028942765624</v>
    <v>2</v>
    <v>25400</v>
    <v>362416300000</v>
    <v>WORLDEXINDUSTRY&amp;TRADINGCO.,LTD</v>
    <v>WORLDEXINDUSTRY&amp;TRADINGCO.,LTD</v>
    <v>26950</v>
    <v>10.437099999999999</v>
    <v>27750</v>
    <v>25900</v>
    <v>16510990</v>
    <v>101160</v>
    <v>WORLDEXINDUSTRY&amp;TRADINGCO.,LTD (XKRX:101160)</v>
    <v>47196</v>
    <v>157410</v>
    <v>2000</v>
  </rv>
  <rv s="1">
    <v>3</v>
  </rv>
  <rv s="2">
    <v>https://www.bing.com/financeapi/forcetrigger?t=brl73m&amp;q=XKRX%3a272110&amp;form=skydnc</v>
    <v>Learn more on Bing</v>
  </rv>
  <rv s="4">
    <v>en-US</v>
    <v>brl73m</v>
    <v>268435456</v>
    <v>1</v>
    <v>Powered by Refinitiv</v>
    <v>8</v>
    <v>KnJ Co.,Ltd. (XKRX:272110)</v>
    <v>6</v>
    <v>9</v>
    <v>Finance</v>
    <v>4</v>
    <v>44600</v>
    <v>15300</v>
    <v>0.77290000000000003</v>
    <v>-2250</v>
    <v>-6.5123E-2</v>
    <v>KRW</v>
    <v>KNJ Co Ltd is a Korea-based company primarily engaged in the manufacture and sale of silicon carbide (SiC) components for semiconductor processing. The Company produces and sells consumable SiC focus rings used in semiconductor wafer etching processes, as well as SiC coating products for light-emitting diode (LED) manufacturing. In addition, the Company is engaged in the manufacture and sale of electronic components and real estate leasing business. The Company sells its products in both domestic and overseas markets.</v>
    <v>Korea Stock Exchange</v>
    <v>XKRX</v>
    <v>XKRX</v>
    <v>22, Smart sandan 1-ro, Eumbong-myeon, ASAN, CHUNGCHEONGNAM-DO, 31418 KR</v>
    <v>34150</v>
    <v>Semiconductors &amp; Semiconductor Equipment</v>
    <v>Stock</v>
    <v>46160.028900462959</v>
    <v>5</v>
    <v>31850</v>
    <v>164520600000</v>
    <v>KnJ Co.,Ltd.</v>
    <v>KnJ Co.,Ltd.</v>
    <v>34150</v>
    <v>9.2326999999999995</v>
    <v>34550</v>
    <v>32300</v>
    <v>8025390</v>
    <v>272110</v>
    <v>KnJ Co.,Ltd. (XKRX:272110)</v>
    <v>62779</v>
    <v>207350</v>
    <v>2005</v>
  </rv>
  <rv s="1">
    <v>6</v>
  </rv>
  <rv s="2">
    <v>https://www.bing.com/financeapi/forcetrigger?t=ajqyww&amp;q=XKRX%3a166090&amp;form=skydnc</v>
    <v>Learn more on Bing</v>
  </rv>
  <rv s="3">
    <v>en-US</v>
    <v>ajqyww</v>
    <v>268435456</v>
    <v>1</v>
    <v>Powered by Refinitiv</v>
    <v>5</v>
    <v>Hana Materials Inc. (XKRX:166090)</v>
    <v>6</v>
    <v>7</v>
    <v>Finance</v>
    <v>4</v>
    <v>84200</v>
    <v>23450</v>
    <v>0.76580000000000004</v>
    <v>-1700</v>
    <v>-2.4011000000000001E-2</v>
    <v>KRW</v>
    <v>Hana Materials Inc is a Korea-based company primarily engaged in the manufacturing of semiconductor devices. The Company operates through two segments. The Semiconductor Component Business segment primarily manufactures and sells silicon and silicon carbide components used in the manufacturing process for semiconductors and other products. The New Technology Business Finance Business segment primarily invests in and supports new technology companies, small and medium-sized enterprises, and startups in the materials, components, and equipment industries used in the semiconductor and battery industries.</v>
    <v>737</v>
    <v>Korea Stock Exchange</v>
    <v>XKRX</v>
    <v>XKRX</v>
    <v>42, 3gongdan 3-ro, Seobuk-gu, CHEONAN, CHUNGCHEONGNAM-DO, 31093 KR</v>
    <v>70500</v>
    <v>Semiconductors &amp; Semiconductor Equipment</v>
    <v>Stock</v>
    <v>46160.028964443751</v>
    <v>8</v>
    <v>66800</v>
    <v>915706300000</v>
    <v>Hana Materials Inc.</v>
    <v>Hana Materials Inc.</v>
    <v>70500</v>
    <v>26.741800000000001</v>
    <v>70800</v>
    <v>69100</v>
    <v>19777670</v>
    <v>166090</v>
    <v>Hana Materials Inc. (XKRX:166090)</v>
    <v>39597</v>
    <v>205280</v>
    <v>2007</v>
  </rv>
  <rv s="1">
    <v>9</v>
  </rv>
  <rv s="2">
    <v>https://www.bing.com/financeapi/forcetrigger?t=ajp9zr&amp;q=XKRX%3a064760&amp;form=skydnc</v>
    <v>Learn more on Bing</v>
  </rv>
  <rv s="3">
    <v>en-US</v>
    <v>ajp9zr</v>
    <v>268435456</v>
    <v>1</v>
    <v>Powered by Refinitiv</v>
    <v>5</v>
    <v>TOKAI CARBON KOREA Co., Ltd. (XKRX:064760)</v>
    <v>6</v>
    <v>7</v>
    <v>Finance</v>
    <v>4</v>
    <v>348500</v>
    <v>84300</v>
    <v>1.0487</v>
    <v>-23000</v>
    <v>-7.5410000000000005E-2</v>
    <v>KRW</v>
    <v>Tokai Carbon Korea Co Ltd is a Korea-based company mainly engaged in the manufacturing and distribution of semiconductor process components. The Company mainly provides four types of products. The Solid Silicon Carbide (SiC) product group mainly provides semiconductor process components such as SiC ring, dummy wafer and shower head, among others. The Graphite product group mainly provides high-purity graphite products for semiconductors and solar power fields. The Susceptor product group mainly provides light-emitting diode (LED) and semiconductor components such as tantalum carbide (TaC) coated susceptor and SiC coated susceptor, among others. The Other product group mainly distributes heat exchangers and heaters products. The Company distributes its products within domestic market and to overseas markets.</v>
    <v>468</v>
    <v>Korea Stock Exchange</v>
    <v>XKRX</v>
    <v>XKRX</v>
    <v>71, Gaejeongsaneopdanji-ro, Miyang-myeon, ANSEONG, GYEONGGI-DO, 17602 KR</v>
    <v>304500</v>
    <v>Semiconductors &amp; Semiconductor Equipment</v>
    <v>Stock</v>
    <v>46160.028946759259</v>
    <v>11</v>
    <v>276500</v>
    <v>1755168000000</v>
    <v>TOKAI CARBON KOREA Co., Ltd.</v>
    <v>TOKAI CARBON KOREA Co., Ltd.</v>
    <v>304500</v>
    <v>42.070399999999999</v>
    <v>305000</v>
    <v>282000</v>
    <v>11179420</v>
    <v>064760</v>
    <v>TOKAI CARBON KOREA Co., Ltd. (XKRX:064760)</v>
    <v>17842</v>
    <v>75740</v>
    <v>1996</v>
  </rv>
  <rv s="1">
    <v>12</v>
  </rv>
  <rv s="2">
    <v>https://www.bing.com/financeapi/forcetrigger?t=c5cs1h&amp;q=XKRX%3a146320&amp;form=skydnc</v>
    <v>Learn more on Bing</v>
  </rv>
  <rv s="4">
    <v>en-US</v>
    <v>c5cs1h</v>
    <v>268435456</v>
    <v>1</v>
    <v>Powered by Refinitiv</v>
    <v>8</v>
    <v>BCnC Co., Ltd. (XKRX:146320)</v>
    <v>6</v>
    <v>9</v>
    <v>Finance</v>
    <v>4</v>
    <v>19050</v>
    <v>7910</v>
    <v>0.83199999999999996</v>
    <v>-940</v>
    <v>-5.8457999999999996E-2</v>
    <v>KRW</v>
    <v>BCNC Co Ltd is a Korea-based company principally engaged in the semiconductor parts business. The Company is engaged in the manufacture of parts used in the semiconductor manufacturing process based on materials such as synthetic quartz, natural quartz, silicon and ceramics. The Company is also engaged in the manufacture and sale of other parts made from sapphire and other materials.</v>
    <v>Korea Stock Exchange</v>
    <v>XKRX</v>
    <v>XKRX</v>
    <v>25, Maso-ro 57beon-gil, Sindun-myeon, ICHEON, GYEONGGI-DO, 17304 KR</v>
    <v>15820</v>
    <v>Semiconductors &amp; Semiconductor Equipment</v>
    <v>Stock</v>
    <v>46160.028958333336</v>
    <v>14</v>
    <v>14880</v>
    <v>176995300000</v>
    <v>BCnC Co., Ltd.</v>
    <v>BCnC Co., Ltd.</v>
    <v>15820</v>
    <v>167.36680000000001</v>
    <v>16080</v>
    <v>15140</v>
    <v>12797920</v>
    <v>146320</v>
    <v>BCnC Co., Ltd. (XKRX:146320)</v>
    <v>22644</v>
    <v>107320</v>
    <v>2003</v>
  </rv>
  <rv s="1">
    <v>15</v>
  </rv>
</rvData>
</file>

<file path=xl/richData/rdrichvaluestructure.xml><?xml version="1.0" encoding="utf-8"?>
<rvStructures xmlns="http://schemas.microsoft.com/office/spreadsheetml/2017/richdata" count="5">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xchange" t="s"/>
    <k n="Exchange abbreviation" t="s"/>
    <k n="ExchangeID" t="s"/>
    <k n="Headquarters" t="s"/>
    <k n="High"/>
    <k n="Industry" t="s"/>
    <k n="Instrument type" t="s"/>
    <k n="Last trade time"/>
    <k n="Low"/>
    <k n="Market cap"/>
    <k n="Name" t="s"/>
    <k n="Official name" t="s"/>
    <k n="Open"/>
    <k n="Previous close"/>
    <k n="Price"/>
    <k n="Shares outstanding"/>
    <k n="Ticker symbol" t="s"/>
    <k n="UniqueName" t="s"/>
    <k n="Volume"/>
    <k n="Volume average"/>
    <k n="Year incorporated"/>
  </s>
  <s t="_linkedentity">
    <k n="%cvi" t="r"/>
  </s>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rvStructures>
</file>

<file path=xl/richData/rdsupportingpropertybag.xml><?xml version="1.0" encoding="utf-8"?>
<supportingPropertyBags xmlns="http://schemas.microsoft.com/office/spreadsheetml/2017/richdata2">
  <spbArrays count="3">
    <a count="38">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Shares outstanding</v>
      <v t="s">Description</v>
      <v t="s">Headquarters</v>
      <v t="s">Industry</v>
      <v t="s">Instrument type</v>
      <v t="s">Year incorporated</v>
      <v t="s">_Flags</v>
      <v t="s">UniqueName</v>
      <v t="s">_DisplayString</v>
      <v t="s">ExchangeID</v>
      <v t="s">%ProviderInfo</v>
    </a>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Headquarters</v>
      <v t="s">Industry</v>
      <v t="s">Instrument type</v>
      <v t="s">Year incorporated</v>
      <v t="s">_Flags</v>
      <v t="s">UniqueName</v>
      <v t="s">_DisplayString</v>
      <v t="s">LearnMoreOnLink</v>
      <v t="s">ExchangeID</v>
      <v t="s">%ProviderInfo</v>
    </a>
  </spbArrays>
  <spbData count="10">
    <spb s="0">
      <v>0</v>
      <v>Name</v>
    </spb>
    <spb s="1">
      <v>0</v>
      <v>0</v>
      <v>0</v>
    </spb>
    <spb s="2">
      <v>1</v>
      <v>1</v>
      <v>1</v>
    </spb>
    <spb s="3">
      <v>1</v>
      <v>1</v>
      <v>2</v>
      <v>1</v>
      <v>1</v>
      <v>1</v>
      <v>3</v>
      <v>4</v>
      <v>5</v>
      <v>1</v>
      <v>1</v>
      <v>1</v>
      <v>3</v>
      <v>6</v>
      <v>7</v>
      <v>8</v>
      <v>3</v>
    </spb>
    <spb s="4">
      <v>Delayed 20 minutes</v>
      <v>from previous close</v>
      <v>from previous close</v>
      <v>KSE</v>
      <v>GMT</v>
    </spb>
    <spb s="5">
      <v>1</v>
      <v>Name</v>
      <v>LearnMoreOnLink</v>
    </spb>
    <spb s="6">
      <v>1</v>
      <v>1</v>
      <v>1</v>
      <v>1</v>
    </spb>
    <spb s="7">
      <v>1</v>
      <v>9</v>
      <v>9</v>
      <v>1</v>
      <v>2</v>
      <v>1</v>
      <v>1</v>
      <v>1</v>
      <v>3</v>
      <v>3</v>
      <v>4</v>
      <v>5</v>
      <v>1</v>
      <v>1</v>
      <v>1</v>
      <v>3</v>
      <v>6</v>
      <v>7</v>
      <v>8</v>
      <v>3</v>
    </spb>
    <spb s="5">
      <v>2</v>
      <v>Name</v>
      <v>LearnMoreOnLink</v>
    </spb>
    <spb s="8">
      <v>1</v>
      <v>9</v>
      <v>9</v>
      <v>1</v>
      <v>2</v>
      <v>1</v>
      <v>1</v>
      <v>1</v>
      <v>3</v>
      <v>4</v>
      <v>5</v>
      <v>1</v>
      <v>1</v>
      <v>1</v>
      <v>3</v>
      <v>6</v>
      <v>7</v>
      <v>8</v>
      <v>3</v>
    </spb>
  </spbData>
</supportingPropertyBags>
</file>

<file path=xl/richData/rdsupportingpropertybagstructure.xml><?xml version="1.0" encoding="utf-8"?>
<spbStructures xmlns="http://schemas.microsoft.com/office/spreadsheetml/2017/richdata2" count="9">
  <s>
    <k n="^Order" t="spba"/>
    <k n="TitleProperty" t="s"/>
  </s>
  <s>
    <k n="ShowInCardView" t="b"/>
    <k n="ShowInDotNotation" t="b"/>
    <k n="ShowInAutoComplete" t="b"/>
  </s>
  <s>
    <k n="ExchangeID" t="spb"/>
    <k n="UniqueName" t="spb"/>
    <k n="`%ProviderInfo" t="spb"/>
  </s>
  <s>
    <k n="Low" t="i"/>
    <k n="High" t="i"/>
    <k n="Name" t="i"/>
    <k n="Open" t="i"/>
    <k n="Price" t="i"/>
    <k n="Change" t="i"/>
    <k n="Volume" t="i"/>
    <k n="Change (%)" t="i"/>
    <k n="Market cap" t="i"/>
    <k n="52 week low" t="i"/>
    <k n="52 week high" t="i"/>
    <k n="Previous close" t="i"/>
    <k n="Volume average" t="i"/>
    <k n="Last trade time" t="i"/>
    <k n="Year incorporated" t="i"/>
    <k n="`%EntityServiceId" t="i"/>
    <k n="Shares outstanding" t="i"/>
  </s>
  <s>
    <k n="Price" t="s"/>
    <k n="Change" t="s"/>
    <k n="Change (%)" t="s"/>
    <k n="ExchangeID" t="s"/>
    <k n="Last trade time" t="s"/>
  </s>
  <s>
    <k n="^Order" t="spba"/>
    <k n="TitleProperty" t="s"/>
    <k n="SubTitleProperty" t="s"/>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Low" t="i"/>
    <k n="P/E" t="i"/>
    <k n="Beta" t="i"/>
    <k n="High" t="i"/>
    <k n="Name" t="i"/>
    <k n="Open" t="i"/>
    <k n="Price" t="i"/>
    <k n="Change" t="i"/>
    <k n="Volume" t="i"/>
    <k n="Change (%)" t="i"/>
    <k n="Market cap" t="i"/>
    <k n="52 week low" t="i"/>
    <k n="52 week high" t="i"/>
    <k n="Previous close" t="i"/>
    <k n="Volume average" t="i"/>
    <k n="Last trade time" t="i"/>
    <k n="Year incorporated" t="i"/>
    <k n="`%EntityServiceId" t="i"/>
    <k n="Shares outstanding"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5">
    <x:dxf>
      <x:numFmt numFmtId="0" formatCode="General"/>
    </x:dxf>
    <x:dxf>
      <x:numFmt numFmtId="27" formatCode="yyyy/mm/dd\ h:mm"/>
    </x:dxf>
    <x:dxf>
      <x:numFmt numFmtId="14" formatCode="0.00%"/>
    </x:dxf>
    <x:dxf>
      <x:numFmt numFmtId="6" formatCode="#,##0;[Red]\-#,##0"/>
    </x:dxf>
    <x:dxf>
      <x:numFmt numFmtId="8" formatCode="#,##0.00;[Red]\-#,##0.00"/>
    </x:dxf>
  </dxfs>
  <richProperties>
    <rPr n="NumberFormat" t="s"/>
    <rPr n="IsTitleField" t="b"/>
  </richProperties>
  <richStyles>
    <rSty dxfid="0">
      <rpv i="0">_-[$₩-ko-KR]* #,##0.00_-;-[$₩-ko-KR]* #,##0.00_-;_-[$₩-ko-KR]* "-"??_-;_-@_-</rpv>
    </rSty>
    <rSty>
      <rpv i="1">1</rpv>
    </rSty>
    <rSty dxfid="3">
      <rpv i="0">#,##0_);[Red](#,##0)</rpv>
    </rSty>
    <rSty dxfid="2"/>
    <rSty dxfid="0">
      <rpv i="0">_-[$₩-ko-KR]* #,##0_-;-[$₩-ko-KR]* #,##0_-;_-[$₩-ko-KR]* "-"_-;_-@_-</rpv>
    </rSty>
    <rSty dxfid="1"/>
    <rSty dxfid="0">
      <rpv i="0">0_);[Red](0)</rpv>
    </rSty>
    <rSty dxfid="0">
      <rpv i="0">0.00_);[Red](0.00)</rpv>
    </rSty>
    <rSty dxfid="4">
      <rpv i="0">#,##0.00_);[Red](#,##0.00)</rpv>
    </rSty>
  </richStyles>
</richStyleSheet>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H123" dT="2025-12-07T16:35:40.27" personId="{A45F4ACD-3101-41BD-BB9C-D643CDBA8551}" id="{A6745EEC-9873-4B63-A60E-1B7EAC370829}">
    <text>2공장 토지 취득</text>
  </threadedComment>
  <threadedComment ref="I123" dT="2025-12-07T16:36:35.73" personId="{A45F4ACD-3101-41BD-BB9C-D643CDBA8551}" id="{828EC9C1-3BF9-4AFB-A8F4-406757983F60}">
    <text>2공장 A동 준공
언론 내용 참고</text>
  </threadedComment>
</ThreadedComments>
</file>

<file path=xl/threadedComments/threadedComment2.xml><?xml version="1.0" encoding="utf-8"?>
<ThreadedComments xmlns="http://schemas.microsoft.com/office/spreadsheetml/2018/threadedcomments" xmlns:x="http://schemas.openxmlformats.org/spreadsheetml/2006/main">
  <threadedComment ref="J115" dT="2025-12-15T17:00:53.41" personId="{A45F4ACD-3101-41BD-BB9C-D643CDBA8551}" id="{5EFF2C5B-F20C-43B1-AEDE-F093FB7177BA}">
    <text>A동 가동</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3.xml"/><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4.xml"/><Relationship Id="rId4" Type="http://schemas.microsoft.com/office/2017/10/relationships/threadedComment" Target="../threadedComments/threadedComment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hyperlink" Target="https://news.nate.com/view/20251120n23569" TargetMode="External"/><Relationship Id="rId1" Type="http://schemas.openxmlformats.org/officeDocument/2006/relationships/hyperlink" Target="https://n.news.naver.com/mnews/article/030/0003368294"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148EB-E495-42EE-BDE1-E6CFB0215CE0}">
  <dimension ref="A1:W52"/>
  <sheetViews>
    <sheetView topLeftCell="A19" zoomScaleNormal="100" workbookViewId="0">
      <selection activeCell="O13" sqref="O13"/>
    </sheetView>
  </sheetViews>
  <sheetFormatPr defaultRowHeight="13" customHeight="1"/>
  <cols>
    <col min="1" max="1" width="2.58203125" style="267" customWidth="1"/>
    <col min="2" max="7" width="8.6640625" style="267"/>
    <col min="8" max="8" width="8.6640625" style="274"/>
    <col min="9" max="9" width="9.08203125" style="274" bestFit="1" customWidth="1"/>
    <col min="10" max="15" width="8.6640625" style="274"/>
    <col min="16" max="16" width="8.6640625" style="267" customWidth="1"/>
    <col min="17" max="16384" width="8.6640625" style="267"/>
  </cols>
  <sheetData>
    <row r="1" spans="1:23" ht="13" customHeight="1">
      <c r="A1" s="76"/>
      <c r="B1" s="76"/>
      <c r="C1" s="76"/>
      <c r="D1" s="76"/>
      <c r="E1" s="76"/>
      <c r="F1" s="76"/>
      <c r="G1" s="76"/>
      <c r="H1" s="76"/>
      <c r="I1" s="76"/>
      <c r="J1" s="76"/>
      <c r="K1" s="76"/>
      <c r="L1" s="76"/>
      <c r="M1" s="76"/>
      <c r="N1" s="76"/>
      <c r="O1" s="76"/>
      <c r="P1" s="76"/>
      <c r="Q1" s="76"/>
      <c r="R1" s="76"/>
      <c r="S1" s="76"/>
      <c r="T1" s="76"/>
      <c r="U1" s="76"/>
      <c r="V1" s="76"/>
      <c r="W1" s="76"/>
    </row>
    <row r="2" spans="1:23" ht="13" customHeight="1">
      <c r="A2" s="76"/>
      <c r="B2" s="77"/>
      <c r="C2" s="77"/>
      <c r="D2" s="77"/>
      <c r="E2" s="77"/>
      <c r="F2" s="77"/>
      <c r="G2" s="77"/>
      <c r="H2" s="77"/>
      <c r="I2" s="77"/>
      <c r="J2" s="77"/>
      <c r="K2" s="77"/>
      <c r="L2" s="77"/>
      <c r="M2" s="77"/>
      <c r="N2" s="77"/>
      <c r="O2" s="77"/>
      <c r="P2" s="77"/>
      <c r="Q2" s="77"/>
      <c r="R2" s="77"/>
      <c r="S2" s="77"/>
      <c r="T2" s="77"/>
      <c r="U2" s="76"/>
      <c r="V2" s="76"/>
      <c r="W2" s="76"/>
    </row>
    <row r="3" spans="1:23" ht="13" customHeight="1">
      <c r="A3" s="76"/>
      <c r="B3" s="77"/>
      <c r="C3" s="77"/>
      <c r="D3" s="387" t="s">
        <v>222</v>
      </c>
      <c r="E3" s="387"/>
      <c r="F3" s="387"/>
      <c r="G3" s="77"/>
      <c r="H3" s="77"/>
      <c r="I3" s="77"/>
      <c r="J3" s="77"/>
      <c r="K3" s="77"/>
      <c r="L3" s="77"/>
      <c r="M3" s="77"/>
      <c r="N3" s="77"/>
      <c r="O3" s="77"/>
      <c r="P3" s="77"/>
      <c r="Q3" s="77"/>
      <c r="R3" s="77"/>
      <c r="S3" s="77"/>
      <c r="T3" s="77"/>
      <c r="U3" s="76"/>
      <c r="V3" s="76"/>
      <c r="W3" s="76"/>
    </row>
    <row r="4" spans="1:23" ht="13" customHeight="1">
      <c r="A4" s="76"/>
      <c r="B4" s="77"/>
      <c r="C4" s="77"/>
      <c r="D4" s="387"/>
      <c r="E4" s="387"/>
      <c r="F4" s="387"/>
      <c r="G4" s="77"/>
      <c r="H4" s="79"/>
      <c r="I4" s="79"/>
      <c r="J4" s="79"/>
      <c r="K4" s="79"/>
      <c r="L4" s="79"/>
      <c r="M4" s="79"/>
      <c r="N4" s="79"/>
      <c r="O4" s="79"/>
      <c r="P4" s="79"/>
      <c r="Q4" s="79"/>
      <c r="R4" s="79"/>
      <c r="S4" s="79"/>
      <c r="T4" s="79"/>
      <c r="U4" s="76"/>
      <c r="V4" s="76"/>
      <c r="W4" s="76"/>
    </row>
    <row r="5" spans="1:23" ht="13" customHeight="1">
      <c r="A5" s="76"/>
      <c r="B5" s="77"/>
      <c r="C5" s="77"/>
      <c r="D5" s="387"/>
      <c r="E5" s="387"/>
      <c r="F5" s="387"/>
      <c r="G5" s="77"/>
      <c r="H5" s="79"/>
      <c r="I5" s="79" t="s">
        <v>224</v>
      </c>
      <c r="J5" s="79"/>
      <c r="K5" s="328" t="s">
        <v>909</v>
      </c>
      <c r="L5" s="79"/>
      <c r="M5" s="79"/>
      <c r="N5" s="131" t="s">
        <v>227</v>
      </c>
      <c r="O5" s="128"/>
      <c r="P5" s="81" t="s">
        <v>230</v>
      </c>
      <c r="Q5" s="82"/>
      <c r="R5" s="79"/>
      <c r="S5" s="79"/>
      <c r="T5" s="79"/>
      <c r="U5" s="76"/>
      <c r="V5" s="76"/>
      <c r="W5" s="76"/>
    </row>
    <row r="6" spans="1:23" ht="13" customHeight="1">
      <c r="A6" s="76"/>
      <c r="B6" s="77"/>
      <c r="C6" s="77"/>
      <c r="D6" s="78" t="s">
        <v>899</v>
      </c>
      <c r="E6" s="78"/>
      <c r="F6" s="78"/>
      <c r="G6" s="77"/>
      <c r="H6" s="79"/>
      <c r="I6" s="79" t="s">
        <v>225</v>
      </c>
      <c r="J6" s="79"/>
      <c r="K6" s="328" t="s">
        <v>910</v>
      </c>
      <c r="L6" s="79"/>
      <c r="M6" s="79"/>
      <c r="N6" s="132" t="s">
        <v>228</v>
      </c>
      <c r="O6" s="129"/>
      <c r="P6" s="80" t="s">
        <v>231</v>
      </c>
      <c r="Q6" s="83"/>
      <c r="R6" s="79"/>
      <c r="S6" s="79"/>
      <c r="T6" s="79"/>
      <c r="U6" s="76"/>
      <c r="V6" s="76"/>
      <c r="W6" s="76"/>
    </row>
    <row r="7" spans="1:23" ht="13" customHeight="1">
      <c r="A7" s="76"/>
      <c r="B7" s="77"/>
      <c r="C7" s="77"/>
      <c r="D7" s="78" t="s">
        <v>911</v>
      </c>
      <c r="E7" s="77"/>
      <c r="F7" s="77"/>
      <c r="G7" s="77"/>
      <c r="H7" s="79"/>
      <c r="I7" s="79" t="s">
        <v>226</v>
      </c>
      <c r="J7" s="79"/>
      <c r="K7" s="328">
        <f>+F43</f>
        <v>102000</v>
      </c>
      <c r="L7" s="79"/>
      <c r="M7" s="79"/>
      <c r="N7" s="133" t="s">
        <v>229</v>
      </c>
      <c r="O7" s="130"/>
      <c r="P7" s="84" t="s">
        <v>221</v>
      </c>
      <c r="Q7" s="85"/>
      <c r="R7" s="79"/>
      <c r="S7" s="79"/>
      <c r="T7" s="79"/>
      <c r="U7" s="76"/>
      <c r="V7" s="76"/>
      <c r="W7" s="76"/>
    </row>
    <row r="8" spans="1:23" ht="13" customHeight="1">
      <c r="A8" s="76"/>
      <c r="B8" s="86"/>
      <c r="C8" s="86"/>
      <c r="D8" s="86"/>
      <c r="E8" s="86"/>
      <c r="F8" s="86"/>
      <c r="G8" s="86"/>
      <c r="H8" s="87"/>
      <c r="I8" s="87"/>
      <c r="J8" s="87"/>
      <c r="K8" s="87"/>
      <c r="L8" s="87"/>
      <c r="M8" s="87"/>
      <c r="N8" s="87"/>
      <c r="O8" s="87"/>
      <c r="P8" s="87"/>
      <c r="Q8" s="87"/>
      <c r="R8" s="87"/>
      <c r="S8" s="87"/>
      <c r="T8" s="87"/>
      <c r="U8" s="76"/>
      <c r="V8" s="76"/>
      <c r="W8" s="76"/>
    </row>
    <row r="9" spans="1:23" ht="13" customHeight="1">
      <c r="A9" s="76"/>
      <c r="B9" s="76"/>
      <c r="C9" s="76"/>
      <c r="D9" s="76"/>
      <c r="E9" s="76"/>
      <c r="F9" s="76"/>
      <c r="G9" s="76"/>
      <c r="H9" s="76"/>
      <c r="I9" s="76"/>
      <c r="J9" s="76"/>
      <c r="K9" s="76"/>
      <c r="L9" s="76"/>
      <c r="M9" s="76"/>
      <c r="N9" s="76"/>
      <c r="O9" s="76"/>
      <c r="P9" s="76"/>
      <c r="Q9" s="76"/>
      <c r="R9" s="76"/>
      <c r="S9" s="76"/>
      <c r="T9" s="76"/>
      <c r="U9" s="76"/>
      <c r="V9" s="76"/>
      <c r="W9" s="76"/>
    </row>
    <row r="10" spans="1:23" ht="13" customHeight="1">
      <c r="A10" s="76"/>
      <c r="B10" s="326" t="s">
        <v>879</v>
      </c>
      <c r="C10" s="326"/>
      <c r="D10" s="326"/>
      <c r="E10" s="326"/>
      <c r="F10" s="326"/>
      <c r="G10" s="326"/>
      <c r="H10" s="326"/>
      <c r="I10" s="326"/>
      <c r="J10" s="326"/>
      <c r="K10" s="327">
        <f>1/(1+$F$34)^K11</f>
        <v>0.99260950519439817</v>
      </c>
      <c r="L10" s="327">
        <f t="shared" ref="L10:T10" si="0">1/(1+$F$34)^L11</f>
        <v>0.92164299460946897</v>
      </c>
      <c r="M10" s="327">
        <f t="shared" si="0"/>
        <v>0.85575022712114124</v>
      </c>
      <c r="N10" s="327">
        <f t="shared" si="0"/>
        <v>0.79456845600848769</v>
      </c>
      <c r="O10" s="327">
        <f t="shared" si="0"/>
        <v>0.7377608690886609</v>
      </c>
      <c r="P10" s="327">
        <f t="shared" si="0"/>
        <v>0.68501473452986161</v>
      </c>
      <c r="Q10" s="327">
        <f t="shared" si="0"/>
        <v>0.63603967922921223</v>
      </c>
      <c r="R10" s="327">
        <f t="shared" si="0"/>
        <v>0.59056609027782014</v>
      </c>
      <c r="S10" s="327">
        <f t="shared" si="0"/>
        <v>0.54834363071292502</v>
      </c>
      <c r="T10" s="327">
        <f t="shared" si="0"/>
        <v>0.5091398613861885</v>
      </c>
      <c r="U10" s="76"/>
      <c r="V10" s="76"/>
      <c r="W10" s="76"/>
    </row>
    <row r="11" spans="1:23" ht="13" customHeight="1">
      <c r="A11" s="76"/>
      <c r="B11" s="326"/>
      <c r="C11" s="326"/>
      <c r="D11" s="326"/>
      <c r="E11" s="326"/>
      <c r="F11" s="326"/>
      <c r="G11" s="326"/>
      <c r="H11" s="326"/>
      <c r="I11" s="326"/>
      <c r="J11" s="326"/>
      <c r="K11" s="327">
        <v>0.1</v>
      </c>
      <c r="L11" s="327">
        <f t="shared" ref="L11:T11" si="1">+K11+1</f>
        <v>1.1000000000000001</v>
      </c>
      <c r="M11" s="327">
        <f t="shared" si="1"/>
        <v>2.1</v>
      </c>
      <c r="N11" s="327">
        <f t="shared" si="1"/>
        <v>3.1</v>
      </c>
      <c r="O11" s="327">
        <f t="shared" si="1"/>
        <v>4.0999999999999996</v>
      </c>
      <c r="P11" s="327">
        <f t="shared" si="1"/>
        <v>5.0999999999999996</v>
      </c>
      <c r="Q11" s="327">
        <f t="shared" si="1"/>
        <v>6.1</v>
      </c>
      <c r="R11" s="327">
        <f t="shared" si="1"/>
        <v>7.1</v>
      </c>
      <c r="S11" s="327">
        <f t="shared" si="1"/>
        <v>8.1</v>
      </c>
      <c r="T11" s="327">
        <f t="shared" si="1"/>
        <v>9.1</v>
      </c>
      <c r="U11" s="76"/>
      <c r="V11" s="76"/>
      <c r="W11" s="76"/>
    </row>
    <row r="12" spans="1:23" ht="13" customHeight="1">
      <c r="A12" s="76"/>
      <c r="B12" s="78"/>
      <c r="C12" s="78"/>
      <c r="D12" s="78"/>
      <c r="E12" s="78"/>
      <c r="F12" s="78"/>
      <c r="G12" s="78"/>
      <c r="H12" s="165" t="s">
        <v>218</v>
      </c>
      <c r="I12" s="88"/>
      <c r="J12" s="94"/>
      <c r="K12" s="90" t="s">
        <v>219</v>
      </c>
      <c r="L12" s="91"/>
      <c r="M12" s="91"/>
      <c r="N12" s="91"/>
      <c r="O12" s="91"/>
      <c r="P12" s="91"/>
      <c r="Q12" s="285"/>
      <c r="R12" s="286"/>
      <c r="S12" s="139"/>
      <c r="T12" s="139"/>
      <c r="U12" s="283"/>
      <c r="V12" s="283"/>
      <c r="W12" s="283"/>
    </row>
    <row r="13" spans="1:23" ht="13" customHeight="1">
      <c r="A13" s="76"/>
      <c r="B13" s="78" t="s">
        <v>725</v>
      </c>
      <c r="C13" s="78"/>
      <c r="D13" s="78"/>
      <c r="E13" s="78"/>
      <c r="F13" s="78"/>
      <c r="G13" s="78"/>
      <c r="H13" s="166">
        <v>44926</v>
      </c>
      <c r="I13" s="89">
        <f>+DATE(YEAR(H13)+1,MONTH(H13),DAY(H13))</f>
        <v>45291</v>
      </c>
      <c r="J13" s="95">
        <f t="shared" ref="J13:O13" si="2">+DATE(YEAR(I13)+1,MONTH(I13),DAY(I13))</f>
        <v>45657</v>
      </c>
      <c r="K13" s="92">
        <f t="shared" si="2"/>
        <v>46022</v>
      </c>
      <c r="L13" s="93">
        <f t="shared" si="2"/>
        <v>46387</v>
      </c>
      <c r="M13" s="93">
        <f t="shared" si="2"/>
        <v>46752</v>
      </c>
      <c r="N13" s="93">
        <f t="shared" si="2"/>
        <v>47118</v>
      </c>
      <c r="O13" s="93">
        <f t="shared" si="2"/>
        <v>47483</v>
      </c>
      <c r="P13" s="93">
        <f>+DATE(YEAR(O13)+1,MONTH(O13),DAY(O13))</f>
        <v>47848</v>
      </c>
      <c r="Q13" s="93">
        <f>+DATE(YEAR(P13)+1,MONTH(P13),DAY(P13))</f>
        <v>48213</v>
      </c>
      <c r="R13" s="93">
        <f>+DATE(YEAR(Q13)+1,MONTH(Q13),DAY(Q13))</f>
        <v>48579</v>
      </c>
      <c r="S13" s="93">
        <f>+DATE(YEAR(R13)+1,MONTH(R13),DAY(R13))</f>
        <v>48944</v>
      </c>
      <c r="T13" s="93">
        <f>+DATE(YEAR(S13)+1,MONTH(S13),DAY(S13))</f>
        <v>49309</v>
      </c>
      <c r="U13" s="284"/>
      <c r="V13" s="283"/>
      <c r="W13" s="283"/>
    </row>
    <row r="14" spans="1:23" s="268" customFormat="1" ht="13" customHeight="1">
      <c r="B14" s="268" t="s">
        <v>357</v>
      </c>
      <c r="H14" s="273">
        <f>+Model!H15</f>
        <v>18.635704282999999</v>
      </c>
      <c r="I14" s="273">
        <f>+Model!I15</f>
        <v>70.196780896000007</v>
      </c>
      <c r="J14" s="273">
        <f>+Model!J15</f>
        <v>108.665913336</v>
      </c>
      <c r="K14" s="273">
        <f>+Model!K15</f>
        <v>157.85651920000001</v>
      </c>
      <c r="L14" s="273">
        <f>+Model!L15</f>
        <v>197.47131419900001</v>
      </c>
      <c r="M14" s="273">
        <f>+Model!M15</f>
        <v>243.07045855378004</v>
      </c>
      <c r="N14" s="273">
        <f>+Model!N15</f>
        <v>295.8876600536542</v>
      </c>
      <c r="O14" s="273">
        <f>+Model!O15</f>
        <v>354.90822451659716</v>
      </c>
      <c r="P14" s="289">
        <f>+O14*(1+P15)</f>
        <v>413.90269711393381</v>
      </c>
      <c r="Q14" s="289">
        <f>+P14*(1+Q15)</f>
        <v>468.94334060673583</v>
      </c>
      <c r="R14" s="289">
        <f>+Q14*(1+R15)</f>
        <v>515.71328812453498</v>
      </c>
      <c r="S14" s="289">
        <f>+R14*(1+S15)</f>
        <v>550.00297919696322</v>
      </c>
      <c r="T14" s="289">
        <f>+S14*(1+T15)</f>
        <v>568.28778267193672</v>
      </c>
    </row>
    <row r="15" spans="1:23" s="269" customFormat="1" ht="13" customHeight="1">
      <c r="B15" s="276" t="s">
        <v>880</v>
      </c>
      <c r="C15" s="277"/>
      <c r="D15" s="277"/>
      <c r="E15" s="277"/>
      <c r="F15" s="277"/>
      <c r="G15" s="277"/>
      <c r="H15" s="278"/>
      <c r="I15" s="279">
        <f>+I14/H14-1</f>
        <v>2.7667898046673471</v>
      </c>
      <c r="J15" s="279">
        <f t="shared" ref="J15:O15" si="3">+J14/I14-1</f>
        <v>0.54801846963600664</v>
      </c>
      <c r="K15" s="279">
        <f t="shared" si="3"/>
        <v>0.45267742527410948</v>
      </c>
      <c r="L15" s="279">
        <f t="shared" si="3"/>
        <v>0.2509544439454483</v>
      </c>
      <c r="M15" s="279">
        <f t="shared" si="3"/>
        <v>0.23091528275761553</v>
      </c>
      <c r="N15" s="279">
        <f t="shared" si="3"/>
        <v>0.21729173431492166</v>
      </c>
      <c r="O15" s="279">
        <f t="shared" si="3"/>
        <v>0.19946950289255239</v>
      </c>
      <c r="P15" s="292">
        <f>+($F$33-$O$15)/6+O15</f>
        <v>0.16622458574379365</v>
      </c>
      <c r="Q15" s="292">
        <f>+($F$33-$O$15)/6+P15</f>
        <v>0.13297966859503491</v>
      </c>
      <c r="R15" s="292">
        <f>+($F$33-$O$15)/6+Q15</f>
        <v>9.9734751446276165E-2</v>
      </c>
      <c r="S15" s="292">
        <f>+($F$33-$O$15)/6+R15</f>
        <v>6.6489834297517425E-2</v>
      </c>
      <c r="T15" s="292">
        <f>+($F$33-$O$15)/6+S15</f>
        <v>3.3244917148758692E-2</v>
      </c>
    </row>
    <row r="16" spans="1:23" s="268" customFormat="1" ht="13" customHeight="1">
      <c r="B16" s="268" t="s">
        <v>881</v>
      </c>
      <c r="H16" s="273">
        <f>+Model!H21</f>
        <v>2.5479728800000001</v>
      </c>
      <c r="I16" s="273">
        <f>+Model!I21</f>
        <v>2.8750609439999999</v>
      </c>
      <c r="J16" s="273">
        <f>+Model!J21</f>
        <v>23.639028764999999</v>
      </c>
      <c r="K16" s="273">
        <f>+Model!K21</f>
        <v>52.345099197985796</v>
      </c>
      <c r="L16" s="273">
        <f>+Model!L21</f>
        <v>65.707928810365388</v>
      </c>
      <c r="M16" s="273">
        <f>+Model!M21</f>
        <v>78.239263357629724</v>
      </c>
      <c r="N16" s="273">
        <f>+Model!N21</f>
        <v>100.86710997292892</v>
      </c>
      <c r="O16" s="273">
        <f>+Model!O21</f>
        <v>126.41854524193171</v>
      </c>
      <c r="P16" s="289">
        <f>+P14*P17</f>
        <v>147.43241555510485</v>
      </c>
      <c r="Q16" s="289">
        <f>+Q14*Q17</f>
        <v>167.03792931578815</v>
      </c>
      <c r="R16" s="289">
        <f>+R14*R17</f>
        <v>183.69741567819889</v>
      </c>
      <c r="S16" s="289">
        <f>+S14*S17</f>
        <v>195.91142640752454</v>
      </c>
      <c r="T16" s="289">
        <f>+T14*T17</f>
        <v>202.42448554693783</v>
      </c>
    </row>
    <row r="17" spans="2:20" ht="13" customHeight="1">
      <c r="B17" s="276" t="s">
        <v>882</v>
      </c>
      <c r="C17" s="280"/>
      <c r="D17" s="280"/>
      <c r="E17" s="280"/>
      <c r="F17" s="280"/>
      <c r="G17" s="280"/>
      <c r="H17" s="279">
        <f>+H16/H14</f>
        <v>0.13672533333362297</v>
      </c>
      <c r="I17" s="279">
        <f t="shared" ref="I17:O17" si="4">+I16/I14</f>
        <v>4.0957162241663826E-2</v>
      </c>
      <c r="J17" s="279">
        <f t="shared" si="4"/>
        <v>0.21753858260876191</v>
      </c>
      <c r="K17" s="279">
        <f t="shared" si="4"/>
        <v>0.33159922354341254</v>
      </c>
      <c r="L17" s="279">
        <f t="shared" si="4"/>
        <v>0.33274670337256573</v>
      </c>
      <c r="M17" s="279">
        <f t="shared" si="4"/>
        <v>0.32187894745884582</v>
      </c>
      <c r="N17" s="279">
        <f t="shared" si="4"/>
        <v>0.34089664284964899</v>
      </c>
      <c r="O17" s="279">
        <f t="shared" si="4"/>
        <v>0.35620066402834177</v>
      </c>
      <c r="P17" s="281">
        <f>+$F$31</f>
        <v>0.35620066402834177</v>
      </c>
      <c r="Q17" s="281">
        <f>+$F$31</f>
        <v>0.35620066402834177</v>
      </c>
      <c r="R17" s="281">
        <f>+$F$31</f>
        <v>0.35620066402834177</v>
      </c>
      <c r="S17" s="281">
        <f>+$F$31</f>
        <v>0.35620066402834177</v>
      </c>
      <c r="T17" s="281">
        <f>+$F$31</f>
        <v>0.35620066402834177</v>
      </c>
    </row>
    <row r="18" spans="2:20" ht="13" customHeight="1">
      <c r="B18" s="267" t="s">
        <v>883</v>
      </c>
      <c r="H18" s="275">
        <f>+Model!H27</f>
        <v>0.123092731</v>
      </c>
      <c r="I18" s="275">
        <f>+Model!I27</f>
        <v>-2.7084131359999999</v>
      </c>
      <c r="J18" s="275">
        <f>+Model!J27</f>
        <v>1.682079973</v>
      </c>
      <c r="K18" s="275">
        <f>+Model!K27</f>
        <v>-5.6497970468861203</v>
      </c>
      <c r="L18" s="275">
        <f>+Model!L27</f>
        <v>14.940392694096019</v>
      </c>
      <c r="M18" s="275">
        <f>+Model!M27</f>
        <v>17.936142972927328</v>
      </c>
      <c r="N18" s="275">
        <f>+Model!N27</f>
        <v>23.397551146758673</v>
      </c>
      <c r="O18" s="275">
        <f>+Model!O27</f>
        <v>29.551179323856644</v>
      </c>
      <c r="P18" s="291">
        <f>+P16*P19</f>
        <v>34.463311865205277</v>
      </c>
      <c r="Q18" s="291">
        <f>+Q16*Q19</f>
        <v>39.046231655727603</v>
      </c>
      <c r="R18" s="291">
        <f>+R16*R19</f>
        <v>42.940497864825311</v>
      </c>
      <c r="S18" s="291">
        <f>+S16*S19</f>
        <v>45.795604452510453</v>
      </c>
      <c r="T18" s="291">
        <f>+T16*T19</f>
        <v>47.318075528311482</v>
      </c>
    </row>
    <row r="19" spans="2:20" ht="13" customHeight="1">
      <c r="B19" s="276" t="s">
        <v>884</v>
      </c>
      <c r="C19" s="280"/>
      <c r="D19" s="280"/>
      <c r="E19" s="280"/>
      <c r="F19" s="280"/>
      <c r="G19" s="280"/>
      <c r="H19" s="281">
        <f>+H18/H16</f>
        <v>4.8310063253106522E-2</v>
      </c>
      <c r="I19" s="281">
        <f t="shared" ref="I19:O19" si="5">+I18/I16</f>
        <v>-0.94203677374290817</v>
      </c>
      <c r="J19" s="281">
        <f t="shared" si="5"/>
        <v>7.1156898607039706E-2</v>
      </c>
      <c r="K19" s="281">
        <f t="shared" si="5"/>
        <v>-0.10793363912668869</v>
      </c>
      <c r="L19" s="281">
        <f t="shared" si="5"/>
        <v>0.22737579717684209</v>
      </c>
      <c r="M19" s="281">
        <f t="shared" si="5"/>
        <v>0.2292473395479411</v>
      </c>
      <c r="N19" s="281">
        <f t="shared" si="5"/>
        <v>0.23196412738541031</v>
      </c>
      <c r="O19" s="281">
        <f t="shared" si="5"/>
        <v>0.23375667919056883</v>
      </c>
      <c r="P19" s="281">
        <f>+$F$32</f>
        <v>0.23375667919056883</v>
      </c>
      <c r="Q19" s="281">
        <f>+$F$32</f>
        <v>0.23375667919056883</v>
      </c>
      <c r="R19" s="281">
        <f>+$F$32</f>
        <v>0.23375667919056883</v>
      </c>
      <c r="S19" s="281">
        <f>+$F$32</f>
        <v>0.23375667919056883</v>
      </c>
      <c r="T19" s="281">
        <f>+$F$32</f>
        <v>0.23375667919056883</v>
      </c>
    </row>
    <row r="20" spans="2:20" s="268" customFormat="1" ht="13" customHeight="1">
      <c r="B20" s="268" t="s">
        <v>885</v>
      </c>
      <c r="H20" s="282">
        <f>+H16-H18</f>
        <v>2.4248801490000003</v>
      </c>
      <c r="I20" s="282">
        <f t="shared" ref="I20:T20" si="6">+I16-I18</f>
        <v>5.5834740800000002</v>
      </c>
      <c r="J20" s="282">
        <f t="shared" si="6"/>
        <v>21.956948791999999</v>
      </c>
      <c r="K20" s="282">
        <f t="shared" si="6"/>
        <v>57.994896244871917</v>
      </c>
      <c r="L20" s="282">
        <f t="shared" si="6"/>
        <v>50.767536116269369</v>
      </c>
      <c r="M20" s="282">
        <f t="shared" si="6"/>
        <v>60.303120384702396</v>
      </c>
      <c r="N20" s="282">
        <f t="shared" si="6"/>
        <v>77.469558826170243</v>
      </c>
      <c r="O20" s="282">
        <f t="shared" si="6"/>
        <v>96.867365918075066</v>
      </c>
      <c r="P20" s="282">
        <f t="shared" si="6"/>
        <v>112.96910368989958</v>
      </c>
      <c r="Q20" s="282">
        <f t="shared" si="6"/>
        <v>127.99169766006054</v>
      </c>
      <c r="R20" s="282">
        <f t="shared" si="6"/>
        <v>140.75691781337358</v>
      </c>
      <c r="S20" s="282">
        <f t="shared" si="6"/>
        <v>150.1158219550141</v>
      </c>
      <c r="T20" s="282">
        <f t="shared" si="6"/>
        <v>155.10641001862635</v>
      </c>
    </row>
    <row r="21" spans="2:20" ht="13" customHeight="1">
      <c r="B21" s="267" t="s">
        <v>886</v>
      </c>
      <c r="H21" s="275">
        <f>+Model!H69</f>
        <v>3.2162474400000001</v>
      </c>
      <c r="I21" s="275">
        <f>+Model!I69</f>
        <v>4.7614322720000004</v>
      </c>
      <c r="J21" s="275">
        <f>+Model!J69</f>
        <v>8.7884377029999996</v>
      </c>
      <c r="K21" s="275">
        <f>+Model!K69</f>
        <v>10.022485306251649</v>
      </c>
      <c r="L21" s="275">
        <f>+Model!L69</f>
        <v>10.814432081998996</v>
      </c>
      <c r="M21" s="275">
        <f>+Model!M69</f>
        <v>14.127308244635138</v>
      </c>
      <c r="N21" s="275">
        <f>+Model!N69</f>
        <v>14.868070356860176</v>
      </c>
      <c r="O21" s="275">
        <f>+Model!O69</f>
        <v>15.226389820654463</v>
      </c>
      <c r="P21" s="275">
        <f t="shared" ref="P21:T25" si="7">+O21*(1+P$15)</f>
        <v>17.757390160966267</v>
      </c>
      <c r="Q21" s="275">
        <f t="shared" si="7"/>
        <v>20.118762019684294</v>
      </c>
      <c r="R21" s="275">
        <f t="shared" si="7"/>
        <v>22.125301749124286</v>
      </c>
      <c r="S21" s="275">
        <f t="shared" si="7"/>
        <v>23.596409396206134</v>
      </c>
      <c r="T21" s="275">
        <f t="shared" si="7"/>
        <v>24.3808700715912</v>
      </c>
    </row>
    <row r="22" spans="2:20" ht="13" customHeight="1">
      <c r="B22" s="267" t="s">
        <v>887</v>
      </c>
      <c r="H22" s="275">
        <f>+Model!H70</f>
        <v>0.189093188</v>
      </c>
      <c r="I22" s="275">
        <f>+Model!I70</f>
        <v>0.203914495</v>
      </c>
      <c r="J22" s="275">
        <f>+Model!J70</f>
        <v>0.35739515300000002</v>
      </c>
      <c r="K22" s="275">
        <f>+Model!K70</f>
        <v>0.29903505949999998</v>
      </c>
      <c r="L22" s="275">
        <f>+Model!L70</f>
        <v>0.4665797942503358</v>
      </c>
      <c r="M22" s="275">
        <f>+Model!M70</f>
        <v>0.65304548532759998</v>
      </c>
      <c r="N22" s="275">
        <f>+Model!N70</f>
        <v>0.86288763269482538</v>
      </c>
      <c r="O22" s="275">
        <f>+Model!O70</f>
        <v>1.1013415538773772</v>
      </c>
      <c r="P22" s="275">
        <f t="shared" si="7"/>
        <v>1.2844115974330701</v>
      </c>
      <c r="Q22" s="275">
        <f t="shared" si="7"/>
        <v>1.455212225999339</v>
      </c>
      <c r="R22" s="275">
        <f t="shared" si="7"/>
        <v>1.6003474556609651</v>
      </c>
      <c r="S22" s="275">
        <f t="shared" si="7"/>
        <v>1.7067542928063164</v>
      </c>
      <c r="T22" s="275">
        <f t="shared" si="7"/>
        <v>1.7634951978639508</v>
      </c>
    </row>
    <row r="23" spans="2:20" ht="13" customHeight="1">
      <c r="B23" s="267" t="s">
        <v>888</v>
      </c>
      <c r="H23" s="275">
        <f>-Model!H75</f>
        <v>22.378155716999999</v>
      </c>
      <c r="I23" s="275">
        <f>-Model!I75</f>
        <v>42.934949502000002</v>
      </c>
      <c r="J23" s="275">
        <f>-Model!J75</f>
        <v>24.155168741000001</v>
      </c>
      <c r="K23" s="275">
        <f>-Model!K75</f>
        <v>17.936117473645545</v>
      </c>
      <c r="L23" s="275">
        <f>-Model!L75</f>
        <v>43.918782235441263</v>
      </c>
      <c r="M23" s="275">
        <f>-Model!M75</f>
        <v>21.529470939418161</v>
      </c>
      <c r="N23" s="275">
        <f>-Model!N75</f>
        <v>18.448624658896318</v>
      </c>
      <c r="O23" s="275">
        <f>-Model!O75</f>
        <v>18.893235232888369</v>
      </c>
      <c r="P23" s="275">
        <f t="shared" si="7"/>
        <v>22.033755432835285</v>
      </c>
      <c r="Q23" s="275">
        <f t="shared" si="7"/>
        <v>24.96379692819777</v>
      </c>
      <c r="R23" s="275">
        <f t="shared" si="7"/>
        <v>27.453555009986886</v>
      </c>
      <c r="S23" s="275">
        <f t="shared" si="7"/>
        <v>29.278937333478694</v>
      </c>
      <c r="T23" s="275">
        <f t="shared" si="7"/>
        <v>30.252313179333893</v>
      </c>
    </row>
    <row r="24" spans="2:20" ht="13" customHeight="1">
      <c r="B24" s="267" t="s">
        <v>889</v>
      </c>
      <c r="H24" s="275">
        <f>-Model!H76</f>
        <v>0.121710136</v>
      </c>
      <c r="I24" s="275">
        <f>-Model!I76</f>
        <v>0.44913954499999997</v>
      </c>
      <c r="J24" s="275">
        <f>-Model!J76</f>
        <v>0.63910664500000003</v>
      </c>
      <c r="K24" s="275">
        <f>-Model!K76</f>
        <v>0.96921399850134338</v>
      </c>
      <c r="L24" s="275">
        <f>-Model!L76</f>
        <v>1.2124425585593925</v>
      </c>
      <c r="M24" s="275">
        <f>-Model!M76</f>
        <v>1.4924140747965016</v>
      </c>
      <c r="N24" s="275">
        <f>-Model!N76</f>
        <v>1.8167033174250327</v>
      </c>
      <c r="O24" s="275">
        <f>-Model!O76</f>
        <v>2.1790802250550549</v>
      </c>
      <c r="P24" s="275">
        <f t="shared" si="7"/>
        <v>2.5412969327673238</v>
      </c>
      <c r="Q24" s="275">
        <f t="shared" si="7"/>
        <v>2.8792377566883012</v>
      </c>
      <c r="R24" s="275">
        <f t="shared" si="7"/>
        <v>3.1663978187063426</v>
      </c>
      <c r="S24" s="275">
        <f t="shared" si="7"/>
        <v>3.3769310849921483</v>
      </c>
      <c r="T24" s="275">
        <f t="shared" si="7"/>
        <v>3.4891968791297803</v>
      </c>
    </row>
    <row r="25" spans="2:20" ht="13" customHeight="1">
      <c r="B25" s="267" t="s">
        <v>890</v>
      </c>
      <c r="H25" s="275">
        <f>-Model!H71</f>
        <v>20.742333382000002</v>
      </c>
      <c r="I25" s="275">
        <f>-Model!I71</f>
        <v>12.171059151000009</v>
      </c>
      <c r="J25" s="275">
        <f>-Model!J71</f>
        <v>-3.3937576000000078</v>
      </c>
      <c r="K25" s="275">
        <f>-Model!K71</f>
        <v>-4.5638135274303906</v>
      </c>
      <c r="L25" s="275">
        <f>-Model!L71</f>
        <v>-8.0087796930422712</v>
      </c>
      <c r="M25" s="275">
        <f>-Model!M71</f>
        <v>-10.433108982049333</v>
      </c>
      <c r="N25" s="275">
        <f>-Model!N71</f>
        <v>-8.6026754291533365</v>
      </c>
      <c r="O25" s="275">
        <f>-Model!O71</f>
        <v>-9.5747933457169054</v>
      </c>
      <c r="P25" s="275">
        <f t="shared" si="7"/>
        <v>-11.16635940319113</v>
      </c>
      <c r="Q25" s="275">
        <f t="shared" si="7"/>
        <v>-12.651258176040537</v>
      </c>
      <c r="R25" s="275">
        <f t="shared" si="7"/>
        <v>-13.913028265710608</v>
      </c>
      <c r="S25" s="275">
        <f t="shared" si="7"/>
        <v>-14.838103209674385</v>
      </c>
      <c r="T25" s="275">
        <f t="shared" si="7"/>
        <v>-15.331394721524742</v>
      </c>
    </row>
    <row r="26" spans="2:20" s="268" customFormat="1" ht="13" customHeight="1">
      <c r="B26" s="293" t="s">
        <v>891</v>
      </c>
      <c r="C26" s="293"/>
      <c r="D26" s="293"/>
      <c r="E26" s="293"/>
      <c r="F26" s="293"/>
      <c r="G26" s="293"/>
      <c r="H26" s="294">
        <f>+H20+H21+H22-H23-H24-H25</f>
        <v>-37.411978458</v>
      </c>
      <c r="I26" s="294">
        <f t="shared" ref="I26:O26" si="8">+I20+I21+I22-I23-I24-I25</f>
        <v>-45.00632735100001</v>
      </c>
      <c r="J26" s="294">
        <f t="shared" si="8"/>
        <v>9.7022638620000041</v>
      </c>
      <c r="K26" s="294">
        <f t="shared" si="8"/>
        <v>53.974898665907062</v>
      </c>
      <c r="L26" s="294">
        <f t="shared" si="8"/>
        <v>24.926102891560316</v>
      </c>
      <c r="M26" s="294">
        <f t="shared" si="8"/>
        <v>62.494698082499809</v>
      </c>
      <c r="N26" s="294">
        <f t="shared" si="8"/>
        <v>81.537864268557215</v>
      </c>
      <c r="O26" s="294">
        <f t="shared" si="8"/>
        <v>101.69757518038037</v>
      </c>
      <c r="P26" s="294">
        <f>+P20+P21+P22-P23-P24-P25</f>
        <v>118.60221248588743</v>
      </c>
      <c r="Q26" s="294">
        <f>+Q20+Q21+Q22-Q23-Q24-Q25</f>
        <v>134.37389539689863</v>
      </c>
      <c r="R26" s="294">
        <f>+R20+R21+R22-R23-R24-R25</f>
        <v>147.77564245517621</v>
      </c>
      <c r="S26" s="294">
        <f>+S20+S21+S22-S23-S24-S25</f>
        <v>157.60122043523009</v>
      </c>
      <c r="T26" s="294">
        <f>+T20+T21+T22-T23-T24-T25</f>
        <v>162.84065995114256</v>
      </c>
    </row>
    <row r="27" spans="2:20" ht="13" customHeight="1">
      <c r="B27" s="267" t="s">
        <v>1348</v>
      </c>
      <c r="K27" s="274">
        <f>+K26*K10</f>
        <v>53.575997457683791</v>
      </c>
      <c r="L27" s="274">
        <f t="shared" ref="L27:T27" si="9">+L26*L10</f>
        <v>22.972968112921393</v>
      </c>
      <c r="M27" s="274">
        <f t="shared" si="9"/>
        <v>53.479852077966363</v>
      </c>
      <c r="N27" s="274">
        <f t="shared" si="9"/>
        <v>64.787414918097141</v>
      </c>
      <c r="O27" s="274">
        <f t="shared" si="9"/>
        <v>75.028491449286847</v>
      </c>
      <c r="P27" s="274">
        <f t="shared" si="9"/>
        <v>81.244263100674416</v>
      </c>
      <c r="Q27" s="274">
        <f t="shared" si="9"/>
        <v>85.467129325023123</v>
      </c>
      <c r="R27" s="274">
        <f t="shared" si="9"/>
        <v>87.271283403046468</v>
      </c>
      <c r="S27" s="274">
        <f t="shared" si="9"/>
        <v>86.419625418242106</v>
      </c>
      <c r="T27" s="274">
        <f t="shared" si="9"/>
        <v>82.908671035560175</v>
      </c>
    </row>
    <row r="29" spans="2:20" ht="13" customHeight="1">
      <c r="B29" s="78" t="s">
        <v>231</v>
      </c>
      <c r="C29" s="78"/>
      <c r="D29" s="78"/>
      <c r="E29" s="78"/>
      <c r="F29" s="78"/>
      <c r="H29" s="78" t="s">
        <v>908</v>
      </c>
      <c r="I29" s="78"/>
      <c r="J29" s="78"/>
      <c r="K29" s="78"/>
      <c r="L29" s="78"/>
      <c r="M29" s="78"/>
      <c r="N29" s="78"/>
    </row>
    <row r="30" spans="2:20" ht="13" customHeight="1">
      <c r="B30" s="269" t="s">
        <v>892</v>
      </c>
      <c r="C30" s="269"/>
      <c r="D30" s="269"/>
      <c r="E30" s="287" t="s">
        <v>893</v>
      </c>
      <c r="F30" s="288">
        <f>+AVERAGE(P15,F33)</f>
        <v>8.3112292871896823E-2</v>
      </c>
      <c r="I30" s="307"/>
      <c r="J30" s="305" t="s">
        <v>896</v>
      </c>
      <c r="K30" s="305"/>
      <c r="L30" s="305"/>
      <c r="M30" s="305"/>
      <c r="N30" s="305"/>
    </row>
    <row r="31" spans="2:20" ht="13" customHeight="1">
      <c r="B31" s="269" t="s">
        <v>894</v>
      </c>
      <c r="C31" s="269"/>
      <c r="D31" s="269"/>
      <c r="E31" s="287" t="s">
        <v>893</v>
      </c>
      <c r="F31" s="288">
        <f>+O17</f>
        <v>0.35620066402834177</v>
      </c>
      <c r="H31" s="295"/>
      <c r="I31" s="308">
        <f>+F43</f>
        <v>102000</v>
      </c>
      <c r="J31" s="306">
        <v>-0.01</v>
      </c>
      <c r="K31" s="306">
        <v>-5.0000000000000001E-3</v>
      </c>
      <c r="L31" s="319">
        <v>0</v>
      </c>
      <c r="M31" s="306">
        <v>5.0000000000000001E-3</v>
      </c>
      <c r="N31" s="306">
        <v>0.01</v>
      </c>
    </row>
    <row r="32" spans="2:20" ht="13" customHeight="1">
      <c r="B32" s="269" t="s">
        <v>895</v>
      </c>
      <c r="C32" s="269"/>
      <c r="D32" s="269"/>
      <c r="E32" s="287" t="s">
        <v>893</v>
      </c>
      <c r="F32" s="288">
        <f>+O19</f>
        <v>0.23375667919056883</v>
      </c>
      <c r="H32" s="388" t="s">
        <v>897</v>
      </c>
      <c r="I32" s="314">
        <v>7.2999999999999995E-2</v>
      </c>
      <c r="J32" s="315">
        <f t="dataTable" ref="J32:N36" dt2D="1" dtr="1" r1="F33" r2="F34"/>
        <v>98000</v>
      </c>
      <c r="K32" s="315">
        <v>103000</v>
      </c>
      <c r="L32" s="320">
        <v>109000</v>
      </c>
      <c r="M32" s="315">
        <v>116000</v>
      </c>
      <c r="N32" s="315">
        <v>124000</v>
      </c>
    </row>
    <row r="33" spans="2:20" ht="13" customHeight="1">
      <c r="B33" s="269" t="s">
        <v>896</v>
      </c>
      <c r="C33" s="269"/>
      <c r="D33" s="269"/>
      <c r="E33" s="269" t="s">
        <v>898</v>
      </c>
      <c r="F33" s="290">
        <v>0</v>
      </c>
      <c r="H33" s="389"/>
      <c r="I33" s="309">
        <v>7.4999999999999997E-2</v>
      </c>
      <c r="J33" s="316">
        <v>95000</v>
      </c>
      <c r="K33" s="310">
        <v>100000</v>
      </c>
      <c r="L33" s="320">
        <v>106000</v>
      </c>
      <c r="M33" s="311">
        <v>112000</v>
      </c>
      <c r="N33" s="316">
        <v>119000</v>
      </c>
    </row>
    <row r="34" spans="2:20" ht="13" customHeight="1">
      <c r="B34" s="269" t="s">
        <v>897</v>
      </c>
      <c r="C34" s="269"/>
      <c r="D34" s="269"/>
      <c r="E34" s="269" t="s">
        <v>898</v>
      </c>
      <c r="F34" s="290">
        <v>7.6999999999999999E-2</v>
      </c>
      <c r="H34" s="389"/>
      <c r="I34" s="323">
        <v>7.6999999999999999E-2</v>
      </c>
      <c r="J34" s="321">
        <v>93000</v>
      </c>
      <c r="K34" s="324">
        <v>97000</v>
      </c>
      <c r="L34" s="321">
        <v>102000</v>
      </c>
      <c r="M34" s="325">
        <v>108000</v>
      </c>
      <c r="N34" s="321">
        <v>115000</v>
      </c>
    </row>
    <row r="35" spans="2:20" ht="13" customHeight="1">
      <c r="H35" s="389"/>
      <c r="I35" s="309">
        <v>7.9000000000000001E-2</v>
      </c>
      <c r="J35" s="316">
        <v>90000</v>
      </c>
      <c r="K35" s="312">
        <v>94000</v>
      </c>
      <c r="L35" s="322">
        <v>99000</v>
      </c>
      <c r="M35" s="313">
        <v>104000</v>
      </c>
      <c r="N35" s="316">
        <v>111000</v>
      </c>
    </row>
    <row r="36" spans="2:20" ht="13" customHeight="1">
      <c r="B36" s="271" t="s">
        <v>899</v>
      </c>
      <c r="C36" s="271"/>
      <c r="D36" s="271"/>
      <c r="E36" s="271"/>
      <c r="F36" s="271"/>
      <c r="G36" s="270"/>
      <c r="H36" s="390"/>
      <c r="I36" s="317">
        <v>8.1000000000000003E-2</v>
      </c>
      <c r="J36" s="318">
        <v>87000</v>
      </c>
      <c r="K36" s="318">
        <v>91000</v>
      </c>
      <c r="L36" s="322">
        <v>96000</v>
      </c>
      <c r="M36" s="318">
        <v>101000</v>
      </c>
      <c r="N36" s="318">
        <v>107000</v>
      </c>
      <c r="O36" s="270"/>
      <c r="P36" s="270"/>
      <c r="Q36" s="270"/>
      <c r="R36" s="270"/>
      <c r="S36" s="270"/>
      <c r="T36" s="270"/>
    </row>
    <row r="37" spans="2:20" ht="13" customHeight="1">
      <c r="B37" s="296" t="s">
        <v>900</v>
      </c>
      <c r="C37" s="270"/>
      <c r="D37" s="270"/>
      <c r="E37" s="270"/>
      <c r="F37" s="301">
        <f>+F38+F39</f>
        <v>988.71595853591703</v>
      </c>
      <c r="G37" s="270"/>
      <c r="H37" s="270"/>
      <c r="I37" s="270"/>
      <c r="J37" s="270"/>
      <c r="K37" s="270"/>
      <c r="L37" s="270"/>
      <c r="M37" s="270"/>
      <c r="N37" s="270"/>
      <c r="O37" s="270"/>
      <c r="P37" s="270"/>
      <c r="Q37" s="270"/>
      <c r="R37" s="270"/>
      <c r="S37" s="270"/>
      <c r="T37" s="270"/>
    </row>
    <row r="38" spans="2:20" ht="13" customHeight="1">
      <c r="B38" s="297" t="s">
        <v>901</v>
      </c>
      <c r="C38" s="270"/>
      <c r="D38" s="270"/>
      <c r="E38" s="270"/>
      <c r="F38" s="302">
        <f>+SUM(K27:O27)</f>
        <v>269.84472401595553</v>
      </c>
      <c r="G38" s="270"/>
      <c r="H38" s="270"/>
      <c r="I38" s="270"/>
      <c r="J38" s="270"/>
      <c r="K38" s="270"/>
      <c r="L38" s="270"/>
      <c r="M38" s="270"/>
      <c r="N38" s="270"/>
      <c r="O38" s="270"/>
      <c r="P38" s="270"/>
      <c r="Q38" s="270"/>
      <c r="R38" s="270"/>
      <c r="S38" s="270"/>
      <c r="T38" s="270"/>
    </row>
    <row r="39" spans="2:20" ht="13" customHeight="1">
      <c r="B39" s="297" t="s">
        <v>902</v>
      </c>
      <c r="C39" s="270"/>
      <c r="D39" s="270"/>
      <c r="E39" s="270"/>
      <c r="F39" s="302">
        <f>+F40*O10</f>
        <v>718.87123451996149</v>
      </c>
      <c r="G39" s="270"/>
      <c r="H39" s="270"/>
      <c r="I39" s="270"/>
      <c r="J39" s="270"/>
      <c r="K39" s="270"/>
      <c r="L39" s="270"/>
      <c r="M39" s="270"/>
      <c r="N39" s="270"/>
      <c r="O39" s="270"/>
      <c r="P39" s="270"/>
      <c r="Q39" s="270"/>
      <c r="R39" s="270"/>
      <c r="S39" s="270"/>
      <c r="T39" s="270"/>
    </row>
    <row r="40" spans="2:20" ht="13" customHeight="1">
      <c r="B40" s="298" t="s">
        <v>903</v>
      </c>
      <c r="C40" s="299"/>
      <c r="D40" s="299"/>
      <c r="E40" s="299"/>
      <c r="F40" s="303">
        <f>+O27*(1+F33)/(F34-F33)</f>
        <v>974.39599284788119</v>
      </c>
      <c r="G40" s="270"/>
      <c r="H40" s="270"/>
      <c r="I40" s="270"/>
      <c r="J40" s="270"/>
      <c r="K40" s="270"/>
      <c r="L40" s="270"/>
      <c r="M40" s="270"/>
      <c r="N40" s="270"/>
      <c r="O40" s="270"/>
      <c r="P40" s="270"/>
      <c r="Q40" s="270"/>
      <c r="R40" s="270"/>
      <c r="S40" s="270"/>
      <c r="T40" s="270"/>
    </row>
    <row r="41" spans="2:20" s="268" customFormat="1" ht="13" customHeight="1">
      <c r="B41" s="272" t="s">
        <v>904</v>
      </c>
      <c r="C41" s="272"/>
      <c r="D41" s="272"/>
      <c r="E41" s="272"/>
      <c r="F41" s="301">
        <f>+F37-F42</f>
        <v>946.58975561591706</v>
      </c>
      <c r="G41" s="272"/>
      <c r="H41" s="272"/>
      <c r="I41" s="272"/>
      <c r="J41" s="272"/>
      <c r="K41" s="272"/>
      <c r="L41" s="272"/>
      <c r="M41" s="272"/>
      <c r="N41" s="272"/>
      <c r="O41" s="272"/>
      <c r="P41" s="272"/>
      <c r="Q41" s="272"/>
      <c r="R41" s="272"/>
      <c r="S41" s="272"/>
      <c r="T41" s="272"/>
    </row>
    <row r="42" spans="2:20" ht="13" customHeight="1">
      <c r="B42" s="300" t="s">
        <v>905</v>
      </c>
      <c r="C42" s="299"/>
      <c r="D42" s="299"/>
      <c r="E42" s="299"/>
      <c r="F42" s="303">
        <f>+Model!K48+Model!K54+Model!K49</f>
        <v>42.126202920000004</v>
      </c>
      <c r="G42" s="270"/>
      <c r="H42" s="270"/>
      <c r="I42" s="375"/>
      <c r="J42" s="270"/>
      <c r="K42" s="270"/>
      <c r="L42" s="270"/>
      <c r="M42" s="270"/>
      <c r="N42" s="270"/>
      <c r="O42" s="270"/>
      <c r="P42" s="270"/>
      <c r="Q42" s="270"/>
      <c r="R42" s="270"/>
      <c r="S42" s="270"/>
      <c r="T42" s="270"/>
    </row>
    <row r="43" spans="2:20" ht="13" customHeight="1">
      <c r="B43" s="272" t="s">
        <v>906</v>
      </c>
      <c r="C43" s="272"/>
      <c r="D43" s="272"/>
      <c r="E43" s="272"/>
      <c r="F43" s="304">
        <f>+ROUND(F41/F44*10^3,-3)</f>
        <v>102000</v>
      </c>
      <c r="G43" s="270"/>
      <c r="H43" s="270"/>
      <c r="I43" s="270"/>
      <c r="J43" s="270"/>
      <c r="K43" s="270"/>
      <c r="L43" s="270"/>
      <c r="M43" s="270"/>
      <c r="N43" s="270"/>
      <c r="O43" s="270"/>
      <c r="P43" s="270"/>
      <c r="Q43" s="270"/>
      <c r="R43" s="270"/>
      <c r="S43" s="270"/>
      <c r="T43" s="270"/>
    </row>
    <row r="44" spans="2:20" ht="13" customHeight="1">
      <c r="B44" s="300" t="s">
        <v>907</v>
      </c>
      <c r="C44" s="299"/>
      <c r="D44" s="299"/>
      <c r="E44" s="299"/>
      <c r="F44" s="303">
        <v>9.27</v>
      </c>
      <c r="G44" s="270"/>
      <c r="H44" s="270"/>
      <c r="I44" s="270"/>
      <c r="J44" s="270"/>
      <c r="K44" s="270"/>
      <c r="L44" s="270"/>
      <c r="M44" s="270"/>
      <c r="N44" s="270"/>
      <c r="O44" s="270"/>
      <c r="P44" s="270"/>
      <c r="Q44" s="270"/>
      <c r="R44" s="270"/>
      <c r="S44" s="270"/>
      <c r="T44" s="270"/>
    </row>
    <row r="45" spans="2:20" ht="13" customHeight="1">
      <c r="B45" s="270"/>
      <c r="C45" s="270"/>
      <c r="D45" s="270"/>
      <c r="E45" s="270"/>
      <c r="F45" s="270"/>
      <c r="G45" s="270"/>
      <c r="H45" s="270"/>
      <c r="I45" s="270"/>
      <c r="J45" s="270"/>
      <c r="K45" s="270"/>
      <c r="L45" s="270"/>
      <c r="M45" s="270"/>
      <c r="N45" s="270"/>
      <c r="O45" s="270"/>
      <c r="P45" s="270"/>
      <c r="Q45" s="270"/>
      <c r="R45" s="270"/>
      <c r="S45" s="270"/>
      <c r="T45" s="270"/>
    </row>
    <row r="46" spans="2:20" ht="13" customHeight="1">
      <c r="B46" s="270"/>
      <c r="C46" s="270"/>
      <c r="D46" s="270"/>
      <c r="E46" s="270"/>
      <c r="F46" s="270"/>
      <c r="G46" s="270"/>
      <c r="H46" s="270"/>
      <c r="I46" s="270"/>
      <c r="J46" s="270"/>
      <c r="K46" s="270"/>
      <c r="L46" s="270"/>
      <c r="M46" s="270"/>
      <c r="N46" s="270"/>
      <c r="O46" s="270"/>
      <c r="P46" s="270"/>
      <c r="Q46" s="270"/>
      <c r="R46" s="270"/>
      <c r="S46" s="270"/>
      <c r="T46" s="270"/>
    </row>
    <row r="47" spans="2:20" ht="13" customHeight="1">
      <c r="B47" s="270"/>
      <c r="C47" s="270"/>
      <c r="D47" s="270"/>
      <c r="E47" s="270"/>
      <c r="F47" s="270"/>
      <c r="G47" s="270"/>
      <c r="H47" s="270"/>
      <c r="I47" s="270"/>
      <c r="J47" s="270"/>
      <c r="K47" s="270"/>
      <c r="L47" s="270"/>
      <c r="M47" s="270"/>
      <c r="N47" s="270"/>
      <c r="O47" s="270"/>
      <c r="P47" s="270"/>
      <c r="Q47" s="270"/>
      <c r="R47" s="270"/>
      <c r="S47" s="270"/>
      <c r="T47" s="270"/>
    </row>
    <row r="48" spans="2:20" ht="13" customHeight="1">
      <c r="B48" s="270"/>
      <c r="C48" s="270"/>
      <c r="D48" s="270"/>
      <c r="E48" s="270"/>
      <c r="F48" s="270"/>
      <c r="G48" s="270"/>
      <c r="H48" s="270"/>
      <c r="I48" s="270"/>
      <c r="J48" s="270"/>
      <c r="K48" s="270"/>
      <c r="L48" s="270"/>
      <c r="M48" s="270"/>
      <c r="N48" s="270"/>
      <c r="O48" s="270"/>
      <c r="P48" s="270"/>
      <c r="Q48" s="270"/>
      <c r="R48" s="270"/>
      <c r="S48" s="270"/>
      <c r="T48" s="270"/>
    </row>
    <row r="49" spans="2:20" ht="13" customHeight="1">
      <c r="B49" s="270"/>
      <c r="C49" s="270"/>
      <c r="D49" s="270"/>
      <c r="E49" s="270"/>
      <c r="F49" s="270"/>
      <c r="G49" s="270"/>
      <c r="H49" s="270"/>
      <c r="I49" s="270"/>
      <c r="J49" s="270"/>
      <c r="K49" s="270"/>
      <c r="L49" s="270"/>
      <c r="M49" s="270"/>
      <c r="N49" s="270"/>
      <c r="O49" s="270"/>
      <c r="P49" s="270"/>
      <c r="Q49" s="270"/>
      <c r="R49" s="270"/>
      <c r="S49" s="270"/>
      <c r="T49" s="270"/>
    </row>
    <row r="50" spans="2:20" ht="13" customHeight="1">
      <c r="B50" s="270"/>
      <c r="C50" s="270"/>
      <c r="D50" s="270"/>
      <c r="E50" s="270"/>
      <c r="F50" s="270"/>
      <c r="G50" s="270"/>
      <c r="H50" s="270"/>
      <c r="I50" s="270"/>
      <c r="J50" s="270"/>
      <c r="K50" s="270"/>
      <c r="L50" s="270"/>
      <c r="M50" s="270"/>
      <c r="N50" s="270"/>
      <c r="O50" s="270"/>
      <c r="P50" s="270"/>
      <c r="Q50" s="270"/>
      <c r="R50" s="270"/>
      <c r="S50" s="270"/>
      <c r="T50" s="270"/>
    </row>
    <row r="51" spans="2:20" ht="13" customHeight="1">
      <c r="B51" s="270"/>
      <c r="C51" s="270"/>
      <c r="D51" s="270"/>
      <c r="E51" s="270"/>
      <c r="F51" s="270"/>
      <c r="G51" s="270"/>
      <c r="H51" s="270"/>
      <c r="I51" s="270"/>
      <c r="J51" s="270"/>
      <c r="K51" s="270"/>
      <c r="L51" s="270"/>
      <c r="M51" s="270"/>
      <c r="N51" s="270"/>
      <c r="O51" s="270"/>
      <c r="P51" s="270"/>
      <c r="Q51" s="270"/>
      <c r="R51" s="270"/>
      <c r="S51" s="270"/>
      <c r="T51" s="270"/>
    </row>
    <row r="52" spans="2:20" ht="13" customHeight="1">
      <c r="B52" s="270"/>
      <c r="C52" s="270"/>
      <c r="D52" s="270"/>
      <c r="E52" s="270"/>
      <c r="F52" s="270"/>
      <c r="G52" s="270"/>
      <c r="H52" s="270"/>
      <c r="I52" s="270"/>
      <c r="J52" s="270"/>
      <c r="K52" s="270"/>
      <c r="L52" s="270"/>
      <c r="M52" s="270"/>
      <c r="N52" s="270"/>
      <c r="O52" s="270"/>
      <c r="P52" s="270"/>
      <c r="Q52" s="270"/>
      <c r="R52" s="270"/>
      <c r="S52" s="270"/>
      <c r="T52" s="270"/>
    </row>
  </sheetData>
  <mergeCells count="2">
    <mergeCell ref="D3:F5"/>
    <mergeCell ref="H32:H36"/>
  </mergeCells>
  <phoneticPr fontId="1" type="noConversion"/>
  <pageMargins left="0.7" right="0.7" top="0.75" bottom="0.75" header="0.3" footer="0.3"/>
  <ignoredErrors>
    <ignoredError sqref="H18:O18 P17:T17" formula="1"/>
  </ignoredErrors>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DDA69-216D-4C1D-ABCF-8905F494D84C}">
  <dimension ref="B2:Q24"/>
  <sheetViews>
    <sheetView topLeftCell="A11" workbookViewId="0">
      <selection activeCell="F19" sqref="F19"/>
    </sheetView>
  </sheetViews>
  <sheetFormatPr defaultRowHeight="15" customHeight="1"/>
  <cols>
    <col min="1" max="1" width="2.58203125" style="1" customWidth="1"/>
    <col min="2" max="6" width="10.58203125" style="1" customWidth="1"/>
    <col min="7" max="8" width="8.6640625" style="1"/>
    <col min="9" max="9" width="12.33203125" style="1" bestFit="1" customWidth="1"/>
    <col min="10" max="16384" width="8.6640625" style="1"/>
  </cols>
  <sheetData>
    <row r="2" spans="2:17" ht="15" customHeight="1">
      <c r="B2" s="77"/>
      <c r="C2" s="77"/>
      <c r="D2" s="77"/>
      <c r="E2" s="77"/>
      <c r="F2" s="77"/>
      <c r="G2" s="77"/>
      <c r="H2" s="77"/>
      <c r="I2" s="77"/>
      <c r="J2" s="77"/>
      <c r="K2" s="77"/>
      <c r="L2" s="77"/>
      <c r="M2" s="77"/>
      <c r="N2" s="77"/>
      <c r="O2" s="77"/>
      <c r="P2" s="77"/>
      <c r="Q2" s="77"/>
    </row>
    <row r="3" spans="2:17" ht="15" customHeight="1">
      <c r="B3" s="77"/>
      <c r="C3" s="77"/>
      <c r="D3" s="77"/>
      <c r="E3" s="77"/>
      <c r="F3" s="77"/>
      <c r="G3" s="77"/>
      <c r="H3" s="77"/>
      <c r="I3" s="77"/>
      <c r="J3" s="77"/>
      <c r="K3" s="77"/>
      <c r="L3" s="77"/>
      <c r="M3" s="77"/>
      <c r="N3" s="77"/>
      <c r="O3" s="77"/>
      <c r="P3" s="77"/>
      <c r="Q3" s="77"/>
    </row>
    <row r="4" spans="2:17" ht="15" customHeight="1">
      <c r="B4" s="77"/>
      <c r="C4" s="79"/>
      <c r="D4" s="79"/>
      <c r="E4" s="79"/>
      <c r="F4" s="79"/>
      <c r="G4" s="79"/>
      <c r="H4" s="79"/>
      <c r="I4" s="79"/>
      <c r="J4" s="79"/>
      <c r="K4" s="79"/>
      <c r="L4" s="79"/>
      <c r="M4" s="79"/>
      <c r="N4" s="79"/>
      <c r="O4" s="79"/>
      <c r="P4" s="79"/>
      <c r="Q4" s="79"/>
    </row>
    <row r="5" spans="2:17" ht="15" customHeight="1">
      <c r="B5" s="77"/>
      <c r="C5" s="79" t="s">
        <v>224</v>
      </c>
      <c r="D5" s="79"/>
      <c r="E5" s="328" t="s">
        <v>909</v>
      </c>
      <c r="F5" s="79"/>
      <c r="G5" s="79"/>
      <c r="H5" s="131" t="s">
        <v>227</v>
      </c>
      <c r="I5" s="128"/>
      <c r="J5" s="81" t="s">
        <v>230</v>
      </c>
      <c r="K5" s="82"/>
      <c r="L5" s="79"/>
      <c r="M5" s="79"/>
      <c r="N5" s="79"/>
      <c r="O5" s="79"/>
      <c r="P5" s="79"/>
      <c r="Q5" s="79"/>
    </row>
    <row r="6" spans="2:17" ht="15" customHeight="1">
      <c r="B6" s="77"/>
      <c r="C6" s="79" t="s">
        <v>225</v>
      </c>
      <c r="D6" s="79"/>
      <c r="E6" s="328" t="s">
        <v>910</v>
      </c>
      <c r="F6" s="79"/>
      <c r="G6" s="79"/>
      <c r="H6" s="132" t="s">
        <v>228</v>
      </c>
      <c r="I6" s="129"/>
      <c r="J6" s="80" t="s">
        <v>231</v>
      </c>
      <c r="K6" s="83"/>
      <c r="L6" s="79"/>
      <c r="M6" s="79"/>
      <c r="N6" s="79"/>
      <c r="O6" s="79"/>
      <c r="P6" s="79"/>
      <c r="Q6" s="79"/>
    </row>
    <row r="7" spans="2:17" ht="15" customHeight="1">
      <c r="B7" s="77"/>
      <c r="C7" s="79" t="s">
        <v>226</v>
      </c>
      <c r="D7" s="79"/>
      <c r="E7" s="328">
        <f>+DCF!F43</f>
        <v>102000</v>
      </c>
      <c r="F7" s="79"/>
      <c r="G7" s="79"/>
      <c r="H7" s="133" t="s">
        <v>229</v>
      </c>
      <c r="I7" s="130"/>
      <c r="J7" s="84" t="s">
        <v>221</v>
      </c>
      <c r="K7" s="85"/>
      <c r="L7" s="79"/>
      <c r="M7" s="79"/>
      <c r="N7" s="79"/>
      <c r="O7" s="79"/>
      <c r="P7" s="79"/>
      <c r="Q7" s="79"/>
    </row>
    <row r="8" spans="2:17" ht="15" customHeight="1">
      <c r="B8" s="86"/>
      <c r="C8" s="87"/>
      <c r="D8" s="87"/>
      <c r="E8" s="87"/>
      <c r="F8" s="87"/>
      <c r="G8" s="87"/>
      <c r="H8" s="87"/>
      <c r="I8" s="87"/>
      <c r="J8" s="87"/>
      <c r="K8" s="87"/>
      <c r="L8" s="87"/>
      <c r="M8" s="87"/>
      <c r="N8" s="87"/>
      <c r="O8" s="87"/>
      <c r="P8" s="87"/>
      <c r="Q8" s="87"/>
    </row>
    <row r="10" spans="2:17" ht="15" customHeight="1">
      <c r="B10" s="338"/>
      <c r="C10" s="338"/>
      <c r="D10" s="338"/>
      <c r="E10" s="338"/>
      <c r="F10" s="338"/>
    </row>
    <row r="11" spans="2:17" ht="15" customHeight="1">
      <c r="B11" s="391" t="s">
        <v>913</v>
      </c>
      <c r="C11" s="339"/>
      <c r="D11" s="339"/>
      <c r="E11" s="339"/>
      <c r="F11" s="339"/>
      <c r="G11" s="340"/>
      <c r="H11" s="340"/>
      <c r="I11" s="340"/>
      <c r="J11" s="340"/>
      <c r="K11" s="340"/>
    </row>
    <row r="12" spans="2:17" ht="15" customHeight="1" thickBot="1">
      <c r="B12" s="391"/>
      <c r="C12" s="340"/>
      <c r="D12" s="340"/>
      <c r="E12" s="340" t="s">
        <v>914</v>
      </c>
      <c r="F12" s="340" t="s">
        <v>914</v>
      </c>
      <c r="G12" s="340" t="s">
        <v>1331</v>
      </c>
      <c r="H12" s="340" t="s">
        <v>1333</v>
      </c>
      <c r="I12" s="340" t="s">
        <v>1332</v>
      </c>
      <c r="J12" s="340" t="s">
        <v>1335</v>
      </c>
      <c r="K12" s="340" t="s">
        <v>1334</v>
      </c>
    </row>
    <row r="13" spans="2:17" ht="15" customHeight="1">
      <c r="B13" s="17" t="s">
        <v>11</v>
      </c>
      <c r="G13" s="1">
        <f ca="1">+K14*(1+(1-J13)*H13/I13)</f>
        <v>0.96676794178295355</v>
      </c>
      <c r="H13" s="1">
        <f>+Model!K45</f>
        <v>105.28014885745009</v>
      </c>
      <c r="I13" s="1">
        <f ca="1">+peer!G2/10^9</f>
        <v>930.97789999999998</v>
      </c>
      <c r="J13" s="377">
        <v>0.23</v>
      </c>
    </row>
    <row r="14" spans="2:17" ht="15" customHeight="1">
      <c r="B14" s="18" t="s">
        <v>12</v>
      </c>
      <c r="E14" s="1">
        <v>6.5</v>
      </c>
      <c r="G14" s="1">
        <v>0.98</v>
      </c>
      <c r="H14" s="1">
        <v>73.900000000000006</v>
      </c>
      <c r="I14" s="1">
        <f ca="1">+peer!G4/10^9</f>
        <v>362.41629999999998</v>
      </c>
      <c r="J14" s="377">
        <v>0.5</v>
      </c>
      <c r="K14" s="1">
        <f ca="1">+G14/(1+(1-J14)*H14/I14)</f>
        <v>0.88932885423732555</v>
      </c>
    </row>
    <row r="15" spans="2:17" ht="15" customHeight="1">
      <c r="B15" s="18" t="s">
        <v>13</v>
      </c>
      <c r="E15" s="1">
        <v>7.8</v>
      </c>
      <c r="G15" s="1">
        <v>0.94</v>
      </c>
      <c r="H15" s="1">
        <v>68</v>
      </c>
      <c r="I15" s="1">
        <f ca="1">+peer!G6/10^9</f>
        <v>164.5206</v>
      </c>
      <c r="J15" s="377">
        <v>0.04</v>
      </c>
      <c r="K15" s="1">
        <f ca="1">+G15/(1+(1-J15)*H15/I15)</f>
        <v>0.67297197657447361</v>
      </c>
    </row>
    <row r="16" spans="2:17" ht="15" customHeight="1">
      <c r="B16" s="18" t="s">
        <v>14</v>
      </c>
      <c r="E16" s="1">
        <v>15.87</v>
      </c>
      <c r="F16" s="1">
        <v>14.05</v>
      </c>
      <c r="H16" s="1">
        <v>207</v>
      </c>
      <c r="I16" s="1">
        <f ca="1">+peer!G8/10^9</f>
        <v>915.70630000000006</v>
      </c>
    </row>
    <row r="17" spans="2:9" ht="15" customHeight="1">
      <c r="B17" s="18" t="s">
        <v>15</v>
      </c>
      <c r="E17" s="1">
        <v>18.100000000000001</v>
      </c>
      <c r="F17" s="1">
        <v>15.1</v>
      </c>
      <c r="H17" s="1">
        <v>40</v>
      </c>
      <c r="I17" s="1">
        <f ca="1">+peer!G10/10^9</f>
        <v>1755.1679999999999</v>
      </c>
    </row>
    <row r="18" spans="2:9" ht="15" customHeight="1">
      <c r="B18" s="19" t="s">
        <v>16</v>
      </c>
      <c r="E18" s="1">
        <v>21.69</v>
      </c>
      <c r="F18" s="1">
        <v>20.329999999999998</v>
      </c>
      <c r="H18" s="1">
        <v>100</v>
      </c>
      <c r="I18" s="1">
        <f ca="1">+peer!G12/10^9</f>
        <v>176.99529999999999</v>
      </c>
    </row>
    <row r="21" spans="2:9" ht="15" customHeight="1">
      <c r="C21" s="1" t="s">
        <v>1339</v>
      </c>
      <c r="E21" s="378">
        <v>4.2999999999999997E-2</v>
      </c>
      <c r="G21" s="177" t="s">
        <v>897</v>
      </c>
      <c r="H21" s="386">
        <f ca="1">E21*H13/SUM(H13:I13)*(1-J13)+E22*I13/SUM(H13:I13)</f>
        <v>7.7070430757401553E-2</v>
      </c>
    </row>
    <row r="22" spans="2:9" ht="15" customHeight="1">
      <c r="C22" s="1" t="s">
        <v>1340</v>
      </c>
      <c r="E22" s="10">
        <f ca="1">G13*E24+E23</f>
        <v>8.2041720294969381E-2</v>
      </c>
    </row>
    <row r="23" spans="2:9" ht="15" customHeight="1">
      <c r="C23" s="1" t="s">
        <v>1341</v>
      </c>
      <c r="E23" s="378">
        <v>3.3799999999999997E-2</v>
      </c>
    </row>
    <row r="24" spans="2:9" ht="15" customHeight="1">
      <c r="C24" s="1" t="s">
        <v>1342</v>
      </c>
      <c r="E24" s="378">
        <v>4.99E-2</v>
      </c>
    </row>
  </sheetData>
  <mergeCells count="1">
    <mergeCell ref="B11:B12"/>
  </mergeCells>
  <phoneticPr fontId="1"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8052A-C0AB-49B4-AFDF-204ED19BF623}">
  <dimension ref="A1:W196"/>
  <sheetViews>
    <sheetView zoomScale="115" zoomScaleNormal="115" workbookViewId="0">
      <pane xSplit="7" ySplit="11" topLeftCell="H12" activePane="bottomRight" state="frozen"/>
      <selection pane="topRight" activeCell="H1" sqref="H1"/>
      <selection pane="bottomLeft" activeCell="A12" sqref="A12"/>
      <selection pane="bottomRight" activeCell="P134" sqref="P134"/>
    </sheetView>
  </sheetViews>
  <sheetFormatPr defaultColWidth="7.58203125" defaultRowHeight="13"/>
  <cols>
    <col min="1" max="1" width="2.58203125" style="263" customWidth="1"/>
    <col min="2" max="3" width="7.58203125" style="76"/>
    <col min="4" max="4" width="13.08203125" style="76" customWidth="1"/>
    <col min="5" max="5" width="5.83203125" style="76" customWidth="1"/>
    <col min="6" max="6" width="4.6640625" style="76" customWidth="1"/>
    <col min="7" max="7" width="7.58203125" style="76"/>
    <col min="8" max="9" width="8.25" style="107" customWidth="1"/>
    <col min="10" max="10" width="7.58203125" style="107" customWidth="1"/>
    <col min="11" max="16384" width="7.58203125" style="107"/>
  </cols>
  <sheetData>
    <row r="1" spans="1:23" s="76" customFormat="1">
      <c r="A1" s="263"/>
    </row>
    <row r="2" spans="1:23" s="76" customFormat="1">
      <c r="A2" s="263"/>
      <c r="B2" s="77"/>
      <c r="C2" s="77"/>
      <c r="D2" s="77"/>
      <c r="E2" s="77"/>
      <c r="F2" s="77"/>
      <c r="G2" s="77"/>
      <c r="H2" s="77"/>
      <c r="I2" s="77"/>
      <c r="J2" s="77"/>
      <c r="K2" s="77"/>
      <c r="L2" s="77"/>
      <c r="M2" s="77"/>
      <c r="N2" s="77"/>
      <c r="O2" s="77"/>
      <c r="P2" s="77"/>
      <c r="Q2" s="77"/>
      <c r="R2" s="77"/>
      <c r="S2" s="77"/>
      <c r="T2" s="77"/>
      <c r="U2" s="77"/>
      <c r="V2" s="77"/>
      <c r="W2" s="77"/>
    </row>
    <row r="3" spans="1:23" s="76" customFormat="1">
      <c r="A3" s="263"/>
      <c r="B3" s="77"/>
      <c r="C3" s="77"/>
      <c r="D3" s="393" t="s">
        <v>222</v>
      </c>
      <c r="E3" s="393"/>
      <c r="F3" s="393"/>
      <c r="G3" s="77"/>
      <c r="H3" s="77"/>
      <c r="I3" s="77"/>
      <c r="J3" s="77"/>
      <c r="K3" s="77"/>
      <c r="L3" s="77"/>
      <c r="M3" s="77"/>
      <c r="N3" s="77"/>
      <c r="O3" s="77"/>
      <c r="P3" s="77"/>
      <c r="Q3" s="77"/>
      <c r="R3" s="77"/>
      <c r="S3" s="77"/>
      <c r="T3" s="77"/>
      <c r="U3" s="77"/>
      <c r="V3" s="77"/>
      <c r="W3" s="77"/>
    </row>
    <row r="4" spans="1:23" s="76" customFormat="1">
      <c r="A4" s="263"/>
      <c r="B4" s="77"/>
      <c r="C4" s="77"/>
      <c r="D4" s="393"/>
      <c r="E4" s="393"/>
      <c r="F4" s="393"/>
      <c r="G4" s="77"/>
      <c r="H4" s="79"/>
      <c r="I4" s="79"/>
      <c r="J4" s="79"/>
      <c r="K4" s="79"/>
      <c r="L4" s="79"/>
      <c r="M4" s="79"/>
      <c r="N4" s="79"/>
      <c r="O4" s="79"/>
      <c r="P4" s="79"/>
      <c r="Q4" s="79"/>
      <c r="R4" s="79"/>
      <c r="S4" s="79"/>
      <c r="T4" s="79"/>
      <c r="U4" s="79"/>
      <c r="V4" s="79"/>
      <c r="W4" s="79"/>
    </row>
    <row r="5" spans="1:23" s="76" customFormat="1">
      <c r="A5" s="263"/>
      <c r="B5" s="77"/>
      <c r="C5" s="77"/>
      <c r="D5" s="393"/>
      <c r="E5" s="393"/>
      <c r="F5" s="393"/>
      <c r="G5" s="77"/>
      <c r="H5" s="79"/>
      <c r="I5" s="79" t="s">
        <v>224</v>
      </c>
      <c r="J5" s="79"/>
      <c r="K5" s="328" t="s">
        <v>909</v>
      </c>
      <c r="L5" s="79"/>
      <c r="M5" s="79"/>
      <c r="N5" s="131" t="s">
        <v>227</v>
      </c>
      <c r="O5" s="128"/>
      <c r="P5" s="81" t="s">
        <v>230</v>
      </c>
      <c r="Q5" s="82"/>
      <c r="R5" s="79"/>
      <c r="S5" s="79"/>
      <c r="T5" s="79"/>
      <c r="U5" s="79"/>
      <c r="V5" s="79"/>
      <c r="W5" s="79"/>
    </row>
    <row r="6" spans="1:23" s="76" customFormat="1">
      <c r="A6" s="263"/>
      <c r="B6" s="77"/>
      <c r="C6" s="77"/>
      <c r="D6" s="78" t="s">
        <v>912</v>
      </c>
      <c r="E6" s="78"/>
      <c r="F6" s="78"/>
      <c r="G6" s="77"/>
      <c r="H6" s="79"/>
      <c r="I6" s="79" t="s">
        <v>225</v>
      </c>
      <c r="J6" s="79"/>
      <c r="K6" s="328" t="s">
        <v>910</v>
      </c>
      <c r="L6" s="79"/>
      <c r="M6" s="79"/>
      <c r="N6" s="132" t="s">
        <v>228</v>
      </c>
      <c r="O6" s="129"/>
      <c r="P6" s="80" t="s">
        <v>231</v>
      </c>
      <c r="Q6" s="83"/>
      <c r="R6" s="79"/>
      <c r="S6" s="79"/>
      <c r="T6" s="79"/>
      <c r="U6" s="79"/>
      <c r="V6" s="79"/>
      <c r="W6" s="79"/>
    </row>
    <row r="7" spans="1:23" s="76" customFormat="1">
      <c r="A7" s="263"/>
      <c r="B7" s="77"/>
      <c r="C7" s="77"/>
      <c r="D7" s="78" t="s">
        <v>911</v>
      </c>
      <c r="E7" s="77"/>
      <c r="F7" s="77"/>
      <c r="G7" s="77"/>
      <c r="H7" s="79"/>
      <c r="I7" s="79" t="s">
        <v>226</v>
      </c>
      <c r="J7" s="79"/>
      <c r="K7" s="328">
        <f>+DCF!F43</f>
        <v>102000</v>
      </c>
      <c r="L7" s="79"/>
      <c r="M7" s="79"/>
      <c r="N7" s="133" t="s">
        <v>229</v>
      </c>
      <c r="O7" s="130"/>
      <c r="P7" s="84" t="s">
        <v>221</v>
      </c>
      <c r="Q7" s="85"/>
      <c r="R7" s="79"/>
      <c r="S7" s="79"/>
      <c r="T7" s="79"/>
      <c r="U7" s="79"/>
      <c r="V7" s="79"/>
      <c r="W7" s="79"/>
    </row>
    <row r="8" spans="1:23" s="76" customFormat="1">
      <c r="A8" s="263"/>
      <c r="B8" s="86"/>
      <c r="C8" s="86"/>
      <c r="D8" s="86"/>
      <c r="E8" s="86"/>
      <c r="F8" s="86"/>
      <c r="G8" s="86"/>
      <c r="H8" s="87"/>
      <c r="I8" s="87"/>
      <c r="J8" s="87"/>
      <c r="K8" s="87"/>
      <c r="L8" s="87"/>
      <c r="M8" s="87"/>
      <c r="N8" s="87"/>
      <c r="O8" s="87"/>
      <c r="P8" s="87"/>
      <c r="Q8" s="87"/>
      <c r="R8" s="87"/>
      <c r="S8" s="87"/>
      <c r="T8" s="87"/>
      <c r="U8" s="87"/>
      <c r="V8" s="87"/>
      <c r="W8" s="87"/>
    </row>
    <row r="9" spans="1:23" s="76" customFormat="1">
      <c r="A9" s="263"/>
    </row>
    <row r="10" spans="1:23" s="76" customFormat="1">
      <c r="A10" s="263"/>
      <c r="B10" s="78"/>
      <c r="C10" s="78"/>
      <c r="D10" s="78"/>
      <c r="E10" s="78"/>
      <c r="F10" s="78"/>
      <c r="G10" s="78"/>
      <c r="H10" s="165" t="s">
        <v>218</v>
      </c>
      <c r="I10" s="88"/>
      <c r="J10" s="94"/>
      <c r="K10" s="90" t="s">
        <v>219</v>
      </c>
      <c r="L10" s="91"/>
      <c r="M10" s="91"/>
      <c r="N10" s="91"/>
      <c r="O10" s="91"/>
      <c r="P10" s="91" t="s">
        <v>220</v>
      </c>
      <c r="Q10" s="91"/>
      <c r="R10" s="392" t="s">
        <v>221</v>
      </c>
      <c r="S10" s="392"/>
      <c r="T10" s="392"/>
      <c r="U10" s="392"/>
      <c r="V10" s="392"/>
      <c r="W10" s="392"/>
    </row>
    <row r="11" spans="1:23" s="76" customFormat="1">
      <c r="A11" s="263"/>
      <c r="B11" s="78" t="s">
        <v>725</v>
      </c>
      <c r="C11" s="78"/>
      <c r="D11" s="78"/>
      <c r="E11" s="78"/>
      <c r="F11" s="78"/>
      <c r="G11" s="78"/>
      <c r="H11" s="166">
        <v>44926</v>
      </c>
      <c r="I11" s="89">
        <f>+DATE(YEAR(H11)+1,MONTH(H11),DAY(H11))</f>
        <v>45291</v>
      </c>
      <c r="J11" s="95">
        <f t="shared" ref="J11:O11" si="0">+DATE(YEAR(I11)+1,MONTH(I11),DAY(I11))</f>
        <v>45657</v>
      </c>
      <c r="K11" s="92">
        <f t="shared" si="0"/>
        <v>46022</v>
      </c>
      <c r="L11" s="93">
        <f t="shared" si="0"/>
        <v>46387</v>
      </c>
      <c r="M11" s="93">
        <f t="shared" si="0"/>
        <v>46752</v>
      </c>
      <c r="N11" s="93">
        <f t="shared" si="0"/>
        <v>47118</v>
      </c>
      <c r="O11" s="93">
        <f t="shared" si="0"/>
        <v>47483</v>
      </c>
      <c r="P11" s="96" t="s">
        <v>217</v>
      </c>
      <c r="Q11" s="96" t="s">
        <v>522</v>
      </c>
      <c r="R11" s="392"/>
      <c r="S11" s="392"/>
      <c r="T11" s="392"/>
      <c r="U11" s="392"/>
      <c r="V11" s="392"/>
      <c r="W11" s="392"/>
    </row>
    <row r="12" spans="1:23" s="76" customFormat="1">
      <c r="A12" s="263"/>
    </row>
    <row r="13" spans="1:23" s="76" customFormat="1">
      <c r="A13" s="263" t="s">
        <v>356</v>
      </c>
      <c r="B13" s="173" t="s">
        <v>355</v>
      </c>
      <c r="C13" s="79"/>
      <c r="D13" s="79"/>
      <c r="E13" s="79"/>
      <c r="F13" s="79"/>
      <c r="G13" s="79"/>
      <c r="H13" s="79"/>
      <c r="I13" s="79"/>
      <c r="J13" s="79"/>
      <c r="K13" s="79"/>
      <c r="L13" s="79"/>
      <c r="M13" s="79"/>
      <c r="N13" s="79"/>
      <c r="O13" s="79"/>
      <c r="P13" s="79"/>
      <c r="Q13" s="79"/>
      <c r="R13" s="79"/>
      <c r="S13" s="79"/>
      <c r="T13" s="79"/>
      <c r="U13" s="79"/>
      <c r="V13" s="79"/>
      <c r="W13" s="79"/>
    </row>
    <row r="14" spans="1:23" s="76" customFormat="1">
      <c r="A14" s="263"/>
    </row>
    <row r="15" spans="1:23" s="110" customFormat="1">
      <c r="A15" s="264"/>
      <c r="B15" s="109" t="s">
        <v>357</v>
      </c>
      <c r="C15" s="109"/>
      <c r="D15" s="109"/>
      <c r="E15" s="109"/>
      <c r="F15" s="109"/>
      <c r="G15" s="109"/>
      <c r="H15" s="329">
        <f>+'3s'!C53/10^9</f>
        <v>18.635704282999999</v>
      </c>
      <c r="I15" s="329">
        <f>+'3s'!D53/10^9</f>
        <v>70.196780896000007</v>
      </c>
      <c r="J15" s="329">
        <f>+'3s'!E53/10^9</f>
        <v>108.665913336</v>
      </c>
      <c r="K15" s="329">
        <f>+EBIT!K15</f>
        <v>157.85651920000001</v>
      </c>
      <c r="L15" s="329">
        <f>+EBIT!L15</f>
        <v>197.47131419900001</v>
      </c>
      <c r="M15" s="329">
        <f>+EBIT!M15</f>
        <v>243.07045855378004</v>
      </c>
      <c r="N15" s="329">
        <f>+EBIT!N15</f>
        <v>295.8876600536542</v>
      </c>
      <c r="O15" s="329">
        <f>+EBIT!O15</f>
        <v>354.90822451659716</v>
      </c>
    </row>
    <row r="16" spans="1:23" s="108" customFormat="1">
      <c r="A16" s="265"/>
      <c r="B16" s="106" t="s">
        <v>358</v>
      </c>
      <c r="C16" s="105"/>
      <c r="D16" s="105"/>
      <c r="E16" s="105"/>
      <c r="F16" s="105"/>
      <c r="G16" s="105"/>
      <c r="I16" s="111">
        <f>+I15/H15-1</f>
        <v>2.7667898046673471</v>
      </c>
      <c r="J16" s="111">
        <f t="shared" ref="J16:O16" si="1">+J15/I15-1</f>
        <v>0.54801846963600664</v>
      </c>
      <c r="K16" s="111">
        <f t="shared" si="1"/>
        <v>0.45267742527410948</v>
      </c>
      <c r="L16" s="111">
        <f t="shared" si="1"/>
        <v>0.2509544439454483</v>
      </c>
      <c r="M16" s="111">
        <f t="shared" si="1"/>
        <v>0.23091528275761553</v>
      </c>
      <c r="N16" s="111">
        <f t="shared" si="1"/>
        <v>0.21729173431492166</v>
      </c>
      <c r="O16" s="111">
        <f t="shared" si="1"/>
        <v>0.19946950289255239</v>
      </c>
    </row>
    <row r="17" spans="1:23">
      <c r="B17" s="76" t="s">
        <v>359</v>
      </c>
      <c r="H17" s="330">
        <f>+'3s'!C54/10^9</f>
        <v>10.968670439</v>
      </c>
      <c r="I17" s="330">
        <f>+'3s'!D54/10^9</f>
        <v>60.966276976000003</v>
      </c>
      <c r="J17" s="330">
        <f>+'3s'!E54/10^9</f>
        <v>75.461607002999997</v>
      </c>
      <c r="K17" s="330">
        <f>+EBIT!K55</f>
        <v>93.560791990971381</v>
      </c>
      <c r="L17" s="330">
        <f>+EBIT!L55</f>
        <v>117.52063178866389</v>
      </c>
      <c r="M17" s="330">
        <f>+EBIT!M55</f>
        <v>147.7665634210619</v>
      </c>
      <c r="N17" s="330">
        <f>+EBIT!N55</f>
        <v>175.15505590703594</v>
      </c>
      <c r="O17" s="330">
        <f>+EBIT!O55</f>
        <v>205.67630371029054</v>
      </c>
    </row>
    <row r="18" spans="1:23" s="110" customFormat="1">
      <c r="A18" s="264"/>
      <c r="B18" s="109" t="s">
        <v>360</v>
      </c>
      <c r="C18" s="109"/>
      <c r="D18" s="109"/>
      <c r="E18" s="109"/>
      <c r="F18" s="109"/>
      <c r="G18" s="109"/>
      <c r="H18" s="329">
        <f>+'3s'!C55/10^9</f>
        <v>7.6670338439999997</v>
      </c>
      <c r="I18" s="329">
        <f>+'3s'!D55/10^9</f>
        <v>9.2305039200000003</v>
      </c>
      <c r="J18" s="329">
        <f>+'3s'!E55/10^9</f>
        <v>33.204306332999998</v>
      </c>
      <c r="K18" s="110">
        <f>+K15-K17</f>
        <v>64.295727209028627</v>
      </c>
      <c r="L18" s="110">
        <f>+L15-L17</f>
        <v>79.950682410336114</v>
      </c>
      <c r="M18" s="110">
        <f>+M15-M17</f>
        <v>95.303895132718139</v>
      </c>
      <c r="N18" s="110">
        <f>+N15-N17</f>
        <v>120.73260414661826</v>
      </c>
      <c r="O18" s="110">
        <f>+O15-O17</f>
        <v>149.23192080630662</v>
      </c>
    </row>
    <row r="19" spans="1:23" s="108" customFormat="1">
      <c r="A19" s="265"/>
      <c r="B19" s="106" t="s">
        <v>361</v>
      </c>
      <c r="C19" s="105"/>
      <c r="D19" s="105"/>
      <c r="E19" s="105"/>
      <c r="F19" s="105"/>
      <c r="G19" s="105"/>
      <c r="H19" s="111">
        <f>+H18/H15</f>
        <v>0.41141637190466035</v>
      </c>
      <c r="I19" s="111">
        <f t="shared" ref="I19:O19" si="2">+I18/I15</f>
        <v>0.13149468967352573</v>
      </c>
      <c r="J19" s="111">
        <f t="shared" si="2"/>
        <v>0.30556321953813387</v>
      </c>
      <c r="K19" s="111">
        <f t="shared" si="2"/>
        <v>0.40730485845546643</v>
      </c>
      <c r="L19" s="111">
        <f t="shared" si="2"/>
        <v>0.40487238733706155</v>
      </c>
      <c r="M19" s="111">
        <f t="shared" si="2"/>
        <v>0.39208341359026927</v>
      </c>
      <c r="N19" s="111">
        <f t="shared" si="2"/>
        <v>0.40803527975693699</v>
      </c>
      <c r="O19" s="111">
        <f t="shared" si="2"/>
        <v>0.4204803115215715</v>
      </c>
    </row>
    <row r="20" spans="1:23">
      <c r="B20" s="76" t="s">
        <v>362</v>
      </c>
      <c r="H20" s="330">
        <f>+'3s'!C56/10^9</f>
        <v>5.119060964</v>
      </c>
      <c r="I20" s="330">
        <f>+'3s'!D56/10^9</f>
        <v>6.355442976</v>
      </c>
      <c r="J20" s="330">
        <f>+'3s'!E56/10^9</f>
        <v>9.5652775680000008</v>
      </c>
      <c r="K20" s="330">
        <f>+EBIT!K91</f>
        <v>11.950628011042832</v>
      </c>
      <c r="L20" s="330">
        <f>+EBIT!L91</f>
        <v>14.242753599970724</v>
      </c>
      <c r="M20" s="330">
        <f>+EBIT!M91</f>
        <v>17.064631775088419</v>
      </c>
      <c r="N20" s="330">
        <f>+EBIT!N91</f>
        <v>19.865494173689349</v>
      </c>
      <c r="O20" s="330">
        <f>+EBIT!O91</f>
        <v>22.813375564374905</v>
      </c>
    </row>
    <row r="21" spans="1:23" s="110" customFormat="1">
      <c r="A21" s="264"/>
      <c r="B21" s="109" t="s">
        <v>363</v>
      </c>
      <c r="C21" s="109"/>
      <c r="D21" s="109"/>
      <c r="E21" s="109"/>
      <c r="F21" s="109"/>
      <c r="G21" s="109"/>
      <c r="H21" s="329">
        <f>+'3s'!C57/10^9</f>
        <v>2.5479728800000001</v>
      </c>
      <c r="I21" s="329">
        <f>+'3s'!D57/10^9</f>
        <v>2.8750609439999999</v>
      </c>
      <c r="J21" s="329">
        <f>+'3s'!E57/10^9</f>
        <v>23.639028764999999</v>
      </c>
      <c r="K21" s="110">
        <f>+K18-K20</f>
        <v>52.345099197985796</v>
      </c>
      <c r="L21" s="110">
        <f>+L18-L20</f>
        <v>65.707928810365388</v>
      </c>
      <c r="M21" s="110">
        <f>+M18-M20</f>
        <v>78.239263357629724</v>
      </c>
      <c r="N21" s="110">
        <f>+N18-N20</f>
        <v>100.86710997292892</v>
      </c>
      <c r="O21" s="110">
        <f>+O18-O20</f>
        <v>126.41854524193171</v>
      </c>
    </row>
    <row r="22" spans="1:23" s="108" customFormat="1">
      <c r="A22" s="265"/>
      <c r="B22" s="106" t="s">
        <v>361</v>
      </c>
      <c r="C22" s="105"/>
      <c r="D22" s="105"/>
      <c r="E22" s="105"/>
      <c r="F22" s="105"/>
      <c r="G22" s="105"/>
      <c r="H22" s="111">
        <f>+H21/H15</f>
        <v>0.13672533333362297</v>
      </c>
      <c r="I22" s="111">
        <f t="shared" ref="I22:O22" si="3">+I21/I15</f>
        <v>4.0957162241663826E-2</v>
      </c>
      <c r="J22" s="111">
        <f t="shared" si="3"/>
        <v>0.21753858260876191</v>
      </c>
      <c r="K22" s="111">
        <f t="shared" si="3"/>
        <v>0.33159922354341254</v>
      </c>
      <c r="L22" s="111">
        <f t="shared" si="3"/>
        <v>0.33274670337256573</v>
      </c>
      <c r="M22" s="111">
        <f t="shared" si="3"/>
        <v>0.32187894745884582</v>
      </c>
      <c r="N22" s="111">
        <f t="shared" si="3"/>
        <v>0.34089664284964899</v>
      </c>
      <c r="O22" s="111">
        <f t="shared" si="3"/>
        <v>0.35620066402834177</v>
      </c>
    </row>
    <row r="23" spans="1:23">
      <c r="B23" s="76" t="s">
        <v>364</v>
      </c>
      <c r="H23" s="330">
        <f>+'3s'!C61/10^9</f>
        <v>0.14093905500000001</v>
      </c>
      <c r="I23" s="330">
        <f>+'3s'!D61/10^9</f>
        <v>0.41868770100000002</v>
      </c>
      <c r="J23" s="330">
        <f>+'3s'!E61/10^9</f>
        <v>5.4903554E-2</v>
      </c>
      <c r="K23" s="107">
        <f>+J23</f>
        <v>5.4903554E-2</v>
      </c>
      <c r="L23" s="107">
        <f>+K23</f>
        <v>5.4903554E-2</v>
      </c>
      <c r="M23" s="107">
        <f>+L23</f>
        <v>5.4903554E-2</v>
      </c>
      <c r="N23" s="107">
        <f>+M23</f>
        <v>5.4903554E-2</v>
      </c>
      <c r="O23" s="107">
        <f>+N23</f>
        <v>5.4903554E-2</v>
      </c>
    </row>
    <row r="24" spans="1:23">
      <c r="B24" s="76" t="s">
        <v>365</v>
      </c>
      <c r="H24" s="330">
        <f>+'3s'!C64/10^9</f>
        <v>0.80462865299999997</v>
      </c>
      <c r="I24" s="330">
        <f>+'3s'!D64/10^9</f>
        <v>2.9280820900000002</v>
      </c>
      <c r="J24" s="330">
        <f>+'3s'!E64/10^9</f>
        <v>5.2504781119999997</v>
      </c>
      <c r="K24" s="107">
        <f>+K162</f>
        <v>2.1772008241171403</v>
      </c>
      <c r="L24" s="107">
        <f>+L162</f>
        <v>2.1165815623157238</v>
      </c>
      <c r="M24" s="107">
        <f>+M162</f>
        <v>2.2687827259796229</v>
      </c>
      <c r="N24" s="107">
        <f>+N162</f>
        <v>2.3288269700749042</v>
      </c>
      <c r="O24" s="107">
        <f>+O162</f>
        <v>2.4520466312348401</v>
      </c>
    </row>
    <row r="25" spans="1:23">
      <c r="B25" s="76" t="s">
        <v>366</v>
      </c>
      <c r="H25" s="330">
        <f>+('3s'!C58-'3s'!C59+'3s'!C62-'3s'!C65+'3s'!C66)/10^9</f>
        <v>-1.7937926609999999</v>
      </c>
      <c r="I25" s="330">
        <f>+('3s'!D58-'3s'!D59+'3s'!D62-'3s'!D65+'3s'!D66)/10^9</f>
        <v>-50.463073358000003</v>
      </c>
      <c r="J25" s="330">
        <f>+('3s'!E58-'3s'!E59+'3s'!E62-'3s'!E65+'3s'!E66)/10^9</f>
        <v>-3.257710002</v>
      </c>
      <c r="K25" s="330">
        <f>-('3s'!L244+'3s'!L248)/10^9</f>
        <v>-70.767518461999998</v>
      </c>
      <c r="L25" s="221">
        <v>0</v>
      </c>
      <c r="M25" s="221">
        <v>0</v>
      </c>
      <c r="N25" s="221">
        <v>0</v>
      </c>
      <c r="O25" s="221">
        <v>0</v>
      </c>
    </row>
    <row r="26" spans="1:23" s="110" customFormat="1">
      <c r="A26" s="264"/>
      <c r="B26" s="109" t="s">
        <v>367</v>
      </c>
      <c r="C26" s="109"/>
      <c r="D26" s="109"/>
      <c r="E26" s="109"/>
      <c r="F26" s="109"/>
      <c r="G26" s="109"/>
      <c r="H26" s="329">
        <f>+'3s'!C67/10^9</f>
        <v>9.0490620999999993E-2</v>
      </c>
      <c r="I26" s="329">
        <f>+'3s'!D67/10^9</f>
        <v>-50.097406802999998</v>
      </c>
      <c r="J26" s="329">
        <f>+'3s'!E67/10^9</f>
        <v>15.185744205000001</v>
      </c>
      <c r="K26" s="110">
        <f>+K21+K23-K24+K25</f>
        <v>-20.544716534131346</v>
      </c>
      <c r="L26" s="110">
        <f>+L21+L23-L24+L25</f>
        <v>63.646250802049671</v>
      </c>
      <c r="M26" s="110">
        <f>+M21+M23-M24+M25</f>
        <v>76.025384185650111</v>
      </c>
      <c r="N26" s="110">
        <f>+N21+N23-N24+N25</f>
        <v>98.593186556854022</v>
      </c>
      <c r="O26" s="110">
        <f>+O21+O23-O24+O25</f>
        <v>124.02140216469688</v>
      </c>
    </row>
    <row r="27" spans="1:23">
      <c r="B27" s="76" t="s">
        <v>368</v>
      </c>
      <c r="H27" s="330">
        <f>+'3s'!C68/10^9</f>
        <v>0.123092731</v>
      </c>
      <c r="I27" s="330">
        <f>+'3s'!D68/10^9</f>
        <v>-2.7084131359999999</v>
      </c>
      <c r="J27" s="330">
        <f>+'3s'!E68/10^9</f>
        <v>1.682079973</v>
      </c>
      <c r="K27" s="107">
        <f>+K179</f>
        <v>-5.6497970468861203</v>
      </c>
      <c r="L27" s="107">
        <f>+L179</f>
        <v>14.940392694096019</v>
      </c>
      <c r="M27" s="107">
        <f>+M179</f>
        <v>17.936142972927328</v>
      </c>
      <c r="N27" s="107">
        <f>+N179</f>
        <v>23.397551146758673</v>
      </c>
      <c r="O27" s="107">
        <f>+O179</f>
        <v>29.551179323856644</v>
      </c>
    </row>
    <row r="28" spans="1:23" s="108" customFormat="1">
      <c r="A28" s="265"/>
      <c r="B28" s="106" t="s">
        <v>369</v>
      </c>
      <c r="C28" s="105"/>
      <c r="D28" s="105"/>
      <c r="E28" s="105"/>
      <c r="F28" s="105"/>
      <c r="G28" s="105"/>
      <c r="H28" s="111">
        <f>+H27/H26</f>
        <v>1.3602816473101671</v>
      </c>
      <c r="I28" s="111">
        <f t="shared" ref="I28:O28" si="4">+I27/I26</f>
        <v>5.4062940755604361E-2</v>
      </c>
      <c r="J28" s="111">
        <f t="shared" si="4"/>
        <v>0.11076704245065347</v>
      </c>
      <c r="K28" s="111">
        <f t="shared" si="4"/>
        <v>0.27500000000000002</v>
      </c>
      <c r="L28" s="111">
        <f t="shared" si="4"/>
        <v>0.23474112780913212</v>
      </c>
      <c r="M28" s="111">
        <f t="shared" si="4"/>
        <v>0.23592308233692291</v>
      </c>
      <c r="N28" s="111">
        <f t="shared" si="4"/>
        <v>0.23731407781679126</v>
      </c>
      <c r="O28" s="111">
        <f t="shared" si="4"/>
        <v>0.23827483650453751</v>
      </c>
    </row>
    <row r="29" spans="1:23" s="110" customFormat="1">
      <c r="A29" s="264"/>
      <c r="B29" s="109" t="s">
        <v>370</v>
      </c>
      <c r="C29" s="109"/>
      <c r="D29" s="109"/>
      <c r="E29" s="109"/>
      <c r="F29" s="109"/>
      <c r="G29" s="109"/>
      <c r="H29" s="329">
        <f>+'3s'!C69/10^9</f>
        <v>-3.2602109999999997E-2</v>
      </c>
      <c r="I29" s="329">
        <f>+'3s'!D69/10^9</f>
        <v>-47.388993667000001</v>
      </c>
      <c r="J29" s="329">
        <f>+'3s'!E69/10^9</f>
        <v>13.503664232</v>
      </c>
      <c r="K29" s="110">
        <f>+K26-K27</f>
        <v>-14.894919487245225</v>
      </c>
      <c r="L29" s="110">
        <f>+L26-L27</f>
        <v>48.705858107953652</v>
      </c>
      <c r="M29" s="110">
        <f>+M26-M27</f>
        <v>58.089241212722783</v>
      </c>
      <c r="N29" s="110">
        <f>+N26-N27</f>
        <v>75.195635410095349</v>
      </c>
      <c r="O29" s="110">
        <f>+O26-O27</f>
        <v>94.470222840840236</v>
      </c>
    </row>
    <row r="30" spans="1:23" s="108" customFormat="1">
      <c r="A30" s="265"/>
      <c r="B30" s="106" t="s">
        <v>361</v>
      </c>
      <c r="C30" s="105"/>
      <c r="D30" s="105"/>
      <c r="E30" s="105"/>
      <c r="F30" s="105"/>
      <c r="G30" s="105"/>
      <c r="H30" s="111">
        <f>+H29/H15</f>
        <v>-1.7494434073919351E-3</v>
      </c>
      <c r="I30" s="111">
        <f t="shared" ref="I30:O30" si="5">+I29/I15</f>
        <v>-0.67508784679470035</v>
      </c>
      <c r="J30" s="111">
        <f t="shared" si="5"/>
        <v>0.12426771024549391</v>
      </c>
      <c r="K30" s="111">
        <f t="shared" si="5"/>
        <v>-9.4357328811829164E-2</v>
      </c>
      <c r="L30" s="111">
        <f t="shared" si="5"/>
        <v>0.24664776403356867</v>
      </c>
      <c r="M30" s="111">
        <f t="shared" si="5"/>
        <v>0.23898108210410263</v>
      </c>
      <c r="N30" s="111">
        <f t="shared" si="5"/>
        <v>0.25413576016133926</v>
      </c>
      <c r="O30" s="111">
        <f t="shared" si="5"/>
        <v>0.26618211784050211</v>
      </c>
    </row>
    <row r="32" spans="1:23" s="76" customFormat="1">
      <c r="A32" s="263" t="s">
        <v>356</v>
      </c>
      <c r="B32" s="173" t="s">
        <v>371</v>
      </c>
      <c r="C32" s="79"/>
      <c r="D32" s="79"/>
      <c r="E32" s="79"/>
      <c r="F32" s="79"/>
      <c r="G32" s="79"/>
      <c r="H32" s="79"/>
      <c r="I32" s="79"/>
      <c r="J32" s="79"/>
      <c r="K32" s="79"/>
      <c r="L32" s="79"/>
      <c r="M32" s="79"/>
      <c r="N32" s="79"/>
      <c r="O32" s="79"/>
      <c r="P32" s="79"/>
      <c r="Q32" s="79"/>
      <c r="R32" s="79"/>
      <c r="S32" s="79"/>
      <c r="T32" s="79"/>
      <c r="U32" s="79"/>
      <c r="V32" s="79"/>
      <c r="W32" s="79"/>
    </row>
    <row r="34" spans="1:15" s="110" customFormat="1">
      <c r="A34" s="264"/>
      <c r="B34" s="109" t="s">
        <v>372</v>
      </c>
      <c r="C34" s="109"/>
      <c r="D34" s="109"/>
      <c r="E34" s="109"/>
      <c r="F34" s="109"/>
      <c r="G34" s="109"/>
      <c r="H34" s="329">
        <f>+'3s'!C22/10^9</f>
        <v>116.090989896</v>
      </c>
      <c r="I34" s="329">
        <f>+'3s'!D22/10^9</f>
        <v>164.56716393599999</v>
      </c>
      <c r="J34" s="329">
        <f>+'3s'!E22/10^9</f>
        <v>180.35686759000001</v>
      </c>
      <c r="K34" s="110">
        <f>+K35+K40</f>
        <v>293.85910475720488</v>
      </c>
      <c r="L34" s="110">
        <f>+L35+L40</f>
        <v>356.2355997850965</v>
      </c>
      <c r="M34" s="110">
        <f>+M35+M40</f>
        <v>420.69397746153186</v>
      </c>
      <c r="N34" s="110">
        <f>+N35+N40</f>
        <v>507.28363142565036</v>
      </c>
      <c r="O34" s="110">
        <f>+O35+O40</f>
        <v>613.1503372095442</v>
      </c>
    </row>
    <row r="35" spans="1:15" s="110" customFormat="1">
      <c r="A35" s="264"/>
      <c r="B35" s="112" t="s">
        <v>373</v>
      </c>
      <c r="C35" s="109"/>
      <c r="D35" s="109"/>
      <c r="E35" s="109"/>
      <c r="F35" s="109"/>
      <c r="G35" s="109"/>
      <c r="H35" s="329">
        <f>+'3s'!C5/10^9</f>
        <v>65.986780945999996</v>
      </c>
      <c r="I35" s="329">
        <f>+'3s'!D5/10^9</f>
        <v>63.970786965000002</v>
      </c>
      <c r="J35" s="329">
        <f>+'3s'!E5/10^9</f>
        <v>67.687584185000006</v>
      </c>
      <c r="K35" s="110">
        <f>+SUM(K36:K39)</f>
        <v>172.60601024580964</v>
      </c>
      <c r="L35" s="110">
        <f>+SUM(L36:L39)</f>
        <v>201.13229235594991</v>
      </c>
      <c r="M35" s="110">
        <f>+SUM(M36:M39)</f>
        <v>257.34913874813333</v>
      </c>
      <c r="N35" s="110">
        <f>+SUM(N36:N39)</f>
        <v>339.40442272548557</v>
      </c>
      <c r="O35" s="110">
        <f>+SUM(O36:O39)</f>
        <v>440.52654442596776</v>
      </c>
    </row>
    <row r="36" spans="1:15">
      <c r="B36" s="113" t="s">
        <v>374</v>
      </c>
      <c r="H36" s="330">
        <f>+'3s'!C6/10^9</f>
        <v>28.012486271</v>
      </c>
      <c r="I36" s="330">
        <f>+'3s'!D6/10^9</f>
        <v>22.726383499000001</v>
      </c>
      <c r="J36" s="330">
        <f>+'3s'!E6/10^9</f>
        <v>24.742641688999999</v>
      </c>
      <c r="K36" s="107">
        <f>+J36+K88</f>
        <v>116.93109756792916</v>
      </c>
      <c r="L36" s="107">
        <f>+K36+L88</f>
        <v>131.26674485927882</v>
      </c>
      <c r="M36" s="107">
        <f>+L36+M88</f>
        <v>169.93477450754131</v>
      </c>
      <c r="N36" s="107">
        <f>+M36+N88</f>
        <v>235.14530360466841</v>
      </c>
      <c r="O36" s="107">
        <f>+N36+O88</f>
        <v>317.48252298476865</v>
      </c>
    </row>
    <row r="37" spans="1:15">
      <c r="B37" s="113" t="s">
        <v>375</v>
      </c>
      <c r="H37" s="330">
        <f>+'3s'!C7/10^9</f>
        <v>3.4732903400000001</v>
      </c>
      <c r="I37" s="330">
        <f>+'3s'!D7/10^9</f>
        <v>7.8674668649999999</v>
      </c>
      <c r="J37" s="330">
        <f>+'3s'!E7/10^9</f>
        <v>9.3420341340000004</v>
      </c>
      <c r="K37" s="107">
        <f>+K99</f>
        <v>12.625656254882358</v>
      </c>
      <c r="L37" s="107">
        <f>+L99</f>
        <v>15.794120799772733</v>
      </c>
      <c r="M37" s="107">
        <f>+M99</f>
        <v>19.441224670160192</v>
      </c>
      <c r="N37" s="107">
        <f>+N99</f>
        <v>23.665642095945341</v>
      </c>
      <c r="O37" s="107">
        <f>+O99</f>
        <v>28.386215960456621</v>
      </c>
    </row>
    <row r="38" spans="1:15">
      <c r="B38" s="113" t="s">
        <v>376</v>
      </c>
      <c r="H38" s="330">
        <f>+'3s'!C12/10^9</f>
        <v>24.248690094000001</v>
      </c>
      <c r="I38" s="330">
        <f>+'3s'!D12/10^9</f>
        <v>33.139257966999999</v>
      </c>
      <c r="J38" s="330">
        <f>+'3s'!E12/10^9</f>
        <v>33.301515563000002</v>
      </c>
      <c r="K38" s="107">
        <f t="shared" ref="K38:O39" si="6">+K100</f>
        <v>42.611429907750647</v>
      </c>
      <c r="L38" s="107">
        <f t="shared" si="6"/>
        <v>53.523725671972393</v>
      </c>
      <c r="M38" s="107">
        <f t="shared" si="6"/>
        <v>67.29896600846844</v>
      </c>
      <c r="N38" s="107">
        <f t="shared" si="6"/>
        <v>79.772811120400149</v>
      </c>
      <c r="O38" s="107">
        <f t="shared" si="6"/>
        <v>93.673441756264964</v>
      </c>
    </row>
    <row r="39" spans="1:15">
      <c r="B39" s="113" t="s">
        <v>377</v>
      </c>
      <c r="H39" s="330">
        <f>+('3s'!C10+'3s'!C11+'3s'!C13)/10^9</f>
        <v>10.252314241000001</v>
      </c>
      <c r="I39" s="330">
        <f>+('3s'!D10+'3s'!D11+'3s'!D13)/10^9</f>
        <v>0.237678634</v>
      </c>
      <c r="J39" s="330">
        <f>+('3s'!E10+'3s'!E11+'3s'!E13)/10^9</f>
        <v>0.30139279899999999</v>
      </c>
      <c r="K39" s="107">
        <f t="shared" si="6"/>
        <v>0.43782651524747718</v>
      </c>
      <c r="L39" s="107">
        <f t="shared" si="6"/>
        <v>0.54770102492598116</v>
      </c>
      <c r="M39" s="107">
        <f t="shared" si="6"/>
        <v>0.67417356196340006</v>
      </c>
      <c r="N39" s="107">
        <f t="shared" si="6"/>
        <v>0.82066590447169552</v>
      </c>
      <c r="O39" s="107">
        <f t="shared" si="6"/>
        <v>0.98436372447753162</v>
      </c>
    </row>
    <row r="40" spans="1:15" s="110" customFormat="1">
      <c r="A40" s="264"/>
      <c r="B40" s="112" t="s">
        <v>378</v>
      </c>
      <c r="C40" s="109"/>
      <c r="D40" s="109"/>
      <c r="E40" s="109"/>
      <c r="F40" s="109"/>
      <c r="G40" s="109"/>
      <c r="H40" s="329">
        <f>+'3s'!C14/10^9</f>
        <v>50.10420895</v>
      </c>
      <c r="I40" s="329">
        <f>+'3s'!D14/10^9</f>
        <v>100.596376971</v>
      </c>
      <c r="J40" s="329">
        <f>+'3s'!E14/10^9</f>
        <v>112.669283405</v>
      </c>
      <c r="K40" s="110">
        <f>+SUM(K41:K43)</f>
        <v>121.25309451139523</v>
      </c>
      <c r="L40" s="110">
        <f>+SUM(L41:L43)</f>
        <v>155.10330742914658</v>
      </c>
      <c r="M40" s="110">
        <f>+SUM(M41:M43)</f>
        <v>163.3448387133985</v>
      </c>
      <c r="N40" s="110">
        <f>+SUM(N41:N43)</f>
        <v>167.87920870016481</v>
      </c>
      <c r="O40" s="110">
        <f>+SUM(O41:O43)</f>
        <v>172.62379278357639</v>
      </c>
    </row>
    <row r="41" spans="1:15">
      <c r="B41" s="113" t="s">
        <v>379</v>
      </c>
      <c r="H41" s="330">
        <f>+'3s'!C18/10^9</f>
        <v>45.721070283000003</v>
      </c>
      <c r="I41" s="330">
        <f>+'3s'!D18/10^9</f>
        <v>91.539926203999997</v>
      </c>
      <c r="J41" s="330">
        <f>+'3s'!E18/10^9</f>
        <v>100.151000731</v>
      </c>
      <c r="K41" s="107">
        <f>+K126</f>
        <v>108.0646328983939</v>
      </c>
      <c r="L41" s="107">
        <f>+L126</f>
        <v>141.16898305183616</v>
      </c>
      <c r="M41" s="107">
        <f>+M126</f>
        <v>148.57114574661918</v>
      </c>
      <c r="N41" s="107">
        <f>+N126</f>
        <v>152.1517000486553</v>
      </c>
      <c r="O41" s="107">
        <f>+O126</f>
        <v>155.8185454608892</v>
      </c>
    </row>
    <row r="42" spans="1:15">
      <c r="B42" s="113" t="s">
        <v>724</v>
      </c>
      <c r="H42" s="330">
        <f>+'3s'!C20/10^9</f>
        <v>0.20216782999999999</v>
      </c>
      <c r="I42" s="330">
        <f>+'3s'!D20/10^9</f>
        <v>0.54383848899999998</v>
      </c>
      <c r="J42" s="330">
        <f>+'3s'!E20/10^9</f>
        <v>1.1961402379999999</v>
      </c>
      <c r="K42" s="107">
        <f>+K133</f>
        <v>1.8663191770013432</v>
      </c>
      <c r="L42" s="107">
        <f>+L133</f>
        <v>2.6121819413103999</v>
      </c>
      <c r="M42" s="107">
        <f>+M133</f>
        <v>3.4515505307793015</v>
      </c>
      <c r="N42" s="107">
        <f>+N133</f>
        <v>4.4053662155095088</v>
      </c>
      <c r="O42" s="107">
        <f>+O133</f>
        <v>5.4831048866871868</v>
      </c>
    </row>
    <row r="43" spans="1:15">
      <c r="B43" s="113" t="s">
        <v>380</v>
      </c>
      <c r="H43" s="330">
        <f>+(SUM('3s'!C15:C17)+SUM('3s'!C19:C21))/10^9-H42</f>
        <v>4.1809708370000003</v>
      </c>
      <c r="I43" s="330">
        <f>+(SUM('3s'!D15:D17)+SUM('3s'!D19:D21))/10^9-I42</f>
        <v>8.5126122779999989</v>
      </c>
      <c r="J43" s="330">
        <f>+(SUM('3s'!E15:E17)+SUM('3s'!E19:E21))/10^9-J42</f>
        <v>11.322142436</v>
      </c>
      <c r="K43" s="207">
        <f>+J43</f>
        <v>11.322142436</v>
      </c>
      <c r="L43" s="207">
        <f>+K43</f>
        <v>11.322142436</v>
      </c>
      <c r="M43" s="207">
        <f>+L43</f>
        <v>11.322142436</v>
      </c>
      <c r="N43" s="207">
        <f>+M43</f>
        <v>11.322142436</v>
      </c>
      <c r="O43" s="207">
        <f>+N43</f>
        <v>11.322142436</v>
      </c>
    </row>
    <row r="45" spans="1:15" s="110" customFormat="1">
      <c r="A45" s="264"/>
      <c r="B45" s="109" t="s">
        <v>381</v>
      </c>
      <c r="C45" s="109"/>
      <c r="D45" s="109"/>
      <c r="E45" s="109"/>
      <c r="F45" s="109"/>
      <c r="G45" s="109"/>
      <c r="H45" s="329">
        <f>+'3s'!C38/10^9</f>
        <v>137.84240327399999</v>
      </c>
      <c r="I45" s="329">
        <f>+'3s'!D38/10^9</f>
        <v>218.76899202800001</v>
      </c>
      <c r="J45" s="329">
        <f>+'3s'!E38/10^9</f>
        <v>218.312543858</v>
      </c>
      <c r="K45" s="110">
        <f>+K46+K53</f>
        <v>105.28014885745009</v>
      </c>
      <c r="L45" s="110">
        <f>+L46+L53</f>
        <v>118.92187360035844</v>
      </c>
      <c r="M45" s="110">
        <f>+M46+M53</f>
        <v>125.26036315641964</v>
      </c>
      <c r="N45" s="110">
        <f>+N46+N53</f>
        <v>136.62189598833243</v>
      </c>
      <c r="O45" s="110">
        <f>+O46+O53</f>
        <v>147.98394406594892</v>
      </c>
    </row>
    <row r="46" spans="1:15" s="110" customFormat="1">
      <c r="A46" s="264"/>
      <c r="B46" s="112" t="s">
        <v>382</v>
      </c>
      <c r="C46" s="109"/>
      <c r="D46" s="109"/>
      <c r="E46" s="109"/>
      <c r="F46" s="109"/>
      <c r="G46" s="109"/>
      <c r="H46" s="329">
        <f>+'3s'!C24/10^9</f>
        <v>104.85670791299999</v>
      </c>
      <c r="I46" s="329">
        <f>+'3s'!D24/10^9</f>
        <v>195.365147611</v>
      </c>
      <c r="J46" s="329">
        <f>+'3s'!E24/10^9</f>
        <v>203.20902307599999</v>
      </c>
      <c r="K46" s="110">
        <f>+SUM(K47:K52)</f>
        <v>90.305628075450088</v>
      </c>
      <c r="L46" s="110">
        <f>+SUM(L47:L52)</f>
        <v>110.66935281835843</v>
      </c>
      <c r="M46" s="110">
        <f>+SUM(M47:M52)</f>
        <v>122.29584237441965</v>
      </c>
      <c r="N46" s="110">
        <f>+SUM(N47:N52)</f>
        <v>135.07935052733242</v>
      </c>
      <c r="O46" s="110">
        <f>+SUM(O47:O52)</f>
        <v>147.86337392594891</v>
      </c>
    </row>
    <row r="47" spans="1:15">
      <c r="B47" s="113" t="s">
        <v>383</v>
      </c>
      <c r="H47" s="330">
        <f>+'3s'!C25/10^9</f>
        <v>2.424809888</v>
      </c>
      <c r="I47" s="330">
        <f>+'3s'!D25/10^9</f>
        <v>16.338816644000001</v>
      </c>
      <c r="J47" s="330">
        <f>+'3s'!E25/10^9</f>
        <v>13.928611789</v>
      </c>
      <c r="K47" s="107">
        <f>+K104</f>
        <v>21.207224606783548</v>
      </c>
      <c r="L47" s="107">
        <f>+L104</f>
        <v>26.529271865605143</v>
      </c>
      <c r="M47" s="107">
        <f>+M104</f>
        <v>32.65528617980501</v>
      </c>
      <c r="N47" s="107">
        <f>+N104</f>
        <v>39.751009948364931</v>
      </c>
      <c r="O47" s="107">
        <f>+O104</f>
        <v>47.680124142242192</v>
      </c>
    </row>
    <row r="48" spans="1:15">
      <c r="B48" s="113" t="s">
        <v>738</v>
      </c>
      <c r="H48" s="330">
        <f>+SUM('3s'!C26:C27)/10^9</f>
        <v>4.9686073740000003</v>
      </c>
      <c r="I48" s="330">
        <f>+SUM('3s'!D26:D27)/10^9</f>
        <v>28.740073991999999</v>
      </c>
      <c r="J48" s="330">
        <f>+SUM('3s'!E26:E27)/10^9</f>
        <v>30.281091992</v>
      </c>
      <c r="K48" s="107">
        <f>+K145</f>
        <v>19.241091992000001</v>
      </c>
      <c r="L48" s="107">
        <f>+L145</f>
        <v>32.941091991999997</v>
      </c>
      <c r="M48" s="107">
        <f>+M145</f>
        <v>36.941091991999997</v>
      </c>
      <c r="N48" s="107">
        <f>+N145</f>
        <v>40.941091991999997</v>
      </c>
      <c r="O48" s="107">
        <f>+O145</f>
        <v>43.941091991999997</v>
      </c>
    </row>
    <row r="49" spans="1:18">
      <c r="B49" s="113" t="s">
        <v>384</v>
      </c>
      <c r="H49" s="330">
        <f>+'3s'!C29/10^9</f>
        <v>17.855794551999999</v>
      </c>
      <c r="I49" s="330">
        <f>+'3s'!D29/10^9</f>
        <v>21.127537259</v>
      </c>
      <c r="J49" s="330">
        <f>+'3s'!E29/10^9</f>
        <v>25.084898741</v>
      </c>
      <c r="K49" s="107">
        <f>+K158</f>
        <v>8.0311602860000004</v>
      </c>
      <c r="L49" s="107">
        <f>+L158</f>
        <v>8.5130299031599996</v>
      </c>
      <c r="M49" s="107">
        <f>+M158</f>
        <v>9.0238116973496005</v>
      </c>
      <c r="N49" s="107">
        <f>+N158</f>
        <v>9.5652403991905768</v>
      </c>
      <c r="O49" s="107">
        <f>+O158</f>
        <v>10.139154823142011</v>
      </c>
    </row>
    <row r="50" spans="1:18" ht="16">
      <c r="B50" s="113" t="s">
        <v>385</v>
      </c>
      <c r="H50" s="330">
        <f>+'3s'!C30/10^9</f>
        <v>66.869213520000002</v>
      </c>
      <c r="I50" s="330">
        <f>+'3s'!D30/10^9</f>
        <v>106.071656198</v>
      </c>
      <c r="J50" s="330">
        <f>+'3s'!E30/10^9</f>
        <v>110.140327181</v>
      </c>
      <c r="K50" s="221">
        <v>38.4</v>
      </c>
      <c r="L50" s="221">
        <v>38.4</v>
      </c>
      <c r="M50" s="221">
        <v>38.4</v>
      </c>
      <c r="N50" s="221">
        <v>38.4</v>
      </c>
      <c r="O50" s="221">
        <v>38.4</v>
      </c>
      <c r="R50" s="233" t="s">
        <v>849</v>
      </c>
    </row>
    <row r="51" spans="1:18" ht="16">
      <c r="B51" s="113" t="s">
        <v>710</v>
      </c>
      <c r="H51" s="330">
        <f>+'3s'!C28/10^9</f>
        <v>12.443822696</v>
      </c>
      <c r="I51" s="330">
        <f>+'3s'!D28/10^9</f>
        <v>21.265442448999998</v>
      </c>
      <c r="J51" s="330">
        <f>+'3s'!E28/10^9</f>
        <v>21.235486019</v>
      </c>
      <c r="K51" s="221">
        <v>0</v>
      </c>
      <c r="L51" s="221">
        <v>0</v>
      </c>
      <c r="M51" s="221">
        <v>0</v>
      </c>
      <c r="N51" s="221">
        <v>0</v>
      </c>
      <c r="O51" s="221">
        <v>0</v>
      </c>
      <c r="R51" s="134" t="s">
        <v>712</v>
      </c>
    </row>
    <row r="52" spans="1:18">
      <c r="B52" s="113" t="s">
        <v>700</v>
      </c>
      <c r="H52" s="330">
        <f>+SUM('3s'!C31:C33)/10^9</f>
        <v>0.29445988299999998</v>
      </c>
      <c r="I52" s="330">
        <f>+SUM('3s'!D31:D33)/10^9</f>
        <v>1.8216210690000001</v>
      </c>
      <c r="J52" s="330">
        <f>+SUM('3s'!E31:E33)/10^9</f>
        <v>2.5386073539999998</v>
      </c>
      <c r="K52" s="107">
        <f>+K105</f>
        <v>3.4261511906665465</v>
      </c>
      <c r="L52" s="107">
        <f>+L105</f>
        <v>4.2859590575933053</v>
      </c>
      <c r="M52" s="107">
        <f>+M105</f>
        <v>5.2756525052650272</v>
      </c>
      <c r="N52" s="107">
        <f>+N105</f>
        <v>6.4220081877769273</v>
      </c>
      <c r="O52" s="107">
        <f>+O105</f>
        <v>7.7030029685646921</v>
      </c>
    </row>
    <row r="53" spans="1:18" s="110" customFormat="1">
      <c r="A53" s="264"/>
      <c r="B53" s="112" t="s">
        <v>386</v>
      </c>
      <c r="C53" s="109"/>
      <c r="D53" s="109"/>
      <c r="E53" s="109"/>
      <c r="F53" s="109"/>
      <c r="G53" s="109"/>
      <c r="H53" s="329">
        <f>+'3s'!C34/10^9</f>
        <v>32.985695360999998</v>
      </c>
      <c r="I53" s="329">
        <f>+'3s'!D34/10^9</f>
        <v>23.403844416999998</v>
      </c>
      <c r="J53" s="329">
        <f>+'3s'!E34/10^9</f>
        <v>15.103520782</v>
      </c>
      <c r="K53" s="110">
        <f>+K54+K55</f>
        <v>14.974520782000001</v>
      </c>
      <c r="L53" s="110">
        <f>+L54+L55</f>
        <v>8.2525207819999995</v>
      </c>
      <c r="M53" s="110">
        <f>+M54+M55</f>
        <v>2.9645207819999992</v>
      </c>
      <c r="N53" s="110">
        <f>+N54+N55</f>
        <v>1.5425454609999998</v>
      </c>
      <c r="O53" s="110">
        <f>+O54+O55</f>
        <v>0.12057014000000001</v>
      </c>
    </row>
    <row r="54" spans="1:18" ht="16">
      <c r="B54" s="113" t="s">
        <v>739</v>
      </c>
      <c r="H54" s="330">
        <f>+'3s'!C35/10^9</f>
        <v>31.878648626</v>
      </c>
      <c r="I54" s="330">
        <f>+'3s'!D35/10^9</f>
        <v>23.279042634</v>
      </c>
      <c r="J54" s="330">
        <f>+'3s'!E35/10^9</f>
        <v>14.982950642</v>
      </c>
      <c r="K54" s="107">
        <f>+K151</f>
        <v>14.853950642000001</v>
      </c>
      <c r="L54" s="107">
        <f>+L151</f>
        <v>8.1319506419999996</v>
      </c>
      <c r="M54" s="107">
        <f>+M151</f>
        <v>2.8439506419999994</v>
      </c>
      <c r="N54" s="107">
        <f>+N151</f>
        <v>1.4219753209999997</v>
      </c>
      <c r="O54" s="107">
        <f>+O151</f>
        <v>0</v>
      </c>
      <c r="R54" s="206" t="s">
        <v>1347</v>
      </c>
    </row>
    <row r="55" spans="1:18">
      <c r="B55" s="113" t="s">
        <v>740</v>
      </c>
      <c r="H55" s="330">
        <f>+SUM('3s'!C36:C37)/10^9</f>
        <v>1.1070467349999999</v>
      </c>
      <c r="I55" s="330">
        <f>+SUM('3s'!D36:D37)/10^9</f>
        <v>0.124801783</v>
      </c>
      <c r="J55" s="330">
        <f>+SUM('3s'!E36:E37)/10^9</f>
        <v>0.12057014000000001</v>
      </c>
      <c r="K55" s="207">
        <f>+J55</f>
        <v>0.12057014000000001</v>
      </c>
      <c r="L55" s="207">
        <f>+K55</f>
        <v>0.12057014000000001</v>
      </c>
      <c r="M55" s="207">
        <f>+L55</f>
        <v>0.12057014000000001</v>
      </c>
      <c r="N55" s="207">
        <f>+M55</f>
        <v>0.12057014000000001</v>
      </c>
      <c r="O55" s="207">
        <f>+N55</f>
        <v>0.12057014000000001</v>
      </c>
    </row>
    <row r="56" spans="1:18">
      <c r="B56" s="113"/>
    </row>
    <row r="57" spans="1:18" s="110" customFormat="1">
      <c r="A57" s="264"/>
      <c r="B57" s="109" t="s">
        <v>387</v>
      </c>
      <c r="C57" s="109"/>
      <c r="D57" s="109"/>
      <c r="E57" s="109"/>
      <c r="F57" s="109"/>
      <c r="G57" s="109"/>
      <c r="H57" s="329">
        <f>+'3s'!C47/10^9</f>
        <v>-21.751413377999999</v>
      </c>
      <c r="I57" s="329">
        <f>+'3s'!D47/10^9</f>
        <v>-54.201828092</v>
      </c>
      <c r="J57" s="329">
        <f>+'3s'!E47/10^9</f>
        <v>-37.955676267999998</v>
      </c>
      <c r="K57" s="110">
        <f>+SUM(K58:K61)</f>
        <v>188.62573810475479</v>
      </c>
      <c r="L57" s="110">
        <f>+SUM(L58:L61)</f>
        <v>237.33159621270843</v>
      </c>
      <c r="M57" s="110">
        <f>+SUM(M58:M61)</f>
        <v>295.42083742543122</v>
      </c>
      <c r="N57" s="110">
        <f>+SUM(N58:N61)</f>
        <v>370.61647283552651</v>
      </c>
      <c r="O57" s="110">
        <f>+SUM(O58:O61)</f>
        <v>465.08669567636679</v>
      </c>
    </row>
    <row r="58" spans="1:18">
      <c r="B58" s="102" t="s">
        <v>388</v>
      </c>
      <c r="H58" s="330">
        <f>+'3s'!C41/10^9</f>
        <v>0.17142850000000001</v>
      </c>
      <c r="I58" s="330">
        <f>+'3s'!D41/10^9</f>
        <v>0.1957595</v>
      </c>
      <c r="J58" s="330">
        <f>+'3s'!E41/10^9</f>
        <v>0.196913</v>
      </c>
      <c r="K58" s="107">
        <f>+E191</f>
        <v>4.5999999999999996</v>
      </c>
      <c r="L58" s="107">
        <f>+K58</f>
        <v>4.5999999999999996</v>
      </c>
      <c r="M58" s="107">
        <f t="shared" ref="L58:O59" si="7">+L58</f>
        <v>4.5999999999999996</v>
      </c>
      <c r="N58" s="107">
        <f t="shared" si="7"/>
        <v>4.5999999999999996</v>
      </c>
      <c r="O58" s="107">
        <f t="shared" si="7"/>
        <v>4.5999999999999996</v>
      </c>
    </row>
    <row r="59" spans="1:18">
      <c r="B59" s="102" t="s">
        <v>389</v>
      </c>
      <c r="H59" s="330">
        <f>+'3s'!C42/10^9</f>
        <v>2.9688099999999998E-4</v>
      </c>
      <c r="I59" s="330">
        <f>+'3s'!D42/10^9</f>
        <v>12.628086639999999</v>
      </c>
      <c r="J59" s="330">
        <f>+'3s'!E42/10^9</f>
        <v>13.22675314</v>
      </c>
      <c r="K59" s="107">
        <f>+E192</f>
        <v>250.3</v>
      </c>
      <c r="L59" s="107">
        <f t="shared" si="7"/>
        <v>250.3</v>
      </c>
      <c r="M59" s="107">
        <f t="shared" si="7"/>
        <v>250.3</v>
      </c>
      <c r="N59" s="107">
        <f t="shared" si="7"/>
        <v>250.3</v>
      </c>
      <c r="O59" s="107">
        <f t="shared" si="7"/>
        <v>250.3</v>
      </c>
    </row>
    <row r="60" spans="1:18">
      <c r="B60" s="102" t="s">
        <v>390</v>
      </c>
      <c r="H60" s="330">
        <f>+'3s'!C45/10^9</f>
        <v>-23.017390549999998</v>
      </c>
      <c r="I60" s="330">
        <f>+'3s'!D45/10^9</f>
        <v>-70.406384216999996</v>
      </c>
      <c r="J60" s="330">
        <f>+'3s'!E45/10^9</f>
        <v>-56.889908753</v>
      </c>
      <c r="K60" s="107">
        <f>+J60+K29</f>
        <v>-71.784828240245218</v>
      </c>
      <c r="L60" s="107">
        <f>+K60+L29</f>
        <v>-23.078970132291566</v>
      </c>
      <c r="M60" s="107">
        <f>+L60+M29</f>
        <v>35.010271080431217</v>
      </c>
      <c r="N60" s="107">
        <f>+M60+N29</f>
        <v>110.20590649052656</v>
      </c>
      <c r="O60" s="107">
        <f>+N60+O29</f>
        <v>204.67612933136678</v>
      </c>
    </row>
    <row r="61" spans="1:18">
      <c r="B61" s="102" t="s">
        <v>391</v>
      </c>
      <c r="H61" s="330">
        <f>+('3s'!C43+'3s'!C44+'3s'!C46)/10^9</f>
        <v>1.094251791</v>
      </c>
      <c r="I61" s="330">
        <f>+('3s'!D43+'3s'!D44+'3s'!D46)/10^9</f>
        <v>3.3807099850000002</v>
      </c>
      <c r="J61" s="330">
        <f>+('3s'!E43+'3s'!E44+'3s'!E46)/10^9</f>
        <v>5.510566345</v>
      </c>
      <c r="K61" s="207">
        <f>+J61</f>
        <v>5.510566345</v>
      </c>
      <c r="L61" s="207">
        <f>+K61</f>
        <v>5.510566345</v>
      </c>
      <c r="M61" s="207">
        <f>+L61</f>
        <v>5.510566345</v>
      </c>
      <c r="N61" s="207">
        <f>+M61</f>
        <v>5.510566345</v>
      </c>
      <c r="O61" s="207">
        <f>+N61</f>
        <v>5.510566345</v>
      </c>
    </row>
    <row r="63" spans="1:18" s="108" customFormat="1">
      <c r="A63" s="265"/>
      <c r="B63" s="105" t="s">
        <v>392</v>
      </c>
      <c r="C63" s="105"/>
      <c r="D63" s="105"/>
      <c r="E63" s="105"/>
      <c r="F63" s="105"/>
      <c r="G63" s="105"/>
      <c r="H63" s="118" t="b">
        <f>+IF(H34=H45+H57,TRUE,FALSE)</f>
        <v>1</v>
      </c>
      <c r="I63" s="118" t="b">
        <f>+IF(I34=I45+I57,TRUE,FALSE)</f>
        <v>1</v>
      </c>
      <c r="J63" s="118" t="b">
        <f>+IF(J34=J45+J57,TRUE,FALSE)</f>
        <v>1</v>
      </c>
      <c r="K63" s="118" t="b">
        <f>+IF(ROUND(K34,1)=ROUND(K45+K57,1),TRUE,FALSE)</f>
        <v>1</v>
      </c>
      <c r="L63" s="118" t="b">
        <f>+IF(ROUND(L34,1)=ROUND(L45+L57,1),TRUE,FALSE)</f>
        <v>0</v>
      </c>
      <c r="M63" s="118" t="b">
        <f>+IF(ROUND(M34,1)=ROUND(M45+M57,1),TRUE,FALSE)</f>
        <v>1</v>
      </c>
      <c r="N63" s="118" t="b">
        <f>+IF(ROUND(N34,1)=ROUND(N45+N57,1),TRUE,FALSE)</f>
        <v>0</v>
      </c>
      <c r="O63" s="118" t="b">
        <f>+IF(ROUND(O34,1)=ROUND(O45+O57,1),TRUE,FALSE)</f>
        <v>0</v>
      </c>
    </row>
    <row r="65" spans="1:23" s="76" customFormat="1">
      <c r="A65" s="263" t="s">
        <v>356</v>
      </c>
      <c r="B65" s="173" t="s">
        <v>393</v>
      </c>
      <c r="C65" s="79"/>
      <c r="D65" s="79"/>
      <c r="E65" s="79"/>
      <c r="F65" s="79"/>
      <c r="G65" s="79"/>
      <c r="H65" s="79"/>
      <c r="I65" s="79"/>
      <c r="J65" s="79"/>
      <c r="K65" s="79"/>
      <c r="L65" s="79"/>
      <c r="M65" s="79"/>
      <c r="N65" s="79"/>
      <c r="O65" s="79"/>
      <c r="P65" s="79"/>
      <c r="Q65" s="79"/>
      <c r="R65" s="79"/>
      <c r="S65" s="79"/>
      <c r="T65" s="79"/>
      <c r="U65" s="79"/>
      <c r="V65" s="79"/>
      <c r="W65" s="79"/>
    </row>
    <row r="67" spans="1:23" s="110" customFormat="1">
      <c r="A67" s="264"/>
      <c r="B67" s="109" t="s">
        <v>394</v>
      </c>
      <c r="C67" s="109"/>
      <c r="D67" s="109"/>
      <c r="E67" s="109"/>
      <c r="F67" s="109"/>
      <c r="G67" s="109"/>
      <c r="H67" s="329">
        <f>+'3s'!C87/10^9</f>
        <v>-14.480525696999999</v>
      </c>
      <c r="I67" s="329">
        <f>+'3s'!D87/10^9</f>
        <v>1.2495600899999999</v>
      </c>
      <c r="J67" s="329">
        <f>+'3s'!E87/10^9</f>
        <v>35.490332211999998</v>
      </c>
      <c r="K67" s="110">
        <f>+K68+K69+K70-K71+K72</f>
        <v>61.762787351076042</v>
      </c>
      <c r="L67" s="110">
        <f>+L68+L69+L70-L71+L72</f>
        <v>52.488872085350309</v>
      </c>
      <c r="M67" s="110">
        <f>+M68+M69+M70-M71+M72</f>
        <v>62.977914662477168</v>
      </c>
      <c r="N67" s="110">
        <f>+N68+N69+N70-N71+N72</f>
        <v>82.897832394448443</v>
      </c>
      <c r="O67" s="110">
        <f>+O68+O69+O70-O71+O72</f>
        <v>101.83151015904369</v>
      </c>
    </row>
    <row r="68" spans="1:23">
      <c r="B68" s="102" t="s">
        <v>370</v>
      </c>
      <c r="H68" s="330">
        <f>+'3s'!C88/10^9</f>
        <v>-3.2602109999999997E-2</v>
      </c>
      <c r="I68" s="330">
        <f>+'3s'!D88/10^9</f>
        <v>-47.388993667000001</v>
      </c>
      <c r="J68" s="330">
        <f>+'3s'!E88/10^9</f>
        <v>13.503664232</v>
      </c>
      <c r="K68" s="107">
        <f>+K29</f>
        <v>-14.894919487245225</v>
      </c>
      <c r="L68" s="107">
        <f>+L29</f>
        <v>48.705858107953652</v>
      </c>
      <c r="M68" s="107">
        <f>+M29</f>
        <v>58.089241212722783</v>
      </c>
      <c r="N68" s="107">
        <f>+N29</f>
        <v>75.195635410095349</v>
      </c>
      <c r="O68" s="107">
        <f>+O29</f>
        <v>94.470222840840236</v>
      </c>
    </row>
    <row r="69" spans="1:23">
      <c r="B69" s="102" t="s">
        <v>474</v>
      </c>
      <c r="H69" s="330">
        <f>+'3s'!C144/10^9</f>
        <v>3.2162474400000001</v>
      </c>
      <c r="I69" s="330">
        <f>+'3s'!D90/10^9</f>
        <v>4.7614322720000004</v>
      </c>
      <c r="J69" s="330">
        <f>+'3s'!E90/10^9</f>
        <v>8.7884377029999996</v>
      </c>
      <c r="K69" s="330">
        <f>+EBIT!K123</f>
        <v>10.022485306251649</v>
      </c>
      <c r="L69" s="330">
        <f>+EBIT!L123</f>
        <v>10.814432081998996</v>
      </c>
      <c r="M69" s="330">
        <f>+EBIT!M123</f>
        <v>14.127308244635138</v>
      </c>
      <c r="N69" s="330">
        <f>+EBIT!N123</f>
        <v>14.868070356860176</v>
      </c>
      <c r="O69" s="330">
        <f>+EBIT!O123</f>
        <v>15.226389820654463</v>
      </c>
    </row>
    <row r="70" spans="1:23">
      <c r="B70" s="102" t="s">
        <v>475</v>
      </c>
      <c r="H70" s="330">
        <f>+'3s'!C145/10^9</f>
        <v>0.189093188</v>
      </c>
      <c r="I70" s="330">
        <f>+'3s'!D91/10^9</f>
        <v>0.203914495</v>
      </c>
      <c r="J70" s="330">
        <f>+'3s'!E91/10^9</f>
        <v>0.35739515300000002</v>
      </c>
      <c r="K70" s="330">
        <f>+EBIT!K128</f>
        <v>0.29903505949999998</v>
      </c>
      <c r="L70" s="330">
        <f>+EBIT!L128</f>
        <v>0.4665797942503358</v>
      </c>
      <c r="M70" s="330">
        <f>+EBIT!M128</f>
        <v>0.65304548532759998</v>
      </c>
      <c r="N70" s="330">
        <f>+EBIT!N128</f>
        <v>0.86288763269482538</v>
      </c>
      <c r="O70" s="330">
        <f>+EBIT!O128</f>
        <v>1.1013415538773772</v>
      </c>
    </row>
    <row r="71" spans="1:23">
      <c r="B71" s="102" t="s">
        <v>476</v>
      </c>
      <c r="H71" s="330">
        <f>+'3s'!C92/10^9</f>
        <v>-20.742333382000002</v>
      </c>
      <c r="I71" s="107">
        <f>+I96</f>
        <v>-12.171059151000009</v>
      </c>
      <c r="J71" s="107">
        <f t="shared" ref="J71:O71" si="8">+J96</f>
        <v>3.3937576000000078</v>
      </c>
      <c r="K71" s="107">
        <f t="shared" si="8"/>
        <v>4.5638135274303906</v>
      </c>
      <c r="L71" s="107">
        <f t="shared" si="8"/>
        <v>8.0087796930422712</v>
      </c>
      <c r="M71" s="107">
        <f t="shared" si="8"/>
        <v>10.433108982049333</v>
      </c>
      <c r="N71" s="107">
        <f t="shared" si="8"/>
        <v>8.6026754291533365</v>
      </c>
      <c r="O71" s="107">
        <f t="shared" si="8"/>
        <v>9.5747933457169054</v>
      </c>
    </row>
    <row r="72" spans="1:23" ht="16">
      <c r="B72" s="102" t="s">
        <v>477</v>
      </c>
      <c r="H72" s="330">
        <f>+('3s'!C141-'3s'!C144-'3s'!C145+'3s'!C152)/10^9</f>
        <v>2.8890691670000002</v>
      </c>
      <c r="I72" s="107">
        <f>+I67-SUM(I68:I71)</f>
        <v>55.844266141000013</v>
      </c>
      <c r="J72" s="107">
        <f>+J67-SUM(J68:J71)</f>
        <v>9.4470775239999938</v>
      </c>
      <c r="K72" s="221">
        <v>70.900000000000006</v>
      </c>
      <c r="L72" s="221">
        <f>+L160</f>
        <v>0.51078179418960001</v>
      </c>
      <c r="M72" s="221">
        <f>+M160</f>
        <v>0.54142870184097602</v>
      </c>
      <c r="N72" s="221">
        <f>+N160</f>
        <v>0.57391442395143455</v>
      </c>
      <c r="O72" s="221">
        <f>+O160</f>
        <v>0.60834928938852062</v>
      </c>
      <c r="R72" s="107" t="s">
        <v>878</v>
      </c>
    </row>
    <row r="74" spans="1:23" s="110" customFormat="1">
      <c r="A74" s="264"/>
      <c r="B74" s="109" t="s">
        <v>478</v>
      </c>
      <c r="C74" s="109"/>
      <c r="D74" s="109"/>
      <c r="E74" s="109"/>
      <c r="F74" s="109"/>
      <c r="G74" s="109"/>
      <c r="H74" s="329">
        <f>+'3s'!C96/10^9</f>
        <v>-32.357965059999998</v>
      </c>
      <c r="I74" s="329">
        <f>+'3s'!D96/10^9</f>
        <v>-31.672732919000001</v>
      </c>
      <c r="J74" s="329">
        <f>+'3s'!E96/10^9</f>
        <v>-26.744587620000001</v>
      </c>
      <c r="K74" s="110">
        <f>+K75+K76+K77</f>
        <v>-18.905331472146887</v>
      </c>
      <c r="L74" s="110">
        <f>+L75+L76+L77</f>
        <v>-45.131224794000659</v>
      </c>
      <c r="M74" s="110">
        <f>+M75+M76+M77</f>
        <v>-23.021885014214661</v>
      </c>
      <c r="N74" s="110">
        <f>+N75+N76+N77</f>
        <v>-20.265327976321352</v>
      </c>
      <c r="O74" s="110">
        <f>+O75+O76+O77</f>
        <v>-21.072315457943425</v>
      </c>
    </row>
    <row r="75" spans="1:23">
      <c r="B75" s="102" t="s">
        <v>471</v>
      </c>
      <c r="H75" s="330">
        <f>+'3s'!C107/10^9</f>
        <v>-22.378155716999999</v>
      </c>
      <c r="I75" s="330">
        <f>+SUM('3s'!D107:D112)/10^9</f>
        <v>-42.934949502000002</v>
      </c>
      <c r="J75" s="330">
        <f>+SUM('3s'!E107:E112)/10^9</f>
        <v>-24.155168741000001</v>
      </c>
      <c r="K75" s="107">
        <f>-K120</f>
        <v>-17.936117473645545</v>
      </c>
      <c r="L75" s="107">
        <f>-L120</f>
        <v>-43.918782235441263</v>
      </c>
      <c r="M75" s="107">
        <f>-M120</f>
        <v>-21.529470939418161</v>
      </c>
      <c r="N75" s="107">
        <f>-N120</f>
        <v>-18.448624658896318</v>
      </c>
      <c r="O75" s="107">
        <f>-O120</f>
        <v>-18.893235232888369</v>
      </c>
    </row>
    <row r="76" spans="1:23">
      <c r="B76" s="102" t="s">
        <v>472</v>
      </c>
      <c r="H76" s="330">
        <f>+'3s'!C114/10^9</f>
        <v>-0.121710136</v>
      </c>
      <c r="I76" s="330">
        <f>+SUM('3s'!D114:D115)/10^9</f>
        <v>-0.44913954499999997</v>
      </c>
      <c r="J76" s="330">
        <f>+SUM('3s'!E114:E115)/10^9</f>
        <v>-0.63910664500000003</v>
      </c>
      <c r="K76" s="107">
        <f>-K129</f>
        <v>-0.96921399850134338</v>
      </c>
      <c r="L76" s="107">
        <f>-L129</f>
        <v>-1.2124425585593925</v>
      </c>
      <c r="M76" s="107">
        <f>-M129</f>
        <v>-1.4924140747965016</v>
      </c>
      <c r="N76" s="107">
        <f>-N129</f>
        <v>-1.8167033174250327</v>
      </c>
      <c r="O76" s="107">
        <f>-O129</f>
        <v>-2.1790802250550549</v>
      </c>
    </row>
    <row r="77" spans="1:23">
      <c r="B77" s="102" t="s">
        <v>473</v>
      </c>
      <c r="H77" s="330">
        <f>+(SUM('3s'!C173:C177)-SUM('3s'!C190:C193))/10^9</f>
        <v>-9.8580992070000004</v>
      </c>
      <c r="I77" s="330">
        <f>+(SUM('3s'!D97:D106)+SUM('3s'!D113,'3s'!D116:D119))/10^9</f>
        <v>11.711356128</v>
      </c>
      <c r="J77" s="330">
        <f>+(SUM('3s'!E97:E106)+SUM('3s'!E113,'3s'!E116:E119))/10^9</f>
        <v>-1.9503122340000001</v>
      </c>
      <c r="K77" s="221">
        <v>0</v>
      </c>
      <c r="L77" s="221">
        <v>0</v>
      </c>
      <c r="M77" s="221">
        <v>0</v>
      </c>
      <c r="N77" s="221">
        <v>0</v>
      </c>
      <c r="O77" s="221">
        <v>0</v>
      </c>
    </row>
    <row r="79" spans="1:23" s="110" customFormat="1">
      <c r="A79" s="264"/>
      <c r="B79" s="109" t="s">
        <v>479</v>
      </c>
      <c r="C79" s="109"/>
      <c r="D79" s="109"/>
      <c r="E79" s="109"/>
      <c r="F79" s="109"/>
      <c r="G79" s="109"/>
      <c r="H79" s="329">
        <f>+'3s'!C120/10^9</f>
        <v>62.300096228000001</v>
      </c>
      <c r="I79" s="329">
        <f>+'3s'!D120/10^9</f>
        <v>25.128755343000002</v>
      </c>
      <c r="J79" s="329">
        <f>+'3s'!E120/10^9</f>
        <v>-7.2617586090000001</v>
      </c>
      <c r="K79" s="110">
        <f>+SUM(K80:K85)</f>
        <v>49.331000000000003</v>
      </c>
      <c r="L79" s="110">
        <f>+SUM(L80:L85)</f>
        <v>6.9779999999999989</v>
      </c>
      <c r="M79" s="110">
        <f>+SUM(M80:M85)</f>
        <v>-1.2880000000000003</v>
      </c>
      <c r="N79" s="110">
        <f>+SUM(N80:N85)</f>
        <v>2.5780246790000003</v>
      </c>
      <c r="O79" s="110">
        <f>+SUM(O80:O85)</f>
        <v>1.5780246790000003</v>
      </c>
    </row>
    <row r="80" spans="1:23">
      <c r="B80" s="102" t="s">
        <v>480</v>
      </c>
      <c r="H80" s="330">
        <f>+'3s'!C121/10^9</f>
        <v>14.999995999999999</v>
      </c>
      <c r="I80" s="330">
        <f>+'3s'!D121/10^9</f>
        <v>9.9995999999999992</v>
      </c>
      <c r="J80" s="330">
        <f>+'3s'!E121/10^9</f>
        <v>0.59982000000000002</v>
      </c>
      <c r="K80" s="107">
        <f>+D196/10^9</f>
        <v>60.5</v>
      </c>
      <c r="L80" s="221">
        <v>0</v>
      </c>
      <c r="M80" s="221">
        <v>0</v>
      </c>
      <c r="N80" s="221">
        <v>0</v>
      </c>
      <c r="O80" s="221">
        <v>0</v>
      </c>
    </row>
    <row r="81" spans="1:23">
      <c r="B81" s="102" t="s">
        <v>481</v>
      </c>
      <c r="H81" s="330">
        <f>+'3s'!C122/10^9</f>
        <v>1.600495</v>
      </c>
      <c r="I81" s="330">
        <f>+'3s'!D122/10^9</f>
        <v>19.207875000000001</v>
      </c>
      <c r="J81" s="330">
        <f>+'3s'!E122/10^9</f>
        <v>30.3</v>
      </c>
      <c r="K81" s="107">
        <f>+K143</f>
        <v>0</v>
      </c>
      <c r="L81" s="107">
        <f>+L143</f>
        <v>31</v>
      </c>
      <c r="M81" s="107">
        <f>+M143</f>
        <v>35</v>
      </c>
      <c r="N81" s="107">
        <f>+N143</f>
        <v>39</v>
      </c>
      <c r="O81" s="107">
        <f>+O143</f>
        <v>42</v>
      </c>
    </row>
    <row r="82" spans="1:23">
      <c r="B82" s="102" t="s">
        <v>482</v>
      </c>
      <c r="H82" s="330">
        <f>+SUM('3s'!C125:C126)/10^9</f>
        <v>-2.613397</v>
      </c>
      <c r="I82" s="330">
        <f>+SUM('3s'!D125:D126)/10^9</f>
        <v>-3.868882374</v>
      </c>
      <c r="J82" s="330">
        <f>+SUM('3s'!E125:E126)/10^9</f>
        <v>-30.700073992</v>
      </c>
      <c r="K82" s="107">
        <f>-K144</f>
        <v>-11.04</v>
      </c>
      <c r="L82" s="107">
        <f>-L144</f>
        <v>-17.3</v>
      </c>
      <c r="M82" s="107">
        <f>-M144</f>
        <v>-31</v>
      </c>
      <c r="N82" s="107">
        <f>-N144</f>
        <v>-35</v>
      </c>
      <c r="O82" s="107">
        <f>-O144</f>
        <v>-39</v>
      </c>
    </row>
    <row r="83" spans="1:23">
      <c r="B83" s="102" t="s">
        <v>483</v>
      </c>
      <c r="H83" s="330">
        <f>+'3s'!C123/10^9</f>
        <v>19.361000000000001</v>
      </c>
      <c r="I83" s="330">
        <f>+'3s'!D123/10^9</f>
        <v>1.4</v>
      </c>
      <c r="J83" s="330">
        <f>+'3s'!E123/10^9</f>
        <v>4.51</v>
      </c>
      <c r="K83" s="107">
        <f>+K149</f>
        <v>0</v>
      </c>
      <c r="L83" s="107">
        <f>+L149</f>
        <v>0</v>
      </c>
      <c r="M83" s="107">
        <f>+M149</f>
        <v>0</v>
      </c>
      <c r="N83" s="107">
        <f>+N149</f>
        <v>0</v>
      </c>
      <c r="O83" s="107">
        <f>+O149</f>
        <v>0</v>
      </c>
    </row>
    <row r="84" spans="1:23">
      <c r="B84" s="102" t="s">
        <v>484</v>
      </c>
      <c r="H84" s="330">
        <f>+'3s'!C127/10^9</f>
        <v>-4.8000000000000001E-2</v>
      </c>
      <c r="I84" s="330">
        <f>+'3s'!D127/10^9</f>
        <v>-1.538332</v>
      </c>
      <c r="J84" s="330">
        <f>+'3s'!E127/10^9</f>
        <v>-10.865</v>
      </c>
      <c r="K84" s="107">
        <f>-K150</f>
        <v>-0.129</v>
      </c>
      <c r="L84" s="107">
        <f>-L150</f>
        <v>-6.7220000000000004</v>
      </c>
      <c r="M84" s="107">
        <f>-M150</f>
        <v>-5.2880000000000003</v>
      </c>
      <c r="N84" s="107">
        <f>-N150</f>
        <v>-1.4219753209999997</v>
      </c>
      <c r="O84" s="107">
        <f>-O150</f>
        <v>-1.4219753209999997</v>
      </c>
    </row>
    <row r="85" spans="1:23">
      <c r="B85" s="102" t="s">
        <v>485</v>
      </c>
      <c r="H85" s="330">
        <f>+SUM('3s'!C128:C129,'3s'!C124)/10^9</f>
        <v>29.000002228</v>
      </c>
      <c r="I85" s="330">
        <f>+SUM('3s'!D128:D129,'3s'!D124)/10^9</f>
        <v>-7.1505283000000003E-2</v>
      </c>
      <c r="J85" s="330">
        <f>+SUM('3s'!E128:E129,'3s'!E124)/10^9</f>
        <v>-1.1065046169999999</v>
      </c>
      <c r="K85" s="221">
        <v>0</v>
      </c>
      <c r="L85" s="221">
        <v>0</v>
      </c>
      <c r="M85" s="221">
        <v>0</v>
      </c>
      <c r="N85" s="221">
        <v>0</v>
      </c>
      <c r="O85" s="221">
        <v>0</v>
      </c>
    </row>
    <row r="87" spans="1:23">
      <c r="B87" s="76" t="s">
        <v>692</v>
      </c>
      <c r="H87" s="330">
        <f>+SUM('3s'!C131:C132)/10^9</f>
        <v>0.233784143</v>
      </c>
      <c r="I87" s="330">
        <f>+SUM('3s'!D131:D132)/10^9</f>
        <v>8.3147140000000008E-3</v>
      </c>
      <c r="J87" s="330">
        <f>+SUM('3s'!E131:E132)/10^9</f>
        <v>0.532272207</v>
      </c>
      <c r="K87" s="221">
        <v>0</v>
      </c>
      <c r="L87" s="221">
        <v>0</v>
      </c>
      <c r="M87" s="221">
        <v>0</v>
      </c>
      <c r="N87" s="221">
        <v>0</v>
      </c>
      <c r="O87" s="221">
        <v>0</v>
      </c>
    </row>
    <row r="88" spans="1:23" s="110" customFormat="1">
      <c r="A88" s="264"/>
      <c r="B88" s="109" t="s">
        <v>693</v>
      </c>
      <c r="C88" s="109"/>
      <c r="D88" s="109"/>
      <c r="E88" s="109"/>
      <c r="F88" s="109"/>
      <c r="G88" s="109"/>
      <c r="H88" s="110">
        <f t="shared" ref="H88:O88" si="9">+H67+H74+H79+H87</f>
        <v>15.695389614000005</v>
      </c>
      <c r="I88" s="110">
        <f t="shared" si="9"/>
        <v>-5.2861027720000004</v>
      </c>
      <c r="J88" s="110">
        <f t="shared" si="9"/>
        <v>2.0162581899999976</v>
      </c>
      <c r="K88" s="110">
        <f t="shared" si="9"/>
        <v>92.188455878929162</v>
      </c>
      <c r="L88" s="110">
        <f t="shared" si="9"/>
        <v>14.335647291349648</v>
      </c>
      <c r="M88" s="110">
        <f t="shared" si="9"/>
        <v>38.668029648262504</v>
      </c>
      <c r="N88" s="110">
        <f t="shared" si="9"/>
        <v>65.210529097127093</v>
      </c>
      <c r="O88" s="110">
        <f t="shared" si="9"/>
        <v>82.337219380100251</v>
      </c>
    </row>
    <row r="90" spans="1:23" s="76" customFormat="1">
      <c r="A90" s="263" t="s">
        <v>356</v>
      </c>
      <c r="B90" s="173" t="s">
        <v>694</v>
      </c>
      <c r="C90" s="79"/>
      <c r="D90" s="79"/>
      <c r="E90" s="79"/>
      <c r="F90" s="79"/>
      <c r="G90" s="79"/>
      <c r="H90" s="79"/>
      <c r="I90" s="79"/>
      <c r="J90" s="79"/>
      <c r="K90" s="79"/>
      <c r="L90" s="79"/>
      <c r="M90" s="79"/>
      <c r="N90" s="79"/>
      <c r="O90" s="79"/>
      <c r="P90" s="79"/>
      <c r="Q90" s="79"/>
      <c r="R90" s="79"/>
      <c r="S90" s="79"/>
      <c r="T90" s="79"/>
      <c r="U90" s="79"/>
      <c r="V90" s="79"/>
      <c r="W90" s="79"/>
    </row>
    <row r="92" spans="1:23" s="110" customFormat="1">
      <c r="A92" s="264"/>
      <c r="B92" s="109" t="s">
        <v>19</v>
      </c>
      <c r="C92" s="109"/>
      <c r="D92" s="109"/>
      <c r="E92" s="109"/>
      <c r="F92" s="109"/>
      <c r="G92" s="109"/>
      <c r="H92" s="110">
        <f>+H15</f>
        <v>18.635704282999999</v>
      </c>
      <c r="I92" s="110">
        <f t="shared" ref="I92:O92" si="10">+I15</f>
        <v>70.196780896000007</v>
      </c>
      <c r="J92" s="110">
        <f t="shared" si="10"/>
        <v>108.665913336</v>
      </c>
      <c r="K92" s="110">
        <f t="shared" si="10"/>
        <v>157.85651920000001</v>
      </c>
      <c r="L92" s="110">
        <f t="shared" si="10"/>
        <v>197.47131419900001</v>
      </c>
      <c r="M92" s="110">
        <f t="shared" si="10"/>
        <v>243.07045855378004</v>
      </c>
      <c r="N92" s="110">
        <f t="shared" si="10"/>
        <v>295.8876600536542</v>
      </c>
      <c r="O92" s="110">
        <f t="shared" si="10"/>
        <v>354.90822451659716</v>
      </c>
    </row>
    <row r="93" spans="1:23">
      <c r="B93" s="76" t="s">
        <v>578</v>
      </c>
      <c r="H93" s="107">
        <f>+H17</f>
        <v>10.968670439</v>
      </c>
      <c r="I93" s="107">
        <f t="shared" ref="I93:O93" si="11">+I17</f>
        <v>60.966276976000003</v>
      </c>
      <c r="J93" s="107">
        <f t="shared" si="11"/>
        <v>75.461607002999997</v>
      </c>
      <c r="K93" s="107">
        <f t="shared" si="11"/>
        <v>93.560791990971381</v>
      </c>
      <c r="L93" s="107">
        <f t="shared" si="11"/>
        <v>117.52063178866389</v>
      </c>
      <c r="M93" s="107">
        <f t="shared" si="11"/>
        <v>147.7665634210619</v>
      </c>
      <c r="N93" s="107">
        <f t="shared" si="11"/>
        <v>175.15505590703594</v>
      </c>
      <c r="O93" s="107">
        <f t="shared" si="11"/>
        <v>205.67630371029054</v>
      </c>
    </row>
    <row r="95" spans="1:23" s="110" customFormat="1">
      <c r="A95" s="264"/>
      <c r="B95" s="109" t="s">
        <v>695</v>
      </c>
      <c r="C95" s="109"/>
      <c r="D95" s="109"/>
      <c r="E95" s="109"/>
      <c r="F95" s="109"/>
      <c r="G95" s="109"/>
      <c r="H95" s="110">
        <f>+H98-H103</f>
        <v>35.255024904000003</v>
      </c>
      <c r="I95" s="110">
        <f t="shared" ref="I95:O95" si="12">+I98-I103</f>
        <v>23.083965752999994</v>
      </c>
      <c r="J95" s="110">
        <f>+J98-J103</f>
        <v>26.477723353000002</v>
      </c>
      <c r="K95" s="110">
        <f t="shared" si="12"/>
        <v>31.041536880430392</v>
      </c>
      <c r="L95" s="110">
        <f t="shared" si="12"/>
        <v>39.050316573472664</v>
      </c>
      <c r="M95" s="110">
        <f t="shared" si="12"/>
        <v>49.483425555521997</v>
      </c>
      <c r="N95" s="110">
        <f t="shared" si="12"/>
        <v>58.086100984675333</v>
      </c>
      <c r="O95" s="110">
        <f t="shared" si="12"/>
        <v>67.660894330392239</v>
      </c>
    </row>
    <row r="96" spans="1:23">
      <c r="B96" s="102" t="s">
        <v>696</v>
      </c>
      <c r="I96" s="107">
        <f>+I95-H95</f>
        <v>-12.171059151000009</v>
      </c>
      <c r="J96" s="107">
        <f t="shared" ref="J96:O96" si="13">+J95-I95</f>
        <v>3.3937576000000078</v>
      </c>
      <c r="K96" s="107">
        <f>+K95-J95</f>
        <v>4.5638135274303906</v>
      </c>
      <c r="L96" s="107">
        <f t="shared" si="13"/>
        <v>8.0087796930422712</v>
      </c>
      <c r="M96" s="107">
        <f t="shared" si="13"/>
        <v>10.433108982049333</v>
      </c>
      <c r="N96" s="107">
        <f t="shared" si="13"/>
        <v>8.6026754291533365</v>
      </c>
      <c r="O96" s="107">
        <f t="shared" si="13"/>
        <v>9.5747933457169054</v>
      </c>
    </row>
    <row r="98" spans="1:23" s="110" customFormat="1">
      <c r="A98" s="264"/>
      <c r="B98" s="109" t="s">
        <v>697</v>
      </c>
      <c r="C98" s="109"/>
      <c r="D98" s="109"/>
      <c r="E98" s="109"/>
      <c r="F98" s="109"/>
      <c r="G98" s="109"/>
      <c r="H98" s="110">
        <f>+SUM(H99:H101)</f>
        <v>37.974294675000003</v>
      </c>
      <c r="I98" s="110">
        <f t="shared" ref="I98:O98" si="14">+SUM(I99:I101)</f>
        <v>41.244403465999994</v>
      </c>
      <c r="J98" s="110">
        <f>+SUM(J99:J101)</f>
        <v>42.944942496000003</v>
      </c>
      <c r="K98" s="110">
        <f t="shared" si="14"/>
        <v>55.674912677880485</v>
      </c>
      <c r="L98" s="110">
        <f t="shared" si="14"/>
        <v>69.865547496671113</v>
      </c>
      <c r="M98" s="110">
        <f t="shared" si="14"/>
        <v>87.414364240592036</v>
      </c>
      <c r="N98" s="110">
        <f t="shared" si="14"/>
        <v>104.25911912081719</v>
      </c>
      <c r="O98" s="110">
        <f t="shared" si="14"/>
        <v>123.04402144119912</v>
      </c>
    </row>
    <row r="99" spans="1:23">
      <c r="B99" s="102" t="s">
        <v>375</v>
      </c>
      <c r="H99" s="107">
        <f t="shared" ref="H99:J101" si="15">+H37</f>
        <v>3.4732903400000001</v>
      </c>
      <c r="I99" s="107">
        <f t="shared" si="15"/>
        <v>7.8674668649999999</v>
      </c>
      <c r="J99" s="107">
        <f t="shared" si="15"/>
        <v>9.3420341340000004</v>
      </c>
      <c r="K99" s="107">
        <f t="shared" ref="K99:O100" si="16">+K92*K109/365</f>
        <v>12.625656254882358</v>
      </c>
      <c r="L99" s="107">
        <f t="shared" si="16"/>
        <v>15.794120799772733</v>
      </c>
      <c r="M99" s="107">
        <f t="shared" si="16"/>
        <v>19.441224670160192</v>
      </c>
      <c r="N99" s="107">
        <f t="shared" si="16"/>
        <v>23.665642095945341</v>
      </c>
      <c r="O99" s="107">
        <f t="shared" si="16"/>
        <v>28.386215960456621</v>
      </c>
    </row>
    <row r="100" spans="1:23">
      <c r="B100" s="102" t="s">
        <v>376</v>
      </c>
      <c r="H100" s="107">
        <f t="shared" si="15"/>
        <v>24.248690094000001</v>
      </c>
      <c r="I100" s="107">
        <f t="shared" si="15"/>
        <v>33.139257966999999</v>
      </c>
      <c r="J100" s="107">
        <f t="shared" si="15"/>
        <v>33.301515563000002</v>
      </c>
      <c r="K100" s="107">
        <f t="shared" si="16"/>
        <v>42.611429907750647</v>
      </c>
      <c r="L100" s="107">
        <f t="shared" si="16"/>
        <v>53.523725671972393</v>
      </c>
      <c r="M100" s="107">
        <f t="shared" si="16"/>
        <v>67.29896600846844</v>
      </c>
      <c r="N100" s="107">
        <f t="shared" si="16"/>
        <v>79.772811120400149</v>
      </c>
      <c r="O100" s="107">
        <f t="shared" si="16"/>
        <v>93.673441756264964</v>
      </c>
    </row>
    <row r="101" spans="1:23">
      <c r="B101" s="102" t="s">
        <v>377</v>
      </c>
      <c r="H101" s="107">
        <f t="shared" si="15"/>
        <v>10.252314241000001</v>
      </c>
      <c r="I101" s="107">
        <f t="shared" si="15"/>
        <v>0.237678634</v>
      </c>
      <c r="J101" s="107">
        <f t="shared" si="15"/>
        <v>0.30139279899999999</v>
      </c>
      <c r="K101" s="107">
        <f>+K92*K111</f>
        <v>0.43782651524747718</v>
      </c>
      <c r="L101" s="107">
        <f>+L92*L111</f>
        <v>0.54770102492598116</v>
      </c>
      <c r="M101" s="107">
        <f>+M92*M111</f>
        <v>0.67417356196340006</v>
      </c>
      <c r="N101" s="107">
        <f>+N92*N111</f>
        <v>0.82066590447169552</v>
      </c>
      <c r="O101" s="107">
        <f>+O92*O111</f>
        <v>0.98436372447753162</v>
      </c>
    </row>
    <row r="103" spans="1:23" s="110" customFormat="1">
      <c r="A103" s="264"/>
      <c r="B103" s="109" t="s">
        <v>698</v>
      </c>
      <c r="C103" s="109"/>
      <c r="D103" s="109"/>
      <c r="E103" s="109"/>
      <c r="F103" s="109"/>
      <c r="G103" s="109"/>
      <c r="H103" s="110">
        <f t="shared" ref="H103:O103" si="17">+SUM(H104:H105)</f>
        <v>2.719269771</v>
      </c>
      <c r="I103" s="110">
        <f t="shared" si="17"/>
        <v>18.160437713</v>
      </c>
      <c r="J103" s="110">
        <f t="shared" si="17"/>
        <v>16.467219143000001</v>
      </c>
      <c r="K103" s="110">
        <f t="shared" si="17"/>
        <v>24.633375797450093</v>
      </c>
      <c r="L103" s="110">
        <f t="shared" si="17"/>
        <v>30.815230923198449</v>
      </c>
      <c r="M103" s="110">
        <f t="shared" si="17"/>
        <v>37.930938685070039</v>
      </c>
      <c r="N103" s="110">
        <f t="shared" si="17"/>
        <v>46.173018136141856</v>
      </c>
      <c r="O103" s="110">
        <f t="shared" si="17"/>
        <v>55.383127110806882</v>
      </c>
    </row>
    <row r="104" spans="1:23">
      <c r="B104" s="102" t="s">
        <v>699</v>
      </c>
      <c r="H104" s="107">
        <f>+H47</f>
        <v>2.424809888</v>
      </c>
      <c r="I104" s="107">
        <f>+I47</f>
        <v>16.338816644000001</v>
      </c>
      <c r="J104" s="107">
        <f>+J47</f>
        <v>13.928611789</v>
      </c>
      <c r="K104" s="107">
        <f>+K92*K112/365</f>
        <v>21.207224606783548</v>
      </c>
      <c r="L104" s="107">
        <f>+L92*L112/365</f>
        <v>26.529271865605143</v>
      </c>
      <c r="M104" s="107">
        <f>+M92*M112/365</f>
        <v>32.65528617980501</v>
      </c>
      <c r="N104" s="107">
        <f>+N92*N112/365</f>
        <v>39.751009948364931</v>
      </c>
      <c r="O104" s="107">
        <f>+O92*O112/365</f>
        <v>47.680124142242192</v>
      </c>
    </row>
    <row r="105" spans="1:23">
      <c r="B105" s="102" t="s">
        <v>700</v>
      </c>
      <c r="H105" s="107">
        <f>+H52</f>
        <v>0.29445988299999998</v>
      </c>
      <c r="I105" s="107">
        <f>+I52</f>
        <v>1.8216210690000001</v>
      </c>
      <c r="J105" s="107">
        <f>+J52</f>
        <v>2.5386073539999998</v>
      </c>
      <c r="K105" s="107">
        <f>+K92*K113</f>
        <v>3.4261511906665465</v>
      </c>
      <c r="L105" s="107">
        <f>+L92*L113</f>
        <v>4.2859590575933053</v>
      </c>
      <c r="M105" s="107">
        <f>+M92*M113</f>
        <v>5.2756525052650272</v>
      </c>
      <c r="N105" s="107">
        <f>+N92*N113</f>
        <v>6.4220081877769273</v>
      </c>
      <c r="O105" s="107">
        <f>+O92*O113</f>
        <v>7.7030029685646921</v>
      </c>
    </row>
    <row r="107" spans="1:23" s="76" customFormat="1" ht="13" customHeight="1">
      <c r="A107" s="263" t="s">
        <v>356</v>
      </c>
      <c r="B107" s="174" t="s">
        <v>701</v>
      </c>
      <c r="C107" s="135"/>
      <c r="D107" s="135"/>
      <c r="E107" s="135"/>
      <c r="F107" s="135"/>
      <c r="G107" s="135"/>
      <c r="H107" s="135"/>
      <c r="I107" s="135"/>
      <c r="J107" s="135"/>
      <c r="K107" s="135"/>
      <c r="L107" s="135"/>
      <c r="M107" s="135"/>
      <c r="N107" s="135"/>
      <c r="O107" s="135"/>
      <c r="P107" s="135"/>
      <c r="Q107" s="135"/>
      <c r="R107" s="135"/>
      <c r="S107" s="135"/>
      <c r="T107" s="135"/>
      <c r="U107" s="135"/>
      <c r="V107" s="135"/>
      <c r="W107" s="135"/>
    </row>
    <row r="109" spans="1:23" s="134" customFormat="1" ht="16">
      <c r="A109" s="265"/>
      <c r="B109" s="103" t="s">
        <v>702</v>
      </c>
      <c r="C109" s="103"/>
      <c r="D109" s="103"/>
      <c r="E109" s="103"/>
      <c r="F109" s="103"/>
      <c r="G109" s="103"/>
      <c r="H109" s="134">
        <f>365*H99/H92</f>
        <v>68.028068853640121</v>
      </c>
      <c r="I109" s="134">
        <f>365*(I99+H99)/2/I92</f>
        <v>29.484089775838079</v>
      </c>
      <c r="J109" s="134">
        <f>365*(J99+I99)/2/J92</f>
        <v>28.902659867277844</v>
      </c>
      <c r="K109" s="200">
        <f>+AVERAGE(I109:J109)</f>
        <v>29.19337482155796</v>
      </c>
      <c r="L109" s="200">
        <f>+K109</f>
        <v>29.19337482155796</v>
      </c>
      <c r="M109" s="200">
        <f t="shared" ref="M109:O112" si="18">+L109</f>
        <v>29.19337482155796</v>
      </c>
      <c r="N109" s="200">
        <f t="shared" si="18"/>
        <v>29.19337482155796</v>
      </c>
      <c r="O109" s="200">
        <f t="shared" si="18"/>
        <v>29.19337482155796</v>
      </c>
      <c r="R109" s="134" t="s">
        <v>709</v>
      </c>
    </row>
    <row r="110" spans="1:23" ht="16">
      <c r="B110" s="76" t="s">
        <v>703</v>
      </c>
      <c r="H110" s="107">
        <f>365*H100/H93</f>
        <v>806.91383094530408</v>
      </c>
      <c r="I110" s="107">
        <f>365*(I100+H100)/2/I93</f>
        <v>171.78842206906322</v>
      </c>
      <c r="J110" s="107">
        <f>365*(J100+I100)/2/J93</f>
        <v>160.68358004545212</v>
      </c>
      <c r="K110" s="200">
        <f>+AVERAGE(I110:J110)</f>
        <v>166.23600105725768</v>
      </c>
      <c r="L110" s="200">
        <f>+K110</f>
        <v>166.23600105725768</v>
      </c>
      <c r="M110" s="200">
        <f t="shared" si="18"/>
        <v>166.23600105725768</v>
      </c>
      <c r="N110" s="200">
        <f t="shared" si="18"/>
        <v>166.23600105725768</v>
      </c>
      <c r="O110" s="200">
        <f t="shared" si="18"/>
        <v>166.23600105725768</v>
      </c>
      <c r="R110" s="134" t="s">
        <v>709</v>
      </c>
    </row>
    <row r="111" spans="1:23" s="134" customFormat="1">
      <c r="A111" s="265"/>
      <c r="B111" s="103" t="s">
        <v>704</v>
      </c>
      <c r="C111" s="103"/>
      <c r="D111" s="103"/>
      <c r="E111" s="103"/>
      <c r="F111" s="103"/>
      <c r="G111" s="103"/>
      <c r="H111" s="146">
        <f>+H101/H92</f>
        <v>0.55014364283256212</v>
      </c>
      <c r="I111" s="146">
        <f>+I101/I92</f>
        <v>3.3858907910910133E-3</v>
      </c>
      <c r="J111" s="146">
        <f>+J101/J92</f>
        <v>2.7735725927971505E-3</v>
      </c>
      <c r="K111" s="181">
        <f>+J111</f>
        <v>2.7735725927971505E-3</v>
      </c>
      <c r="L111" s="181">
        <f t="shared" ref="L111:O113" si="19">+K111</f>
        <v>2.7735725927971505E-3</v>
      </c>
      <c r="M111" s="181">
        <f t="shared" si="19"/>
        <v>2.7735725927971505E-3</v>
      </c>
      <c r="N111" s="181">
        <f t="shared" si="19"/>
        <v>2.7735725927971505E-3</v>
      </c>
      <c r="O111" s="181">
        <f t="shared" si="19"/>
        <v>2.7735725927971505E-3</v>
      </c>
    </row>
    <row r="112" spans="1:23" s="134" customFormat="1">
      <c r="A112" s="265"/>
      <c r="B112" s="103" t="s">
        <v>705</v>
      </c>
      <c r="C112" s="103"/>
      <c r="D112" s="103"/>
      <c r="E112" s="103"/>
      <c r="F112" s="103"/>
      <c r="G112" s="103"/>
      <c r="H112" s="134">
        <f>365*H104/H92</f>
        <v>47.492469062592498</v>
      </c>
      <c r="I112" s="134">
        <f>365*(I104+H104)/2/I92</f>
        <v>48.782320191624756</v>
      </c>
      <c r="J112" s="134">
        <f>365*(J104+I104)/2/J92</f>
        <v>50.83292008914183</v>
      </c>
      <c r="K112" s="200">
        <f>+AVERAGE(H112:J112)</f>
        <v>49.035903114453028</v>
      </c>
      <c r="L112" s="200">
        <f>+K112</f>
        <v>49.035903114453028</v>
      </c>
      <c r="M112" s="200">
        <f t="shared" si="18"/>
        <v>49.035903114453028</v>
      </c>
      <c r="N112" s="200">
        <f t="shared" si="18"/>
        <v>49.035903114453028</v>
      </c>
      <c r="O112" s="200">
        <f t="shared" si="18"/>
        <v>49.035903114453028</v>
      </c>
    </row>
    <row r="113" spans="1:23" s="134" customFormat="1" ht="16">
      <c r="A113" s="265"/>
      <c r="B113" s="103" t="s">
        <v>706</v>
      </c>
      <c r="C113" s="103"/>
      <c r="D113" s="103"/>
      <c r="E113" s="103"/>
      <c r="F113" s="103"/>
      <c r="G113" s="103"/>
      <c r="H113" s="146">
        <f>+H105/H92</f>
        <v>1.5800845437787633E-2</v>
      </c>
      <c r="I113" s="146">
        <f>+I105/I92</f>
        <v>2.5950208054395279E-2</v>
      </c>
      <c r="J113" s="146">
        <f>+J105/J92</f>
        <v>2.3361579322031822E-2</v>
      </c>
      <c r="K113" s="181">
        <f>+AVERAGE(H113:J113)</f>
        <v>2.170421093807158E-2</v>
      </c>
      <c r="L113" s="181">
        <f t="shared" si="19"/>
        <v>2.170421093807158E-2</v>
      </c>
      <c r="M113" s="181">
        <f t="shared" si="19"/>
        <v>2.170421093807158E-2</v>
      </c>
      <c r="N113" s="181">
        <f t="shared" si="19"/>
        <v>2.170421093807158E-2</v>
      </c>
      <c r="O113" s="181">
        <f t="shared" si="19"/>
        <v>2.170421093807158E-2</v>
      </c>
      <c r="R113" s="201" t="s">
        <v>711</v>
      </c>
    </row>
    <row r="115" spans="1:23" s="76" customFormat="1">
      <c r="A115" s="263" t="s">
        <v>356</v>
      </c>
      <c r="B115" s="173" t="s">
        <v>713</v>
      </c>
      <c r="C115" s="79"/>
      <c r="D115" s="79"/>
      <c r="E115" s="79"/>
      <c r="F115" s="79"/>
      <c r="G115" s="79"/>
      <c r="H115" s="79"/>
      <c r="I115" s="79"/>
      <c r="J115" s="79"/>
      <c r="K115" s="79"/>
      <c r="L115" s="79"/>
      <c r="M115" s="79"/>
      <c r="N115" s="79"/>
      <c r="O115" s="79"/>
      <c r="P115" s="79"/>
      <c r="Q115" s="79"/>
      <c r="R115" s="79"/>
      <c r="S115" s="79"/>
      <c r="T115" s="79"/>
      <c r="U115" s="79"/>
      <c r="V115" s="79"/>
      <c r="W115" s="79"/>
    </row>
    <row r="117" spans="1:23" s="110" customFormat="1">
      <c r="A117" s="264"/>
      <c r="B117" s="109" t="s">
        <v>19</v>
      </c>
      <c r="C117" s="109"/>
      <c r="D117" s="109"/>
      <c r="E117" s="109"/>
      <c r="F117" s="109"/>
      <c r="G117" s="109"/>
      <c r="H117" s="110">
        <f>+H15</f>
        <v>18.635704282999999</v>
      </c>
      <c r="I117" s="110">
        <f t="shared" ref="I117:O117" si="20">+I15</f>
        <v>70.196780896000007</v>
      </c>
      <c r="J117" s="110">
        <f t="shared" si="20"/>
        <v>108.665913336</v>
      </c>
      <c r="K117" s="110">
        <f t="shared" si="20"/>
        <v>157.85651920000001</v>
      </c>
      <c r="L117" s="110">
        <f t="shared" si="20"/>
        <v>197.47131419900001</v>
      </c>
      <c r="M117" s="110">
        <f t="shared" si="20"/>
        <v>243.07045855378004</v>
      </c>
      <c r="N117" s="110">
        <f t="shared" si="20"/>
        <v>295.8876600536542</v>
      </c>
      <c r="O117" s="110">
        <f t="shared" si="20"/>
        <v>354.90822451659716</v>
      </c>
    </row>
    <row r="119" spans="1:23" s="110" customFormat="1">
      <c r="A119" s="264"/>
      <c r="B119" s="109" t="s">
        <v>714</v>
      </c>
      <c r="C119" s="109"/>
      <c r="D119" s="109"/>
      <c r="E119" s="109"/>
      <c r="F119" s="109"/>
      <c r="G119" s="109"/>
      <c r="I119" s="110">
        <f>+H126</f>
        <v>45.721070283000003</v>
      </c>
      <c r="J119" s="110">
        <f t="shared" ref="J119:O119" si="21">+I126</f>
        <v>91.539926203999997</v>
      </c>
      <c r="K119" s="110">
        <f>+J126</f>
        <v>100.151000731</v>
      </c>
      <c r="L119" s="110">
        <f t="shared" si="21"/>
        <v>108.0646328983939</v>
      </c>
      <c r="M119" s="110">
        <f t="shared" si="21"/>
        <v>141.16898305183616</v>
      </c>
      <c r="N119" s="110">
        <f t="shared" si="21"/>
        <v>148.57114574661918</v>
      </c>
      <c r="O119" s="110">
        <f t="shared" si="21"/>
        <v>152.1517000486553</v>
      </c>
    </row>
    <row r="120" spans="1:23">
      <c r="B120" s="76" t="s">
        <v>715</v>
      </c>
      <c r="H120" s="107">
        <f>+-H75</f>
        <v>22.378155716999999</v>
      </c>
      <c r="I120" s="107">
        <f>+-I75</f>
        <v>42.934949502000002</v>
      </c>
      <c r="J120" s="107">
        <f>+-J75</f>
        <v>24.155168741000001</v>
      </c>
      <c r="K120" s="107">
        <f>+K121+K123</f>
        <v>17.936117473645545</v>
      </c>
      <c r="L120" s="107">
        <f>+L121+L123</f>
        <v>43.918782235441263</v>
      </c>
      <c r="M120" s="107">
        <f>+M121+M123</f>
        <v>21.529470939418161</v>
      </c>
      <c r="N120" s="107">
        <f>+N121+N123</f>
        <v>18.448624658896318</v>
      </c>
      <c r="O120" s="107">
        <f>+O121+O123</f>
        <v>18.893235232888369</v>
      </c>
    </row>
    <row r="121" spans="1:23">
      <c r="B121" s="102" t="s">
        <v>719</v>
      </c>
      <c r="H121" s="205">
        <f>+H120-H123</f>
        <v>13.889985236999998</v>
      </c>
      <c r="I121" s="205">
        <f>+I120-I123</f>
        <v>4.0349495020000035</v>
      </c>
      <c r="J121" s="205">
        <f>+J120-J123</f>
        <v>14.655168741000001</v>
      </c>
      <c r="K121" s="205">
        <f>+K119*K122</f>
        <v>12.436117473645545</v>
      </c>
      <c r="L121" s="205">
        <f>+L119*L122</f>
        <v>13.418782235441261</v>
      </c>
      <c r="M121" s="205">
        <f>+M119*M122</f>
        <v>17.529470939418161</v>
      </c>
      <c r="N121" s="205">
        <f>+N119*N122</f>
        <v>18.448624658896318</v>
      </c>
      <c r="O121" s="205">
        <f>+O119*O122</f>
        <v>18.893235232888369</v>
      </c>
    </row>
    <row r="122" spans="1:23">
      <c r="B122" s="102" t="s">
        <v>717</v>
      </c>
      <c r="H122" s="205"/>
      <c r="I122" s="198">
        <f>+I121/I119</f>
        <v>8.8251422747211525E-2</v>
      </c>
      <c r="J122" s="198">
        <f>+J121/J119</f>
        <v>0.16009592042209467</v>
      </c>
      <c r="K122" s="181">
        <f>+AVERAGE(I122:J122)</f>
        <v>0.12417367158465309</v>
      </c>
      <c r="L122" s="181">
        <f>+K122</f>
        <v>0.12417367158465309</v>
      </c>
      <c r="M122" s="181">
        <f>+L122</f>
        <v>0.12417367158465309</v>
      </c>
      <c r="N122" s="181">
        <f>+M122</f>
        <v>0.12417367158465309</v>
      </c>
      <c r="O122" s="181">
        <f>+N122</f>
        <v>0.12417367158465309</v>
      </c>
    </row>
    <row r="123" spans="1:23" ht="16">
      <c r="B123" s="102" t="s">
        <v>720</v>
      </c>
      <c r="H123" s="331">
        <f>+'3s'!C179/10^9</f>
        <v>8.4881704800000009</v>
      </c>
      <c r="I123" s="334">
        <v>38.9</v>
      </c>
      <c r="J123" s="205">
        <v>9.5</v>
      </c>
      <c r="K123" s="332">
        <f>+RAW!C31/10^3</f>
        <v>5.5</v>
      </c>
      <c r="L123" s="332">
        <f>+RAW!D31/10^3</f>
        <v>30.5</v>
      </c>
      <c r="M123" s="332">
        <f>+RAW!E31/10^3</f>
        <v>4</v>
      </c>
      <c r="N123" s="207">
        <v>0</v>
      </c>
      <c r="O123" s="207">
        <v>0</v>
      </c>
      <c r="R123" s="206" t="s">
        <v>721</v>
      </c>
    </row>
    <row r="124" spans="1:23">
      <c r="B124" s="76" t="s">
        <v>716</v>
      </c>
      <c r="H124" s="107">
        <f>+H69</f>
        <v>3.2162474400000001</v>
      </c>
      <c r="I124" s="107">
        <f>+I69</f>
        <v>4.7614322720000004</v>
      </c>
      <c r="J124" s="107">
        <f>+J69</f>
        <v>8.7884377029999996</v>
      </c>
      <c r="K124" s="107">
        <f>+K119*K125</f>
        <v>10.022485306251649</v>
      </c>
      <c r="L124" s="107">
        <f>+L119*L125</f>
        <v>10.814432081998996</v>
      </c>
      <c r="M124" s="107">
        <f>+M119*M125</f>
        <v>14.127308244635138</v>
      </c>
      <c r="N124" s="107">
        <f>+N119*N125</f>
        <v>14.868070356860176</v>
      </c>
      <c r="O124" s="107">
        <f>+O119*O125</f>
        <v>15.226389820654463</v>
      </c>
    </row>
    <row r="125" spans="1:23" s="134" customFormat="1">
      <c r="A125" s="265"/>
      <c r="B125" s="104" t="s">
        <v>717</v>
      </c>
      <c r="C125" s="103"/>
      <c r="D125" s="103"/>
      <c r="E125" s="103"/>
      <c r="F125" s="103"/>
      <c r="G125" s="103"/>
      <c r="H125" s="146"/>
      <c r="I125" s="146">
        <f>+I124/I119</f>
        <v>0.10414087514855039</v>
      </c>
      <c r="J125" s="146">
        <f>+J124/J119</f>
        <v>9.6006606815638593E-2</v>
      </c>
      <c r="K125" s="181">
        <f>+AVERAGE(I125:J125)</f>
        <v>0.10007374098209448</v>
      </c>
      <c r="L125" s="181">
        <f>+K125</f>
        <v>0.10007374098209448</v>
      </c>
      <c r="M125" s="181">
        <f>+L125</f>
        <v>0.10007374098209448</v>
      </c>
      <c r="N125" s="181">
        <f>+M125</f>
        <v>0.10007374098209448</v>
      </c>
      <c r="O125" s="181">
        <f>+N125</f>
        <v>0.10007374098209448</v>
      </c>
    </row>
    <row r="126" spans="1:23" s="110" customFormat="1">
      <c r="A126" s="264"/>
      <c r="B126" s="109" t="s">
        <v>718</v>
      </c>
      <c r="C126" s="109"/>
      <c r="D126" s="109"/>
      <c r="E126" s="109"/>
      <c r="F126" s="109"/>
      <c r="G126" s="109"/>
      <c r="H126" s="110">
        <f>+H41</f>
        <v>45.721070283000003</v>
      </c>
      <c r="I126" s="110">
        <f>+I41</f>
        <v>91.539926203999997</v>
      </c>
      <c r="J126" s="110">
        <f>+J41</f>
        <v>100.151000731</v>
      </c>
      <c r="K126" s="110">
        <f>+K119+K120-K124</f>
        <v>108.0646328983939</v>
      </c>
      <c r="L126" s="110">
        <f>+L119+L120-L124</f>
        <v>141.16898305183616</v>
      </c>
      <c r="M126" s="110">
        <f>+M119+M120-M124</f>
        <v>148.57114574661918</v>
      </c>
      <c r="N126" s="110">
        <f>+N119+N120-N124</f>
        <v>152.1517000486553</v>
      </c>
      <c r="O126" s="110">
        <f>+O119+O120-O124</f>
        <v>155.8185454608892</v>
      </c>
    </row>
    <row r="128" spans="1:23" s="110" customFormat="1">
      <c r="A128" s="264"/>
      <c r="B128" s="109" t="s">
        <v>726</v>
      </c>
      <c r="C128" s="109"/>
      <c r="D128" s="109"/>
      <c r="E128" s="109"/>
      <c r="F128" s="109"/>
      <c r="G128" s="109"/>
      <c r="I128" s="110">
        <f>+H133</f>
        <v>0.20216782999999999</v>
      </c>
      <c r="J128" s="110">
        <f t="shared" ref="J128:O128" si="22">+I133</f>
        <v>0.54383848899999998</v>
      </c>
      <c r="K128" s="110">
        <f t="shared" si="22"/>
        <v>1.1961402379999999</v>
      </c>
      <c r="L128" s="110">
        <f t="shared" si="22"/>
        <v>1.8663191770013432</v>
      </c>
      <c r="M128" s="110">
        <f t="shared" si="22"/>
        <v>2.6121819413103999</v>
      </c>
      <c r="N128" s="110">
        <f t="shared" si="22"/>
        <v>3.4515505307793015</v>
      </c>
      <c r="O128" s="110">
        <f t="shared" si="22"/>
        <v>4.4053662155095088</v>
      </c>
    </row>
    <row r="129" spans="1:23">
      <c r="B129" s="76" t="s">
        <v>715</v>
      </c>
      <c r="H129" s="107">
        <f>-H76</f>
        <v>0.121710136</v>
      </c>
      <c r="I129" s="107">
        <f>-I76</f>
        <v>0.44913954499999997</v>
      </c>
      <c r="J129" s="107">
        <f>-J76</f>
        <v>0.63910664500000003</v>
      </c>
      <c r="K129" s="107">
        <f>+K130*K117</f>
        <v>0.96921399850134338</v>
      </c>
      <c r="L129" s="107">
        <f>+L130*L117</f>
        <v>1.2124425585593925</v>
      </c>
      <c r="M129" s="107">
        <f>+M130*M117</f>
        <v>1.4924140747965016</v>
      </c>
      <c r="N129" s="107">
        <f>+N130*N117</f>
        <v>1.8167033174250327</v>
      </c>
      <c r="O129" s="107">
        <f>+O130*O117</f>
        <v>2.1790802250550549</v>
      </c>
    </row>
    <row r="130" spans="1:23" s="134" customFormat="1">
      <c r="A130" s="265"/>
      <c r="B130" s="104" t="s">
        <v>570</v>
      </c>
      <c r="C130" s="103"/>
      <c r="D130" s="103"/>
      <c r="E130" s="103"/>
      <c r="F130" s="103"/>
      <c r="G130" s="103"/>
      <c r="H130" s="146">
        <f>+H129/H117</f>
        <v>6.5310188523986894E-3</v>
      </c>
      <c r="I130" s="146">
        <f>+I129/I117</f>
        <v>6.3982926177971371E-3</v>
      </c>
      <c r="J130" s="146">
        <f>+J129/J117</f>
        <v>5.8813902665489307E-3</v>
      </c>
      <c r="K130" s="181">
        <f>+AVERAGE(I130:J130)</f>
        <v>6.1398414421730343E-3</v>
      </c>
      <c r="L130" s="181">
        <f>+K130</f>
        <v>6.1398414421730343E-3</v>
      </c>
      <c r="M130" s="181">
        <f>+L130</f>
        <v>6.1398414421730343E-3</v>
      </c>
      <c r="N130" s="181">
        <f>+M130</f>
        <v>6.1398414421730343E-3</v>
      </c>
      <c r="O130" s="181">
        <f>+N130</f>
        <v>6.1398414421730343E-3</v>
      </c>
    </row>
    <row r="131" spans="1:23">
      <c r="B131" s="76" t="s">
        <v>727</v>
      </c>
      <c r="H131" s="107">
        <f>+H70</f>
        <v>0.189093188</v>
      </c>
      <c r="I131" s="107">
        <f>+I70</f>
        <v>0.203914495</v>
      </c>
      <c r="J131" s="107">
        <f>+J70</f>
        <v>0.35739515300000002</v>
      </c>
      <c r="K131" s="107">
        <f>+K128*K132</f>
        <v>0.29903505949999998</v>
      </c>
      <c r="L131" s="107">
        <f>+L128*L132</f>
        <v>0.4665797942503358</v>
      </c>
      <c r="M131" s="107">
        <f>+M128*M132</f>
        <v>0.65304548532759998</v>
      </c>
      <c r="N131" s="107">
        <f>+N128*N132</f>
        <v>0.86288763269482538</v>
      </c>
      <c r="O131" s="107">
        <f>+O128*O132</f>
        <v>1.1013415538773772</v>
      </c>
    </row>
    <row r="132" spans="1:23" ht="16">
      <c r="B132" s="104" t="s">
        <v>728</v>
      </c>
      <c r="H132" s="198"/>
      <c r="I132" s="198">
        <f>+I131/I128</f>
        <v>1.0086396782316949</v>
      </c>
      <c r="J132" s="198">
        <f>+J131/J128</f>
        <v>0.65717149526722818</v>
      </c>
      <c r="K132" s="222">
        <v>0.25</v>
      </c>
      <c r="L132" s="222">
        <v>0.25</v>
      </c>
      <c r="M132" s="222">
        <v>0.25</v>
      </c>
      <c r="N132" s="222">
        <v>0.25</v>
      </c>
      <c r="O132" s="222">
        <v>0.25</v>
      </c>
      <c r="R132" s="107" t="s">
        <v>730</v>
      </c>
    </row>
    <row r="133" spans="1:23" s="110" customFormat="1">
      <c r="A133" s="264"/>
      <c r="B133" s="109" t="s">
        <v>729</v>
      </c>
      <c r="C133" s="109"/>
      <c r="D133" s="109"/>
      <c r="E133" s="109"/>
      <c r="F133" s="109"/>
      <c r="G133" s="109"/>
      <c r="H133" s="110">
        <f>+H42</f>
        <v>0.20216782999999999</v>
      </c>
      <c r="I133" s="110">
        <f>+I42</f>
        <v>0.54383848899999998</v>
      </c>
      <c r="J133" s="110">
        <f>+J42</f>
        <v>1.1961402379999999</v>
      </c>
      <c r="K133" s="110">
        <f>+K128+K129-K131</f>
        <v>1.8663191770013432</v>
      </c>
      <c r="L133" s="110">
        <f>+L128+L129-L131</f>
        <v>2.6121819413103999</v>
      </c>
      <c r="M133" s="110">
        <f>+M128+M129-M131</f>
        <v>3.4515505307793015</v>
      </c>
      <c r="N133" s="110">
        <f>+N128+N129-N131</f>
        <v>4.4053662155095088</v>
      </c>
      <c r="O133" s="110">
        <f>+O128+O129-O131</f>
        <v>5.4831048866871868</v>
      </c>
    </row>
    <row r="135" spans="1:23" s="76" customFormat="1">
      <c r="A135" s="263" t="s">
        <v>356</v>
      </c>
      <c r="B135" s="173" t="s">
        <v>733</v>
      </c>
      <c r="C135" s="79"/>
      <c r="D135" s="79"/>
      <c r="E135" s="79"/>
      <c r="F135" s="79"/>
      <c r="G135" s="79"/>
      <c r="H135" s="79"/>
      <c r="I135" s="79"/>
      <c r="J135" s="79"/>
      <c r="K135" s="79"/>
      <c r="L135" s="79"/>
      <c r="M135" s="79"/>
      <c r="N135" s="79"/>
      <c r="O135" s="79"/>
      <c r="P135" s="79"/>
      <c r="Q135" s="79"/>
      <c r="R135" s="79"/>
      <c r="S135" s="79"/>
      <c r="T135" s="79"/>
      <c r="U135" s="79"/>
      <c r="V135" s="79"/>
      <c r="W135" s="79"/>
    </row>
    <row r="137" spans="1:23" s="110" customFormat="1">
      <c r="A137" s="264"/>
      <c r="B137" s="109" t="s">
        <v>782</v>
      </c>
      <c r="C137" s="109"/>
      <c r="D137" s="109"/>
      <c r="E137" s="109"/>
      <c r="F137" s="109"/>
      <c r="G137" s="109"/>
      <c r="I137" s="110">
        <f>+H140</f>
        <v>36.847256000000002</v>
      </c>
      <c r="J137" s="110">
        <f t="shared" ref="J137:O137" si="23">+I140</f>
        <v>52.019116625999999</v>
      </c>
      <c r="K137" s="110">
        <f t="shared" si="23"/>
        <v>45.264042633999999</v>
      </c>
      <c r="L137" s="110">
        <f>+K140</f>
        <v>34.095042634000002</v>
      </c>
      <c r="M137" s="110">
        <f t="shared" si="23"/>
        <v>41.073042634000004</v>
      </c>
      <c r="N137" s="110">
        <f t="shared" si="23"/>
        <v>39.785042634000007</v>
      </c>
      <c r="O137" s="110">
        <f t="shared" si="23"/>
        <v>42.363067313000009</v>
      </c>
    </row>
    <row r="138" spans="1:23">
      <c r="B138" s="102" t="s">
        <v>734</v>
      </c>
      <c r="H138" s="107">
        <f>+H81+H83</f>
        <v>20.961494999999999</v>
      </c>
      <c r="I138" s="107">
        <f>+I81+I83</f>
        <v>20.607875</v>
      </c>
      <c r="J138" s="107">
        <f>+J81+J83</f>
        <v>34.81</v>
      </c>
      <c r="K138" s="107">
        <f t="shared" ref="K138:O139" si="24">+K143+K149</f>
        <v>0</v>
      </c>
      <c r="L138" s="107">
        <f t="shared" si="24"/>
        <v>31</v>
      </c>
      <c r="M138" s="107">
        <f t="shared" si="24"/>
        <v>35</v>
      </c>
      <c r="N138" s="107">
        <f t="shared" si="24"/>
        <v>39</v>
      </c>
      <c r="O138" s="107">
        <f t="shared" si="24"/>
        <v>42</v>
      </c>
    </row>
    <row r="139" spans="1:23" ht="16">
      <c r="B139" s="102" t="s">
        <v>735</v>
      </c>
      <c r="H139" s="107">
        <f>-H82-H84</f>
        <v>2.661397</v>
      </c>
      <c r="I139" s="107">
        <f>-I82-I84</f>
        <v>5.4072143740000005</v>
      </c>
      <c r="J139" s="107">
        <f>-J82-J84</f>
        <v>41.565073992000002</v>
      </c>
      <c r="K139" s="107">
        <f>+K144+K150</f>
        <v>11.168999999999999</v>
      </c>
      <c r="L139" s="107">
        <f t="shared" si="24"/>
        <v>24.022000000000002</v>
      </c>
      <c r="M139" s="107">
        <f t="shared" si="24"/>
        <v>36.287999999999997</v>
      </c>
      <c r="N139" s="107">
        <f t="shared" si="24"/>
        <v>36.421975320999998</v>
      </c>
      <c r="O139" s="107">
        <f t="shared" si="24"/>
        <v>40.421975320999998</v>
      </c>
      <c r="R139" s="206"/>
    </row>
    <row r="140" spans="1:23" s="110" customFormat="1">
      <c r="A140" s="264"/>
      <c r="B140" s="109" t="s">
        <v>783</v>
      </c>
      <c r="C140" s="109"/>
      <c r="D140" s="109"/>
      <c r="E140" s="109"/>
      <c r="F140" s="109"/>
      <c r="G140" s="109"/>
      <c r="H140" s="110">
        <f>+H48+H54</f>
        <v>36.847256000000002</v>
      </c>
      <c r="I140" s="110">
        <f>+I48+I54</f>
        <v>52.019116625999999</v>
      </c>
      <c r="J140" s="110">
        <f>+J48+J54</f>
        <v>45.264042633999999</v>
      </c>
      <c r="K140" s="110">
        <f>+K137+K138-K139</f>
        <v>34.095042634000002</v>
      </c>
      <c r="L140" s="110">
        <f>+L137+L138-L139</f>
        <v>41.073042634000004</v>
      </c>
      <c r="M140" s="110">
        <f>+M137+M138-M139</f>
        <v>39.785042634000007</v>
      </c>
      <c r="N140" s="110">
        <f>+N137+N138-N139</f>
        <v>42.363067313000009</v>
      </c>
      <c r="O140" s="110">
        <f>+O137+O138-O139</f>
        <v>43.941091992000018</v>
      </c>
    </row>
    <row r="142" spans="1:23" s="110" customFormat="1">
      <c r="A142" s="264"/>
      <c r="B142" s="109" t="s">
        <v>736</v>
      </c>
      <c r="C142" s="109"/>
      <c r="D142" s="109"/>
      <c r="E142" s="109"/>
      <c r="F142" s="109"/>
      <c r="G142" s="109"/>
      <c r="I142" s="110">
        <f>+H145</f>
        <v>4.9686073740000003</v>
      </c>
      <c r="J142" s="110">
        <f t="shared" ref="J142:O142" si="25">+I145</f>
        <v>28.740073991999999</v>
      </c>
      <c r="K142" s="110">
        <f t="shared" si="25"/>
        <v>30.281091992</v>
      </c>
      <c r="L142" s="110">
        <f t="shared" si="25"/>
        <v>19.241091992000001</v>
      </c>
      <c r="M142" s="110">
        <f t="shared" si="25"/>
        <v>32.941091991999997</v>
      </c>
      <c r="N142" s="110">
        <f t="shared" si="25"/>
        <v>36.941091991999997</v>
      </c>
      <c r="O142" s="110">
        <f t="shared" si="25"/>
        <v>40.941091991999997</v>
      </c>
    </row>
    <row r="143" spans="1:23" ht="16">
      <c r="B143" s="102" t="s">
        <v>734</v>
      </c>
      <c r="H143" s="107">
        <f>+H81</f>
        <v>1.600495</v>
      </c>
      <c r="I143" s="107">
        <f>+I81</f>
        <v>19.207875000000001</v>
      </c>
      <c r="J143" s="107">
        <f>+J81</f>
        <v>30.3</v>
      </c>
      <c r="K143" s="221">
        <v>0</v>
      </c>
      <c r="L143" s="221">
        <v>31</v>
      </c>
      <c r="M143" s="221">
        <v>35</v>
      </c>
      <c r="N143" s="221">
        <v>39</v>
      </c>
      <c r="O143" s="221">
        <v>42</v>
      </c>
      <c r="R143" s="206" t="s">
        <v>791</v>
      </c>
    </row>
    <row r="144" spans="1:23">
      <c r="B144" s="102" t="s">
        <v>735</v>
      </c>
      <c r="H144" s="107">
        <f>-H82</f>
        <v>2.613397</v>
      </c>
      <c r="I144" s="107">
        <f>-I82</f>
        <v>3.868882374</v>
      </c>
      <c r="J144" s="107">
        <f>-J82</f>
        <v>30.700073992</v>
      </c>
      <c r="K144" s="332">
        <f>+SUM(RAW!F187,RAW!F188,RAW!F191,RAW!F193,RAW!Q190)/10^9</f>
        <v>11.04</v>
      </c>
      <c r="L144" s="332">
        <f>+SUM(RAW!O189,RAW!O190,RAW!O193)/10^9</f>
        <v>17.3</v>
      </c>
      <c r="M144" s="207">
        <f>+L143</f>
        <v>31</v>
      </c>
      <c r="N144" s="207">
        <f>+M143</f>
        <v>35</v>
      </c>
      <c r="O144" s="207">
        <f>+N143</f>
        <v>39</v>
      </c>
    </row>
    <row r="145" spans="1:18" s="110" customFormat="1">
      <c r="A145" s="264"/>
      <c r="B145" s="109" t="s">
        <v>737</v>
      </c>
      <c r="C145" s="109"/>
      <c r="D145" s="109"/>
      <c r="E145" s="109"/>
      <c r="F145" s="109"/>
      <c r="G145" s="109"/>
      <c r="H145" s="110">
        <f>+H48</f>
        <v>4.9686073740000003</v>
      </c>
      <c r="I145" s="110">
        <f>+I48</f>
        <v>28.740073991999999</v>
      </c>
      <c r="J145" s="110">
        <f>+J48</f>
        <v>30.281091992</v>
      </c>
      <c r="K145" s="110">
        <f>+K142+K143-K144</f>
        <v>19.241091992000001</v>
      </c>
      <c r="L145" s="110">
        <f>+L142+L143-L144</f>
        <v>32.941091991999997</v>
      </c>
      <c r="M145" s="110">
        <f>+M142+M143-M144</f>
        <v>36.941091991999997</v>
      </c>
      <c r="N145" s="110">
        <f>+N142+N143-N144</f>
        <v>40.941091991999997</v>
      </c>
      <c r="O145" s="110">
        <f>+O142+O143-O144</f>
        <v>43.941091991999997</v>
      </c>
    </row>
    <row r="146" spans="1:18" s="134" customFormat="1">
      <c r="A146" s="265"/>
      <c r="B146" s="225" t="s">
        <v>781</v>
      </c>
      <c r="C146" s="103"/>
      <c r="D146" s="103"/>
      <c r="E146" s="103"/>
      <c r="F146" s="103"/>
      <c r="G146" s="103"/>
      <c r="H146" s="137">
        <f t="shared" ref="H146:O146" si="26">+H145/H34</f>
        <v>4.2799250643405853E-2</v>
      </c>
      <c r="I146" s="137">
        <f t="shared" si="26"/>
        <v>0.17464039182918037</v>
      </c>
      <c r="J146" s="137">
        <f t="shared" si="26"/>
        <v>0.16789541976764158</v>
      </c>
      <c r="K146" s="137">
        <f t="shared" si="26"/>
        <v>6.5477270162847476E-2</v>
      </c>
      <c r="L146" s="137">
        <f t="shared" si="26"/>
        <v>9.2469960924377342E-2</v>
      </c>
      <c r="M146" s="137">
        <f t="shared" si="26"/>
        <v>8.7809890255388504E-2</v>
      </c>
      <c r="N146" s="137">
        <f t="shared" si="26"/>
        <v>8.0706511024100522E-2</v>
      </c>
      <c r="O146" s="137">
        <f t="shared" si="26"/>
        <v>7.1664466812456667E-2</v>
      </c>
    </row>
    <row r="148" spans="1:18">
      <c r="B148" s="109" t="s">
        <v>788</v>
      </c>
      <c r="C148" s="109"/>
      <c r="D148" s="109"/>
      <c r="E148" s="109"/>
      <c r="F148" s="109"/>
      <c r="G148" s="109"/>
      <c r="H148" s="110"/>
      <c r="I148" s="110">
        <f>+H151</f>
        <v>31.878648626</v>
      </c>
      <c r="J148" s="110">
        <f t="shared" ref="J148:O148" si="27">+I151</f>
        <v>23.279042634</v>
      </c>
      <c r="K148" s="110">
        <f t="shared" si="27"/>
        <v>14.982950642</v>
      </c>
      <c r="L148" s="110">
        <f t="shared" si="27"/>
        <v>14.853950642000001</v>
      </c>
      <c r="M148" s="110">
        <f t="shared" si="27"/>
        <v>8.1319506419999996</v>
      </c>
      <c r="N148" s="110">
        <f t="shared" si="27"/>
        <v>2.8439506419999994</v>
      </c>
      <c r="O148" s="110">
        <f t="shared" si="27"/>
        <v>1.4219753209999997</v>
      </c>
    </row>
    <row r="149" spans="1:18" ht="16">
      <c r="B149" s="102" t="s">
        <v>734</v>
      </c>
      <c r="H149" s="107">
        <f>+H83</f>
        <v>19.361000000000001</v>
      </c>
      <c r="I149" s="107">
        <f>+I83</f>
        <v>1.4</v>
      </c>
      <c r="J149" s="107">
        <f>+J83</f>
        <v>4.51</v>
      </c>
      <c r="K149" s="221">
        <v>0</v>
      </c>
      <c r="L149" s="221">
        <v>0</v>
      </c>
      <c r="M149" s="221">
        <v>0</v>
      </c>
      <c r="N149" s="221">
        <v>0</v>
      </c>
      <c r="O149" s="221">
        <v>0</v>
      </c>
      <c r="R149" s="206" t="s">
        <v>790</v>
      </c>
    </row>
    <row r="150" spans="1:18" ht="16">
      <c r="B150" s="102" t="s">
        <v>735</v>
      </c>
      <c r="H150" s="107">
        <f>-H84</f>
        <v>4.8000000000000001E-2</v>
      </c>
      <c r="I150" s="107">
        <f>-I84</f>
        <v>1.538332</v>
      </c>
      <c r="J150" s="107">
        <f>-J84</f>
        <v>10.865</v>
      </c>
      <c r="K150" s="332">
        <f>+RAW!C216/10^3</f>
        <v>0.129</v>
      </c>
      <c r="L150" s="332">
        <f>+RAW!D216/10^3</f>
        <v>6.7220000000000004</v>
      </c>
      <c r="M150" s="332">
        <f>+RAW!E216/10^3</f>
        <v>5.2880000000000003</v>
      </c>
      <c r="N150" s="207">
        <f>+N148/2</f>
        <v>1.4219753209999997</v>
      </c>
      <c r="O150" s="207">
        <f>+O148</f>
        <v>1.4219753209999997</v>
      </c>
      <c r="R150" s="206" t="s">
        <v>784</v>
      </c>
    </row>
    <row r="151" spans="1:18" s="110" customFormat="1">
      <c r="A151" s="264"/>
      <c r="B151" s="109" t="s">
        <v>789</v>
      </c>
      <c r="C151" s="109"/>
      <c r="D151" s="109"/>
      <c r="E151" s="109"/>
      <c r="F151" s="109"/>
      <c r="G151" s="109"/>
      <c r="H151" s="110">
        <f>+H54</f>
        <v>31.878648626</v>
      </c>
      <c r="I151" s="110">
        <f>+I54</f>
        <v>23.279042634</v>
      </c>
      <c r="J151" s="110">
        <f>+J54</f>
        <v>14.982950642</v>
      </c>
      <c r="K151" s="110">
        <f>+K148+K149-K150</f>
        <v>14.853950642000001</v>
      </c>
      <c r="L151" s="110">
        <f>+L148+L149-L150</f>
        <v>8.1319506419999996</v>
      </c>
      <c r="M151" s="110">
        <f>+M148+M149-M150</f>
        <v>2.8439506419999994</v>
      </c>
      <c r="N151" s="110">
        <f>+N148+N149-N150</f>
        <v>1.4219753209999997</v>
      </c>
      <c r="O151" s="110">
        <f>+O148+O149-O150</f>
        <v>0</v>
      </c>
    </row>
    <row r="153" spans="1:18">
      <c r="B153" s="76" t="s">
        <v>793</v>
      </c>
      <c r="H153" s="107">
        <f t="shared" ref="H153:O153" si="28">+H140</f>
        <v>36.847256000000002</v>
      </c>
      <c r="I153" s="107">
        <f t="shared" si="28"/>
        <v>52.019116625999999</v>
      </c>
      <c r="J153" s="107">
        <f t="shared" si="28"/>
        <v>45.264042633999999</v>
      </c>
      <c r="K153" s="107">
        <f t="shared" si="28"/>
        <v>34.095042634000002</v>
      </c>
      <c r="L153" s="107">
        <f t="shared" si="28"/>
        <v>41.073042634000004</v>
      </c>
      <c r="M153" s="107">
        <f t="shared" si="28"/>
        <v>39.785042634000007</v>
      </c>
      <c r="N153" s="107">
        <f t="shared" si="28"/>
        <v>42.363067313000009</v>
      </c>
      <c r="O153" s="107">
        <f t="shared" si="28"/>
        <v>43.941091992000018</v>
      </c>
    </row>
    <row r="154" spans="1:18">
      <c r="B154" s="109" t="s">
        <v>794</v>
      </c>
      <c r="I154" s="107">
        <f>+AVERAGE(H153:I153)</f>
        <v>44.433186313</v>
      </c>
      <c r="J154" s="107">
        <f t="shared" ref="J154:O154" si="29">+AVERAGE(I153:J153)</f>
        <v>48.641579629999995</v>
      </c>
      <c r="K154" s="107">
        <f t="shared" si="29"/>
        <v>39.679542634000001</v>
      </c>
      <c r="L154" s="107">
        <f t="shared" si="29"/>
        <v>37.584042633999999</v>
      </c>
      <c r="M154" s="107">
        <f t="shared" si="29"/>
        <v>40.429042634000005</v>
      </c>
      <c r="N154" s="107">
        <f t="shared" si="29"/>
        <v>41.074054973500012</v>
      </c>
      <c r="O154" s="107">
        <f t="shared" si="29"/>
        <v>43.152079652500014</v>
      </c>
    </row>
    <row r="155" spans="1:18" s="134" customFormat="1">
      <c r="A155" s="265"/>
      <c r="B155" s="104" t="s">
        <v>795</v>
      </c>
      <c r="C155" s="103"/>
      <c r="D155" s="103"/>
      <c r="E155" s="103"/>
      <c r="F155" s="103"/>
      <c r="G155" s="103"/>
      <c r="I155" s="146">
        <f>+I156/I153</f>
        <v>1.340273174980309E-2</v>
      </c>
      <c r="J155" s="146">
        <f>+J156/J153</f>
        <v>4.2725573290869304E-2</v>
      </c>
      <c r="K155" s="181">
        <f>+J155</f>
        <v>4.2725573290869304E-2</v>
      </c>
      <c r="L155" s="181">
        <f>+K155</f>
        <v>4.2725573290869304E-2</v>
      </c>
      <c r="M155" s="181">
        <f>+L155</f>
        <v>4.2725573290869304E-2</v>
      </c>
      <c r="N155" s="181">
        <f>+M155</f>
        <v>4.2725573290869304E-2</v>
      </c>
      <c r="O155" s="181">
        <f>+N155</f>
        <v>4.2725573290869304E-2</v>
      </c>
    </row>
    <row r="156" spans="1:18" s="191" customFormat="1">
      <c r="A156" s="266"/>
      <c r="B156" s="109" t="s">
        <v>833</v>
      </c>
      <c r="C156" s="190"/>
      <c r="D156" s="190"/>
      <c r="E156" s="190"/>
      <c r="F156" s="190"/>
      <c r="G156" s="190"/>
      <c r="H156" s="110">
        <f>+H24</f>
        <v>0.80462865299999997</v>
      </c>
      <c r="I156" s="329">
        <f>+SUM('3s'!I224,'3s'!I226)/10^9</f>
        <v>0.69719826600000001</v>
      </c>
      <c r="J156" s="329">
        <f>+SUM('3s'!J224,'3s'!J226)/10^9</f>
        <v>1.9339321709999999</v>
      </c>
      <c r="K156" s="110">
        <f>+K154*K155</f>
        <v>1.6953312069571402</v>
      </c>
      <c r="L156" s="110">
        <f>+L154*L155</f>
        <v>1.6057997681261236</v>
      </c>
      <c r="M156" s="110">
        <f>+M154*M155</f>
        <v>1.7273540241386469</v>
      </c>
      <c r="N156" s="110">
        <f>+N154*N155</f>
        <v>1.7549125461234696</v>
      </c>
      <c r="O156" s="110">
        <f>+O154*O155</f>
        <v>1.8436973418463194</v>
      </c>
    </row>
    <row r="157" spans="1:18" s="134" customFormat="1">
      <c r="A157" s="265"/>
      <c r="B157" s="109"/>
      <c r="C157" s="103"/>
      <c r="D157" s="103"/>
      <c r="E157" s="103"/>
      <c r="F157" s="103"/>
      <c r="G157" s="103"/>
      <c r="I157" s="146"/>
      <c r="J157" s="146"/>
      <c r="K157" s="107"/>
      <c r="L157" s="107"/>
      <c r="M157" s="107"/>
      <c r="N157" s="107"/>
      <c r="O157" s="107"/>
    </row>
    <row r="158" spans="1:18" ht="16">
      <c r="B158" s="76" t="s">
        <v>834</v>
      </c>
      <c r="H158" s="107">
        <f>+H49</f>
        <v>17.855794551999999</v>
      </c>
      <c r="I158" s="107">
        <f>+I49</f>
        <v>21.127537259</v>
      </c>
      <c r="J158" s="107">
        <f>+J49</f>
        <v>25.084898741</v>
      </c>
      <c r="K158" s="330">
        <f>+'3s'!F259/10^9</f>
        <v>8.0311602860000004</v>
      </c>
      <c r="L158" s="107">
        <f>+K158+K160</f>
        <v>8.5130299031599996</v>
      </c>
      <c r="M158" s="107">
        <f>+L158+L160</f>
        <v>9.0238116973496005</v>
      </c>
      <c r="N158" s="107">
        <f>+M158+M160</f>
        <v>9.5652403991905768</v>
      </c>
      <c r="O158" s="107">
        <f>+N158+N160</f>
        <v>10.139154823142011</v>
      </c>
      <c r="R158" s="233" t="s">
        <v>849</v>
      </c>
    </row>
    <row r="159" spans="1:18" s="134" customFormat="1">
      <c r="A159" s="265"/>
      <c r="B159" s="104" t="s">
        <v>795</v>
      </c>
      <c r="C159" s="103"/>
      <c r="D159" s="103"/>
      <c r="E159" s="103"/>
      <c r="F159" s="103"/>
      <c r="G159" s="103"/>
      <c r="I159" s="146">
        <f>+I160/I158</f>
        <v>0.10559128575431471</v>
      </c>
      <c r="J159" s="146">
        <f>+J160/J158</f>
        <v>0.13221284946146797</v>
      </c>
      <c r="K159" s="222">
        <v>0.06</v>
      </c>
      <c r="L159" s="222">
        <v>0.06</v>
      </c>
      <c r="M159" s="222">
        <v>0.06</v>
      </c>
      <c r="N159" s="222">
        <v>0.06</v>
      </c>
      <c r="O159" s="222">
        <v>0.06</v>
      </c>
      <c r="P159" s="146"/>
    </row>
    <row r="160" spans="1:18" s="110" customFormat="1">
      <c r="A160" s="264"/>
      <c r="B160" s="109" t="s">
        <v>835</v>
      </c>
      <c r="C160" s="109"/>
      <c r="D160" s="109"/>
      <c r="E160" s="109"/>
      <c r="F160" s="109"/>
      <c r="G160" s="109"/>
      <c r="I160" s="333">
        <f>+'3s'!I225/10^9</f>
        <v>2.2308838240000002</v>
      </c>
      <c r="J160" s="333">
        <f>+'3s'!J225/10^9</f>
        <v>3.3165459410000002</v>
      </c>
      <c r="K160" s="110">
        <f>+K158*K159</f>
        <v>0.48186961715999999</v>
      </c>
      <c r="L160" s="234">
        <f>+L158*L159</f>
        <v>0.51078179418960001</v>
      </c>
      <c r="M160" s="234">
        <f>+M158*M159</f>
        <v>0.54142870184097602</v>
      </c>
      <c r="N160" s="234">
        <f>+N158*N159</f>
        <v>0.57391442395143455</v>
      </c>
      <c r="O160" s="234">
        <f>+O158*O159</f>
        <v>0.60834928938852062</v>
      </c>
      <c r="P160" s="235"/>
    </row>
    <row r="161" spans="1:23" s="134" customFormat="1">
      <c r="A161" s="265"/>
      <c r="B161" s="104"/>
      <c r="C161" s="103"/>
      <c r="D161" s="103"/>
      <c r="E161" s="103"/>
      <c r="F161" s="103"/>
      <c r="G161" s="103"/>
      <c r="I161" s="146"/>
      <c r="J161" s="146"/>
      <c r="L161" s="146"/>
      <c r="M161" s="146"/>
      <c r="O161" s="146"/>
      <c r="P161" s="146"/>
    </row>
    <row r="162" spans="1:23" s="110" customFormat="1">
      <c r="A162" s="264"/>
      <c r="B162" s="109" t="s">
        <v>796</v>
      </c>
      <c r="C162" s="109"/>
      <c r="D162" s="109"/>
      <c r="E162" s="109"/>
      <c r="F162" s="109"/>
      <c r="G162" s="109"/>
      <c r="H162" s="110">
        <f>+H156+H160</f>
        <v>0.80462865299999997</v>
      </c>
      <c r="I162" s="110">
        <f t="shared" ref="I162:O162" si="30">+I156+I160</f>
        <v>2.9280820900000002</v>
      </c>
      <c r="J162" s="110">
        <f t="shared" si="30"/>
        <v>5.2504781119999997</v>
      </c>
      <c r="K162" s="110">
        <f t="shared" si="30"/>
        <v>2.1772008241171403</v>
      </c>
      <c r="L162" s="110">
        <f t="shared" si="30"/>
        <v>2.1165815623157238</v>
      </c>
      <c r="M162" s="110">
        <f t="shared" si="30"/>
        <v>2.2687827259796229</v>
      </c>
      <c r="N162" s="110">
        <f t="shared" si="30"/>
        <v>2.3288269700749042</v>
      </c>
      <c r="O162" s="110">
        <f t="shared" si="30"/>
        <v>2.4520466312348401</v>
      </c>
    </row>
    <row r="164" spans="1:23" s="76" customFormat="1">
      <c r="A164" s="263" t="s">
        <v>356</v>
      </c>
      <c r="B164" s="173" t="s">
        <v>854</v>
      </c>
      <c r="C164" s="79"/>
      <c r="D164" s="79"/>
      <c r="E164" s="79"/>
      <c r="F164" s="79"/>
      <c r="G164" s="79"/>
      <c r="H164" s="79"/>
      <c r="I164" s="79"/>
      <c r="J164" s="79"/>
      <c r="K164" s="79"/>
      <c r="L164" s="79"/>
      <c r="M164" s="79"/>
      <c r="N164" s="79"/>
      <c r="O164" s="79"/>
      <c r="P164" s="79"/>
      <c r="Q164" s="79"/>
      <c r="R164" s="79"/>
      <c r="S164" s="79"/>
      <c r="T164" s="79"/>
      <c r="U164" s="79"/>
      <c r="V164" s="79"/>
      <c r="W164" s="79"/>
    </row>
    <row r="165" spans="1:23">
      <c r="H165" s="110"/>
      <c r="I165" s="110"/>
      <c r="J165" s="110"/>
    </row>
    <row r="166" spans="1:23">
      <c r="B166" s="239" t="s">
        <v>855</v>
      </c>
      <c r="K166" s="110">
        <f>+K26</f>
        <v>-20.544716534131346</v>
      </c>
      <c r="L166" s="110">
        <f>+L26</f>
        <v>63.646250802049671</v>
      </c>
      <c r="M166" s="110">
        <f>+M26</f>
        <v>76.025384185650111</v>
      </c>
      <c r="N166" s="110">
        <f>+N26</f>
        <v>98.593186556854022</v>
      </c>
      <c r="O166" s="110">
        <f>+O26</f>
        <v>124.02140216469688</v>
      </c>
    </row>
    <row r="167" spans="1:23">
      <c r="B167" s="240" t="s">
        <v>856</v>
      </c>
      <c r="K167" s="254">
        <f>+IF(K166&gt;0,MIN(K166,$I$173),0)</f>
        <v>0</v>
      </c>
      <c r="L167" s="254">
        <f>+IF(L166&gt;0,MIN(L166,$I$173),0)</f>
        <v>0.2</v>
      </c>
      <c r="M167" s="254">
        <f>+IF(M166&gt;0,MIN(M166,$I$173),0)</f>
        <v>0.2</v>
      </c>
      <c r="N167" s="254">
        <f>+IF(N166&gt;0,MIN(N166,$I$173),0)</f>
        <v>0.2</v>
      </c>
      <c r="O167" s="254">
        <f>+IF(O166&gt;0,MIN(O166,$I$173),0)</f>
        <v>0.2</v>
      </c>
    </row>
    <row r="168" spans="1:23">
      <c r="B168" s="240" t="s">
        <v>857</v>
      </c>
      <c r="K168" s="254">
        <f>+MAX(MIN(K166,$I$174)-K167,0)</f>
        <v>0</v>
      </c>
      <c r="L168" s="254">
        <f>+MAX(MIN(L166,$I$174)-L167,0)</f>
        <v>19.8</v>
      </c>
      <c r="M168" s="254">
        <f>+MAX(MIN(M166,$I$174)-M167,0)</f>
        <v>19.8</v>
      </c>
      <c r="N168" s="254">
        <f>+MAX(MIN(N166,$I$174)-N167,0)</f>
        <v>19.8</v>
      </c>
      <c r="O168" s="254">
        <f>+MAX(MIN(O166,$I$174)-O167,0)</f>
        <v>19.8</v>
      </c>
    </row>
    <row r="169" spans="1:23">
      <c r="B169" s="240" t="s">
        <v>858</v>
      </c>
      <c r="K169" s="254">
        <f>+MAX(MIN(K166,$I$176)-K167-K168,0)</f>
        <v>0</v>
      </c>
      <c r="L169" s="254">
        <f>+MAX(MIN(L166,$I$176)-L167-L168,0)</f>
        <v>43.646250802049664</v>
      </c>
      <c r="M169" s="254">
        <f>+MAX(MIN(M166,$I$176)-M167-M168,0)</f>
        <v>56.025384185650111</v>
      </c>
      <c r="N169" s="254">
        <f>+MAX(MIN(N166,$I$176)-N167-N168,0)</f>
        <v>78.593186556854022</v>
      </c>
      <c r="O169" s="254">
        <f>+MAX(MIN(O166,$I$176)-O167-O168,0)</f>
        <v>104.02140216469688</v>
      </c>
    </row>
    <row r="170" spans="1:23">
      <c r="B170" s="240" t="s">
        <v>859</v>
      </c>
      <c r="K170" s="254">
        <f>+K166-SUM(K167:K169)</f>
        <v>-20.544716534131346</v>
      </c>
      <c r="L170" s="254">
        <f>+L166-SUM(L167:L169)</f>
        <v>0</v>
      </c>
      <c r="M170" s="254">
        <f>+M166-SUM(M167:M169)</f>
        <v>0</v>
      </c>
      <c r="N170" s="254">
        <f>+N166-SUM(N167:N169)</f>
        <v>0</v>
      </c>
      <c r="O170" s="254">
        <f>+O166-SUM(O167:O169)</f>
        <v>0</v>
      </c>
    </row>
    <row r="172" spans="1:23">
      <c r="B172" s="241" t="s">
        <v>860</v>
      </c>
      <c r="C172" s="242"/>
      <c r="D172" s="242"/>
      <c r="E172" s="242"/>
      <c r="F172" s="242"/>
      <c r="G172" s="242"/>
      <c r="H172" s="243" t="s">
        <v>861</v>
      </c>
      <c r="I172" s="243" t="s">
        <v>862</v>
      </c>
      <c r="J172" s="244" t="s">
        <v>863</v>
      </c>
    </row>
    <row r="173" spans="1:23">
      <c r="B173" s="245" t="s">
        <v>856</v>
      </c>
      <c r="C173" s="246"/>
      <c r="D173" s="246"/>
      <c r="E173" s="246"/>
      <c r="F173" s="246"/>
      <c r="G173" s="246"/>
      <c r="H173" s="247">
        <v>0</v>
      </c>
      <c r="I173" s="246">
        <f>+H174</f>
        <v>0.2</v>
      </c>
      <c r="J173" s="248">
        <v>0.1</v>
      </c>
    </row>
    <row r="174" spans="1:23">
      <c r="B174" s="245" t="s">
        <v>857</v>
      </c>
      <c r="C174" s="246"/>
      <c r="D174" s="246"/>
      <c r="E174" s="246"/>
      <c r="F174" s="246"/>
      <c r="G174" s="246"/>
      <c r="H174" s="247">
        <v>0.2</v>
      </c>
      <c r="I174" s="246">
        <f>+H175</f>
        <v>20</v>
      </c>
      <c r="J174" s="248">
        <v>0.2</v>
      </c>
    </row>
    <row r="175" spans="1:23">
      <c r="B175" s="245" t="s">
        <v>858</v>
      </c>
      <c r="C175" s="246"/>
      <c r="D175" s="246"/>
      <c r="E175" s="246"/>
      <c r="F175" s="246"/>
      <c r="G175" s="246"/>
      <c r="H175" s="247">
        <v>20</v>
      </c>
      <c r="I175" s="246">
        <f>+H176</f>
        <v>300</v>
      </c>
      <c r="J175" s="248">
        <v>0.22</v>
      </c>
    </row>
    <row r="176" spans="1:23">
      <c r="B176" s="245" t="s">
        <v>859</v>
      </c>
      <c r="C176" s="246"/>
      <c r="D176" s="246"/>
      <c r="E176" s="246"/>
      <c r="F176" s="246"/>
      <c r="G176" s="246"/>
      <c r="H176" s="247">
        <v>300</v>
      </c>
      <c r="I176" s="249" t="s">
        <v>864</v>
      </c>
      <c r="J176" s="248">
        <v>0.25</v>
      </c>
    </row>
    <row r="177" spans="1:23">
      <c r="B177" s="250" t="s">
        <v>865</v>
      </c>
      <c r="C177" s="251"/>
      <c r="D177" s="251"/>
      <c r="E177" s="251"/>
      <c r="F177" s="251"/>
      <c r="G177" s="251"/>
      <c r="H177" s="252" t="s">
        <v>864</v>
      </c>
      <c r="I177" s="252" t="s">
        <v>864</v>
      </c>
      <c r="J177" s="253">
        <v>0.1</v>
      </c>
    </row>
    <row r="179" spans="1:23" s="110" customFormat="1">
      <c r="A179" s="264"/>
      <c r="B179" s="109" t="s">
        <v>866</v>
      </c>
      <c r="C179" s="109"/>
      <c r="D179" s="109"/>
      <c r="E179" s="109"/>
      <c r="F179" s="109"/>
      <c r="G179" s="109"/>
      <c r="K179" s="110">
        <f>+K180+K185</f>
        <v>-5.6497970468861203</v>
      </c>
      <c r="L179" s="110">
        <f>+L180+L185</f>
        <v>14.940392694096019</v>
      </c>
      <c r="M179" s="110">
        <f>+M180+M185</f>
        <v>17.936142972927328</v>
      </c>
      <c r="N179" s="110">
        <f>+N180+N185</f>
        <v>23.397551146758673</v>
      </c>
      <c r="O179" s="110">
        <f>+O180+O185</f>
        <v>29.551179323856644</v>
      </c>
    </row>
    <row r="180" spans="1:23">
      <c r="B180" s="255" t="s">
        <v>867</v>
      </c>
      <c r="K180" s="110">
        <f>+SUM(K181:K184)</f>
        <v>-5.1361791335328366</v>
      </c>
      <c r="L180" s="110">
        <f>+SUM(L181:L184)</f>
        <v>13.582175176450926</v>
      </c>
      <c r="M180" s="110">
        <f>+SUM(M181:M184)</f>
        <v>16.305584520843027</v>
      </c>
      <c r="N180" s="110">
        <f>+SUM(N181:N184)</f>
        <v>21.270501042507885</v>
      </c>
      <c r="O180" s="110">
        <f>+SUM(O181:O184)</f>
        <v>26.864708476233314</v>
      </c>
    </row>
    <row r="181" spans="1:23">
      <c r="B181" s="256" t="s">
        <v>856</v>
      </c>
      <c r="K181" s="224">
        <f>+K167*$J173</f>
        <v>0</v>
      </c>
      <c r="L181" s="224">
        <f>+L167*$J173</f>
        <v>2.0000000000000004E-2</v>
      </c>
      <c r="M181" s="224">
        <f>+M167*$J173</f>
        <v>2.0000000000000004E-2</v>
      </c>
      <c r="N181" s="224">
        <f>+N167*$J173</f>
        <v>2.0000000000000004E-2</v>
      </c>
      <c r="O181" s="224">
        <f>+O167*$J173</f>
        <v>2.0000000000000004E-2</v>
      </c>
    </row>
    <row r="182" spans="1:23">
      <c r="B182" s="256" t="s">
        <v>857</v>
      </c>
      <c r="K182" s="107">
        <f t="shared" ref="K182:O184" si="31">+K168*$J174</f>
        <v>0</v>
      </c>
      <c r="L182" s="107">
        <f t="shared" si="31"/>
        <v>3.9600000000000004</v>
      </c>
      <c r="M182" s="107">
        <f t="shared" si="31"/>
        <v>3.9600000000000004</v>
      </c>
      <c r="N182" s="107">
        <f t="shared" si="31"/>
        <v>3.9600000000000004</v>
      </c>
      <c r="O182" s="107">
        <f t="shared" si="31"/>
        <v>3.9600000000000004</v>
      </c>
    </row>
    <row r="183" spans="1:23">
      <c r="B183" s="256" t="s">
        <v>858</v>
      </c>
      <c r="K183" s="107">
        <f t="shared" si="31"/>
        <v>0</v>
      </c>
      <c r="L183" s="107">
        <f t="shared" si="31"/>
        <v>9.6021751764509258</v>
      </c>
      <c r="M183" s="107">
        <f t="shared" si="31"/>
        <v>12.325584520843025</v>
      </c>
      <c r="N183" s="107">
        <f t="shared" si="31"/>
        <v>17.290501042507884</v>
      </c>
      <c r="O183" s="107">
        <f t="shared" si="31"/>
        <v>22.884708476233314</v>
      </c>
    </row>
    <row r="184" spans="1:23">
      <c r="B184" s="256" t="s">
        <v>859</v>
      </c>
      <c r="K184" s="107">
        <f t="shared" si="31"/>
        <v>-5.1361791335328366</v>
      </c>
      <c r="L184" s="107">
        <f t="shared" si="31"/>
        <v>0</v>
      </c>
      <c r="M184" s="107">
        <f t="shared" si="31"/>
        <v>0</v>
      </c>
      <c r="N184" s="107">
        <f t="shared" si="31"/>
        <v>0</v>
      </c>
      <c r="O184" s="107">
        <f t="shared" si="31"/>
        <v>0</v>
      </c>
    </row>
    <row r="185" spans="1:23">
      <c r="B185" s="255" t="s">
        <v>868</v>
      </c>
      <c r="K185" s="110">
        <f>+K180*$J$177</f>
        <v>-0.51361791335328366</v>
      </c>
      <c r="L185" s="110">
        <f>+L180*$J$177</f>
        <v>1.3582175176450928</v>
      </c>
      <c r="M185" s="110">
        <f>+M180*$J$177</f>
        <v>1.6305584520843028</v>
      </c>
      <c r="N185" s="110">
        <f>+N180*$J$177</f>
        <v>2.1270501042507886</v>
      </c>
      <c r="O185" s="110">
        <f>+O180*$J$177</f>
        <v>2.6864708476233314</v>
      </c>
    </row>
    <row r="186" spans="1:23">
      <c r="B186" s="257" t="s">
        <v>869</v>
      </c>
      <c r="K186" s="198">
        <f>+K179/K166</f>
        <v>0.27500000000000002</v>
      </c>
      <c r="L186" s="198">
        <f>+L179/L166</f>
        <v>0.23474112780913212</v>
      </c>
      <c r="M186" s="198">
        <f>+M179/M166</f>
        <v>0.23592308233692291</v>
      </c>
      <c r="N186" s="198">
        <f>+N179/N166</f>
        <v>0.23731407781679126</v>
      </c>
      <c r="O186" s="198">
        <f>+O179/O166</f>
        <v>0.23827483650453751</v>
      </c>
    </row>
    <row r="188" spans="1:23" s="76" customFormat="1">
      <c r="A188" s="263" t="s">
        <v>356</v>
      </c>
      <c r="B188" s="173" t="s">
        <v>870</v>
      </c>
      <c r="C188" s="79"/>
      <c r="D188" s="79"/>
      <c r="E188" s="79"/>
      <c r="F188" s="79"/>
      <c r="G188" s="79"/>
      <c r="H188" s="79"/>
      <c r="I188" s="79"/>
      <c r="J188" s="79"/>
      <c r="K188" s="79"/>
      <c r="L188" s="79"/>
      <c r="M188" s="79"/>
      <c r="N188" s="79"/>
      <c r="O188" s="79"/>
      <c r="P188" s="79"/>
      <c r="Q188" s="79"/>
      <c r="R188" s="79"/>
      <c r="S188" s="79"/>
      <c r="T188" s="79"/>
      <c r="U188" s="79"/>
      <c r="V188" s="79"/>
      <c r="W188" s="79"/>
    </row>
    <row r="190" spans="1:23">
      <c r="B190" s="147"/>
      <c r="C190" s="148"/>
      <c r="D190" s="258" t="s">
        <v>873</v>
      </c>
      <c r="E190" s="259" t="s">
        <v>874</v>
      </c>
    </row>
    <row r="191" spans="1:23">
      <c r="B191" s="260" t="s">
        <v>871</v>
      </c>
      <c r="D191" s="383">
        <v>4.0999999999999996</v>
      </c>
      <c r="E191" s="261">
        <f>+D191+(D194*D195)/10^9</f>
        <v>4.5999999999999996</v>
      </c>
    </row>
    <row r="192" spans="1:23">
      <c r="B192" s="260" t="s">
        <v>872</v>
      </c>
      <c r="D192" s="383">
        <v>190.3</v>
      </c>
      <c r="E192" s="261">
        <f>+D192+(D196-D195*D194)/10^9</f>
        <v>250.3</v>
      </c>
    </row>
    <row r="193" spans="2:5">
      <c r="B193" s="151"/>
      <c r="E193" s="152"/>
    </row>
    <row r="194" spans="2:5">
      <c r="B194" s="151" t="s">
        <v>875</v>
      </c>
      <c r="D194" s="384">
        <v>500</v>
      </c>
      <c r="E194" s="152"/>
    </row>
    <row r="195" spans="2:5">
      <c r="B195" s="151" t="s">
        <v>876</v>
      </c>
      <c r="D195" s="384">
        <v>1000000</v>
      </c>
      <c r="E195" s="152"/>
    </row>
    <row r="196" spans="2:5">
      <c r="B196" s="156" t="s">
        <v>877</v>
      </c>
      <c r="C196" s="157"/>
      <c r="D196" s="385">
        <v>60500000000</v>
      </c>
      <c r="E196" s="262"/>
    </row>
  </sheetData>
  <mergeCells count="2">
    <mergeCell ref="R10:W11"/>
    <mergeCell ref="D3:F5"/>
  </mergeCells>
  <phoneticPr fontId="1" type="noConversion"/>
  <pageMargins left="0.7" right="0.7" top="0.75" bottom="0.75" header="0.3" footer="0.3"/>
  <ignoredErrors>
    <ignoredError sqref="H48:J52 H55:J87" formulaRange="1"/>
    <ignoredError sqref="K111:O111 L112:O112 I124:J124 L60:O60" formula="1"/>
  </ignoredErrors>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1F3B3-0BBD-4C0B-A21A-29DF546479BC}">
  <dimension ref="A1:W131"/>
  <sheetViews>
    <sheetView tabSelected="1" zoomScale="85" zoomScaleNormal="85" workbookViewId="0">
      <pane xSplit="7" ySplit="11" topLeftCell="H39" activePane="bottomRight" state="frozen"/>
      <selection pane="topRight" activeCell="H1" sqref="H1"/>
      <selection pane="bottomLeft" activeCell="A12" sqref="A12"/>
      <selection pane="bottomRight" activeCell="V121" sqref="V121"/>
    </sheetView>
  </sheetViews>
  <sheetFormatPr defaultColWidth="7.58203125" defaultRowHeight="13" customHeight="1"/>
  <cols>
    <col min="1" max="1" width="2.58203125" style="76" customWidth="1"/>
    <col min="2" max="5" width="7.58203125" style="76"/>
    <col min="6" max="6" width="8.58203125" style="76" customWidth="1"/>
    <col min="7" max="7" width="7.58203125" style="76"/>
    <col min="8" max="8" width="8.25" style="107" customWidth="1"/>
    <col min="9" max="9" width="8.25" style="107" bestFit="1" customWidth="1"/>
    <col min="10" max="10" width="8.75" style="107" bestFit="1" customWidth="1"/>
    <col min="11" max="11" width="9.25" style="107" customWidth="1"/>
    <col min="12" max="16384" width="7.58203125" style="107"/>
  </cols>
  <sheetData>
    <row r="1" spans="1:23" s="76" customFormat="1" ht="13" customHeight="1"/>
    <row r="2" spans="1:23" s="76" customFormat="1" ht="13" customHeight="1">
      <c r="B2" s="77"/>
      <c r="C2" s="77"/>
      <c r="D2" s="77"/>
      <c r="E2" s="77"/>
      <c r="F2" s="77"/>
      <c r="G2" s="77"/>
      <c r="H2" s="77"/>
      <c r="I2" s="77"/>
      <c r="J2" s="77"/>
      <c r="K2" s="77"/>
      <c r="L2" s="77"/>
      <c r="M2" s="77"/>
      <c r="N2" s="77"/>
      <c r="O2" s="77"/>
      <c r="P2" s="77"/>
      <c r="Q2" s="77"/>
      <c r="R2" s="77"/>
      <c r="S2" s="77"/>
      <c r="T2" s="77"/>
      <c r="U2" s="77"/>
      <c r="V2" s="77"/>
      <c r="W2" s="77"/>
    </row>
    <row r="3" spans="1:23" s="76" customFormat="1" ht="13" customHeight="1">
      <c r="B3" s="77"/>
      <c r="C3" s="77"/>
      <c r="D3" s="393" t="s">
        <v>222</v>
      </c>
      <c r="E3" s="393"/>
      <c r="F3" s="393"/>
      <c r="G3" s="77"/>
      <c r="H3" s="77"/>
      <c r="I3" s="77"/>
      <c r="J3" s="77"/>
      <c r="K3" s="77"/>
      <c r="L3" s="77"/>
      <c r="M3" s="77"/>
      <c r="N3" s="77"/>
      <c r="O3" s="77"/>
      <c r="P3" s="77"/>
      <c r="Q3" s="77"/>
      <c r="R3" s="77"/>
      <c r="S3" s="77"/>
      <c r="T3" s="77"/>
      <c r="U3" s="77"/>
      <c r="V3" s="77"/>
      <c r="W3" s="77"/>
    </row>
    <row r="4" spans="1:23" s="76" customFormat="1" ht="13" customHeight="1">
      <c r="B4" s="77"/>
      <c r="C4" s="77"/>
      <c r="D4" s="393"/>
      <c r="E4" s="393"/>
      <c r="F4" s="393"/>
      <c r="G4" s="77"/>
      <c r="H4" s="79"/>
      <c r="I4" s="79"/>
      <c r="J4" s="79"/>
      <c r="K4" s="79"/>
      <c r="L4" s="79"/>
      <c r="M4" s="79"/>
      <c r="N4" s="79"/>
      <c r="O4" s="79"/>
      <c r="P4" s="79"/>
      <c r="Q4" s="79"/>
      <c r="R4" s="79"/>
      <c r="S4" s="79"/>
      <c r="T4" s="79"/>
      <c r="U4" s="79"/>
      <c r="V4" s="79"/>
      <c r="W4" s="79"/>
    </row>
    <row r="5" spans="1:23" s="76" customFormat="1" ht="13" customHeight="1">
      <c r="B5" s="77"/>
      <c r="C5" s="77"/>
      <c r="D5" s="393"/>
      <c r="E5" s="393"/>
      <c r="F5" s="393"/>
      <c r="G5" s="77"/>
      <c r="H5" s="79"/>
      <c r="I5" s="79" t="s">
        <v>224</v>
      </c>
      <c r="J5" s="79"/>
      <c r="K5" s="328" t="s">
        <v>909</v>
      </c>
      <c r="L5" s="79"/>
      <c r="M5" s="79"/>
      <c r="N5" s="131" t="s">
        <v>227</v>
      </c>
      <c r="O5" s="128"/>
      <c r="P5" s="81" t="s">
        <v>230</v>
      </c>
      <c r="Q5" s="82"/>
      <c r="R5" s="79"/>
      <c r="S5" s="79"/>
      <c r="T5" s="79"/>
      <c r="U5" s="79"/>
      <c r="V5" s="79"/>
      <c r="W5" s="79"/>
    </row>
    <row r="6" spans="1:23" s="76" customFormat="1" ht="13" customHeight="1">
      <c r="B6" s="77"/>
      <c r="C6" s="77"/>
      <c r="D6" s="78" t="s">
        <v>223</v>
      </c>
      <c r="E6" s="78"/>
      <c r="F6" s="78"/>
      <c r="G6" s="77"/>
      <c r="H6" s="79"/>
      <c r="I6" s="79" t="s">
        <v>225</v>
      </c>
      <c r="J6" s="79"/>
      <c r="K6" s="328" t="s">
        <v>910</v>
      </c>
      <c r="L6" s="79"/>
      <c r="M6" s="79"/>
      <c r="N6" s="132" t="s">
        <v>228</v>
      </c>
      <c r="O6" s="129"/>
      <c r="P6" s="80" t="s">
        <v>231</v>
      </c>
      <c r="Q6" s="83"/>
      <c r="R6" s="79"/>
      <c r="S6" s="79"/>
      <c r="T6" s="79"/>
      <c r="U6" s="79"/>
      <c r="V6" s="79"/>
      <c r="W6" s="79"/>
    </row>
    <row r="7" spans="1:23" s="76" customFormat="1" ht="13" customHeight="1">
      <c r="B7" s="77"/>
      <c r="C7" s="77"/>
      <c r="D7" s="78" t="s">
        <v>911</v>
      </c>
      <c r="E7" s="77"/>
      <c r="F7" s="77"/>
      <c r="G7" s="77"/>
      <c r="H7" s="79"/>
      <c r="I7" s="79" t="s">
        <v>226</v>
      </c>
      <c r="J7" s="79"/>
      <c r="K7" s="328">
        <f>+DCF!F43</f>
        <v>102000</v>
      </c>
      <c r="L7" s="79"/>
      <c r="M7" s="79"/>
      <c r="N7" s="133" t="s">
        <v>229</v>
      </c>
      <c r="O7" s="130"/>
      <c r="P7" s="84" t="s">
        <v>221</v>
      </c>
      <c r="Q7" s="85"/>
      <c r="R7" s="79"/>
      <c r="S7" s="79"/>
      <c r="T7" s="79"/>
      <c r="U7" s="79"/>
      <c r="V7" s="79"/>
      <c r="W7" s="79"/>
    </row>
    <row r="8" spans="1:23" s="76" customFormat="1" ht="13" customHeight="1">
      <c r="B8" s="86"/>
      <c r="C8" s="86"/>
      <c r="D8" s="86"/>
      <c r="E8" s="86"/>
      <c r="F8" s="86"/>
      <c r="G8" s="86"/>
      <c r="H8" s="87"/>
      <c r="I8" s="87"/>
      <c r="J8" s="87"/>
      <c r="K8" s="87"/>
      <c r="L8" s="87"/>
      <c r="M8" s="87"/>
      <c r="N8" s="87"/>
      <c r="O8" s="87"/>
      <c r="P8" s="87"/>
      <c r="Q8" s="87"/>
      <c r="R8" s="87"/>
      <c r="S8" s="87"/>
      <c r="T8" s="87"/>
      <c r="U8" s="87"/>
      <c r="V8" s="87"/>
      <c r="W8" s="87"/>
    </row>
    <row r="9" spans="1:23" s="76" customFormat="1" ht="13" customHeight="1"/>
    <row r="10" spans="1:23" s="76" customFormat="1" ht="13" customHeight="1">
      <c r="B10" s="78"/>
      <c r="C10" s="78"/>
      <c r="D10" s="78"/>
      <c r="E10" s="78"/>
      <c r="F10" s="78"/>
      <c r="G10" s="164"/>
      <c r="H10" s="165" t="s">
        <v>218</v>
      </c>
      <c r="I10" s="88"/>
      <c r="J10" s="94"/>
      <c r="K10" s="90" t="s">
        <v>219</v>
      </c>
      <c r="L10" s="91"/>
      <c r="M10" s="91"/>
      <c r="N10" s="91"/>
      <c r="O10" s="91"/>
      <c r="P10" s="91" t="s">
        <v>220</v>
      </c>
      <c r="Q10" s="91"/>
      <c r="R10" s="392" t="s">
        <v>221</v>
      </c>
      <c r="S10" s="392"/>
      <c r="T10" s="392"/>
      <c r="U10" s="392"/>
      <c r="V10" s="392"/>
      <c r="W10" s="392"/>
    </row>
    <row r="11" spans="1:23" s="76" customFormat="1" ht="13" customHeight="1">
      <c r="B11" s="78"/>
      <c r="C11" s="78"/>
      <c r="D11" s="78"/>
      <c r="E11" s="78"/>
      <c r="F11" s="78"/>
      <c r="G11" s="164"/>
      <c r="H11" s="166">
        <v>44926</v>
      </c>
      <c r="I11" s="89">
        <f>+DATE(YEAR(H11)+1,MONTH(H11),DAY(H11))</f>
        <v>45291</v>
      </c>
      <c r="J11" s="95">
        <f t="shared" ref="J11:O11" si="0">+DATE(YEAR(I11)+1,MONTH(I11),DAY(I11))</f>
        <v>45657</v>
      </c>
      <c r="K11" s="92">
        <f t="shared" si="0"/>
        <v>46022</v>
      </c>
      <c r="L11" s="93">
        <f t="shared" si="0"/>
        <v>46387</v>
      </c>
      <c r="M11" s="93">
        <f t="shared" si="0"/>
        <v>46752</v>
      </c>
      <c r="N11" s="93">
        <f t="shared" si="0"/>
        <v>47118</v>
      </c>
      <c r="O11" s="93">
        <f t="shared" si="0"/>
        <v>47483</v>
      </c>
      <c r="P11" s="96" t="s">
        <v>217</v>
      </c>
      <c r="Q11" s="96" t="s">
        <v>522</v>
      </c>
      <c r="R11" s="392"/>
      <c r="S11" s="392"/>
      <c r="T11" s="392"/>
      <c r="U11" s="392"/>
      <c r="V11" s="392"/>
      <c r="W11" s="392"/>
    </row>
    <row r="12" spans="1:23" s="76" customFormat="1" ht="13" customHeight="1"/>
    <row r="13" spans="1:23" s="76" customFormat="1" ht="13" customHeight="1">
      <c r="A13" s="76" t="s">
        <v>356</v>
      </c>
      <c r="B13" s="173" t="s">
        <v>499</v>
      </c>
      <c r="C13" s="79"/>
      <c r="D13" s="79"/>
      <c r="E13" s="79"/>
      <c r="F13" s="79"/>
      <c r="G13" s="79"/>
      <c r="H13" s="79"/>
      <c r="I13" s="79"/>
      <c r="J13" s="79"/>
      <c r="K13" s="79"/>
      <c r="L13" s="79"/>
      <c r="M13" s="79"/>
      <c r="N13" s="79"/>
      <c r="O13" s="79"/>
      <c r="P13" s="79"/>
      <c r="Q13" s="79"/>
      <c r="R13" s="79"/>
      <c r="S13" s="79"/>
      <c r="T13" s="79"/>
      <c r="U13" s="79"/>
      <c r="V13" s="79"/>
      <c r="W13" s="79"/>
    </row>
    <row r="14" spans="1:23" s="76" customFormat="1" ht="13" customHeight="1"/>
    <row r="15" spans="1:23" s="110" customFormat="1" ht="13" customHeight="1">
      <c r="A15" s="109"/>
      <c r="B15" s="109" t="s">
        <v>500</v>
      </c>
      <c r="C15" s="109"/>
      <c r="D15" s="109"/>
      <c r="E15" s="109"/>
      <c r="F15" s="109"/>
      <c r="G15" s="109"/>
      <c r="H15" s="329">
        <f>+'3s'!C53/10^9</f>
        <v>18.635704282999999</v>
      </c>
      <c r="I15" s="329">
        <f>+'3s'!D53/10^9</f>
        <v>70.196780896000007</v>
      </c>
      <c r="J15" s="329">
        <f>+'3s'!E53/10^9</f>
        <v>108.665913336</v>
      </c>
      <c r="K15" s="110">
        <f>+K17+K19+K21</f>
        <v>157.85651920000001</v>
      </c>
      <c r="L15" s="110">
        <f>+L17+L19+L21</f>
        <v>197.47131419900001</v>
      </c>
      <c r="M15" s="110">
        <f>+M17+M19+M21</f>
        <v>243.07045855378004</v>
      </c>
      <c r="N15" s="110">
        <f>+N17+N19+N21</f>
        <v>295.8876600536542</v>
      </c>
      <c r="O15" s="110">
        <f>+O17+O19+O21</f>
        <v>354.90822451659716</v>
      </c>
    </row>
    <row r="16" spans="1:23" s="171" customFormat="1" ht="13" customHeight="1">
      <c r="A16" s="169"/>
      <c r="B16" s="180" t="s">
        <v>533</v>
      </c>
      <c r="C16" s="169"/>
      <c r="D16" s="169"/>
      <c r="E16" s="169"/>
      <c r="F16" s="169"/>
      <c r="G16" s="169"/>
      <c r="I16" s="172">
        <f>+I15/H15-1</f>
        <v>2.7667898046673471</v>
      </c>
      <c r="J16" s="172">
        <f t="shared" ref="J16:O16" si="1">+J15/I15-1</f>
        <v>0.54801846963600664</v>
      </c>
      <c r="K16" s="172">
        <f t="shared" si="1"/>
        <v>0.45267742527410948</v>
      </c>
      <c r="L16" s="172">
        <f t="shared" si="1"/>
        <v>0.2509544439454483</v>
      </c>
      <c r="M16" s="172">
        <f t="shared" si="1"/>
        <v>0.23091528275761553</v>
      </c>
      <c r="N16" s="172">
        <f t="shared" si="1"/>
        <v>0.21729173431492166</v>
      </c>
      <c r="O16" s="172">
        <f t="shared" si="1"/>
        <v>0.19946950289255239</v>
      </c>
    </row>
    <row r="17" spans="1:23" ht="13" customHeight="1">
      <c r="B17" s="102" t="s">
        <v>501</v>
      </c>
      <c r="I17" s="330">
        <f>+RAW!B17/10^3</f>
        <v>46.646999999999998</v>
      </c>
      <c r="J17" s="330">
        <f>+RAW!D17/10^3</f>
        <v>94.602000000000004</v>
      </c>
      <c r="K17" s="107">
        <f>+K29</f>
        <v>128.101899</v>
      </c>
      <c r="L17" s="107">
        <f>+L29</f>
        <v>159.91387058500001</v>
      </c>
      <c r="M17" s="107">
        <f>+M29</f>
        <v>195.55181888680005</v>
      </c>
      <c r="N17" s="107">
        <f>+N29</f>
        <v>235.3955019849856</v>
      </c>
      <c r="O17" s="107">
        <f>+O29</f>
        <v>279.85909680437175</v>
      </c>
      <c r="R17" s="134" t="s">
        <v>524</v>
      </c>
    </row>
    <row r="18" spans="1:23" s="171" customFormat="1" ht="13" customHeight="1">
      <c r="A18" s="169"/>
      <c r="B18" s="170" t="s">
        <v>570</v>
      </c>
      <c r="C18" s="169"/>
      <c r="D18" s="169"/>
      <c r="E18" s="169"/>
      <c r="F18" s="169"/>
      <c r="G18" s="169"/>
      <c r="I18" s="172">
        <f>+I17/I15</f>
        <v>0.66451765172978272</v>
      </c>
      <c r="J18" s="172">
        <f t="shared" ref="J18:O18" si="2">+J17/J15</f>
        <v>0.87057658741142008</v>
      </c>
      <c r="K18" s="172">
        <f t="shared" si="2"/>
        <v>0.81150844861654592</v>
      </c>
      <c r="L18" s="172">
        <f t="shared" si="2"/>
        <v>0.80980810419810234</v>
      </c>
      <c r="M18" s="172">
        <f t="shared" si="2"/>
        <v>0.80450672636359732</v>
      </c>
      <c r="N18" s="172">
        <f t="shared" si="2"/>
        <v>0.79555700951604613</v>
      </c>
      <c r="O18" s="172">
        <f t="shared" si="2"/>
        <v>0.78853933910817053</v>
      </c>
    </row>
    <row r="19" spans="1:23" ht="13" customHeight="1">
      <c r="B19" s="102" t="s">
        <v>502</v>
      </c>
      <c r="H19" s="107">
        <v>0</v>
      </c>
      <c r="I19" s="107">
        <v>0</v>
      </c>
      <c r="J19" s="107">
        <v>0</v>
      </c>
      <c r="K19" s="107">
        <f>+K41</f>
        <v>4</v>
      </c>
      <c r="L19" s="107">
        <f>+L41</f>
        <v>10</v>
      </c>
      <c r="M19" s="107">
        <f>+M41</f>
        <v>18.032174999999999</v>
      </c>
      <c r="N19" s="107">
        <f>+N41</f>
        <v>28.941640874999997</v>
      </c>
      <c r="O19" s="107">
        <f>+O41</f>
        <v>41.290074315000005</v>
      </c>
    </row>
    <row r="20" spans="1:23" s="171" customFormat="1" ht="13" customHeight="1">
      <c r="A20" s="169"/>
      <c r="B20" s="170" t="s">
        <v>570</v>
      </c>
      <c r="C20" s="169"/>
      <c r="D20" s="169"/>
      <c r="E20" s="169"/>
      <c r="F20" s="169"/>
      <c r="G20" s="169"/>
      <c r="I20" s="172">
        <f>+I19/I15</f>
        <v>0</v>
      </c>
      <c r="J20" s="172">
        <f t="shared" ref="J20:O20" si="3">+J19/J15</f>
        <v>0</v>
      </c>
      <c r="K20" s="172">
        <f t="shared" si="3"/>
        <v>2.5339466626222173E-2</v>
      </c>
      <c r="L20" s="172">
        <f t="shared" si="3"/>
        <v>5.0640266615750509E-2</v>
      </c>
      <c r="M20" s="172">
        <f t="shared" si="3"/>
        <v>7.4184971334187569E-2</v>
      </c>
      <c r="N20" s="172">
        <f t="shared" si="3"/>
        <v>9.7812936402119383E-2</v>
      </c>
      <c r="O20" s="172">
        <f t="shared" si="3"/>
        <v>0.11634014503676031</v>
      </c>
    </row>
    <row r="21" spans="1:23" ht="13" customHeight="1">
      <c r="B21" s="102" t="s">
        <v>527</v>
      </c>
      <c r="I21" s="107">
        <f>+I49</f>
        <v>23.55</v>
      </c>
      <c r="J21" s="107">
        <f t="shared" ref="J21:O21" si="4">+J49</f>
        <v>14.064</v>
      </c>
      <c r="K21" s="107">
        <f t="shared" si="4"/>
        <v>25.754620199999994</v>
      </c>
      <c r="L21" s="107">
        <f t="shared" si="4"/>
        <v>27.557443613999997</v>
      </c>
      <c r="M21" s="107">
        <f t="shared" si="4"/>
        <v>29.486464666979995</v>
      </c>
      <c r="N21" s="107">
        <f t="shared" si="4"/>
        <v>31.550517193668593</v>
      </c>
      <c r="O21" s="107">
        <f t="shared" si="4"/>
        <v>33.759053397225387</v>
      </c>
    </row>
    <row r="22" spans="1:23" s="171" customFormat="1" ht="13" customHeight="1">
      <c r="A22" s="169"/>
      <c r="B22" s="170" t="s">
        <v>570</v>
      </c>
      <c r="C22" s="169"/>
      <c r="D22" s="169"/>
      <c r="E22" s="169"/>
      <c r="F22" s="169"/>
      <c r="G22" s="169"/>
      <c r="I22" s="172">
        <f>+I21/I15</f>
        <v>0.33548546955294839</v>
      </c>
      <c r="J22" s="172">
        <f t="shared" ref="J22:O22" si="5">+J21/J15</f>
        <v>0.1294242101155812</v>
      </c>
      <c r="K22" s="172">
        <f t="shared" si="5"/>
        <v>0.16315208475723184</v>
      </c>
      <c r="L22" s="172">
        <f t="shared" si="5"/>
        <v>0.13955162918614711</v>
      </c>
      <c r="M22" s="172">
        <f t="shared" si="5"/>
        <v>0.12130830230221509</v>
      </c>
      <c r="N22" s="172">
        <f t="shared" si="5"/>
        <v>0.10663005408183444</v>
      </c>
      <c r="O22" s="172">
        <f t="shared" si="5"/>
        <v>9.5120515855069046E-2</v>
      </c>
    </row>
    <row r="24" spans="1:23" s="76" customFormat="1" ht="13" customHeight="1">
      <c r="A24" s="76" t="s">
        <v>356</v>
      </c>
      <c r="B24" s="174" t="s">
        <v>526</v>
      </c>
      <c r="C24" s="135"/>
      <c r="D24" s="135"/>
      <c r="E24" s="135"/>
      <c r="F24" s="135"/>
      <c r="G24" s="135"/>
      <c r="H24" s="135"/>
      <c r="I24" s="135"/>
      <c r="J24" s="135"/>
      <c r="K24" s="135"/>
      <c r="L24" s="135"/>
      <c r="M24" s="135"/>
      <c r="N24" s="135"/>
      <c r="O24" s="135"/>
      <c r="P24" s="135"/>
      <c r="Q24" s="135"/>
      <c r="R24" s="135"/>
      <c r="S24" s="135"/>
      <c r="T24" s="135"/>
      <c r="U24" s="135"/>
      <c r="V24" s="135"/>
      <c r="W24" s="135"/>
    </row>
    <row r="26" spans="1:23" s="110" customFormat="1" ht="13" customHeight="1">
      <c r="A26" s="109"/>
      <c r="B26" s="163" t="s">
        <v>532</v>
      </c>
      <c r="C26" s="109"/>
      <c r="D26" s="109"/>
      <c r="E26" s="109"/>
      <c r="F26" s="109"/>
      <c r="G26" s="109"/>
      <c r="K26" s="109">
        <v>2500</v>
      </c>
      <c r="L26" s="109">
        <f>+K26*(1+L27)</f>
        <v>2675</v>
      </c>
      <c r="M26" s="109">
        <f>+L26*(1+M27)</f>
        <v>2862.25</v>
      </c>
      <c r="N26" s="109">
        <f>+M26*(1+N27)</f>
        <v>3062.6075000000001</v>
      </c>
      <c r="O26" s="109">
        <f>+N26*(1+O27)</f>
        <v>3276.9900250000001</v>
      </c>
      <c r="R26" s="134"/>
    </row>
    <row r="27" spans="1:23" s="134" customFormat="1" ht="13" customHeight="1">
      <c r="A27" s="103"/>
      <c r="B27" s="104" t="s">
        <v>533</v>
      </c>
      <c r="C27" s="103"/>
      <c r="D27" s="103"/>
      <c r="E27" s="103"/>
      <c r="F27" s="103"/>
      <c r="G27" s="103"/>
      <c r="K27" s="144"/>
      <c r="L27" s="223">
        <v>7.0000000000000007E-2</v>
      </c>
      <c r="M27" s="223">
        <v>7.0000000000000007E-2</v>
      </c>
      <c r="N27" s="223">
        <v>7.0000000000000007E-2</v>
      </c>
      <c r="O27" s="223">
        <v>7.0000000000000007E-2</v>
      </c>
      <c r="R27" s="134" t="s">
        <v>534</v>
      </c>
    </row>
    <row r="28" spans="1:23" s="134" customFormat="1" ht="13" customHeight="1">
      <c r="A28" s="103"/>
      <c r="B28" s="145"/>
      <c r="C28" s="103"/>
      <c r="D28" s="103"/>
      <c r="E28" s="103"/>
      <c r="F28" s="103"/>
      <c r="G28" s="103"/>
      <c r="K28" s="144"/>
      <c r="O28" s="144"/>
    </row>
    <row r="29" spans="1:23" s="110" customFormat="1" ht="13" customHeight="1">
      <c r="A29" s="109"/>
      <c r="B29" s="161" t="s">
        <v>560</v>
      </c>
      <c r="C29" s="161"/>
      <c r="D29" s="161"/>
      <c r="E29" s="161"/>
      <c r="F29" s="161"/>
      <c r="G29" s="161"/>
      <c r="H29" s="162"/>
      <c r="I29" s="162">
        <f>+I17</f>
        <v>46.646999999999998</v>
      </c>
      <c r="J29" s="162">
        <f>+J17</f>
        <v>94.602000000000004</v>
      </c>
      <c r="K29" s="162">
        <f>+J37</f>
        <v>128.101899</v>
      </c>
      <c r="L29" s="162">
        <f>+L30*L33</f>
        <v>159.91387058500001</v>
      </c>
      <c r="M29" s="162">
        <f>+M30*M33</f>
        <v>195.55181888680005</v>
      </c>
      <c r="N29" s="162">
        <f>+N30*N33</f>
        <v>235.3955019849856</v>
      </c>
      <c r="O29" s="162">
        <f>+O30*O33</f>
        <v>279.85909680437175</v>
      </c>
    </row>
    <row r="30" spans="1:23" s="134" customFormat="1" ht="13" customHeight="1">
      <c r="A30" s="103"/>
      <c r="B30" s="112" t="s">
        <v>535</v>
      </c>
      <c r="C30" s="103"/>
      <c r="D30" s="103"/>
      <c r="E30" s="103"/>
      <c r="F30" s="103"/>
      <c r="G30" s="103"/>
      <c r="K30" s="143">
        <f>+K29/K33</f>
        <v>854.0126600000001</v>
      </c>
      <c r="L30" s="110">
        <f>+K30*(1+L27)</f>
        <v>913.79354620000015</v>
      </c>
      <c r="M30" s="110">
        <f>+L30*(1+M27)</f>
        <v>977.75909443400019</v>
      </c>
      <c r="N30" s="110">
        <f>+M30*(1+N27)</f>
        <v>1046.2022310443804</v>
      </c>
      <c r="O30" s="110">
        <f>+N30*(1+O27)</f>
        <v>1119.436387217487</v>
      </c>
      <c r="R30" s="134" t="s">
        <v>555</v>
      </c>
    </row>
    <row r="31" spans="1:23" s="134" customFormat="1" ht="13" customHeight="1">
      <c r="A31" s="103"/>
      <c r="B31" s="145"/>
      <c r="C31" s="103"/>
      <c r="D31" s="103"/>
      <c r="E31" s="103"/>
      <c r="F31" s="103"/>
      <c r="G31" s="103"/>
      <c r="K31" s="144"/>
      <c r="O31" s="144"/>
    </row>
    <row r="32" spans="1:23" s="134" customFormat="1" ht="13" customHeight="1">
      <c r="A32" s="103"/>
      <c r="B32" s="104" t="s">
        <v>528</v>
      </c>
      <c r="C32" s="103"/>
      <c r="D32" s="103"/>
      <c r="E32" s="103"/>
      <c r="F32" s="103"/>
      <c r="G32" s="103"/>
      <c r="H32" s="107"/>
      <c r="I32" s="107"/>
      <c r="J32" s="223">
        <v>0.25</v>
      </c>
      <c r="K32" s="223">
        <v>0.3</v>
      </c>
      <c r="L32" s="223">
        <v>0.35</v>
      </c>
      <c r="M32" s="223">
        <v>0.4</v>
      </c>
      <c r="N32" s="223">
        <v>0.45</v>
      </c>
      <c r="O32" s="223">
        <v>0.5</v>
      </c>
      <c r="R32" s="136" t="s">
        <v>529</v>
      </c>
    </row>
    <row r="33" spans="1:18" s="134" customFormat="1" ht="13" customHeight="1">
      <c r="A33" s="103"/>
      <c r="B33" s="104" t="s">
        <v>531</v>
      </c>
      <c r="C33" s="103"/>
      <c r="D33" s="103"/>
      <c r="E33" s="103"/>
      <c r="F33" s="103"/>
      <c r="G33" s="103"/>
      <c r="J33" s="138">
        <f>+J32*0.5</f>
        <v>0.125</v>
      </c>
      <c r="K33" s="137">
        <v>0.15</v>
      </c>
      <c r="L33" s="138">
        <f>+L32*0.5</f>
        <v>0.17499999999999999</v>
      </c>
      <c r="M33" s="138">
        <f>+M32*0.5</f>
        <v>0.2</v>
      </c>
      <c r="N33" s="138">
        <f>+N32*0.5</f>
        <v>0.22500000000000001</v>
      </c>
      <c r="O33" s="138">
        <v>0.25</v>
      </c>
      <c r="R33" s="134" t="s">
        <v>556</v>
      </c>
    </row>
    <row r="34" spans="1:18" ht="13" customHeight="1">
      <c r="B34" s="102"/>
    </row>
    <row r="35" spans="1:18" ht="13" customHeight="1">
      <c r="C35" s="147"/>
      <c r="D35" s="159" t="s">
        <v>554</v>
      </c>
      <c r="E35" s="148"/>
      <c r="F35" s="148"/>
      <c r="G35" s="148"/>
      <c r="H35" s="149"/>
      <c r="I35" s="149"/>
      <c r="J35" s="150"/>
    </row>
    <row r="36" spans="1:18" ht="13" customHeight="1">
      <c r="C36" s="151"/>
      <c r="D36" s="76" t="s">
        <v>540</v>
      </c>
      <c r="E36" s="76" t="s">
        <v>541</v>
      </c>
      <c r="F36" s="76" t="s">
        <v>542</v>
      </c>
      <c r="G36" s="76" t="s">
        <v>536</v>
      </c>
      <c r="H36" s="76" t="s">
        <v>537</v>
      </c>
      <c r="I36" s="76" t="s">
        <v>538</v>
      </c>
      <c r="J36" s="152" t="s">
        <v>539</v>
      </c>
    </row>
    <row r="37" spans="1:18" ht="13" customHeight="1">
      <c r="C37" s="151" t="s">
        <v>19</v>
      </c>
      <c r="D37" s="335">
        <f>+RAW!T17/10^9</f>
        <v>33.783862599999999</v>
      </c>
      <c r="E37" s="336">
        <f>+RAW!K16/10^9</f>
        <v>63.189976600000001</v>
      </c>
      <c r="F37" s="336">
        <f>+RAW!S22/10^9</f>
        <v>94.601715600000006</v>
      </c>
      <c r="H37" s="330">
        <f>+RAW!F17/10^3</f>
        <v>65.418000000000006</v>
      </c>
      <c r="I37" s="330">
        <f>+RAW!J16/10^9</f>
        <v>98.101899000000003</v>
      </c>
      <c r="J37" s="153">
        <f>+I37+J39</f>
        <v>128.101899</v>
      </c>
      <c r="R37" s="134" t="s">
        <v>664</v>
      </c>
    </row>
    <row r="38" spans="1:18" s="134" customFormat="1" ht="13" customHeight="1">
      <c r="A38" s="103"/>
      <c r="B38" s="104"/>
      <c r="C38" s="154" t="s">
        <v>547</v>
      </c>
      <c r="D38" s="103"/>
      <c r="E38" s="103"/>
      <c r="F38" s="103"/>
      <c r="G38" s="103"/>
      <c r="H38" s="146">
        <f>+H37/D37-1</f>
        <v>0.93636828253025173</v>
      </c>
      <c r="I38" s="146">
        <f>+I37/E37-1</f>
        <v>0.55249145953948653</v>
      </c>
      <c r="J38" s="155"/>
    </row>
    <row r="39" spans="1:18" ht="13" customHeight="1">
      <c r="B39" s="113"/>
      <c r="C39" s="156" t="s">
        <v>553</v>
      </c>
      <c r="D39" s="157"/>
      <c r="E39" s="157"/>
      <c r="F39" s="157"/>
      <c r="G39" s="157"/>
      <c r="H39" s="158">
        <f>+H37-D37</f>
        <v>31.634137400000007</v>
      </c>
      <c r="I39" s="158">
        <f>+I37-E37</f>
        <v>34.911922400000002</v>
      </c>
      <c r="J39" s="160">
        <v>30</v>
      </c>
    </row>
    <row r="40" spans="1:18" ht="13" customHeight="1">
      <c r="B40" s="113"/>
    </row>
    <row r="41" spans="1:18" s="110" customFormat="1" ht="13" customHeight="1">
      <c r="A41" s="109"/>
      <c r="B41" s="168" t="s">
        <v>561</v>
      </c>
      <c r="C41" s="161"/>
      <c r="D41" s="161"/>
      <c r="E41" s="161"/>
      <c r="F41" s="161"/>
      <c r="G41" s="161"/>
      <c r="H41" s="162"/>
      <c r="I41" s="162"/>
      <c r="J41" s="162"/>
      <c r="K41" s="162">
        <f>+K46</f>
        <v>4</v>
      </c>
      <c r="L41" s="162">
        <f>+L46</f>
        <v>10</v>
      </c>
      <c r="M41" s="162">
        <f>+M42*M47</f>
        <v>18.032174999999999</v>
      </c>
      <c r="N41" s="162">
        <f>+N42*N47</f>
        <v>28.941640874999997</v>
      </c>
      <c r="O41" s="162">
        <f>+O42*O47</f>
        <v>41.290074315000005</v>
      </c>
    </row>
    <row r="42" spans="1:18" s="110" customFormat="1" ht="13" customHeight="1">
      <c r="A42" s="109"/>
      <c r="B42" s="112" t="s">
        <v>562</v>
      </c>
      <c r="C42" s="109"/>
      <c r="D42" s="109"/>
      <c r="E42" s="109"/>
      <c r="F42" s="109"/>
      <c r="G42" s="109"/>
      <c r="K42" s="110">
        <f>+K26*K43*K44</f>
        <v>787.5</v>
      </c>
      <c r="L42" s="110">
        <f>+L26*L43*L44</f>
        <v>842.625</v>
      </c>
      <c r="M42" s="110">
        <f>+M26*M43*M44</f>
        <v>901.60874999999999</v>
      </c>
      <c r="N42" s="110">
        <f>+N26*N43*N44</f>
        <v>964.72136249999994</v>
      </c>
      <c r="O42" s="110">
        <f>+O26*O43*O44</f>
        <v>1032.251857875</v>
      </c>
    </row>
    <row r="43" spans="1:18" s="134" customFormat="1" ht="13" customHeight="1">
      <c r="A43" s="103"/>
      <c r="B43" s="145" t="s">
        <v>563</v>
      </c>
      <c r="C43" s="103"/>
      <c r="D43" s="103"/>
      <c r="E43" s="103"/>
      <c r="F43" s="103"/>
      <c r="G43" s="103"/>
      <c r="K43" s="223">
        <v>0.45</v>
      </c>
      <c r="L43" s="223">
        <v>0.45</v>
      </c>
      <c r="M43" s="223">
        <v>0.45</v>
      </c>
      <c r="N43" s="223">
        <v>0.45</v>
      </c>
      <c r="O43" s="223">
        <v>0.45</v>
      </c>
    </row>
    <row r="44" spans="1:18" s="134" customFormat="1" ht="13" customHeight="1">
      <c r="A44" s="103"/>
      <c r="B44" s="167" t="s">
        <v>564</v>
      </c>
      <c r="C44" s="103"/>
      <c r="D44" s="103"/>
      <c r="E44" s="103"/>
      <c r="F44" s="103"/>
      <c r="G44" s="103"/>
      <c r="K44" s="223">
        <v>0.7</v>
      </c>
      <c r="L44" s="223">
        <v>0.7</v>
      </c>
      <c r="M44" s="223">
        <v>0.7</v>
      </c>
      <c r="N44" s="223">
        <v>0.7</v>
      </c>
      <c r="O44" s="223">
        <v>0.7</v>
      </c>
    </row>
    <row r="45" spans="1:18" ht="13" customHeight="1">
      <c r="B45" s="113"/>
    </row>
    <row r="46" spans="1:18" ht="13" customHeight="1">
      <c r="B46" s="102" t="s">
        <v>565</v>
      </c>
      <c r="K46" s="373">
        <v>4</v>
      </c>
      <c r="L46" s="373">
        <v>10</v>
      </c>
    </row>
    <row r="47" spans="1:18" s="134" customFormat="1" ht="13" customHeight="1">
      <c r="A47" s="103"/>
      <c r="B47" s="104" t="s">
        <v>566</v>
      </c>
      <c r="C47" s="103"/>
      <c r="D47" s="103"/>
      <c r="E47" s="103"/>
      <c r="F47" s="103"/>
      <c r="G47" s="103"/>
      <c r="K47" s="146">
        <f>+K46/K42</f>
        <v>5.0793650793650794E-3</v>
      </c>
      <c r="L47" s="146">
        <f>+L46/L42</f>
        <v>1.1867675419077288E-2</v>
      </c>
      <c r="M47" s="223">
        <v>0.02</v>
      </c>
      <c r="N47" s="223">
        <v>0.03</v>
      </c>
      <c r="O47" s="223">
        <v>0.04</v>
      </c>
    </row>
    <row r="48" spans="1:18" ht="13" customHeight="1">
      <c r="B48" s="102"/>
    </row>
    <row r="49" spans="1:23" ht="13" customHeight="1">
      <c r="B49" s="168" t="s">
        <v>569</v>
      </c>
      <c r="C49" s="161"/>
      <c r="D49" s="161"/>
      <c r="E49" s="161"/>
      <c r="F49" s="161"/>
      <c r="G49" s="161"/>
      <c r="H49" s="162"/>
      <c r="I49" s="337">
        <f>+RAW!B18/10^3</f>
        <v>23.55</v>
      </c>
      <c r="J49" s="337">
        <f>+RAW!D18/10^3</f>
        <v>14.064</v>
      </c>
      <c r="K49" s="162">
        <f>+K50*K51</f>
        <v>25.754620199999994</v>
      </c>
      <c r="L49" s="162">
        <f>+L50*L51</f>
        <v>27.557443613999997</v>
      </c>
      <c r="M49" s="162">
        <f>+M50*M51</f>
        <v>29.486464666979995</v>
      </c>
      <c r="N49" s="162">
        <f>+N50*N51</f>
        <v>31.550517193668593</v>
      </c>
      <c r="O49" s="162">
        <f>+O50*O51</f>
        <v>33.759053397225387</v>
      </c>
    </row>
    <row r="50" spans="1:23" s="110" customFormat="1" ht="13" customHeight="1">
      <c r="A50" s="109"/>
      <c r="B50" s="112" t="s">
        <v>571</v>
      </c>
      <c r="C50" s="109"/>
      <c r="D50" s="109"/>
      <c r="E50" s="109"/>
      <c r="F50" s="109"/>
      <c r="G50" s="109"/>
      <c r="K50" s="110">
        <f>+K26-K30-K42</f>
        <v>858.4873399999999</v>
      </c>
      <c r="L50" s="110">
        <f>+L26-L30-L42</f>
        <v>918.58145379999996</v>
      </c>
      <c r="M50" s="110">
        <f>+M26-M30-M42</f>
        <v>982.88215556599982</v>
      </c>
      <c r="N50" s="110">
        <f>+N26-N30-N42</f>
        <v>1051.6839064556198</v>
      </c>
      <c r="O50" s="110">
        <f>+O26-O30-O42</f>
        <v>1125.3017799075128</v>
      </c>
    </row>
    <row r="51" spans="1:23" ht="13" customHeight="1">
      <c r="B51" s="145" t="s">
        <v>573</v>
      </c>
      <c r="C51" s="103"/>
      <c r="D51" s="103"/>
      <c r="E51" s="103"/>
      <c r="F51" s="103"/>
      <c r="G51" s="103"/>
      <c r="H51" s="134"/>
      <c r="I51" s="134"/>
      <c r="J51" s="134"/>
      <c r="K51" s="175">
        <v>0.03</v>
      </c>
      <c r="L51" s="175">
        <v>0.03</v>
      </c>
      <c r="M51" s="175">
        <v>0.03</v>
      </c>
      <c r="N51" s="175">
        <v>0.03</v>
      </c>
      <c r="O51" s="175">
        <v>0.03</v>
      </c>
      <c r="R51" s="176" t="s">
        <v>577</v>
      </c>
    </row>
    <row r="53" spans="1:23" s="76" customFormat="1" ht="13" customHeight="1">
      <c r="A53" s="76" t="s">
        <v>356</v>
      </c>
      <c r="B53" s="173" t="s">
        <v>572</v>
      </c>
      <c r="C53" s="79"/>
      <c r="D53" s="79"/>
      <c r="E53" s="79"/>
      <c r="F53" s="79"/>
      <c r="G53" s="79"/>
      <c r="H53" s="79"/>
      <c r="I53" s="79"/>
      <c r="J53" s="79"/>
      <c r="K53" s="79"/>
      <c r="L53" s="79"/>
      <c r="M53" s="79"/>
      <c r="N53" s="79"/>
      <c r="O53" s="79"/>
      <c r="P53" s="79"/>
      <c r="Q53" s="79"/>
      <c r="R53" s="79"/>
      <c r="S53" s="79"/>
      <c r="T53" s="79"/>
      <c r="U53" s="79"/>
      <c r="V53" s="79"/>
      <c r="W53" s="79"/>
    </row>
    <row r="55" spans="1:23" s="110" customFormat="1" ht="13" customHeight="1">
      <c r="A55" s="109"/>
      <c r="B55" s="109" t="s">
        <v>578</v>
      </c>
      <c r="C55" s="109"/>
      <c r="D55" s="109"/>
      <c r="E55" s="109"/>
      <c r="F55" s="109"/>
      <c r="G55" s="109"/>
      <c r="H55" s="329">
        <f>+Model!H17</f>
        <v>10.968670439</v>
      </c>
      <c r="I55" s="329">
        <f>+Model!I17</f>
        <v>60.966276976000003</v>
      </c>
      <c r="J55" s="329">
        <f>+Model!J17</f>
        <v>75.461607002999997</v>
      </c>
      <c r="K55" s="110">
        <f>+K62+K70+K72+K75+K76+K78+K80+K82+K84+K86</f>
        <v>93.560791990971381</v>
      </c>
      <c r="L55" s="110">
        <f>+L62+L70+L72+L75+L76+L78+L80+L82+L84+L86</f>
        <v>117.52063178866389</v>
      </c>
      <c r="M55" s="110">
        <f>+M62+M70+M72+M75+M76+M78+M80+M82+M84+M86</f>
        <v>147.7665634210619</v>
      </c>
      <c r="N55" s="110">
        <f>+N62+N70+N72+N75+N76+N78+N80+N82+N84+N86</f>
        <v>175.15505590703594</v>
      </c>
      <c r="O55" s="110">
        <f>+O62+O70+O72+O75+O76+O78+O80+O82+O84+O86</f>
        <v>205.67630371029054</v>
      </c>
    </row>
    <row r="56" spans="1:23" s="110" customFormat="1" ht="13" customHeight="1">
      <c r="A56" s="109"/>
      <c r="B56" s="109"/>
      <c r="C56" s="109"/>
      <c r="D56" s="109"/>
      <c r="E56" s="109"/>
      <c r="F56" s="109"/>
      <c r="G56" s="109"/>
    </row>
    <row r="57" spans="1:23" ht="13" customHeight="1">
      <c r="B57" s="76" t="s">
        <v>360</v>
      </c>
      <c r="H57" s="107">
        <f t="shared" ref="H57:O57" si="6">+H15-H55</f>
        <v>7.6670338439999988</v>
      </c>
      <c r="I57" s="107">
        <f t="shared" si="6"/>
        <v>9.2305039200000039</v>
      </c>
      <c r="J57" s="107">
        <f t="shared" si="6"/>
        <v>33.204306333000005</v>
      </c>
      <c r="K57" s="107">
        <f t="shared" si="6"/>
        <v>64.295727209028627</v>
      </c>
      <c r="L57" s="107">
        <f t="shared" si="6"/>
        <v>79.950682410336114</v>
      </c>
      <c r="M57" s="107">
        <f t="shared" si="6"/>
        <v>95.303895132718139</v>
      </c>
      <c r="N57" s="107">
        <f t="shared" si="6"/>
        <v>120.73260414661826</v>
      </c>
      <c r="O57" s="107">
        <f t="shared" si="6"/>
        <v>149.23192080630662</v>
      </c>
    </row>
    <row r="58" spans="1:23" s="134" customFormat="1" ht="13" customHeight="1">
      <c r="A58" s="103"/>
      <c r="B58" s="104" t="s">
        <v>579</v>
      </c>
      <c r="C58" s="103"/>
      <c r="D58" s="103"/>
      <c r="E58" s="103"/>
      <c r="F58" s="103"/>
      <c r="G58" s="103"/>
      <c r="H58" s="146">
        <f t="shared" ref="H58:O58" si="7">+H57/H15</f>
        <v>0.41141637190466029</v>
      </c>
      <c r="I58" s="146">
        <f t="shared" si="7"/>
        <v>0.13149468967352579</v>
      </c>
      <c r="J58" s="146">
        <f t="shared" si="7"/>
        <v>0.30556321953813392</v>
      </c>
      <c r="K58" s="146">
        <f t="shared" si="7"/>
        <v>0.40730485845546643</v>
      </c>
      <c r="L58" s="146">
        <f t="shared" si="7"/>
        <v>0.40487238733706155</v>
      </c>
      <c r="M58" s="146">
        <f t="shared" si="7"/>
        <v>0.39208341359026927</v>
      </c>
      <c r="N58" s="146">
        <f t="shared" si="7"/>
        <v>0.40803527975693699</v>
      </c>
      <c r="O58" s="146">
        <f t="shared" si="7"/>
        <v>0.4204803115215715</v>
      </c>
    </row>
    <row r="59" spans="1:23" ht="13" customHeight="1">
      <c r="B59" s="102"/>
    </row>
    <row r="60" spans="1:23" s="76" customFormat="1" ht="13" customHeight="1">
      <c r="A60" s="76" t="s">
        <v>356</v>
      </c>
      <c r="B60" s="174" t="s">
        <v>663</v>
      </c>
      <c r="C60" s="135"/>
      <c r="D60" s="135"/>
      <c r="E60" s="135"/>
      <c r="F60" s="135"/>
      <c r="G60" s="135"/>
      <c r="H60" s="135"/>
      <c r="I60" s="135"/>
      <c r="J60" s="135"/>
      <c r="K60" s="135"/>
      <c r="L60" s="135"/>
      <c r="M60" s="135"/>
      <c r="N60" s="135"/>
      <c r="O60" s="135"/>
      <c r="P60" s="135"/>
      <c r="Q60" s="135"/>
      <c r="R60" s="135"/>
      <c r="S60" s="135"/>
      <c r="T60" s="135"/>
      <c r="U60" s="135"/>
      <c r="V60" s="135"/>
      <c r="W60" s="135"/>
    </row>
    <row r="61" spans="1:23" ht="13" customHeight="1">
      <c r="B61" s="102"/>
    </row>
    <row r="62" spans="1:23" s="110" customFormat="1" ht="13" customHeight="1">
      <c r="A62" s="109"/>
      <c r="B62" s="163" t="s">
        <v>665</v>
      </c>
      <c r="C62" s="109"/>
      <c r="D62" s="109"/>
      <c r="E62" s="109"/>
      <c r="F62" s="109"/>
      <c r="G62" s="109"/>
      <c r="I62" s="110">
        <f>+H63+H66+H68-I63-I66-I68</f>
        <v>-8.2382772699999993</v>
      </c>
      <c r="J62" s="110">
        <f t="shared" ref="J62:O62" si="8">+I63+I66+I68-J63-J66-J68</f>
        <v>-0.79022668400000029</v>
      </c>
      <c r="K62" s="110">
        <f>+J63+J66+J68-K63-K66-K68</f>
        <v>-10.536751978726114</v>
      </c>
      <c r="L62" s="110">
        <f t="shared" si="8"/>
        <v>-8.4855891132258652</v>
      </c>
      <c r="M62" s="110">
        <f t="shared" si="8"/>
        <v>-9.76745185527537</v>
      </c>
      <c r="N62" s="110">
        <f t="shared" si="8"/>
        <v>-11.313577920817259</v>
      </c>
      <c r="O62" s="110">
        <f t="shared" si="8"/>
        <v>-12.642353930541255</v>
      </c>
    </row>
    <row r="63" spans="1:23" ht="13" customHeight="1">
      <c r="B63" s="102" t="s">
        <v>666</v>
      </c>
      <c r="H63" s="330">
        <f>+RAW!AC135/10^9</f>
        <v>10.943002242</v>
      </c>
      <c r="I63" s="330">
        <f>+RAW!Z135/10^9</f>
        <v>8.7160506739999999</v>
      </c>
      <c r="J63" s="330">
        <f>+RAW!W135/10^9</f>
        <v>12.061801732999999</v>
      </c>
      <c r="K63" s="107">
        <f>+K$15*K64</f>
        <v>17.52190708566123</v>
      </c>
      <c r="L63" s="107">
        <f>+L$15*L64</f>
        <v>21.919107535207157</v>
      </c>
      <c r="M63" s="107">
        <f>+M$15*M64</f>
        <v>26.9805644494941</v>
      </c>
      <c r="N63" s="107">
        <f>+N$15*N64</f>
        <v>32.843218091520193</v>
      </c>
      <c r="O63" s="107">
        <f>+O$15*O64</f>
        <v>39.394438477627411</v>
      </c>
    </row>
    <row r="64" spans="1:23" s="134" customFormat="1" ht="13" customHeight="1">
      <c r="A64" s="103"/>
      <c r="B64" s="145" t="s">
        <v>570</v>
      </c>
      <c r="C64" s="103"/>
      <c r="D64" s="103"/>
      <c r="E64" s="103"/>
      <c r="F64" s="103"/>
      <c r="G64" s="103"/>
      <c r="H64" s="146">
        <f>+H63/H$15</f>
        <v>0.58720626147639121</v>
      </c>
      <c r="I64" s="146">
        <f>+I63/I$15</f>
        <v>0.124165959788288</v>
      </c>
      <c r="J64" s="146">
        <f>+J63/J$15</f>
        <v>0.11099894495621965</v>
      </c>
      <c r="K64" s="181">
        <f>+J64</f>
        <v>0.11099894495621965</v>
      </c>
      <c r="L64" s="181">
        <f>+K64</f>
        <v>0.11099894495621965</v>
      </c>
      <c r="M64" s="181">
        <f>+L64</f>
        <v>0.11099894495621965</v>
      </c>
      <c r="N64" s="181">
        <f>+M64</f>
        <v>0.11099894495621965</v>
      </c>
      <c r="O64" s="181">
        <f>+N64</f>
        <v>0.11099894495621965</v>
      </c>
      <c r="R64" s="134" t="s">
        <v>679</v>
      </c>
    </row>
    <row r="65" spans="1:18" s="134" customFormat="1" ht="13" customHeight="1">
      <c r="A65" s="103"/>
      <c r="B65" s="145" t="s">
        <v>678</v>
      </c>
      <c r="C65" s="103"/>
      <c r="D65" s="103"/>
      <c r="E65" s="103"/>
      <c r="F65" s="103"/>
      <c r="G65" s="103"/>
      <c r="H65" s="182">
        <f>+H63/H55*365</f>
        <v>364.14584981314709</v>
      </c>
      <c r="I65" s="182">
        <f t="shared" ref="I65:O65" si="9">+I63/I55*365</f>
        <v>52.182266226661241</v>
      </c>
      <c r="J65" s="182">
        <f t="shared" si="9"/>
        <v>58.341689335743609</v>
      </c>
      <c r="K65" s="182">
        <f t="shared" si="9"/>
        <v>68.35658345948498</v>
      </c>
      <c r="L65" s="182">
        <f t="shared" si="9"/>
        <v>68.077188903628269</v>
      </c>
      <c r="M65" s="182">
        <f t="shared" si="9"/>
        <v>66.645023042213325</v>
      </c>
      <c r="N65" s="182">
        <f t="shared" si="9"/>
        <v>68.440928189748732</v>
      </c>
      <c r="O65" s="182">
        <f t="shared" si="9"/>
        <v>69.910678988999095</v>
      </c>
    </row>
    <row r="66" spans="1:18" s="110" customFormat="1" ht="13" customHeight="1">
      <c r="A66" s="109"/>
      <c r="B66" s="102" t="s">
        <v>667</v>
      </c>
      <c r="C66" s="109"/>
      <c r="D66" s="109"/>
      <c r="E66" s="109"/>
      <c r="F66" s="109"/>
      <c r="G66" s="109"/>
      <c r="H66" s="330">
        <f>+RAW!AD136/10^9</f>
        <v>3.305006814</v>
      </c>
      <c r="I66" s="330">
        <f>+RAW!AA136/10^9</f>
        <v>13.770235652</v>
      </c>
      <c r="J66" s="330">
        <f>+RAW!X136/10^9</f>
        <v>11.193058476999999</v>
      </c>
      <c r="K66" s="107">
        <f>+K$15*K67</f>
        <v>16.259903369310905</v>
      </c>
      <c r="L66" s="107">
        <f>+L$15*L67</f>
        <v>20.340398377963044</v>
      </c>
      <c r="M66" s="107">
        <f>+M$15*M67</f>
        <v>25.037307220812927</v>
      </c>
      <c r="N66" s="107">
        <f>+N$15*N67</f>
        <v>30.47770712939888</v>
      </c>
      <c r="O66" s="107">
        <f>+O$15*O67</f>
        <v>36.557080219804874</v>
      </c>
    </row>
    <row r="67" spans="1:18" s="134" customFormat="1" ht="13" customHeight="1">
      <c r="A67" s="103"/>
      <c r="B67" s="145" t="s">
        <v>570</v>
      </c>
      <c r="C67" s="103"/>
      <c r="D67" s="103"/>
      <c r="E67" s="103"/>
      <c r="F67" s="103"/>
      <c r="G67" s="103"/>
      <c r="H67" s="146">
        <f>+H66/H$15</f>
        <v>0.17734810360856165</v>
      </c>
      <c r="I67" s="146">
        <f>+I66/I$15</f>
        <v>0.19616619845290745</v>
      </c>
      <c r="J67" s="146">
        <f>+J66/J$15</f>
        <v>0.10300431969306278</v>
      </c>
      <c r="K67" s="181">
        <f>+J67</f>
        <v>0.10300431969306278</v>
      </c>
      <c r="L67" s="181">
        <f>+K67</f>
        <v>0.10300431969306278</v>
      </c>
      <c r="M67" s="181">
        <f>+L67</f>
        <v>0.10300431969306278</v>
      </c>
      <c r="N67" s="181">
        <f>+M67</f>
        <v>0.10300431969306278</v>
      </c>
      <c r="O67" s="181">
        <f>+N67</f>
        <v>0.10300431969306278</v>
      </c>
      <c r="R67" s="134" t="s">
        <v>679</v>
      </c>
    </row>
    <row r="68" spans="1:18" ht="13" customHeight="1">
      <c r="B68" s="102" t="s">
        <v>668</v>
      </c>
      <c r="H68" s="330">
        <f>+RAW!AD139/10^9</f>
        <v>0</v>
      </c>
      <c r="I68" s="330">
        <f>+RAW!AA139/10^9</f>
        <v>0</v>
      </c>
      <c r="J68" s="330">
        <f>+RAW!X139/10^9</f>
        <v>2.16528E-2</v>
      </c>
      <c r="K68" s="107">
        <f>+K$15*K69</f>
        <v>3.1454533753975236E-2</v>
      </c>
      <c r="L68" s="107">
        <f>+L$15*L69</f>
        <v>3.9348188781767435E-2</v>
      </c>
      <c r="M68" s="107">
        <f>+M$15*M69</f>
        <v>4.8434286920309294E-2</v>
      </c>
      <c r="N68" s="107">
        <f>+N$15*N69</f>
        <v>5.8958657125529834E-2</v>
      </c>
      <c r="O68" s="107">
        <f>+O$15*O69</f>
        <v>7.0719111153571712E-2</v>
      </c>
    </row>
    <row r="69" spans="1:18" s="134" customFormat="1" ht="13" customHeight="1">
      <c r="A69" s="103"/>
      <c r="B69" s="145" t="s">
        <v>570</v>
      </c>
      <c r="C69" s="103"/>
      <c r="D69" s="103"/>
      <c r="E69" s="103"/>
      <c r="F69" s="103"/>
      <c r="G69" s="103"/>
      <c r="H69" s="146">
        <f>+H68/H$15</f>
        <v>0</v>
      </c>
      <c r="I69" s="146">
        <f>+I68/I$15</f>
        <v>0</v>
      </c>
      <c r="J69" s="146">
        <f>+J68/J$15</f>
        <v>1.9926027707555861E-4</v>
      </c>
      <c r="K69" s="181">
        <f>+J69</f>
        <v>1.9926027707555861E-4</v>
      </c>
      <c r="L69" s="181">
        <f>+K69</f>
        <v>1.9926027707555861E-4</v>
      </c>
      <c r="M69" s="181">
        <f>+L69</f>
        <v>1.9926027707555861E-4</v>
      </c>
      <c r="N69" s="181">
        <f>+M69</f>
        <v>1.9926027707555861E-4</v>
      </c>
      <c r="O69" s="181">
        <f>+N69</f>
        <v>1.9926027707555861E-4</v>
      </c>
    </row>
    <row r="70" spans="1:18" s="110" customFormat="1" ht="13" customHeight="1">
      <c r="A70" s="109"/>
      <c r="B70" s="109" t="s">
        <v>669</v>
      </c>
      <c r="C70" s="109"/>
      <c r="D70" s="109"/>
      <c r="E70" s="109"/>
      <c r="F70" s="109"/>
      <c r="G70" s="109"/>
      <c r="I70" s="329">
        <f>+RAW!P136/10^9</f>
        <v>36.798921223999997</v>
      </c>
      <c r="J70" s="329">
        <f>+RAW!Q136/10^9</f>
        <v>32.409839374999997</v>
      </c>
      <c r="K70" s="110">
        <f>+K$15*K71</f>
        <v>47.081042016822451</v>
      </c>
      <c r="L70" s="110">
        <f>+L$15*L71</f>
        <v>58.896238736526421</v>
      </c>
      <c r="M70" s="110">
        <f>+M$15*M71</f>
        <v>72.49628035773145</v>
      </c>
      <c r="N70" s="110">
        <f>+N$15*N71</f>
        <v>88.249122848043712</v>
      </c>
      <c r="O70" s="110">
        <f>+O$15*O71</f>
        <v>105.85213151324679</v>
      </c>
    </row>
    <row r="71" spans="1:18" s="186" customFormat="1" ht="13" customHeight="1">
      <c r="A71" s="183"/>
      <c r="B71" s="184" t="s">
        <v>570</v>
      </c>
      <c r="C71" s="183"/>
      <c r="D71" s="183"/>
      <c r="E71" s="183"/>
      <c r="F71" s="183"/>
      <c r="G71" s="183"/>
      <c r="H71" s="185">
        <f>+H70/H$15</f>
        <v>0</v>
      </c>
      <c r="I71" s="185">
        <f>+I70/I$15</f>
        <v>0.52422519600321005</v>
      </c>
      <c r="J71" s="185">
        <f>+J70/J$15</f>
        <v>0.29825212322825911</v>
      </c>
      <c r="K71" s="187">
        <f>+J71</f>
        <v>0.29825212322825911</v>
      </c>
      <c r="L71" s="187">
        <f>+K71</f>
        <v>0.29825212322825911</v>
      </c>
      <c r="M71" s="187">
        <f>+L71</f>
        <v>0.29825212322825911</v>
      </c>
      <c r="N71" s="187">
        <f>+M71</f>
        <v>0.29825212322825911</v>
      </c>
      <c r="O71" s="187">
        <f>+N71</f>
        <v>0.29825212322825911</v>
      </c>
      <c r="R71" s="134" t="s">
        <v>679</v>
      </c>
    </row>
    <row r="72" spans="1:18" s="110" customFormat="1" ht="13" customHeight="1">
      <c r="A72" s="109"/>
      <c r="B72" s="109" t="s">
        <v>670</v>
      </c>
      <c r="C72" s="109"/>
      <c r="D72" s="109"/>
      <c r="E72" s="109"/>
      <c r="F72" s="109"/>
      <c r="G72" s="109"/>
      <c r="I72" s="329">
        <f>+RAW!P137/10^9</f>
        <v>5.3099999999999996E-3</v>
      </c>
      <c r="J72" s="329">
        <f>+RAW!Q137/10^9</f>
        <v>0.176338992</v>
      </c>
      <c r="K72" s="110">
        <f>+K$15*K73</f>
        <v>0.25616367287399178</v>
      </c>
      <c r="L72" s="110">
        <f>+L$15*L73</f>
        <v>0.32044908495910812</v>
      </c>
      <c r="M72" s="110">
        <f>+M$15*M73</f>
        <v>0.39444567602185976</v>
      </c>
      <c r="N72" s="110">
        <f>+N$15*N73</f>
        <v>0.48015546105767143</v>
      </c>
      <c r="O72" s="110">
        <f>+O$15*O73</f>
        <v>0.57593183218598942</v>
      </c>
    </row>
    <row r="73" spans="1:18" s="186" customFormat="1" ht="13" customHeight="1">
      <c r="A73" s="183"/>
      <c r="B73" s="184" t="s">
        <v>570</v>
      </c>
      <c r="C73" s="183"/>
      <c r="D73" s="183"/>
      <c r="E73" s="183"/>
      <c r="F73" s="183"/>
      <c r="G73" s="183"/>
      <c r="H73" s="185">
        <f>+H72/H$15</f>
        <v>0</v>
      </c>
      <c r="I73" s="185">
        <f>+I72/I$15</f>
        <v>7.5644494408753964E-5</v>
      </c>
      <c r="J73" s="185">
        <f>+J72/J$15</f>
        <v>1.6227627099102524E-3</v>
      </c>
      <c r="K73" s="187">
        <f>+J73</f>
        <v>1.6227627099102524E-3</v>
      </c>
      <c r="L73" s="187">
        <f>+K73</f>
        <v>1.6227627099102524E-3</v>
      </c>
      <c r="M73" s="187">
        <f>+L73</f>
        <v>1.6227627099102524E-3</v>
      </c>
      <c r="N73" s="187">
        <f>+M73</f>
        <v>1.6227627099102524E-3</v>
      </c>
      <c r="O73" s="187">
        <f>+N73</f>
        <v>1.6227627099102524E-3</v>
      </c>
      <c r="R73" s="134" t="s">
        <v>679</v>
      </c>
    </row>
    <row r="74" spans="1:18" s="197" customFormat="1" ht="13" customHeight="1">
      <c r="A74" s="194"/>
      <c r="B74" s="163" t="s">
        <v>689</v>
      </c>
      <c r="C74" s="194"/>
      <c r="D74" s="194"/>
      <c r="E74" s="194"/>
      <c r="F74" s="194"/>
      <c r="G74" s="194"/>
      <c r="H74" s="195"/>
      <c r="I74" s="196">
        <f t="shared" ref="I74:O74" si="10">+I75+I76+I78</f>
        <v>8.4030707019999991</v>
      </c>
      <c r="J74" s="196">
        <f t="shared" si="10"/>
        <v>12.493681857999999</v>
      </c>
      <c r="K74" s="196">
        <f t="shared" si="10"/>
        <v>13.268533466337072</v>
      </c>
      <c r="L74" s="196">
        <f t="shared" si="10"/>
        <v>13.970375323065635</v>
      </c>
      <c r="M74" s="196">
        <f t="shared" si="10"/>
        <v>18.805201958680058</v>
      </c>
      <c r="N74" s="196">
        <f t="shared" si="10"/>
        <v>19.765867039458371</v>
      </c>
      <c r="O74" s="196">
        <f t="shared" si="10"/>
        <v>20.795580758976111</v>
      </c>
      <c r="P74" s="195"/>
      <c r="R74" s="191"/>
    </row>
    <row r="75" spans="1:18" ht="13" customHeight="1">
      <c r="B75" s="102" t="s">
        <v>671</v>
      </c>
      <c r="I75" s="330">
        <f>+RAW!P139/10^9</f>
        <v>6.7593167269999999</v>
      </c>
      <c r="J75" s="330">
        <f>+RAW!Q139/10^9</f>
        <v>10.978370912999999</v>
      </c>
      <c r="K75" s="107">
        <f>+K115</f>
        <v>11.307722040389999</v>
      </c>
      <c r="L75" s="107">
        <f>+L115</f>
        <v>11.646953701601699</v>
      </c>
      <c r="M75" s="107">
        <f>+M115</f>
        <v>15.866007887601699</v>
      </c>
      <c r="N75" s="107">
        <f>+N115</f>
        <v>16.341988124229751</v>
      </c>
      <c r="O75" s="107">
        <f>+O115</f>
        <v>16.832247767956645</v>
      </c>
    </row>
    <row r="76" spans="1:18" ht="13" customHeight="1">
      <c r="B76" s="102" t="s">
        <v>672</v>
      </c>
      <c r="I76" s="330">
        <f>+RAW!P142/10^9</f>
        <v>0.406242614</v>
      </c>
      <c r="J76" s="330">
        <f>+RAW!Q142/10^9</f>
        <v>0.56886543199999995</v>
      </c>
      <c r="K76" s="107">
        <f>K116</f>
        <v>0.58593139495999991</v>
      </c>
      <c r="L76" s="107">
        <f>L116</f>
        <v>0.60350933680879992</v>
      </c>
      <c r="M76" s="107">
        <f>M116</f>
        <v>0.8221277548937872</v>
      </c>
      <c r="N76" s="107">
        <f>N116</f>
        <v>0.84679158754060091</v>
      </c>
      <c r="O76" s="107">
        <f>O116</f>
        <v>0.87219533516681902</v>
      </c>
    </row>
    <row r="77" spans="1:18" s="186" customFormat="1" ht="13" hidden="1" customHeight="1">
      <c r="A77" s="183"/>
      <c r="B77" s="193"/>
      <c r="C77" s="183"/>
      <c r="D77" s="183"/>
      <c r="E77" s="183"/>
      <c r="F77" s="183"/>
      <c r="G77" s="183"/>
      <c r="H77" s="185"/>
      <c r="I77" s="185"/>
      <c r="J77" s="185"/>
      <c r="K77" s="185"/>
      <c r="L77" s="185"/>
      <c r="M77" s="185"/>
      <c r="N77" s="187"/>
      <c r="O77" s="187"/>
      <c r="R77" s="134"/>
    </row>
    <row r="78" spans="1:18" ht="13" customHeight="1">
      <c r="B78" s="102" t="s">
        <v>673</v>
      </c>
      <c r="I78" s="330">
        <f>+RAW!P145/10^9</f>
        <v>1.2375113609999999</v>
      </c>
      <c r="J78" s="330">
        <f>+RAW!Q145/10^9</f>
        <v>0.94644551300000002</v>
      </c>
      <c r="K78" s="107">
        <f>+K$15*K79</f>
        <v>1.3748800309870739</v>
      </c>
      <c r="L78" s="107">
        <f>+L$15*L79</f>
        <v>1.7199122846551358</v>
      </c>
      <c r="M78" s="107">
        <f>+M$15*M79</f>
        <v>2.1170663161845731</v>
      </c>
      <c r="N78" s="107">
        <f>+N$15*N79</f>
        <v>2.5770873276880213</v>
      </c>
      <c r="O78" s="107">
        <f>+O$15*O79</f>
        <v>3.0911376558526475</v>
      </c>
    </row>
    <row r="79" spans="1:18" s="186" customFormat="1" ht="13" customHeight="1">
      <c r="A79" s="183"/>
      <c r="B79" s="193" t="s">
        <v>570</v>
      </c>
      <c r="C79" s="183"/>
      <c r="D79" s="183"/>
      <c r="E79" s="183"/>
      <c r="F79" s="183"/>
      <c r="G79" s="183"/>
      <c r="H79" s="185">
        <f>+H78/H$15</f>
        <v>0</v>
      </c>
      <c r="I79" s="185">
        <f>+I78/I$15</f>
        <v>1.762917537249228E-2</v>
      </c>
      <c r="J79" s="185">
        <f>+J78/J$15</f>
        <v>8.7096816650640667E-3</v>
      </c>
      <c r="K79" s="187">
        <f>+J79</f>
        <v>8.7096816650640667E-3</v>
      </c>
      <c r="L79" s="187">
        <f>+K79</f>
        <v>8.7096816650640667E-3</v>
      </c>
      <c r="M79" s="187">
        <f>+L79</f>
        <v>8.7096816650640667E-3</v>
      </c>
      <c r="N79" s="187">
        <f>+M79</f>
        <v>8.7096816650640667E-3</v>
      </c>
      <c r="O79" s="187">
        <f>+N79</f>
        <v>8.7096816650640667E-3</v>
      </c>
      <c r="R79" s="134" t="s">
        <v>679</v>
      </c>
    </row>
    <row r="80" spans="1:18" s="110" customFormat="1" ht="13" customHeight="1">
      <c r="A80" s="109"/>
      <c r="B80" s="163" t="s">
        <v>674</v>
      </c>
      <c r="C80" s="109"/>
      <c r="D80" s="109"/>
      <c r="E80" s="109"/>
      <c r="F80" s="109"/>
      <c r="G80" s="109"/>
      <c r="I80" s="329">
        <f>+RAW!P148/10^9</f>
        <v>4.6628549210000001</v>
      </c>
      <c r="J80" s="329">
        <f>+RAW!Q148/10^9</f>
        <v>8.4624289840000007</v>
      </c>
      <c r="K80" s="110">
        <f>+K124+K129</f>
        <v>9.6740926778748673</v>
      </c>
      <c r="L80" s="110">
        <f>+L124+L129</f>
        <v>10.514740477005267</v>
      </c>
      <c r="M80" s="110">
        <f>+M124+M129</f>
        <v>13.764933525386246</v>
      </c>
      <c r="N80" s="110">
        <f>+N124+N129</f>
        <v>14.585268829339867</v>
      </c>
      <c r="O80" s="110">
        <f>+O124+O129</f>
        <v>15.062777223649221</v>
      </c>
      <c r="R80" s="134" t="s">
        <v>792</v>
      </c>
    </row>
    <row r="81" spans="1:23" s="186" customFormat="1" ht="13" customHeight="1">
      <c r="A81" s="183"/>
      <c r="B81" s="184" t="s">
        <v>570</v>
      </c>
      <c r="C81" s="183"/>
      <c r="D81" s="183"/>
      <c r="E81" s="183"/>
      <c r="F81" s="183"/>
      <c r="G81" s="183"/>
      <c r="H81" s="185">
        <f>+H80/H$15</f>
        <v>0</v>
      </c>
      <c r="I81" s="185">
        <f>+I80/I$15</f>
        <v>6.6425480791038688E-2</v>
      </c>
      <c r="J81" s="185">
        <f t="shared" ref="J81:O81" si="11">+J80/J$15</f>
        <v>7.7875653221942565E-2</v>
      </c>
      <c r="K81" s="185">
        <f t="shared" si="11"/>
        <v>6.1284087137497625E-2</v>
      </c>
      <c r="L81" s="185">
        <f t="shared" si="11"/>
        <v>5.3246926115097043E-2</v>
      </c>
      <c r="M81" s="185">
        <f t="shared" si="11"/>
        <v>5.6629397119192557E-2</v>
      </c>
      <c r="N81" s="185">
        <f t="shared" si="11"/>
        <v>4.9293264973250581E-2</v>
      </c>
      <c r="O81" s="185">
        <f t="shared" si="11"/>
        <v>4.2441330414829018E-2</v>
      </c>
    </row>
    <row r="82" spans="1:23" s="110" customFormat="1" ht="13" customHeight="1">
      <c r="A82" s="109"/>
      <c r="B82" s="163" t="s">
        <v>675</v>
      </c>
      <c r="C82" s="109"/>
      <c r="D82" s="109"/>
      <c r="E82" s="109"/>
      <c r="F82" s="109"/>
      <c r="G82" s="109"/>
      <c r="I82" s="329">
        <f>+RAW!P151/10^9</f>
        <v>0.114165637</v>
      </c>
      <c r="J82" s="329">
        <f>+RAW!Q151/10^9</f>
        <v>0.16335686299999999</v>
      </c>
      <c r="K82" s="110">
        <f>+K$15*K83</f>
        <v>0.23730482714369544</v>
      </c>
      <c r="L82" s="110">
        <f>+L$15*L83</f>
        <v>0.29685752808511229</v>
      </c>
      <c r="M82" s="110">
        <f>+M$15*M83</f>
        <v>0.36540646812161282</v>
      </c>
      <c r="N82" s="110">
        <f>+N$15*N83</f>
        <v>0.44480627330964817</v>
      </c>
      <c r="O82" s="110">
        <f>+O$15*O83</f>
        <v>0.53353155953021258</v>
      </c>
    </row>
    <row r="83" spans="1:23" s="186" customFormat="1" ht="13" customHeight="1">
      <c r="A83" s="183"/>
      <c r="B83" s="184" t="s">
        <v>570</v>
      </c>
      <c r="C83" s="183"/>
      <c r="D83" s="183"/>
      <c r="E83" s="183"/>
      <c r="F83" s="183"/>
      <c r="G83" s="183"/>
      <c r="H83" s="185">
        <f>+H82/H$15</f>
        <v>0</v>
      </c>
      <c r="I83" s="185">
        <f>+I82/I$15</f>
        <v>1.6263657042784058E-3</v>
      </c>
      <c r="J83" s="185">
        <f>+J82/J$15</f>
        <v>1.5032944369122731E-3</v>
      </c>
      <c r="K83" s="187">
        <f>+J83</f>
        <v>1.5032944369122731E-3</v>
      </c>
      <c r="L83" s="187">
        <f>+K83</f>
        <v>1.5032944369122731E-3</v>
      </c>
      <c r="M83" s="187">
        <f>+L83</f>
        <v>1.5032944369122731E-3</v>
      </c>
      <c r="N83" s="187">
        <f>+M83</f>
        <v>1.5032944369122731E-3</v>
      </c>
      <c r="O83" s="187">
        <f>+N83</f>
        <v>1.5032944369122731E-3</v>
      </c>
      <c r="R83" s="134" t="s">
        <v>679</v>
      </c>
    </row>
    <row r="84" spans="1:23" s="110" customFormat="1" ht="13" customHeight="1">
      <c r="A84" s="109"/>
      <c r="B84" s="163" t="s">
        <v>676</v>
      </c>
      <c r="C84" s="109"/>
      <c r="D84" s="109"/>
      <c r="E84" s="109"/>
      <c r="F84" s="109"/>
      <c r="G84" s="109"/>
      <c r="I84" s="329">
        <f>+RAW!P154/10^9</f>
        <v>0.61701624200000005</v>
      </c>
      <c r="J84" s="329">
        <f>+RAW!Q154/10^9</f>
        <v>1.383034825</v>
      </c>
      <c r="K84" s="110">
        <f>+K$15*K85</f>
        <v>2.0091034686454288</v>
      </c>
      <c r="L84" s="110">
        <f>+L$15*L85</f>
        <v>2.5132969124482138</v>
      </c>
      <c r="M84" s="110">
        <f>+M$15*M85</f>
        <v>3.0936555796400351</v>
      </c>
      <c r="N84" s="110">
        <f>+N$15*N85</f>
        <v>3.765881365913053</v>
      </c>
      <c r="O84" s="110">
        <f>+O$15*O85</f>
        <v>4.5170598499240562</v>
      </c>
    </row>
    <row r="85" spans="1:23" s="186" customFormat="1" ht="13" customHeight="1">
      <c r="A85" s="183"/>
      <c r="B85" s="184" t="s">
        <v>570</v>
      </c>
      <c r="C85" s="183"/>
      <c r="D85" s="183"/>
      <c r="E85" s="183"/>
      <c r="F85" s="183"/>
      <c r="G85" s="183"/>
      <c r="H85" s="185">
        <f>+H84/H$15</f>
        <v>0</v>
      </c>
      <c r="I85" s="185">
        <f>+I84/I$15</f>
        <v>8.7898082237437645E-3</v>
      </c>
      <c r="J85" s="185">
        <f>+J84/J$15</f>
        <v>1.2727402573092012E-2</v>
      </c>
      <c r="K85" s="187">
        <f>+J85</f>
        <v>1.2727402573092012E-2</v>
      </c>
      <c r="L85" s="187">
        <f>+K85</f>
        <v>1.2727402573092012E-2</v>
      </c>
      <c r="M85" s="187">
        <f>+L85</f>
        <v>1.2727402573092012E-2</v>
      </c>
      <c r="N85" s="187">
        <f>+M85</f>
        <v>1.2727402573092012E-2</v>
      </c>
      <c r="O85" s="187">
        <f>+N85</f>
        <v>1.2727402573092012E-2</v>
      </c>
      <c r="R85" s="134" t="s">
        <v>679</v>
      </c>
    </row>
    <row r="86" spans="1:23" s="110" customFormat="1" ht="13" customHeight="1">
      <c r="A86" s="109"/>
      <c r="B86" s="163" t="s">
        <v>677</v>
      </c>
      <c r="C86" s="109"/>
      <c r="D86" s="109"/>
      <c r="E86" s="109"/>
      <c r="F86" s="109"/>
      <c r="G86" s="109"/>
      <c r="I86" s="329">
        <f>+RAW!P157/10^9</f>
        <v>18.603215519999999</v>
      </c>
      <c r="J86" s="329">
        <f>+RAW!Q157/10^9</f>
        <v>21.163152790000002</v>
      </c>
      <c r="K86" s="110">
        <f>+K$15*K87</f>
        <v>31.571303840000002</v>
      </c>
      <c r="L86" s="110">
        <f>+L$15*L87</f>
        <v>39.494262839800001</v>
      </c>
      <c r="M86" s="110">
        <f>+M$15*M87</f>
        <v>48.614091710756014</v>
      </c>
      <c r="N86" s="110">
        <f>+N$15*N87</f>
        <v>59.177532010730843</v>
      </c>
      <c r="O86" s="110">
        <f>+O$15*O87</f>
        <v>70.981644903319435</v>
      </c>
    </row>
    <row r="87" spans="1:23" s="186" customFormat="1" ht="13" customHeight="1">
      <c r="A87" s="183"/>
      <c r="B87" s="184" t="s">
        <v>570</v>
      </c>
      <c r="C87" s="183"/>
      <c r="D87" s="183"/>
      <c r="E87" s="183"/>
      <c r="F87" s="183"/>
      <c r="G87" s="183"/>
      <c r="H87" s="185">
        <f>+H86/H$15</f>
        <v>0</v>
      </c>
      <c r="I87" s="185">
        <f>+I86/I$15</f>
        <v>0.26501522267184274</v>
      </c>
      <c r="J87" s="185">
        <f>+J86/J$15</f>
        <v>0.19475428991759872</v>
      </c>
      <c r="K87" s="188">
        <v>0.2</v>
      </c>
      <c r="L87" s="188">
        <v>0.2</v>
      </c>
      <c r="M87" s="188">
        <v>0.2</v>
      </c>
      <c r="N87" s="188">
        <v>0.2</v>
      </c>
      <c r="O87" s="188">
        <v>0.2</v>
      </c>
      <c r="R87" s="186" t="s">
        <v>680</v>
      </c>
    </row>
    <row r="88" spans="1:23" ht="13" customHeight="1">
      <c r="B88" s="102"/>
    </row>
    <row r="89" spans="1:23" s="76" customFormat="1" ht="13" customHeight="1">
      <c r="A89" s="76" t="s">
        <v>356</v>
      </c>
      <c r="B89" s="173" t="s">
        <v>681</v>
      </c>
      <c r="C89" s="79"/>
      <c r="D89" s="79"/>
      <c r="E89" s="79"/>
      <c r="F89" s="79"/>
      <c r="G89" s="79"/>
      <c r="H89" s="79"/>
      <c r="I89" s="79"/>
      <c r="J89" s="79"/>
      <c r="K89" s="79"/>
      <c r="L89" s="79"/>
      <c r="M89" s="79"/>
      <c r="N89" s="79"/>
      <c r="O89" s="79"/>
      <c r="P89" s="79"/>
      <c r="Q89" s="79"/>
      <c r="R89" s="79"/>
      <c r="S89" s="79"/>
      <c r="T89" s="79"/>
      <c r="U89" s="79"/>
      <c r="V89" s="79"/>
      <c r="W89" s="79"/>
    </row>
    <row r="91" spans="1:23" s="110" customFormat="1" ht="13" customHeight="1">
      <c r="A91" s="109"/>
      <c r="B91" s="109" t="s">
        <v>640</v>
      </c>
      <c r="C91" s="109"/>
      <c r="D91" s="109"/>
      <c r="E91" s="109"/>
      <c r="F91" s="109"/>
      <c r="G91" s="109"/>
      <c r="H91" s="329">
        <f>+RAW!C136/10^9</f>
        <v>5.119060964</v>
      </c>
      <c r="I91" s="329">
        <f>+RAW!D136/10^9</f>
        <v>6.355442976</v>
      </c>
      <c r="J91" s="329">
        <f>+RAW!E136/10^9</f>
        <v>9.5652775680000008</v>
      </c>
      <c r="K91" s="110">
        <f>+SUM(K92:K96)</f>
        <v>11.950628011042832</v>
      </c>
      <c r="L91" s="110">
        <f>+SUM(L92:L96)</f>
        <v>14.242753599970724</v>
      </c>
      <c r="M91" s="110">
        <f>+SUM(M92:M96)</f>
        <v>17.064631775088419</v>
      </c>
      <c r="N91" s="110">
        <f>+SUM(N92:N96)</f>
        <v>19.865494173689349</v>
      </c>
      <c r="O91" s="110">
        <f>+SUM(O92:O96)</f>
        <v>22.813375564374905</v>
      </c>
    </row>
    <row r="92" spans="1:23" ht="13" customHeight="1">
      <c r="B92" s="189" t="s">
        <v>682</v>
      </c>
      <c r="H92" s="330">
        <f>+SUMIFS(RAW!C$137:C$164,RAW!$A$137:$A$164,$B92)/10^9</f>
        <v>2.3235724649999998</v>
      </c>
      <c r="I92" s="330">
        <f>+SUMIFS(RAW!D$137:D$164,RAW!$A$137:$A$164,$B92)/10^9</f>
        <v>2.9265466990000002</v>
      </c>
      <c r="J92" s="330">
        <f>+SUMIFS(RAW!E$137:E$164,RAW!$A$137:$A$164,$B92)/10^9</f>
        <v>4.0188297009999996</v>
      </c>
      <c r="K92" s="107">
        <f>K110</f>
        <v>4.1393945920299995</v>
      </c>
      <c r="L92" s="107">
        <f>L110</f>
        <v>4.2635764297908993</v>
      </c>
      <c r="M92" s="107">
        <f>M110</f>
        <v>4.863576429790899</v>
      </c>
      <c r="N92" s="107">
        <f>N110</f>
        <v>5.0094837226846263</v>
      </c>
      <c r="O92" s="107">
        <f>O110</f>
        <v>5.1597682343651652</v>
      </c>
    </row>
    <row r="93" spans="1:23" ht="13" customHeight="1">
      <c r="B93" s="189" t="s">
        <v>683</v>
      </c>
      <c r="H93" s="330">
        <f>+SUMIFS(RAW!C$137:C$164,RAW!$A$137:$A$164,$B93)/10^9</f>
        <v>0.37513658500000002</v>
      </c>
      <c r="I93" s="330">
        <f>+SUMIFS(RAW!D$137:D$164,RAW!$A$137:$A$164,$B93)/10^9</f>
        <v>0.29137239500000001</v>
      </c>
      <c r="J93" s="330">
        <f>+SUMIFS(RAW!E$137:E$164,RAW!$A$137:$A$164,$B93)/10^9</f>
        <v>0.68340387199999997</v>
      </c>
      <c r="K93" s="107">
        <f>+K125+K130</f>
        <v>0.64742768787678218</v>
      </c>
      <c r="L93" s="107">
        <f>+L125+L130</f>
        <v>0.76627139924406551</v>
      </c>
      <c r="M93" s="107">
        <f>+M125+M130</f>
        <v>1.0154202045764926</v>
      </c>
      <c r="N93" s="107">
        <f>+N125+N130</f>
        <v>1.1456891602151356</v>
      </c>
      <c r="O93" s="107">
        <f>+O125+O130</f>
        <v>1.2649541508826196</v>
      </c>
    </row>
    <row r="94" spans="1:23" ht="13" customHeight="1">
      <c r="B94" s="189" t="s">
        <v>684</v>
      </c>
      <c r="H94" s="330">
        <f>+SUMIFS(RAW!C$137:C$164,RAW!$A$137:$A$164,$B94)/10^9</f>
        <v>1.1624513299999999</v>
      </c>
      <c r="I94" s="330">
        <f>+SUMIFS(RAW!D$137:D$164,RAW!$A$137:$A$164,$B94)/10^9</f>
        <v>1.757663183</v>
      </c>
      <c r="J94" s="330">
        <f>+SUMIFS(RAW!E$137:E$164,RAW!$A$137:$A$164,$B94)/10^9</f>
        <v>2.0309104219999998</v>
      </c>
      <c r="K94" s="107">
        <f>+K$15*K103</f>
        <v>3.4514202842572104</v>
      </c>
      <c r="L94" s="107">
        <f>+L$15*L103</f>
        <v>4.3175695425150202</v>
      </c>
      <c r="M94" s="107">
        <f>+M$15*M103</f>
        <v>5.314562334250545</v>
      </c>
      <c r="N94" s="107">
        <f>+N$15*N103</f>
        <v>6.4693728009846039</v>
      </c>
      <c r="O94" s="107">
        <f>+O$15*O103</f>
        <v>7.7598153776236032</v>
      </c>
    </row>
    <row r="95" spans="1:23" ht="13" customHeight="1">
      <c r="B95" s="189" t="s">
        <v>685</v>
      </c>
      <c r="H95" s="330">
        <f>+SUMIFS(RAW!C$137:C$164,RAW!$A$137:$A$164,$B95)/10^9</f>
        <v>0.27255051200000002</v>
      </c>
      <c r="I95" s="330">
        <f>+SUMIFS(RAW!D$137:D$164,RAW!$A$137:$A$164,$B95)/10^9</f>
        <v>0.27875102800000001</v>
      </c>
      <c r="J95" s="330">
        <f>+SUMIFS(RAW!E$137:E$164,RAW!$A$137:$A$164,$B95)/10^9</f>
        <v>0.57442233399999998</v>
      </c>
      <c r="K95" s="107">
        <f t="shared" ref="K95:O96" si="12">+K$15*K104</f>
        <v>0.83445035717506455</v>
      </c>
      <c r="L95" s="107">
        <f t="shared" si="12"/>
        <v>1.0438593825600138</v>
      </c>
      <c r="M95" s="107">
        <f t="shared" si="12"/>
        <v>1.2849024670430493</v>
      </c>
      <c r="N95" s="107">
        <f t="shared" si="12"/>
        <v>1.5641011525323549</v>
      </c>
      <c r="O95" s="107">
        <f t="shared" si="12"/>
        <v>1.8760916319016523</v>
      </c>
    </row>
    <row r="96" spans="1:23" ht="13" customHeight="1">
      <c r="B96" s="189" t="s">
        <v>686</v>
      </c>
      <c r="H96" s="330">
        <f>+SUMIFS(RAW!C$137:C$164,RAW!$A$137:$A$164,$B96)/10^9</f>
        <v>0.98535007200000002</v>
      </c>
      <c r="I96" s="330">
        <f>+SUMIFS(RAW!D$137:D$164,RAW!$A$137:$A$164,$B96)/10^9</f>
        <v>1.1011096709999999</v>
      </c>
      <c r="J96" s="330">
        <f>+SUMIFS(RAW!E$137:E$164,RAW!$A$137:$A$164,$B96)/10^9</f>
        <v>2.2577112389999998</v>
      </c>
      <c r="K96" s="107">
        <f t="shared" si="12"/>
        <v>2.8779350897037759</v>
      </c>
      <c r="L96" s="107">
        <f t="shared" si="12"/>
        <v>3.8514768458607249</v>
      </c>
      <c r="M96" s="107">
        <f t="shared" si="12"/>
        <v>4.5861703394274329</v>
      </c>
      <c r="N96" s="107">
        <f t="shared" si="12"/>
        <v>5.6768473372726298</v>
      </c>
      <c r="O96" s="107">
        <f t="shared" si="12"/>
        <v>6.7527461696018634</v>
      </c>
    </row>
    <row r="98" spans="1:23" s="76" customFormat="1" ht="13" customHeight="1">
      <c r="A98" s="76" t="s">
        <v>356</v>
      </c>
      <c r="B98" s="174" t="s">
        <v>687</v>
      </c>
      <c r="C98" s="135"/>
      <c r="D98" s="135"/>
      <c r="E98" s="135"/>
      <c r="F98" s="135"/>
      <c r="G98" s="135"/>
      <c r="H98" s="135"/>
      <c r="I98" s="135"/>
      <c r="J98" s="135"/>
      <c r="K98" s="135"/>
      <c r="L98" s="135"/>
      <c r="M98" s="135"/>
      <c r="N98" s="135"/>
      <c r="O98" s="135"/>
      <c r="P98" s="135"/>
      <c r="Q98" s="135"/>
      <c r="R98" s="135"/>
      <c r="S98" s="135"/>
      <c r="T98" s="135"/>
      <c r="U98" s="135"/>
      <c r="V98" s="135"/>
      <c r="W98" s="135"/>
    </row>
    <row r="100" spans="1:23" s="191" customFormat="1" ht="13" customHeight="1">
      <c r="A100" s="190"/>
      <c r="B100" s="190" t="s">
        <v>570</v>
      </c>
      <c r="C100" s="190"/>
      <c r="D100" s="190"/>
      <c r="E100" s="190"/>
      <c r="F100" s="190"/>
      <c r="G100" s="190"/>
      <c r="H100" s="192">
        <f t="shared" ref="H100:H105" si="13">+H91/H$15</f>
        <v>0.27469103857103744</v>
      </c>
      <c r="I100" s="192">
        <f t="shared" ref="I100:O100" si="14">+I91/I$15</f>
        <v>9.05375274318619E-2</v>
      </c>
      <c r="J100" s="192">
        <f t="shared" si="14"/>
        <v>8.8024636929371985E-2</v>
      </c>
      <c r="K100" s="192">
        <f>+K91/K$15</f>
        <v>7.5705634912053926E-2</v>
      </c>
      <c r="L100" s="192">
        <f t="shared" si="14"/>
        <v>7.2125683964495785E-2</v>
      </c>
      <c r="M100" s="192">
        <f t="shared" si="14"/>
        <v>7.0204466131423449E-2</v>
      </c>
      <c r="N100" s="192">
        <f t="shared" si="14"/>
        <v>6.7138636907287982E-2</v>
      </c>
      <c r="O100" s="192">
        <f t="shared" si="14"/>
        <v>6.4279647493229744E-2</v>
      </c>
    </row>
    <row r="101" spans="1:23" ht="13" customHeight="1">
      <c r="B101" s="189" t="s">
        <v>682</v>
      </c>
      <c r="H101" s="146">
        <f t="shared" si="13"/>
        <v>0.12468390943076009</v>
      </c>
      <c r="I101" s="146">
        <f t="shared" ref="I101:O101" si="15">+I92/I$15</f>
        <v>4.1690611188222766E-2</v>
      </c>
      <c r="J101" s="146">
        <f t="shared" si="15"/>
        <v>3.6983351794721432E-2</v>
      </c>
      <c r="K101" s="146">
        <f>+K92/K$15</f>
        <v>2.6222512779377181E-2</v>
      </c>
      <c r="L101" s="146">
        <f t="shared" si="15"/>
        <v>2.1590864714124084E-2</v>
      </c>
      <c r="M101" s="146">
        <f t="shared" si="15"/>
        <v>2.0008916174874533E-2</v>
      </c>
      <c r="N101" s="146">
        <f t="shared" si="15"/>
        <v>1.6930357020553819E-2</v>
      </c>
      <c r="O101" s="146">
        <f t="shared" si="15"/>
        <v>1.453831688852246E-2</v>
      </c>
    </row>
    <row r="102" spans="1:23" ht="13" customHeight="1">
      <c r="B102" s="189" t="s">
        <v>683</v>
      </c>
      <c r="H102" s="146">
        <f t="shared" si="13"/>
        <v>2.0129992368585176E-2</v>
      </c>
      <c r="I102" s="146">
        <f t="shared" ref="I102:O102" si="16">+I93/I$15</f>
        <v>4.150794256957204E-3</v>
      </c>
      <c r="J102" s="146">
        <f t="shared" si="16"/>
        <v>6.2890362858027404E-3</v>
      </c>
      <c r="K102" s="146">
        <f>+K93/K$15</f>
        <v>4.1013680724614771E-3</v>
      </c>
      <c r="L102" s="146">
        <f t="shared" si="16"/>
        <v>3.8804187957743683E-3</v>
      </c>
      <c r="M102" s="146">
        <f t="shared" si="16"/>
        <v>4.1774726991426151E-3</v>
      </c>
      <c r="N102" s="146">
        <f t="shared" si="16"/>
        <v>3.8720410307323538E-3</v>
      </c>
      <c r="O102" s="146">
        <f t="shared" si="16"/>
        <v>3.5641725480032218E-3</v>
      </c>
    </row>
    <row r="103" spans="1:23" ht="13" customHeight="1">
      <c r="B103" s="189" t="s">
        <v>684</v>
      </c>
      <c r="H103" s="146">
        <f t="shared" si="13"/>
        <v>6.237764413660609E-2</v>
      </c>
      <c r="I103" s="146">
        <f t="shared" ref="I103:J105" si="17">+I94/I$15</f>
        <v>2.5039085276632053E-2</v>
      </c>
      <c r="J103" s="146">
        <f t="shared" si="17"/>
        <v>1.8689489276368858E-2</v>
      </c>
      <c r="K103" s="187">
        <f>+AVERAGE(I103:J103)</f>
        <v>2.1864287276500458E-2</v>
      </c>
      <c r="L103" s="187">
        <f t="shared" ref="L103:O104" si="18">+K103</f>
        <v>2.1864287276500458E-2</v>
      </c>
      <c r="M103" s="187">
        <f t="shared" si="18"/>
        <v>2.1864287276500458E-2</v>
      </c>
      <c r="N103" s="187">
        <f t="shared" si="18"/>
        <v>2.1864287276500458E-2</v>
      </c>
      <c r="O103" s="187">
        <f t="shared" si="18"/>
        <v>2.1864287276500458E-2</v>
      </c>
    </row>
    <row r="104" spans="1:23" ht="13" customHeight="1">
      <c r="B104" s="189" t="s">
        <v>685</v>
      </c>
      <c r="H104" s="146">
        <f t="shared" si="13"/>
        <v>1.4625179057419798E-2</v>
      </c>
      <c r="I104" s="146">
        <f t="shared" si="17"/>
        <v>3.9709944593183466E-3</v>
      </c>
      <c r="J104" s="146">
        <f t="shared" si="17"/>
        <v>5.2861317442191805E-3</v>
      </c>
      <c r="K104" s="187">
        <f>+J104</f>
        <v>5.2861317442191805E-3</v>
      </c>
      <c r="L104" s="187">
        <f t="shared" si="18"/>
        <v>5.2861317442191805E-3</v>
      </c>
      <c r="M104" s="187">
        <f t="shared" si="18"/>
        <v>5.2861317442191805E-3</v>
      </c>
      <c r="N104" s="187">
        <f t="shared" si="18"/>
        <v>5.2861317442191805E-3</v>
      </c>
      <c r="O104" s="187">
        <f t="shared" si="18"/>
        <v>5.2861317442191805E-3</v>
      </c>
    </row>
    <row r="105" spans="1:23" ht="13" customHeight="1">
      <c r="B105" s="189" t="s">
        <v>686</v>
      </c>
      <c r="H105" s="146">
        <f t="shared" si="13"/>
        <v>5.2874313577666254E-2</v>
      </c>
      <c r="I105" s="146">
        <f t="shared" si="17"/>
        <v>1.568604225073153E-2</v>
      </c>
      <c r="J105" s="146">
        <f t="shared" si="17"/>
        <v>2.0776627828259748E-2</v>
      </c>
      <c r="K105" s="187">
        <f>+AVERAGE(I105:J105)</f>
        <v>1.8231335039495637E-2</v>
      </c>
      <c r="L105" s="187">
        <f>+AVERAGE(J105:K105)</f>
        <v>1.9503981433877694E-2</v>
      </c>
      <c r="M105" s="187">
        <f>+AVERAGE(K105:L105)</f>
        <v>1.8867658236686666E-2</v>
      </c>
      <c r="N105" s="187">
        <f>+AVERAGE(L105:M105)</f>
        <v>1.918581983528218E-2</v>
      </c>
      <c r="O105" s="187">
        <f>+AVERAGE(M105:N105)</f>
        <v>1.9026739035984425E-2</v>
      </c>
    </row>
    <row r="107" spans="1:23" s="76" customFormat="1" ht="13" customHeight="1">
      <c r="A107" s="76" t="s">
        <v>356</v>
      </c>
      <c r="B107" s="173" t="s">
        <v>688</v>
      </c>
      <c r="C107" s="79"/>
      <c r="D107" s="79"/>
      <c r="E107" s="79"/>
      <c r="F107" s="79"/>
      <c r="G107" s="79"/>
      <c r="H107" s="79"/>
      <c r="I107" s="79"/>
      <c r="J107" s="79"/>
      <c r="K107" s="79"/>
      <c r="L107" s="79"/>
      <c r="M107" s="79"/>
      <c r="N107" s="79"/>
      <c r="O107" s="79"/>
      <c r="P107" s="79"/>
      <c r="Q107" s="79"/>
      <c r="R107" s="79"/>
      <c r="S107" s="79"/>
      <c r="T107" s="79"/>
      <c r="U107" s="79"/>
      <c r="V107" s="79"/>
      <c r="W107" s="79"/>
    </row>
    <row r="109" spans="1:23" s="110" customFormat="1" ht="13" customHeight="1">
      <c r="A109" s="109"/>
      <c r="B109" s="109"/>
      <c r="C109" s="109"/>
      <c r="D109" s="109"/>
      <c r="E109" s="109"/>
      <c r="F109" s="109"/>
      <c r="G109" s="109"/>
    </row>
    <row r="110" spans="1:23" ht="13" customHeight="1">
      <c r="B110" s="374" t="s">
        <v>1338</v>
      </c>
      <c r="H110" s="107">
        <f>H92</f>
        <v>2.3235724649999998</v>
      </c>
      <c r="I110" s="107">
        <f>I92</f>
        <v>2.9265466990000002</v>
      </c>
      <c r="J110" s="107">
        <f>J92</f>
        <v>4.0188297009999996</v>
      </c>
      <c r="K110" s="207">
        <f>J110*(1+0.03)</f>
        <v>4.1393945920299995</v>
      </c>
      <c r="L110" s="207">
        <f>K110*(1+0.03)</f>
        <v>4.2635764297908993</v>
      </c>
      <c r="M110" s="207">
        <f>L110+0.6</f>
        <v>4.863576429790899</v>
      </c>
      <c r="N110" s="207">
        <f>M110*(1+0.03)</f>
        <v>5.0094837226846263</v>
      </c>
      <c r="O110" s="207">
        <f>N110*(1+0.03)</f>
        <v>5.1597682343651652</v>
      </c>
    </row>
    <row r="111" spans="1:23" ht="13" customHeight="1">
      <c r="B111" s="102"/>
    </row>
    <row r="112" spans="1:23" ht="13" customHeight="1">
      <c r="B112" s="102"/>
    </row>
    <row r="113" spans="1:23" ht="13" customHeight="1">
      <c r="B113" s="113"/>
      <c r="I113" s="198"/>
      <c r="J113" s="198"/>
      <c r="K113" s="198"/>
      <c r="L113" s="198"/>
      <c r="M113" s="198"/>
      <c r="N113" s="198"/>
      <c r="O113" s="198"/>
    </row>
    <row r="114" spans="1:23" ht="13" customHeight="1">
      <c r="B114" s="113"/>
      <c r="I114" s="198"/>
      <c r="J114" s="198"/>
      <c r="K114" s="198"/>
      <c r="L114" s="198"/>
      <c r="M114" s="198"/>
      <c r="N114" s="198"/>
      <c r="O114" s="198"/>
    </row>
    <row r="115" spans="1:23" ht="13" customHeight="1">
      <c r="B115" s="374" t="s">
        <v>1336</v>
      </c>
      <c r="C115" s="374"/>
      <c r="H115" s="107">
        <f t="shared" ref="H115:J116" si="19">+H75</f>
        <v>0</v>
      </c>
      <c r="I115" s="107">
        <f t="shared" si="19"/>
        <v>6.7593167269999999</v>
      </c>
      <c r="J115" s="107">
        <f t="shared" si="19"/>
        <v>10.978370912999999</v>
      </c>
      <c r="K115" s="376">
        <f>+J115*(1+0.03)</f>
        <v>11.307722040389999</v>
      </c>
      <c r="L115" s="376">
        <f>+K115*(1+0.03)</f>
        <v>11.646953701601699</v>
      </c>
      <c r="M115" s="376">
        <f>+L115+J115-I115</f>
        <v>15.866007887601699</v>
      </c>
      <c r="N115" s="376">
        <f>+M115*(1+0.03)</f>
        <v>16.341988124229751</v>
      </c>
      <c r="O115" s="376">
        <f>+N115*(1+0.03)</f>
        <v>16.832247767956645</v>
      </c>
      <c r="R115" s="206" t="s">
        <v>1337</v>
      </c>
    </row>
    <row r="116" spans="1:23" ht="13" customHeight="1">
      <c r="B116" s="379" t="s">
        <v>672</v>
      </c>
      <c r="H116" s="107">
        <f t="shared" si="19"/>
        <v>0</v>
      </c>
      <c r="I116" s="107">
        <f t="shared" si="19"/>
        <v>0.406242614</v>
      </c>
      <c r="J116" s="107">
        <f t="shared" si="19"/>
        <v>0.56886543199999995</v>
      </c>
      <c r="K116" s="205">
        <f>K115*K117</f>
        <v>0.58593139495999991</v>
      </c>
      <c r="L116" s="205">
        <f>L115*L117</f>
        <v>0.60350933680879992</v>
      </c>
      <c r="M116" s="205">
        <f>M115*M117</f>
        <v>0.8221277548937872</v>
      </c>
      <c r="N116" s="205">
        <f>N115*N117</f>
        <v>0.84679158754060091</v>
      </c>
      <c r="O116" s="205">
        <f>O115*O117</f>
        <v>0.87219533516681902</v>
      </c>
    </row>
    <row r="117" spans="1:23" ht="13" customHeight="1">
      <c r="B117" s="113"/>
      <c r="I117" s="198">
        <f>I116/I115</f>
        <v>6.0101136018270801E-2</v>
      </c>
      <c r="J117" s="198">
        <f>J116/J115</f>
        <v>5.1816925890742126E-2</v>
      </c>
      <c r="K117" s="187">
        <f>+J117</f>
        <v>5.1816925890742126E-2</v>
      </c>
      <c r="L117" s="187">
        <f>+K117</f>
        <v>5.1816925890742126E-2</v>
      </c>
      <c r="M117" s="187">
        <f>+L117</f>
        <v>5.1816925890742126E-2</v>
      </c>
      <c r="N117" s="187">
        <f>+M117</f>
        <v>5.1816925890742126E-2</v>
      </c>
      <c r="O117" s="187">
        <f>+N117</f>
        <v>5.1816925890742126E-2</v>
      </c>
    </row>
    <row r="118" spans="1:23" ht="13" customHeight="1">
      <c r="B118" s="113"/>
      <c r="I118" s="198"/>
      <c r="J118" s="198"/>
      <c r="K118" s="198"/>
      <c r="L118" s="198"/>
      <c r="M118" s="198"/>
      <c r="N118" s="198"/>
      <c r="O118" s="198"/>
    </row>
    <row r="119" spans="1:23" ht="13" customHeight="1">
      <c r="B119" s="113"/>
      <c r="I119" s="198"/>
      <c r="J119" s="198"/>
      <c r="K119" s="198"/>
      <c r="L119" s="198"/>
      <c r="M119" s="198"/>
      <c r="N119" s="198"/>
      <c r="O119" s="198"/>
    </row>
    <row r="121" spans="1:23" s="76" customFormat="1" ht="13" customHeight="1">
      <c r="A121" s="76" t="s">
        <v>356</v>
      </c>
      <c r="B121" s="173" t="s">
        <v>722</v>
      </c>
      <c r="C121" s="79"/>
      <c r="D121" s="79"/>
      <c r="E121" s="79"/>
      <c r="F121" s="79"/>
      <c r="G121" s="79"/>
      <c r="H121" s="79"/>
      <c r="I121" s="79"/>
      <c r="J121" s="79"/>
      <c r="K121" s="79"/>
      <c r="L121" s="79"/>
      <c r="M121" s="79"/>
      <c r="N121" s="79"/>
      <c r="O121" s="79"/>
      <c r="P121" s="79"/>
      <c r="Q121" s="79"/>
      <c r="R121" s="79"/>
      <c r="S121" s="79"/>
      <c r="T121" s="79"/>
      <c r="U121" s="79"/>
      <c r="V121" s="79"/>
      <c r="W121" s="79"/>
    </row>
    <row r="123" spans="1:23" s="110" customFormat="1" ht="13" customHeight="1">
      <c r="A123" s="109"/>
      <c r="B123" s="109" t="s">
        <v>723</v>
      </c>
      <c r="C123" s="109"/>
      <c r="D123" s="109"/>
      <c r="E123" s="109"/>
      <c r="F123" s="109"/>
      <c r="G123" s="109"/>
      <c r="H123" s="329">
        <f>+Model!H124</f>
        <v>3.2162474400000001</v>
      </c>
      <c r="I123" s="329">
        <f>+Model!I124</f>
        <v>4.7614322720000004</v>
      </c>
      <c r="J123" s="329">
        <f>+Model!J124</f>
        <v>8.7884377029999996</v>
      </c>
      <c r="K123" s="329">
        <f>+Model!K124</f>
        <v>10.022485306251649</v>
      </c>
      <c r="L123" s="329">
        <f>+Model!L124</f>
        <v>10.814432081998996</v>
      </c>
      <c r="M123" s="329">
        <f>+Model!M124</f>
        <v>14.127308244635138</v>
      </c>
      <c r="N123" s="329">
        <f>+Model!N124</f>
        <v>14.868070356860176</v>
      </c>
      <c r="O123" s="329">
        <f>+Model!O124</f>
        <v>15.226389820654463</v>
      </c>
    </row>
    <row r="124" spans="1:23" ht="13" customHeight="1">
      <c r="B124" s="102" t="s">
        <v>690</v>
      </c>
      <c r="I124" s="107">
        <f>+I123-I125</f>
        <v>4.5199943180000002</v>
      </c>
      <c r="J124" s="107">
        <f t="shared" ref="J124:O124" si="20">+J123-J125</f>
        <v>8.3221745179999989</v>
      </c>
      <c r="K124" s="107">
        <f>+K123-K125</f>
        <v>9.5025129445043781</v>
      </c>
      <c r="L124" s="107">
        <f>+L123-L125</f>
        <v>10.247027263620232</v>
      </c>
      <c r="M124" s="107">
        <f t="shared" si="20"/>
        <v>13.390230403823637</v>
      </c>
      <c r="N124" s="107">
        <f t="shared" si="20"/>
        <v>14.090162903653351</v>
      </c>
      <c r="O124" s="107">
        <f t="shared" si="20"/>
        <v>14.430851687960923</v>
      </c>
    </row>
    <row r="125" spans="1:23" ht="13" customHeight="1">
      <c r="B125" s="102" t="s">
        <v>691</v>
      </c>
      <c r="I125" s="330">
        <f>+RAW!K146/10^9</f>
        <v>0.24143795400000001</v>
      </c>
      <c r="J125" s="330">
        <f>+RAW!L146/10^9</f>
        <v>0.46626318500000002</v>
      </c>
      <c r="K125" s="107">
        <f>+K123*K126</f>
        <v>0.51997236174727046</v>
      </c>
      <c r="L125" s="107">
        <f>+L123*L126</f>
        <v>0.56740481837876389</v>
      </c>
      <c r="M125" s="107">
        <f>+M123*M126</f>
        <v>0.7370778408115024</v>
      </c>
      <c r="N125" s="107">
        <f>+N123*N126</f>
        <v>0.77790745320682653</v>
      </c>
      <c r="O125" s="107">
        <f>+O123*O126</f>
        <v>0.79553813269354068</v>
      </c>
    </row>
    <row r="126" spans="1:23" s="134" customFormat="1" ht="13" customHeight="1">
      <c r="A126" s="103"/>
      <c r="B126" s="145" t="s">
        <v>731</v>
      </c>
      <c r="C126" s="103"/>
      <c r="D126" s="103"/>
      <c r="E126" s="103"/>
      <c r="F126" s="103"/>
      <c r="G126" s="103"/>
      <c r="I126" s="146">
        <f>+I125/I123</f>
        <v>5.0707001634738361E-2</v>
      </c>
      <c r="J126" s="146">
        <f>+J125/J123</f>
        <v>5.3054160563809599E-2</v>
      </c>
      <c r="K126" s="187">
        <f>+AVERAGE(I126:J126)</f>
        <v>5.188058109927398E-2</v>
      </c>
      <c r="L126" s="187">
        <f>+AVERAGE(J126:K126)</f>
        <v>5.2467370831541793E-2</v>
      </c>
      <c r="M126" s="187">
        <f>+AVERAGE(K126:L126)</f>
        <v>5.217397596540789E-2</v>
      </c>
      <c r="N126" s="187">
        <f>+AVERAGE(L126:M126)</f>
        <v>5.2320673398474841E-2</v>
      </c>
      <c r="O126" s="187">
        <f>+AVERAGE(M126:N126)</f>
        <v>5.2247324681941362E-2</v>
      </c>
    </row>
    <row r="128" spans="1:23" s="110" customFormat="1" ht="13" customHeight="1">
      <c r="A128" s="109"/>
      <c r="B128" s="109" t="s">
        <v>732</v>
      </c>
      <c r="C128" s="109"/>
      <c r="D128" s="109"/>
      <c r="E128" s="109"/>
      <c r="F128" s="109"/>
      <c r="G128" s="109"/>
      <c r="H128" s="329">
        <f>+Model!H131</f>
        <v>0.189093188</v>
      </c>
      <c r="I128" s="329">
        <f>+Model!I131</f>
        <v>0.203914495</v>
      </c>
      <c r="J128" s="329">
        <f>+Model!J131</f>
        <v>0.35739515300000002</v>
      </c>
      <c r="K128" s="329">
        <f>+Model!K131</f>
        <v>0.29903505949999998</v>
      </c>
      <c r="L128" s="329">
        <f>+Model!L131</f>
        <v>0.4665797942503358</v>
      </c>
      <c r="M128" s="329">
        <f>+Model!M131</f>
        <v>0.65304548532759998</v>
      </c>
      <c r="N128" s="329">
        <f>+Model!N131</f>
        <v>0.86288763269482538</v>
      </c>
      <c r="O128" s="329">
        <f>+Model!O131</f>
        <v>1.1013415538773772</v>
      </c>
    </row>
    <row r="129" spans="2:15" ht="13" customHeight="1">
      <c r="B129" s="102" t="s">
        <v>690</v>
      </c>
      <c r="I129" s="107">
        <f>+I128-I130</f>
        <v>0.15398005400000001</v>
      </c>
      <c r="J129" s="107">
        <f t="shared" ref="J129:O129" si="21">+J128-J130</f>
        <v>0.14025446600000002</v>
      </c>
      <c r="K129" s="107">
        <f t="shared" si="21"/>
        <v>0.17157973337048826</v>
      </c>
      <c r="L129" s="107">
        <f t="shared" si="21"/>
        <v>0.26771321338503418</v>
      </c>
      <c r="M129" s="107">
        <f t="shared" si="21"/>
        <v>0.37470312156260971</v>
      </c>
      <c r="N129" s="107">
        <f t="shared" si="21"/>
        <v>0.49510592568651629</v>
      </c>
      <c r="O129" s="107">
        <f t="shared" si="21"/>
        <v>0.63192553568829823</v>
      </c>
    </row>
    <row r="130" spans="2:15" ht="13" customHeight="1">
      <c r="B130" s="102" t="s">
        <v>691</v>
      </c>
      <c r="I130" s="330">
        <f>+RAW!K147/10^9</f>
        <v>4.9934441000000003E-2</v>
      </c>
      <c r="J130" s="330">
        <f>+RAW!L147/10^9</f>
        <v>0.217140687</v>
      </c>
      <c r="K130" s="107">
        <f>+K128*K131</f>
        <v>0.12745532612951171</v>
      </c>
      <c r="L130" s="107">
        <f>+L128*L131</f>
        <v>0.1988665808653016</v>
      </c>
      <c r="M130" s="107">
        <f>+M128*M131</f>
        <v>0.27834236376499027</v>
      </c>
      <c r="N130" s="107">
        <f>+N128*N131</f>
        <v>0.36778170700830909</v>
      </c>
      <c r="O130" s="107">
        <f>+O128*O131</f>
        <v>0.46941601818907897</v>
      </c>
    </row>
    <row r="131" spans="2:15" ht="13" customHeight="1">
      <c r="B131" s="145" t="s">
        <v>731</v>
      </c>
      <c r="I131" s="146">
        <f>+I130/I128</f>
        <v>0.2448793108111319</v>
      </c>
      <c r="J131" s="146">
        <f>+J130/J128</f>
        <v>0.60756472262509942</v>
      </c>
      <c r="K131" s="187">
        <f>+AVERAGE(I131:J131)</f>
        <v>0.42622201671811566</v>
      </c>
      <c r="L131" s="187">
        <f>+K131</f>
        <v>0.42622201671811566</v>
      </c>
      <c r="M131" s="187">
        <f>+L131</f>
        <v>0.42622201671811566</v>
      </c>
      <c r="N131" s="187">
        <f>+M131</f>
        <v>0.42622201671811566</v>
      </c>
      <c r="O131" s="187">
        <f>+N131</f>
        <v>0.42622201671811566</v>
      </c>
    </row>
  </sheetData>
  <mergeCells count="2">
    <mergeCell ref="D3:F5"/>
    <mergeCell ref="R10:W11"/>
  </mergeCells>
  <phoneticPr fontId="1" type="noConversion"/>
  <pageMargins left="0.7" right="0.7" top="0.75" bottom="0.75" header="0.3" footer="0.3"/>
  <ignoredErrors>
    <ignoredError sqref="H64:J64 H62 H67:J67 K67:O67 K68:O74 K82:O85 H84 H82 H80 H78 H79:J79 H76 H75 H72 H73:J73 H70 H71:J71 H69:J69 H81:I81 H83:J83 H85 H86 H68:J68 I76:J76 I86:J86 I85:J85 I84:J84 I82:J82 J81 I70:J70 I72:J72 H74:J74 I75:J75 I78:J78 I80:J80 K104 K79:O79" formula="1"/>
  </ignoredErrors>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4B6C2-F256-4A3F-9BA3-CFC4B96A91FF}">
  <sheetPr>
    <tabColor theme="2" tint="-0.249977111117893"/>
  </sheetPr>
  <dimension ref="E14:O19"/>
  <sheetViews>
    <sheetView workbookViewId="0"/>
  </sheetViews>
  <sheetFormatPr defaultRowHeight="17"/>
  <cols>
    <col min="1" max="16384" width="8.6640625" style="75"/>
  </cols>
  <sheetData>
    <row r="14" spans="5:15">
      <c r="E14" s="394" t="s">
        <v>216</v>
      </c>
      <c r="F14" s="394"/>
      <c r="G14" s="394"/>
      <c r="H14" s="394"/>
      <c r="I14" s="394"/>
      <c r="J14" s="394"/>
      <c r="K14" s="394"/>
      <c r="L14" s="394"/>
      <c r="M14" s="394"/>
      <c r="N14" s="394"/>
      <c r="O14" s="394"/>
    </row>
    <row r="15" spans="5:15">
      <c r="E15" s="394"/>
      <c r="F15" s="394"/>
      <c r="G15" s="394"/>
      <c r="H15" s="394"/>
      <c r="I15" s="394"/>
      <c r="J15" s="394"/>
      <c r="K15" s="394"/>
      <c r="L15" s="394"/>
      <c r="M15" s="394"/>
      <c r="N15" s="394"/>
      <c r="O15" s="394"/>
    </row>
    <row r="16" spans="5:15">
      <c r="E16" s="394"/>
      <c r="F16" s="394"/>
      <c r="G16" s="394"/>
      <c r="H16" s="394"/>
      <c r="I16" s="394"/>
      <c r="J16" s="394"/>
      <c r="K16" s="394"/>
      <c r="L16" s="394"/>
      <c r="M16" s="394"/>
      <c r="N16" s="394"/>
      <c r="O16" s="394"/>
    </row>
    <row r="17" spans="5:15">
      <c r="E17" s="394"/>
      <c r="F17" s="394"/>
      <c r="G17" s="394"/>
      <c r="H17" s="394"/>
      <c r="I17" s="394"/>
      <c r="J17" s="394"/>
      <c r="K17" s="394"/>
      <c r="L17" s="394"/>
      <c r="M17" s="394"/>
      <c r="N17" s="394"/>
      <c r="O17" s="394"/>
    </row>
    <row r="18" spans="5:15">
      <c r="E18" s="394"/>
      <c r="F18" s="394"/>
      <c r="G18" s="394"/>
      <c r="H18" s="394"/>
      <c r="I18" s="394"/>
      <c r="J18" s="394"/>
      <c r="K18" s="394"/>
      <c r="L18" s="394"/>
      <c r="M18" s="394"/>
      <c r="N18" s="394"/>
      <c r="O18" s="394"/>
    </row>
    <row r="19" spans="5:15">
      <c r="E19" s="394"/>
      <c r="F19" s="394"/>
      <c r="G19" s="394"/>
      <c r="H19" s="394"/>
      <c r="I19" s="394"/>
      <c r="J19" s="394"/>
      <c r="K19" s="394"/>
      <c r="L19" s="394"/>
      <c r="M19" s="394"/>
      <c r="N19" s="394"/>
      <c r="O19" s="394"/>
    </row>
  </sheetData>
  <mergeCells count="1">
    <mergeCell ref="E14:O19"/>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B5F25-675E-4A04-9339-A2EB1137A72C}">
  <sheetPr>
    <tabColor theme="2" tint="-0.249977111117893"/>
  </sheetPr>
  <dimension ref="B2:Q315"/>
  <sheetViews>
    <sheetView zoomScale="115" zoomScaleNormal="115" workbookViewId="0">
      <selection activeCell="C88" sqref="C88"/>
    </sheetView>
  </sheetViews>
  <sheetFormatPr defaultRowHeight="17"/>
  <cols>
    <col min="1" max="1" width="2.58203125" style="3" customWidth="1"/>
    <col min="2" max="2" width="26.1640625" style="3" customWidth="1"/>
    <col min="3" max="3" width="60.58203125" style="3" customWidth="1"/>
    <col min="4" max="4" width="13.25" style="3" bestFit="1" customWidth="1"/>
    <col min="5" max="5" width="24.33203125" style="3" bestFit="1" customWidth="1"/>
    <col min="6" max="6" width="8.4140625" style="3" bestFit="1" customWidth="1"/>
    <col min="7" max="17" width="7.58203125" style="3" customWidth="1"/>
    <col min="18" max="16384" width="8.6640625" style="3"/>
  </cols>
  <sheetData>
    <row r="2" spans="2:17">
      <c r="B2" s="25" t="s">
        <v>37</v>
      </c>
      <c r="C2" s="24"/>
      <c r="D2" s="24"/>
      <c r="E2" s="24"/>
      <c r="F2" s="24"/>
      <c r="G2" s="24"/>
      <c r="H2" s="24"/>
      <c r="I2" s="24"/>
      <c r="J2" s="24"/>
      <c r="K2" s="24"/>
      <c r="L2" s="24"/>
      <c r="M2" s="24"/>
      <c r="N2" s="24"/>
      <c r="O2" s="24"/>
      <c r="P2" s="24"/>
      <c r="Q2" s="24"/>
    </row>
    <row r="4" spans="2:17">
      <c r="B4" s="3" t="s">
        <v>23</v>
      </c>
      <c r="C4" s="4"/>
      <c r="D4" s="4"/>
      <c r="E4" s="4"/>
      <c r="F4" s="26" t="s">
        <v>17</v>
      </c>
      <c r="G4" s="26"/>
      <c r="H4" s="26"/>
      <c r="I4" s="26" t="s">
        <v>18</v>
      </c>
      <c r="J4" s="26"/>
      <c r="K4" s="26"/>
      <c r="L4" s="26" t="s">
        <v>26</v>
      </c>
      <c r="M4" s="26"/>
      <c r="N4" s="26"/>
      <c r="O4" s="26" t="s">
        <v>27</v>
      </c>
      <c r="P4" s="26"/>
      <c r="Q4" s="26"/>
    </row>
    <row r="5" spans="2:17" s="5" customFormat="1" ht="17.5" thickBot="1">
      <c r="B5" s="6"/>
      <c r="C5" s="7" t="s">
        <v>8</v>
      </c>
      <c r="D5" s="7" t="s">
        <v>9</v>
      </c>
      <c r="E5" s="7" t="s">
        <v>10</v>
      </c>
      <c r="F5" s="7" t="s">
        <v>19</v>
      </c>
      <c r="G5" s="7" t="s">
        <v>25</v>
      </c>
      <c r="H5" s="7" t="s">
        <v>24</v>
      </c>
      <c r="I5" s="7" t="s">
        <v>19</v>
      </c>
      <c r="J5" s="7" t="s">
        <v>25</v>
      </c>
      <c r="K5" s="7" t="s">
        <v>24</v>
      </c>
      <c r="L5" s="7" t="s">
        <v>19</v>
      </c>
      <c r="M5" s="7" t="s">
        <v>25</v>
      </c>
      <c r="N5" s="7" t="s">
        <v>24</v>
      </c>
      <c r="O5" s="7" t="s">
        <v>19</v>
      </c>
      <c r="P5" s="7" t="s">
        <v>25</v>
      </c>
      <c r="Q5" s="8" t="s">
        <v>24</v>
      </c>
    </row>
    <row r="6" spans="2:17">
      <c r="B6" s="17" t="s">
        <v>11</v>
      </c>
      <c r="C6" s="9" t="s">
        <v>20</v>
      </c>
      <c r="D6" s="9" t="s">
        <v>21</v>
      </c>
      <c r="E6" s="20" t="s">
        <v>22</v>
      </c>
      <c r="F6" s="3">
        <v>702</v>
      </c>
      <c r="G6" s="10">
        <f>3.7741935483871-1</f>
        <v>2.7741935483871001</v>
      </c>
      <c r="H6" s="23">
        <v>4.1000000000000002E-2</v>
      </c>
      <c r="I6" s="3">
        <v>1087</v>
      </c>
      <c r="J6" s="10">
        <f t="shared" ref="J6:J11" si="0">+I6/F6-1</f>
        <v>0.54843304843304841</v>
      </c>
      <c r="K6" s="23">
        <v>0.2175</v>
      </c>
      <c r="L6" s="3">
        <f>+EBIT!K15*10</f>
        <v>1578.565192</v>
      </c>
      <c r="M6" s="10">
        <f t="shared" ref="M6:M11" si="1">+L6/I6-1</f>
        <v>0.45222188776448946</v>
      </c>
      <c r="N6" s="23">
        <f>+Model!K22</f>
        <v>0.33159922354341254</v>
      </c>
      <c r="O6" s="3">
        <f>+EBIT!L15*10</f>
        <v>1974.7131419900002</v>
      </c>
      <c r="P6" s="10">
        <f t="shared" ref="P6:P11" si="2">+O6/L6-1</f>
        <v>0.25095444394544852</v>
      </c>
      <c r="Q6" s="12">
        <f>+Model!L22</f>
        <v>0.33274670337256573</v>
      </c>
    </row>
    <row r="7" spans="2:17">
      <c r="B7" s="18" t="s">
        <v>12</v>
      </c>
      <c r="C7" s="9" t="s">
        <v>20</v>
      </c>
      <c r="D7" s="9" t="s">
        <v>28</v>
      </c>
      <c r="E7" s="21" t="s">
        <v>29</v>
      </c>
      <c r="F7" s="3">
        <v>2881</v>
      </c>
      <c r="G7" s="10">
        <f>1.12583040250098-1</f>
        <v>0.12583040250097999</v>
      </c>
      <c r="H7" s="12">
        <v>0.22500000000000001</v>
      </c>
      <c r="I7" s="3">
        <v>3068</v>
      </c>
      <c r="J7" s="10">
        <f t="shared" si="0"/>
        <v>6.4908018049288474E-2</v>
      </c>
      <c r="K7" s="12">
        <v>0.22900000000000001</v>
      </c>
      <c r="L7" s="3">
        <v>2991</v>
      </c>
      <c r="M7" s="10">
        <f t="shared" si="1"/>
        <v>-2.5097783572359811E-2</v>
      </c>
      <c r="N7" s="12">
        <v>0.19900000000000001</v>
      </c>
      <c r="O7" s="3">
        <v>3338</v>
      </c>
      <c r="P7" s="10">
        <f t="shared" si="2"/>
        <v>0.11601471079906389</v>
      </c>
      <c r="Q7" s="12">
        <v>0.22500000000000001</v>
      </c>
    </row>
    <row r="8" spans="2:17">
      <c r="B8" s="18" t="s">
        <v>13</v>
      </c>
      <c r="C8" s="9" t="s">
        <v>20</v>
      </c>
      <c r="D8" s="9" t="s">
        <v>32</v>
      </c>
      <c r="E8" s="21" t="s">
        <v>29</v>
      </c>
      <c r="F8" s="3">
        <v>474</v>
      </c>
      <c r="G8" s="10">
        <f>0.760834670947031-1</f>
        <v>-0.23916532905296894</v>
      </c>
      <c r="H8" s="12">
        <v>0.22120000000000001</v>
      </c>
      <c r="I8" s="3">
        <v>622</v>
      </c>
      <c r="J8" s="10">
        <f t="shared" si="0"/>
        <v>0.31223628691983119</v>
      </c>
      <c r="K8" s="12">
        <v>0.22700000000000001</v>
      </c>
      <c r="L8" s="3">
        <v>839</v>
      </c>
      <c r="M8" s="10">
        <f t="shared" si="1"/>
        <v>0.34887459807073951</v>
      </c>
      <c r="N8" s="12">
        <v>0.26500000000000001</v>
      </c>
      <c r="O8" s="3">
        <v>1060</v>
      </c>
      <c r="P8" s="10">
        <f t="shared" si="2"/>
        <v>0.26340882002383781</v>
      </c>
      <c r="Q8" s="12">
        <v>0.28100000000000003</v>
      </c>
    </row>
    <row r="9" spans="2:17">
      <c r="B9" s="18" t="s">
        <v>14</v>
      </c>
      <c r="C9" s="9" t="s">
        <v>30</v>
      </c>
      <c r="D9" s="9" t="s">
        <v>33</v>
      </c>
      <c r="E9" s="21" t="s">
        <v>34</v>
      </c>
      <c r="F9" s="3">
        <v>2336</v>
      </c>
      <c r="G9" s="10">
        <f>+F9/3073-1</f>
        <v>-0.23983078424991866</v>
      </c>
      <c r="H9" s="12">
        <v>0.17599999999999999</v>
      </c>
      <c r="I9" s="3">
        <v>2516</v>
      </c>
      <c r="J9" s="10">
        <f t="shared" si="0"/>
        <v>7.7054794520547976E-2</v>
      </c>
      <c r="K9" s="12">
        <v>0.17199999999999999</v>
      </c>
      <c r="L9" s="3">
        <v>2643</v>
      </c>
      <c r="M9" s="10">
        <f t="shared" si="1"/>
        <v>5.0476947535771144E-2</v>
      </c>
      <c r="N9" s="12">
        <v>0.17399999999999999</v>
      </c>
      <c r="O9" s="3">
        <v>2978</v>
      </c>
      <c r="P9" s="10">
        <f t="shared" si="2"/>
        <v>0.12674990541051834</v>
      </c>
      <c r="Q9" s="12">
        <v>0.23400000000000001</v>
      </c>
    </row>
    <row r="10" spans="2:17">
      <c r="B10" s="18" t="s">
        <v>15</v>
      </c>
      <c r="C10" s="9" t="s">
        <v>30</v>
      </c>
      <c r="D10" s="9" t="s">
        <v>32</v>
      </c>
      <c r="E10" s="21" t="s">
        <v>34</v>
      </c>
      <c r="F10" s="3">
        <v>2267</v>
      </c>
      <c r="G10" s="10">
        <f>+F10/3196-1</f>
        <v>-0.2906758448060075</v>
      </c>
      <c r="H10" s="12">
        <v>0.29399999999999998</v>
      </c>
      <c r="I10" s="3">
        <v>2757</v>
      </c>
      <c r="J10" s="10">
        <f t="shared" si="0"/>
        <v>0.21614468460520508</v>
      </c>
      <c r="K10" s="12">
        <v>0.29199999999999998</v>
      </c>
      <c r="L10" s="3">
        <v>3143</v>
      </c>
      <c r="M10" s="10">
        <f t="shared" si="1"/>
        <v>0.14000725426187888</v>
      </c>
      <c r="N10" s="12">
        <v>0.28499999999999998</v>
      </c>
      <c r="O10" s="3">
        <v>3718</v>
      </c>
      <c r="P10" s="10">
        <f t="shared" si="2"/>
        <v>0.18294622971683094</v>
      </c>
      <c r="Q10" s="12">
        <v>0.30499999999999999</v>
      </c>
    </row>
    <row r="11" spans="2:17">
      <c r="B11" s="19" t="s">
        <v>16</v>
      </c>
      <c r="C11" s="13" t="s">
        <v>31</v>
      </c>
      <c r="D11" s="13" t="s">
        <v>35</v>
      </c>
      <c r="E11" s="22" t="s">
        <v>29</v>
      </c>
      <c r="F11" s="14">
        <v>653</v>
      </c>
      <c r="G11" s="15">
        <f>+F11/821-1</f>
        <v>-0.20462850182704018</v>
      </c>
      <c r="H11" s="16">
        <v>-5.9999999999999995E-4</v>
      </c>
      <c r="I11" s="14">
        <v>774</v>
      </c>
      <c r="J11" s="15">
        <f t="shared" si="0"/>
        <v>0.18529862174578859</v>
      </c>
      <c r="K11" s="16">
        <v>-2.6700000000000002E-2</v>
      </c>
      <c r="L11" s="14">
        <v>914</v>
      </c>
      <c r="M11" s="15">
        <f t="shared" si="1"/>
        <v>0.18087855297157618</v>
      </c>
      <c r="N11" s="16">
        <v>6.1899999999999997E-2</v>
      </c>
      <c r="O11" s="14">
        <v>1165</v>
      </c>
      <c r="P11" s="15">
        <f t="shared" si="2"/>
        <v>0.2746170678336981</v>
      </c>
      <c r="Q11" s="16">
        <v>0.1048</v>
      </c>
    </row>
    <row r="13" spans="2:17">
      <c r="B13" s="3" t="s">
        <v>36</v>
      </c>
    </row>
    <row r="15" spans="2:17">
      <c r="B15" s="25" t="s">
        <v>921</v>
      </c>
      <c r="C15" s="24"/>
      <c r="D15" s="24"/>
      <c r="E15" s="24"/>
      <c r="F15" s="24"/>
      <c r="G15" s="24"/>
      <c r="H15" s="24"/>
      <c r="I15" s="24"/>
      <c r="J15" s="24"/>
      <c r="K15" s="24"/>
      <c r="L15" s="24"/>
      <c r="M15" s="24"/>
      <c r="N15" s="24"/>
      <c r="O15" s="24"/>
      <c r="P15" s="24"/>
      <c r="Q15" s="24"/>
    </row>
    <row r="17" spans="2:17">
      <c r="B17" s="346"/>
      <c r="C17" s="347" t="s">
        <v>542</v>
      </c>
      <c r="D17" s="347" t="s">
        <v>537</v>
      </c>
      <c r="E17" s="347" t="s">
        <v>538</v>
      </c>
      <c r="F17" s="348" t="s">
        <v>539</v>
      </c>
    </row>
    <row r="18" spans="2:17">
      <c r="B18" s="18" t="s">
        <v>922</v>
      </c>
      <c r="C18" s="3" t="s">
        <v>928</v>
      </c>
      <c r="D18" s="3" t="s">
        <v>934</v>
      </c>
      <c r="E18" s="3" t="s">
        <v>939</v>
      </c>
      <c r="F18" s="11" t="s">
        <v>942</v>
      </c>
    </row>
    <row r="19" spans="2:17">
      <c r="B19" s="18" t="s">
        <v>923</v>
      </c>
      <c r="C19" s="3" t="s">
        <v>929</v>
      </c>
      <c r="D19" s="3" t="s">
        <v>935</v>
      </c>
      <c r="E19" s="3" t="s">
        <v>935</v>
      </c>
      <c r="F19" s="11" t="s">
        <v>942</v>
      </c>
    </row>
    <row r="20" spans="2:17">
      <c r="B20" s="18" t="s">
        <v>924</v>
      </c>
      <c r="C20" s="3" t="s">
        <v>930</v>
      </c>
      <c r="D20" s="3" t="s">
        <v>936</v>
      </c>
      <c r="E20" s="3" t="s">
        <v>940</v>
      </c>
      <c r="F20" s="11" t="s">
        <v>943</v>
      </c>
    </row>
    <row r="21" spans="2:17">
      <c r="B21" s="18" t="s">
        <v>925</v>
      </c>
      <c r="C21" s="3" t="s">
        <v>931</v>
      </c>
      <c r="D21" s="3" t="s">
        <v>937</v>
      </c>
      <c r="E21" s="3" t="s">
        <v>941</v>
      </c>
      <c r="F21" s="11" t="s">
        <v>944</v>
      </c>
    </row>
    <row r="22" spans="2:17">
      <c r="B22" s="18" t="s">
        <v>926</v>
      </c>
      <c r="C22" s="3" t="s">
        <v>932</v>
      </c>
      <c r="D22" s="3" t="s">
        <v>938</v>
      </c>
      <c r="E22" s="3" t="s">
        <v>932</v>
      </c>
      <c r="F22" s="11" t="s">
        <v>945</v>
      </c>
    </row>
    <row r="23" spans="2:17">
      <c r="B23" s="19" t="s">
        <v>927</v>
      </c>
      <c r="C23" s="14" t="s">
        <v>933</v>
      </c>
      <c r="D23" s="349" t="s">
        <v>932</v>
      </c>
      <c r="E23" s="14" t="s">
        <v>932</v>
      </c>
      <c r="F23" s="350" t="s">
        <v>945</v>
      </c>
    </row>
    <row r="24" spans="2:17">
      <c r="D24" s="27"/>
    </row>
    <row r="25" spans="2:17">
      <c r="B25" s="25" t="s">
        <v>946</v>
      </c>
      <c r="C25" s="24"/>
      <c r="D25" s="24"/>
      <c r="E25" s="24"/>
      <c r="F25" s="24"/>
      <c r="G25" s="24"/>
      <c r="H25" s="24"/>
      <c r="I25" s="24"/>
      <c r="J25" s="24"/>
      <c r="K25" s="24"/>
      <c r="L25" s="24"/>
      <c r="M25" s="24"/>
      <c r="N25" s="24"/>
      <c r="O25" s="24"/>
      <c r="P25" s="24"/>
      <c r="Q25" s="24"/>
    </row>
    <row r="27" spans="2:17">
      <c r="C27" s="3" t="s">
        <v>948</v>
      </c>
      <c r="D27" s="27" t="s">
        <v>540</v>
      </c>
      <c r="E27" s="3" t="s">
        <v>541</v>
      </c>
      <c r="F27" s="3" t="s">
        <v>542</v>
      </c>
      <c r="G27" s="3" t="s">
        <v>536</v>
      </c>
      <c r="H27" s="27" t="s">
        <v>537</v>
      </c>
      <c r="I27" s="3" t="s">
        <v>538</v>
      </c>
    </row>
    <row r="28" spans="2:17">
      <c r="B28" s="3" t="s">
        <v>949</v>
      </c>
      <c r="C28" s="10">
        <f>1912015/23137290</f>
        <v>8.2637811083320481E-2</v>
      </c>
      <c r="D28" s="351">
        <f>5554284/28093113</f>
        <v>0.1977098088061654</v>
      </c>
      <c r="E28" s="10">
        <f>3684208/29271373</f>
        <v>0.12586386022958335</v>
      </c>
      <c r="F28" s="10">
        <f>15094486/111065950</f>
        <v>0.13590561283633734</v>
      </c>
      <c r="G28" s="10">
        <f>1105503/25131006</f>
        <v>4.3989603917964921E-2</v>
      </c>
      <c r="H28" s="10">
        <f>350173/27875087</f>
        <v>1.2562220882037067E-2</v>
      </c>
      <c r="I28" s="10">
        <f>6991305/33116787</f>
        <v>0.21111060683513772</v>
      </c>
    </row>
    <row r="29" spans="2:17">
      <c r="B29" s="3" t="s">
        <v>947</v>
      </c>
      <c r="C29" s="10">
        <f>2886029/12429598</f>
        <v>0.23219005152057209</v>
      </c>
      <c r="D29" s="351">
        <f>5468536/16423258</f>
        <v>0.33297510152979393</v>
      </c>
      <c r="E29" s="10">
        <v>0.4</v>
      </c>
      <c r="F29" s="10">
        <v>0.41</v>
      </c>
      <c r="G29" s="10">
        <v>0.42</v>
      </c>
      <c r="H29" s="10">
        <v>0.41</v>
      </c>
      <c r="I29" s="10">
        <v>0.47</v>
      </c>
    </row>
    <row r="31" spans="2:17">
      <c r="D31" s="27"/>
    </row>
    <row r="32" spans="2:17">
      <c r="D32" s="27"/>
    </row>
    <row r="33" spans="2:17">
      <c r="D33" s="27"/>
    </row>
    <row r="35" spans="2:17">
      <c r="D35" s="27"/>
    </row>
    <row r="36" spans="2:17">
      <c r="D36" s="27"/>
    </row>
    <row r="37" spans="2:17">
      <c r="D37" s="27"/>
    </row>
    <row r="40" spans="2:17">
      <c r="B40" s="25" t="s">
        <v>950</v>
      </c>
      <c r="C40" s="24"/>
      <c r="D40" s="24"/>
      <c r="E40" s="24"/>
      <c r="F40" s="24"/>
      <c r="G40" s="24"/>
      <c r="H40" s="24"/>
      <c r="I40" s="24"/>
      <c r="J40" s="24"/>
      <c r="K40" s="24"/>
      <c r="L40" s="24"/>
      <c r="M40" s="24"/>
      <c r="N40" s="24"/>
      <c r="O40" s="24"/>
      <c r="P40" s="24"/>
      <c r="Q40" s="24"/>
    </row>
    <row r="56" spans="2:17">
      <c r="B56" s="25" t="s">
        <v>1196</v>
      </c>
      <c r="C56" s="24"/>
      <c r="D56" s="24"/>
      <c r="E56" s="24"/>
      <c r="F56" s="24"/>
      <c r="G56" s="24"/>
      <c r="H56" s="24"/>
      <c r="I56" s="24"/>
      <c r="J56" s="24"/>
      <c r="K56" s="24"/>
      <c r="L56" s="24"/>
      <c r="M56" s="24"/>
      <c r="N56" s="24"/>
      <c r="O56" s="24"/>
      <c r="P56" s="24"/>
      <c r="Q56" s="24"/>
    </row>
    <row r="72" spans="2:17">
      <c r="B72" s="25" t="s">
        <v>1197</v>
      </c>
      <c r="C72" s="24"/>
      <c r="D72" s="24"/>
      <c r="E72" s="24"/>
      <c r="F72" s="24"/>
      <c r="G72" s="24"/>
      <c r="H72" s="24"/>
      <c r="I72" s="24"/>
      <c r="J72" s="24"/>
      <c r="K72" s="24"/>
      <c r="L72" s="24"/>
      <c r="M72" s="24"/>
      <c r="N72" s="24"/>
      <c r="O72" s="24"/>
      <c r="P72" s="24"/>
      <c r="Q72" s="24"/>
    </row>
    <row r="73" spans="2:17">
      <c r="C73" s="359">
        <v>2025</v>
      </c>
      <c r="D73" s="359">
        <v>2026</v>
      </c>
      <c r="E73" s="359">
        <v>2027</v>
      </c>
      <c r="F73" s="359">
        <v>2028</v>
      </c>
      <c r="G73" s="359"/>
    </row>
    <row r="74" spans="2:17">
      <c r="B74" s="5" t="s">
        <v>503</v>
      </c>
    </row>
    <row r="75" spans="2:17">
      <c r="B75" s="358" t="s">
        <v>1198</v>
      </c>
      <c r="C75" s="360" t="s">
        <v>1202</v>
      </c>
    </row>
    <row r="76" spans="2:17">
      <c r="B76" s="358"/>
      <c r="C76" s="360" t="s">
        <v>1203</v>
      </c>
    </row>
    <row r="77" spans="2:17">
      <c r="B77" s="358"/>
      <c r="D77" s="360" t="s">
        <v>1204</v>
      </c>
    </row>
    <row r="78" spans="2:17">
      <c r="B78" s="358"/>
      <c r="E78" s="360" t="s">
        <v>1205</v>
      </c>
    </row>
    <row r="79" spans="2:17">
      <c r="B79" s="358" t="s">
        <v>1199</v>
      </c>
      <c r="F79" s="360" t="s">
        <v>1206</v>
      </c>
    </row>
    <row r="80" spans="2:17">
      <c r="B80" s="5" t="s">
        <v>947</v>
      </c>
    </row>
    <row r="81" spans="2:17">
      <c r="B81" s="358" t="s">
        <v>1200</v>
      </c>
      <c r="D81" s="361" t="s">
        <v>1207</v>
      </c>
    </row>
    <row r="82" spans="2:17">
      <c r="B82" s="358" t="s">
        <v>1201</v>
      </c>
      <c r="E82" s="361" t="s">
        <v>1206</v>
      </c>
    </row>
    <row r="84" spans="2:17">
      <c r="B84" s="25" t="s">
        <v>1257</v>
      </c>
      <c r="C84" s="24"/>
      <c r="D84" s="24"/>
      <c r="E84" s="24"/>
      <c r="F84" s="24"/>
      <c r="G84" s="24"/>
      <c r="H84" s="24"/>
      <c r="I84" s="24"/>
      <c r="J84" s="24"/>
      <c r="K84" s="24"/>
      <c r="L84" s="24"/>
      <c r="M84" s="24"/>
      <c r="N84" s="24"/>
      <c r="O84" s="24"/>
      <c r="P84" s="24"/>
      <c r="Q84" s="24"/>
    </row>
    <row r="86" spans="2:17">
      <c r="C86" s="3" t="s">
        <v>1208</v>
      </c>
      <c r="D86" s="3" t="s">
        <v>1209</v>
      </c>
    </row>
    <row r="87" spans="2:17">
      <c r="B87" s="3" t="s">
        <v>1210</v>
      </c>
      <c r="C87" s="3" t="s">
        <v>1212</v>
      </c>
      <c r="D87" s="3" t="s">
        <v>1213</v>
      </c>
    </row>
    <row r="88" spans="2:17">
      <c r="B88" s="3" t="s">
        <v>1211</v>
      </c>
      <c r="C88" s="3" t="s">
        <v>1215</v>
      </c>
      <c r="D88" s="3" t="s">
        <v>1216</v>
      </c>
    </row>
    <row r="89" spans="2:17">
      <c r="C89" s="3" t="s">
        <v>1214</v>
      </c>
      <c r="D89" s="3" t="s">
        <v>1217</v>
      </c>
    </row>
    <row r="90" spans="2:17">
      <c r="B90" s="3" t="s">
        <v>1218</v>
      </c>
      <c r="C90" s="3" t="s">
        <v>1219</v>
      </c>
      <c r="D90" s="3" t="s">
        <v>1221</v>
      </c>
    </row>
    <row r="91" spans="2:17">
      <c r="C91" s="3" t="s">
        <v>1220</v>
      </c>
      <c r="D91" s="3" t="s">
        <v>1222</v>
      </c>
    </row>
    <row r="93" spans="2:17">
      <c r="B93" s="25" t="s">
        <v>1258</v>
      </c>
      <c r="C93" s="24"/>
      <c r="D93" s="24"/>
      <c r="E93" s="24"/>
      <c r="F93" s="24"/>
      <c r="G93" s="24"/>
      <c r="H93" s="24"/>
      <c r="I93" s="24"/>
      <c r="J93" s="24"/>
      <c r="K93" s="24"/>
      <c r="L93" s="24"/>
      <c r="M93" s="24"/>
      <c r="N93" s="24"/>
      <c r="O93" s="24"/>
      <c r="P93" s="24"/>
      <c r="Q93" s="24"/>
    </row>
    <row r="94" spans="2:17">
      <c r="B94" s="3" t="s">
        <v>1223</v>
      </c>
      <c r="C94" s="3" t="s">
        <v>1224</v>
      </c>
      <c r="D94" s="3" t="s">
        <v>1225</v>
      </c>
    </row>
    <row r="95" spans="2:17">
      <c r="B95" s="3" t="s">
        <v>1226</v>
      </c>
      <c r="C95" s="3" t="s">
        <v>1227</v>
      </c>
      <c r="D95" s="3" t="s">
        <v>1228</v>
      </c>
    </row>
    <row r="96" spans="2:17">
      <c r="B96" s="3" t="s">
        <v>1229</v>
      </c>
      <c r="C96" s="3" t="s">
        <v>1230</v>
      </c>
      <c r="D96" s="3" t="s">
        <v>1231</v>
      </c>
    </row>
    <row r="97" spans="2:17">
      <c r="B97" s="3" t="s">
        <v>1232</v>
      </c>
      <c r="C97" s="3" t="s">
        <v>1233</v>
      </c>
      <c r="D97" s="3" t="s">
        <v>1234</v>
      </c>
    </row>
    <row r="99" spans="2:17">
      <c r="B99" s="357"/>
    </row>
    <row r="100" spans="2:17">
      <c r="B100" s="357">
        <v>2017</v>
      </c>
      <c r="C100" s="3">
        <v>30</v>
      </c>
    </row>
    <row r="101" spans="2:17">
      <c r="B101" s="357">
        <v>2021</v>
      </c>
      <c r="C101" s="3">
        <v>14</v>
      </c>
    </row>
    <row r="102" spans="2:17">
      <c r="B102" s="357">
        <v>2025</v>
      </c>
      <c r="C102" s="3">
        <v>5</v>
      </c>
    </row>
    <row r="103" spans="2:17">
      <c r="B103" s="357" t="s">
        <v>1269</v>
      </c>
      <c r="C103" s="3">
        <v>3</v>
      </c>
    </row>
    <row r="108" spans="2:17">
      <c r="B108" s="25" t="s">
        <v>1259</v>
      </c>
      <c r="C108" s="24"/>
      <c r="D108" s="24"/>
      <c r="E108" s="24"/>
      <c r="F108" s="24"/>
      <c r="G108" s="24"/>
      <c r="H108" s="24"/>
      <c r="I108" s="24"/>
      <c r="J108" s="24"/>
      <c r="K108" s="24"/>
      <c r="L108" s="24"/>
      <c r="M108" s="24"/>
      <c r="N108" s="24"/>
      <c r="O108" s="24"/>
      <c r="P108" s="24"/>
      <c r="Q108" s="24"/>
    </row>
    <row r="109" spans="2:17">
      <c r="B109" s="3" t="s">
        <v>76</v>
      </c>
      <c r="C109" s="3" t="s">
        <v>1235</v>
      </c>
      <c r="D109" s="3" t="s">
        <v>1236</v>
      </c>
    </row>
    <row r="110" spans="2:17">
      <c r="B110" s="3" t="s">
        <v>1237</v>
      </c>
      <c r="C110" s="3" t="s">
        <v>1238</v>
      </c>
      <c r="D110" s="3" t="s">
        <v>1239</v>
      </c>
    </row>
    <row r="111" spans="2:17">
      <c r="B111" s="3" t="s">
        <v>1240</v>
      </c>
      <c r="C111" s="3" t="s">
        <v>1241</v>
      </c>
      <c r="D111" s="3" t="s">
        <v>1256</v>
      </c>
    </row>
    <row r="112" spans="2:17">
      <c r="B112" s="3" t="s">
        <v>1242</v>
      </c>
      <c r="C112" s="3" t="s">
        <v>1243</v>
      </c>
      <c r="D112" s="3" t="s">
        <v>1249</v>
      </c>
    </row>
    <row r="113" spans="2:17">
      <c r="B113" s="3" t="s">
        <v>1244</v>
      </c>
      <c r="C113" s="3" t="s">
        <v>1250</v>
      </c>
      <c r="D113" s="3" t="s">
        <v>1251</v>
      </c>
    </row>
    <row r="114" spans="2:17">
      <c r="C114" s="3" t="s">
        <v>1245</v>
      </c>
      <c r="D114" s="3" t="s">
        <v>1246</v>
      </c>
    </row>
    <row r="116" spans="2:17">
      <c r="B116" s="3" t="s">
        <v>1247</v>
      </c>
      <c r="C116" s="3" t="s">
        <v>1252</v>
      </c>
      <c r="D116" s="3" t="s">
        <v>1253</v>
      </c>
    </row>
    <row r="117" spans="2:17">
      <c r="B117" s="3" t="s">
        <v>1248</v>
      </c>
      <c r="C117" s="3" t="s">
        <v>1254</v>
      </c>
      <c r="D117" s="3" t="s">
        <v>1255</v>
      </c>
    </row>
    <row r="119" spans="2:17">
      <c r="B119" s="25" t="s">
        <v>1259</v>
      </c>
      <c r="C119" s="24"/>
      <c r="D119" s="24"/>
      <c r="E119" s="24"/>
      <c r="F119" s="24"/>
      <c r="G119" s="24"/>
      <c r="H119" s="24"/>
      <c r="I119" s="24"/>
      <c r="J119" s="24"/>
      <c r="K119" s="24"/>
      <c r="L119" s="24"/>
      <c r="M119" s="24"/>
      <c r="N119" s="24"/>
      <c r="O119" s="24"/>
      <c r="P119" s="24"/>
      <c r="Q119" s="24"/>
    </row>
    <row r="120" spans="2:17">
      <c r="C120" s="3" t="s">
        <v>1268</v>
      </c>
    </row>
    <row r="121" spans="2:17">
      <c r="B121" s="3" t="s">
        <v>1260</v>
      </c>
      <c r="C121" s="3" t="s">
        <v>1263</v>
      </c>
    </row>
    <row r="122" spans="2:17">
      <c r="C122" s="3" t="s">
        <v>1262</v>
      </c>
    </row>
    <row r="123" spans="2:17">
      <c r="B123" s="3" t="s">
        <v>1261</v>
      </c>
      <c r="C123" s="3" t="s">
        <v>1264</v>
      </c>
    </row>
    <row r="124" spans="2:17">
      <c r="C124" s="3" t="s">
        <v>1265</v>
      </c>
    </row>
    <row r="125" spans="2:17">
      <c r="B125" s="3" t="s">
        <v>32</v>
      </c>
      <c r="C125" s="3" t="s">
        <v>1266</v>
      </c>
    </row>
    <row r="126" spans="2:17">
      <c r="C126" s="3" t="s">
        <v>1267</v>
      </c>
    </row>
    <row r="128" spans="2:17">
      <c r="B128" s="25" t="s">
        <v>1270</v>
      </c>
      <c r="C128" s="24"/>
      <c r="D128" s="24"/>
      <c r="E128" s="24"/>
      <c r="F128" s="24"/>
      <c r="G128" s="24"/>
      <c r="H128" s="24"/>
      <c r="I128" s="24"/>
      <c r="J128" s="24"/>
      <c r="K128" s="24"/>
      <c r="L128" s="24"/>
      <c r="M128" s="24"/>
      <c r="N128" s="24"/>
      <c r="O128" s="24"/>
      <c r="P128" s="24"/>
      <c r="Q128" s="24"/>
    </row>
    <row r="130" spans="2:17">
      <c r="B130" s="3" t="s">
        <v>1271</v>
      </c>
      <c r="C130" s="3" t="s">
        <v>1272</v>
      </c>
    </row>
    <row r="131" spans="2:17">
      <c r="C131" s="3" t="s">
        <v>1273</v>
      </c>
    </row>
    <row r="132" spans="2:17">
      <c r="B132" s="3" t="s">
        <v>1274</v>
      </c>
      <c r="C132" s="3" t="s">
        <v>1275</v>
      </c>
    </row>
    <row r="133" spans="2:17">
      <c r="C133" s="3" t="s">
        <v>1276</v>
      </c>
    </row>
    <row r="134" spans="2:17">
      <c r="B134" s="3" t="s">
        <v>1277</v>
      </c>
      <c r="C134" s="3" t="s">
        <v>1278</v>
      </c>
    </row>
    <row r="135" spans="2:17">
      <c r="C135" s="3" t="s">
        <v>1279</v>
      </c>
    </row>
    <row r="136" spans="2:17">
      <c r="B136" s="3" t="s">
        <v>1280</v>
      </c>
      <c r="C136" s="3" t="s">
        <v>1281</v>
      </c>
    </row>
    <row r="138" spans="2:17">
      <c r="B138" s="25" t="s">
        <v>1282</v>
      </c>
      <c r="C138" s="24"/>
      <c r="D138" s="24"/>
      <c r="E138" s="24"/>
      <c r="F138" s="24"/>
      <c r="G138" s="24"/>
      <c r="H138" s="24"/>
      <c r="I138" s="24"/>
      <c r="J138" s="24"/>
      <c r="K138" s="24"/>
      <c r="L138" s="24"/>
      <c r="M138" s="24"/>
      <c r="N138" s="24"/>
      <c r="O138" s="24"/>
      <c r="P138" s="24"/>
      <c r="Q138" s="24"/>
    </row>
    <row r="140" spans="2:17">
      <c r="B140" s="357">
        <v>2017</v>
      </c>
      <c r="C140" s="3">
        <v>12</v>
      </c>
    </row>
    <row r="141" spans="2:17">
      <c r="B141" s="357">
        <v>2021</v>
      </c>
      <c r="C141" s="3">
        <v>27</v>
      </c>
    </row>
    <row r="142" spans="2:17">
      <c r="B142" s="357">
        <v>2025</v>
      </c>
      <c r="C142" s="3">
        <v>54</v>
      </c>
    </row>
    <row r="143" spans="2:17">
      <c r="B143" s="357">
        <v>2030</v>
      </c>
      <c r="C143" s="3">
        <v>108</v>
      </c>
    </row>
    <row r="153" spans="2:17">
      <c r="B153" s="25" t="s">
        <v>1283</v>
      </c>
      <c r="C153" s="24"/>
      <c r="D153" s="24"/>
      <c r="E153" s="24"/>
      <c r="F153" s="24"/>
      <c r="G153" s="24"/>
      <c r="H153" s="24"/>
      <c r="I153" s="24"/>
      <c r="J153" s="24"/>
      <c r="K153" s="24"/>
      <c r="L153" s="24"/>
      <c r="M153" s="24"/>
      <c r="N153" s="24"/>
      <c r="O153" s="24"/>
      <c r="P153" s="24"/>
      <c r="Q153" s="24"/>
    </row>
    <row r="154" spans="2:17">
      <c r="C154" s="3" t="s">
        <v>1284</v>
      </c>
      <c r="D154" s="3" t="s">
        <v>1285</v>
      </c>
    </row>
    <row r="155" spans="2:17">
      <c r="B155" s="3" t="s">
        <v>1286</v>
      </c>
      <c r="C155" s="3" t="s">
        <v>1294</v>
      </c>
      <c r="D155" s="3" t="s">
        <v>1295</v>
      </c>
    </row>
    <row r="156" spans="2:17">
      <c r="B156" s="3" t="s">
        <v>1287</v>
      </c>
      <c r="C156" s="3" t="s">
        <v>1298</v>
      </c>
      <c r="D156" s="3" t="s">
        <v>1299</v>
      </c>
    </row>
    <row r="157" spans="2:17">
      <c r="B157" s="3" t="s">
        <v>1288</v>
      </c>
      <c r="C157" s="3" t="s">
        <v>1296</v>
      </c>
      <c r="D157" s="3" t="s">
        <v>1297</v>
      </c>
    </row>
    <row r="158" spans="2:17">
      <c r="B158" s="3" t="s">
        <v>1289</v>
      </c>
      <c r="C158" s="3" t="s">
        <v>1290</v>
      </c>
      <c r="D158" s="3" t="s">
        <v>1300</v>
      </c>
    </row>
    <row r="159" spans="2:17">
      <c r="B159" s="3" t="s">
        <v>1291</v>
      </c>
      <c r="C159" s="3" t="s">
        <v>1292</v>
      </c>
      <c r="D159" s="3" t="s">
        <v>1293</v>
      </c>
    </row>
    <row r="161" spans="2:17">
      <c r="B161" s="25" t="s">
        <v>1301</v>
      </c>
      <c r="C161" s="24"/>
      <c r="D161" s="24"/>
      <c r="E161" s="24"/>
      <c r="F161" s="24"/>
      <c r="G161" s="24"/>
      <c r="H161" s="24"/>
      <c r="I161" s="24"/>
      <c r="J161" s="24"/>
      <c r="K161" s="24"/>
      <c r="L161" s="24"/>
      <c r="M161" s="24"/>
      <c r="N161" s="24"/>
      <c r="O161" s="24"/>
      <c r="P161" s="24"/>
      <c r="Q161" s="24"/>
    </row>
    <row r="162" spans="2:17">
      <c r="B162" s="63" t="s">
        <v>162</v>
      </c>
      <c r="C162" s="31" t="s">
        <v>161</v>
      </c>
      <c r="D162" s="32">
        <v>2834640</v>
      </c>
      <c r="E162" s="33">
        <v>0.34300000000000003</v>
      </c>
      <c r="F162" s="32">
        <v>2834640</v>
      </c>
      <c r="G162" s="33">
        <v>0.30599999999999999</v>
      </c>
    </row>
    <row r="163" spans="2:17">
      <c r="B163" s="399" t="s">
        <v>166</v>
      </c>
      <c r="C163" s="401" t="s">
        <v>167</v>
      </c>
      <c r="D163" s="395">
        <v>1312500</v>
      </c>
      <c r="E163" s="397">
        <v>0.159</v>
      </c>
      <c r="F163" s="395">
        <v>1312500</v>
      </c>
      <c r="G163" s="397">
        <v>0.14099999999999999</v>
      </c>
    </row>
    <row r="164" spans="2:17">
      <c r="B164" s="400"/>
      <c r="C164" s="402"/>
      <c r="D164" s="396"/>
      <c r="E164" s="398"/>
      <c r="F164" s="396"/>
      <c r="G164" s="398"/>
    </row>
    <row r="165" spans="2:17">
      <c r="B165" s="69" t="s">
        <v>171</v>
      </c>
      <c r="C165" s="70" t="s">
        <v>167</v>
      </c>
      <c r="D165" s="71">
        <v>727410</v>
      </c>
      <c r="E165" s="72">
        <v>8.7999999999999995E-2</v>
      </c>
      <c r="F165" s="71">
        <v>727410</v>
      </c>
      <c r="G165" s="72">
        <v>7.8E-2</v>
      </c>
    </row>
    <row r="166" spans="2:17">
      <c r="B166" s="69" t="s">
        <v>173</v>
      </c>
      <c r="C166" s="70" t="s">
        <v>174</v>
      </c>
      <c r="D166" s="71">
        <v>666660</v>
      </c>
      <c r="E166" s="72">
        <v>8.1000000000000003E-2</v>
      </c>
      <c r="F166" s="71">
        <v>666660</v>
      </c>
      <c r="G166" s="72">
        <v>7.1999999999999995E-2</v>
      </c>
    </row>
    <row r="167" spans="2:17">
      <c r="B167" s="63" t="s">
        <v>175</v>
      </c>
      <c r="C167" s="31" t="s">
        <v>174</v>
      </c>
      <c r="D167" s="32">
        <v>519230</v>
      </c>
      <c r="E167" s="33">
        <v>6.3E-2</v>
      </c>
      <c r="F167" s="32">
        <v>519230</v>
      </c>
      <c r="G167" s="33">
        <v>5.6000000000000001E-2</v>
      </c>
    </row>
    <row r="168" spans="2:17">
      <c r="B168" s="362" t="s">
        <v>1303</v>
      </c>
      <c r="C168" s="28"/>
      <c r="D168" s="363"/>
      <c r="E168" s="364"/>
      <c r="F168" s="363"/>
      <c r="G168" s="364">
        <f>+SUM(G163:G167)</f>
        <v>0.34699999999999998</v>
      </c>
    </row>
    <row r="169" spans="2:17">
      <c r="B169" s="3" t="s">
        <v>1302</v>
      </c>
      <c r="G169" s="10">
        <f>1-SUM(G162:G167)</f>
        <v>0.34700000000000009</v>
      </c>
    </row>
    <row r="184" spans="2:17">
      <c r="B184" s="25" t="s">
        <v>1304</v>
      </c>
      <c r="C184" s="24"/>
      <c r="D184" s="24"/>
      <c r="E184" s="24"/>
      <c r="F184" s="24"/>
      <c r="G184" s="24"/>
      <c r="H184" s="24"/>
      <c r="I184" s="24"/>
      <c r="J184" s="24"/>
      <c r="K184" s="24"/>
      <c r="L184" s="24"/>
      <c r="M184" s="24"/>
      <c r="N184" s="24"/>
      <c r="O184" s="24"/>
      <c r="P184" s="24"/>
      <c r="Q184" s="24"/>
    </row>
    <row r="185" spans="2:17">
      <c r="C185" s="357">
        <v>2024</v>
      </c>
      <c r="D185" s="357">
        <v>2023</v>
      </c>
      <c r="E185" s="357">
        <v>2022</v>
      </c>
      <c r="G185" s="3">
        <v>2024</v>
      </c>
      <c r="I185" s="3">
        <v>2023</v>
      </c>
      <c r="K185" s="3">
        <v>2022</v>
      </c>
    </row>
    <row r="186" spans="2:17">
      <c r="B186" s="3" t="s">
        <v>1305</v>
      </c>
      <c r="C186" s="10">
        <v>0.97699999999999998</v>
      </c>
      <c r="D186" s="10">
        <v>0.91500000000000004</v>
      </c>
      <c r="E186" s="10">
        <v>0.55500000000000005</v>
      </c>
      <c r="F186" s="10"/>
      <c r="G186" s="365">
        <v>97.7</v>
      </c>
      <c r="H186" s="3">
        <v>62238</v>
      </c>
      <c r="I186" s="365">
        <v>91.5</v>
      </c>
      <c r="J186" s="3">
        <v>10084</v>
      </c>
      <c r="K186" s="365">
        <v>55.5</v>
      </c>
    </row>
    <row r="187" spans="2:17">
      <c r="B187" s="3" t="s">
        <v>1306</v>
      </c>
      <c r="C187" s="10">
        <v>3.0000000000000001E-3</v>
      </c>
      <c r="D187" s="10">
        <v>1E-3</v>
      </c>
      <c r="E187" s="10">
        <v>6.0000000000000001E-3</v>
      </c>
      <c r="F187" s="10"/>
      <c r="G187" s="365">
        <v>0.3</v>
      </c>
      <c r="H187" s="3">
        <v>77</v>
      </c>
      <c r="I187" s="365">
        <v>0.1</v>
      </c>
      <c r="J187" s="3">
        <v>104</v>
      </c>
      <c r="K187" s="365">
        <v>0.6</v>
      </c>
    </row>
    <row r="188" spans="2:17">
      <c r="B188" s="3" t="s">
        <v>1307</v>
      </c>
      <c r="C188" s="10">
        <v>1E-3</v>
      </c>
      <c r="D188" s="10">
        <v>3.0000000000000001E-3</v>
      </c>
      <c r="E188" s="10">
        <v>1.7000000000000001E-2</v>
      </c>
      <c r="F188" s="10"/>
      <c r="G188" s="365">
        <v>0.1</v>
      </c>
      <c r="H188" s="3">
        <v>182</v>
      </c>
      <c r="I188" s="365">
        <v>0.3</v>
      </c>
      <c r="J188" s="3">
        <v>308</v>
      </c>
      <c r="K188" s="365">
        <v>1.7</v>
      </c>
    </row>
    <row r="189" spans="2:17">
      <c r="B189" s="3" t="s">
        <v>69</v>
      </c>
      <c r="C189" s="10">
        <v>1.9E-2</v>
      </c>
      <c r="D189" s="10">
        <v>8.1000000000000003E-2</v>
      </c>
      <c r="E189" s="10">
        <v>0.42199999999999999</v>
      </c>
      <c r="F189" s="10"/>
    </row>
    <row r="207" spans="2:17">
      <c r="B207" s="25" t="s">
        <v>1308</v>
      </c>
      <c r="C207" s="24"/>
      <c r="D207" s="24"/>
      <c r="E207" s="24"/>
      <c r="F207" s="24"/>
      <c r="G207" s="24"/>
      <c r="H207" s="24"/>
      <c r="I207" s="24"/>
      <c r="J207" s="24"/>
      <c r="K207" s="24"/>
      <c r="L207" s="24"/>
      <c r="M207" s="24"/>
      <c r="N207" s="24"/>
      <c r="O207" s="24"/>
      <c r="P207" s="24"/>
      <c r="Q207" s="24"/>
    </row>
    <row r="209" spans="2:17">
      <c r="C209" s="1">
        <v>2022</v>
      </c>
      <c r="D209" s="1">
        <v>2023</v>
      </c>
      <c r="E209" s="1">
        <v>2024</v>
      </c>
    </row>
    <row r="210" spans="2:17">
      <c r="B210" s="3" t="s">
        <v>1309</v>
      </c>
      <c r="C210" s="3">
        <f>+DCF!H14*10</f>
        <v>186.35704282999998</v>
      </c>
      <c r="D210" s="3">
        <f>+DCF!I14*10</f>
        <v>701.96780896000007</v>
      </c>
      <c r="E210" s="3">
        <f>+DCF!J14*10</f>
        <v>1086.6591333599999</v>
      </c>
    </row>
    <row r="211" spans="2:17">
      <c r="B211" s="3" t="s">
        <v>1310</v>
      </c>
      <c r="C211" s="3">
        <f>+DCF!H16*10</f>
        <v>25.4797288</v>
      </c>
      <c r="D211" s="3">
        <f>+DCF!I16*10</f>
        <v>28.750609439999998</v>
      </c>
      <c r="E211" s="3">
        <f>+DCF!J16*10</f>
        <v>236.39028765</v>
      </c>
    </row>
    <row r="212" spans="2:17">
      <c r="B212" s="3" t="s">
        <v>1311</v>
      </c>
      <c r="C212" s="10">
        <f>+C211/C210</f>
        <v>0.13672533333362297</v>
      </c>
      <c r="D212" s="10">
        <f>+D211/D210</f>
        <v>4.0957162241663819E-2</v>
      </c>
      <c r="E212" s="10">
        <f>+E211/E210</f>
        <v>0.21753858260876194</v>
      </c>
    </row>
    <row r="214" spans="2:17">
      <c r="B214" s="25" t="s">
        <v>1312</v>
      </c>
      <c r="C214" s="24"/>
      <c r="D214" s="24"/>
      <c r="E214" s="24"/>
      <c r="F214" s="24"/>
      <c r="G214" s="24"/>
      <c r="H214" s="24"/>
      <c r="I214" s="24"/>
      <c r="J214" s="24"/>
      <c r="K214" s="24"/>
      <c r="L214" s="24"/>
      <c r="M214" s="24"/>
      <c r="N214" s="24"/>
      <c r="O214" s="24"/>
      <c r="P214" s="24"/>
      <c r="Q214" s="24"/>
    </row>
    <row r="216" spans="2:17">
      <c r="C216" s="1">
        <v>2022</v>
      </c>
      <c r="D216" s="1">
        <v>2023</v>
      </c>
      <c r="E216" s="1">
        <v>2024</v>
      </c>
    </row>
    <row r="217" spans="2:17">
      <c r="B217" s="3" t="s">
        <v>1313</v>
      </c>
      <c r="C217" s="365">
        <f>+Model!H67*10</f>
        <v>-144.80525696999999</v>
      </c>
      <c r="D217" s="365">
        <f>+Model!I67*10</f>
        <v>12.495600899999999</v>
      </c>
      <c r="E217" s="365">
        <f>+Model!J67*10</f>
        <v>354.90332211999998</v>
      </c>
    </row>
    <row r="218" spans="2:17">
      <c r="B218" s="3" t="s">
        <v>1314</v>
      </c>
      <c r="C218" s="365">
        <f>+Model!H74*10</f>
        <v>-323.57965059999998</v>
      </c>
      <c r="D218" s="365">
        <f>+Model!I74*10</f>
        <v>-316.72732919000003</v>
      </c>
      <c r="E218" s="365">
        <f>+Model!J74*10</f>
        <v>-267.44587619999999</v>
      </c>
    </row>
    <row r="219" spans="2:17">
      <c r="B219" s="3" t="s">
        <v>1315</v>
      </c>
      <c r="C219" s="365">
        <f>+Model!H79*10</f>
        <v>623.00096228000007</v>
      </c>
      <c r="D219" s="365">
        <f>+Model!I79*10</f>
        <v>251.28755343</v>
      </c>
      <c r="E219" s="365">
        <f>+Model!J79*10</f>
        <v>-72.617586090000003</v>
      </c>
    </row>
    <row r="235" spans="2:17">
      <c r="B235" s="25" t="s">
        <v>1316</v>
      </c>
      <c r="C235" s="24"/>
      <c r="D235" s="24"/>
      <c r="E235" s="24"/>
      <c r="F235" s="24"/>
      <c r="G235" s="24"/>
      <c r="H235" s="24"/>
      <c r="I235" s="24"/>
      <c r="J235" s="24"/>
      <c r="K235" s="24"/>
      <c r="L235" s="24"/>
      <c r="M235" s="24"/>
      <c r="N235" s="24"/>
      <c r="O235" s="24"/>
      <c r="P235" s="24"/>
      <c r="Q235" s="24"/>
    </row>
    <row r="237" spans="2:17">
      <c r="C237" s="357">
        <v>2025</v>
      </c>
      <c r="D237" s="357">
        <v>2026</v>
      </c>
    </row>
    <row r="238" spans="2:17">
      <c r="C238" s="3">
        <v>50</v>
      </c>
      <c r="D238" s="3">
        <v>100</v>
      </c>
    </row>
    <row r="253" spans="2:17">
      <c r="B253" s="25" t="s">
        <v>1317</v>
      </c>
      <c r="C253" s="24"/>
      <c r="D253" s="24"/>
      <c r="E253" s="24"/>
      <c r="F253" s="24"/>
      <c r="G253" s="24"/>
      <c r="H253" s="24"/>
      <c r="I253" s="24"/>
      <c r="J253" s="24"/>
      <c r="K253" s="24"/>
      <c r="L253" s="24"/>
      <c r="M253" s="24"/>
      <c r="N253" s="24"/>
      <c r="O253" s="24"/>
      <c r="P253" s="24"/>
      <c r="Q253" s="24"/>
    </row>
    <row r="255" spans="2:17">
      <c r="B255" s="51" t="s">
        <v>1318</v>
      </c>
      <c r="C255"/>
      <c r="D255"/>
      <c r="E255"/>
      <c r="F255"/>
    </row>
    <row r="256" spans="2:17">
      <c r="B256" s="123" t="s">
        <v>1319</v>
      </c>
      <c r="C256" s="366">
        <v>2023</v>
      </c>
      <c r="D256" s="366">
        <v>2024</v>
      </c>
      <c r="E256" s="366">
        <v>2025</v>
      </c>
      <c r="F256" s="367" t="s">
        <v>1320</v>
      </c>
    </row>
    <row r="257" spans="2:6" ht="28">
      <c r="B257" s="368" t="s">
        <v>1321</v>
      </c>
      <c r="C257" s="119">
        <v>4.03</v>
      </c>
      <c r="D257" s="34">
        <v>5.05</v>
      </c>
      <c r="E257" s="34">
        <v>5.44</v>
      </c>
      <c r="F257" s="58">
        <v>6.25</v>
      </c>
    </row>
    <row r="258" spans="2:6">
      <c r="B258" s="368" t="s">
        <v>1322</v>
      </c>
      <c r="C258" s="119">
        <v>6.27</v>
      </c>
      <c r="D258" s="34">
        <v>7.54</v>
      </c>
      <c r="E258" s="34">
        <v>9.3000000000000007</v>
      </c>
      <c r="F258" s="58">
        <v>9.77</v>
      </c>
    </row>
    <row r="259" spans="2:6">
      <c r="B259" s="368" t="s">
        <v>1323</v>
      </c>
      <c r="C259" s="119">
        <v>95.61</v>
      </c>
      <c r="D259" s="34">
        <v>104.27</v>
      </c>
      <c r="E259" s="34">
        <v>110.77</v>
      </c>
      <c r="F259" s="58">
        <v>122.1</v>
      </c>
    </row>
    <row r="260" spans="2:6">
      <c r="B260" s="369" t="s">
        <v>1324</v>
      </c>
      <c r="C260" s="59">
        <v>105.91</v>
      </c>
      <c r="D260" s="59">
        <v>116.86</v>
      </c>
      <c r="E260" s="59">
        <v>125.51</v>
      </c>
      <c r="F260" s="60">
        <v>138.12</v>
      </c>
    </row>
    <row r="277" spans="2:17">
      <c r="B277" s="25" t="s">
        <v>1325</v>
      </c>
      <c r="C277" s="24"/>
      <c r="D277" s="24"/>
      <c r="E277" s="24"/>
      <c r="F277" s="24"/>
      <c r="G277" s="24"/>
      <c r="H277" s="24"/>
      <c r="I277" s="24"/>
      <c r="J277" s="24"/>
      <c r="K277" s="24"/>
      <c r="L277" s="24"/>
      <c r="M277" s="24"/>
      <c r="N277" s="24"/>
      <c r="O277" s="24"/>
      <c r="P277" s="24"/>
      <c r="Q277" s="24"/>
    </row>
    <row r="279" spans="2:17">
      <c r="B279" s="45" t="s">
        <v>1326</v>
      </c>
      <c r="C279" s="46">
        <v>2024</v>
      </c>
      <c r="D279" s="46">
        <v>2025</v>
      </c>
      <c r="E279" s="46">
        <v>2026</v>
      </c>
      <c r="F279" s="46">
        <v>2027</v>
      </c>
      <c r="G279" s="46">
        <v>2028</v>
      </c>
      <c r="H279" s="46">
        <v>2029</v>
      </c>
      <c r="I279" s="46">
        <v>2030</v>
      </c>
      <c r="J279" s="47">
        <v>2031</v>
      </c>
    </row>
    <row r="280" spans="2:17">
      <c r="B280" s="52" t="s">
        <v>1327</v>
      </c>
      <c r="C280" s="370">
        <v>1727.6</v>
      </c>
      <c r="D280" s="370">
        <v>1819.3</v>
      </c>
      <c r="E280" s="370">
        <v>1936.2</v>
      </c>
      <c r="F280" s="370">
        <v>1989.2</v>
      </c>
      <c r="G280" s="370">
        <v>2130.1999999999998</v>
      </c>
      <c r="H280" s="370">
        <v>2421</v>
      </c>
      <c r="I280" s="370">
        <v>2625.7</v>
      </c>
      <c r="J280" s="371">
        <v>2771.3</v>
      </c>
    </row>
    <row r="281" spans="2:17">
      <c r="B281" s="53" t="s">
        <v>1328</v>
      </c>
      <c r="C281" s="40">
        <v>7.1999999999999995E-2</v>
      </c>
      <c r="D281" s="40">
        <v>5.2999999999999999E-2</v>
      </c>
      <c r="E281" s="40">
        <v>6.4000000000000001E-2</v>
      </c>
      <c r="F281" s="40">
        <v>2.7E-2</v>
      </c>
      <c r="G281" s="40">
        <v>7.0999999999999994E-2</v>
      </c>
      <c r="H281" s="40">
        <v>0.13700000000000001</v>
      </c>
      <c r="I281" s="40">
        <v>8.5000000000000006E-2</v>
      </c>
      <c r="J281" s="41">
        <v>5.5E-2</v>
      </c>
    </row>
    <row r="292" spans="2:17">
      <c r="B292" s="25" t="s">
        <v>1343</v>
      </c>
      <c r="C292" s="24"/>
      <c r="D292" s="24"/>
      <c r="E292" s="24"/>
      <c r="F292" s="24"/>
      <c r="G292" s="24"/>
      <c r="H292" s="24"/>
      <c r="I292" s="24"/>
      <c r="J292" s="24"/>
      <c r="K292" s="24"/>
      <c r="L292" s="24"/>
      <c r="M292" s="24"/>
      <c r="N292" s="24"/>
      <c r="O292" s="24"/>
      <c r="P292" s="24"/>
      <c r="Q292" s="24"/>
    </row>
    <row r="294" spans="2:17">
      <c r="B294" s="3" t="s">
        <v>1260</v>
      </c>
      <c r="C294" s="377">
        <v>0.78</v>
      </c>
    </row>
    <row r="295" spans="2:17">
      <c r="B295" s="3" t="s">
        <v>32</v>
      </c>
      <c r="C295" s="377">
        <v>0.22</v>
      </c>
    </row>
    <row r="307" spans="2:17">
      <c r="C307" s="357">
        <v>2022</v>
      </c>
      <c r="D307" s="357">
        <v>2023</v>
      </c>
      <c r="E307" s="357">
        <v>2024</v>
      </c>
      <c r="F307" s="357">
        <f t="shared" ref="F307:K307" si="3">+E307+1</f>
        <v>2025</v>
      </c>
      <c r="G307" s="357">
        <f t="shared" si="3"/>
        <v>2026</v>
      </c>
      <c r="H307" s="357">
        <f t="shared" si="3"/>
        <v>2027</v>
      </c>
      <c r="I307" s="357">
        <f t="shared" si="3"/>
        <v>2028</v>
      </c>
      <c r="J307" s="357">
        <f t="shared" si="3"/>
        <v>2029</v>
      </c>
      <c r="K307" s="357">
        <f t="shared" si="3"/>
        <v>2030</v>
      </c>
    </row>
    <row r="308" spans="2:17">
      <c r="C308" s="382">
        <v>1.52</v>
      </c>
      <c r="D308" s="382">
        <f>+C308*(1+0.238)</f>
        <v>1.8817600000000001</v>
      </c>
      <c r="E308" s="382">
        <f t="shared" ref="E308:K308" si="4">+D308*(1+0.238)</f>
        <v>2.3296188799999999</v>
      </c>
      <c r="F308" s="382">
        <f t="shared" si="4"/>
        <v>2.8840681734399998</v>
      </c>
      <c r="G308" s="382">
        <f t="shared" si="4"/>
        <v>3.5704763987187196</v>
      </c>
      <c r="H308" s="382">
        <f t="shared" si="4"/>
        <v>4.4202497816137747</v>
      </c>
      <c r="I308" s="382">
        <f t="shared" si="4"/>
        <v>5.4722692296378534</v>
      </c>
      <c r="J308" s="382">
        <f t="shared" si="4"/>
        <v>6.7746693062916625</v>
      </c>
      <c r="K308" s="382">
        <f t="shared" si="4"/>
        <v>8.3870406011890779</v>
      </c>
    </row>
    <row r="312" spans="2:17">
      <c r="B312" s="25" t="s">
        <v>1344</v>
      </c>
      <c r="C312" s="24"/>
      <c r="D312" s="24"/>
      <c r="E312" s="24"/>
      <c r="F312" s="24"/>
      <c r="G312" s="24"/>
      <c r="H312" s="24"/>
      <c r="I312" s="24"/>
      <c r="J312" s="24"/>
      <c r="K312" s="24"/>
      <c r="L312" s="24"/>
      <c r="M312" s="24"/>
      <c r="N312" s="24"/>
      <c r="O312" s="24"/>
      <c r="P312" s="24"/>
      <c r="Q312" s="24"/>
    </row>
    <row r="313" spans="2:17">
      <c r="C313" s="357">
        <v>2020</v>
      </c>
      <c r="D313" s="357">
        <f>+C313+1</f>
        <v>2021</v>
      </c>
      <c r="E313" s="357">
        <f t="shared" ref="E313:N313" si="5">+D313+1</f>
        <v>2022</v>
      </c>
      <c r="F313" s="357">
        <f t="shared" si="5"/>
        <v>2023</v>
      </c>
      <c r="G313" s="357">
        <f t="shared" si="5"/>
        <v>2024</v>
      </c>
      <c r="H313" s="357">
        <f t="shared" si="5"/>
        <v>2025</v>
      </c>
      <c r="I313" s="357">
        <f t="shared" si="5"/>
        <v>2026</v>
      </c>
      <c r="J313" s="357">
        <f t="shared" si="5"/>
        <v>2027</v>
      </c>
      <c r="K313" s="357">
        <f t="shared" si="5"/>
        <v>2028</v>
      </c>
      <c r="L313" s="357">
        <f t="shared" si="5"/>
        <v>2029</v>
      </c>
      <c r="M313" s="357">
        <f t="shared" si="5"/>
        <v>2030</v>
      </c>
      <c r="N313" s="357">
        <f t="shared" si="5"/>
        <v>2031</v>
      </c>
    </row>
    <row r="314" spans="2:17">
      <c r="B314" s="3" t="s">
        <v>1345</v>
      </c>
      <c r="C314" s="3">
        <v>885</v>
      </c>
      <c r="D314" s="3">
        <v>1173</v>
      </c>
      <c r="E314" s="3">
        <v>1233</v>
      </c>
      <c r="F314" s="3">
        <v>1095</v>
      </c>
      <c r="G314" s="3">
        <v>1179</v>
      </c>
      <c r="H314" s="3">
        <v>1250</v>
      </c>
      <c r="I314" s="3">
        <v>1333</v>
      </c>
      <c r="J314" s="3">
        <v>1368</v>
      </c>
      <c r="K314" s="3">
        <v>1464</v>
      </c>
      <c r="L314" s="3">
        <v>1663</v>
      </c>
      <c r="M314" s="3">
        <v>1800</v>
      </c>
      <c r="N314" s="3">
        <v>1899</v>
      </c>
    </row>
    <row r="315" spans="2:17">
      <c r="B315" s="3" t="s">
        <v>1346</v>
      </c>
      <c r="C315" s="3">
        <v>360</v>
      </c>
      <c r="D315" s="3">
        <v>481</v>
      </c>
      <c r="E315" s="3">
        <v>527</v>
      </c>
      <c r="F315" s="3">
        <v>517</v>
      </c>
      <c r="G315" s="3">
        <v>549</v>
      </c>
      <c r="H315" s="3">
        <v>569</v>
      </c>
      <c r="I315" s="3">
        <v>603</v>
      </c>
      <c r="J315" s="3">
        <v>621</v>
      </c>
      <c r="K315" s="3">
        <v>666</v>
      </c>
      <c r="L315" s="3">
        <v>758</v>
      </c>
      <c r="M315" s="3">
        <v>825</v>
      </c>
      <c r="N315" s="3">
        <v>872</v>
      </c>
    </row>
  </sheetData>
  <mergeCells count="6">
    <mergeCell ref="F163:F164"/>
    <mergeCell ref="G163:G164"/>
    <mergeCell ref="B163:B164"/>
    <mergeCell ref="C163:C164"/>
    <mergeCell ref="D163:D164"/>
    <mergeCell ref="E163:E164"/>
  </mergeCells>
  <phoneticPr fontId="1"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E432D-E5ED-42AD-A0FA-06E42AC3A72C}">
  <sheetPr>
    <tabColor theme="2" tint="-0.249977111117893"/>
  </sheetPr>
  <dimension ref="A1:N260"/>
  <sheetViews>
    <sheetView zoomScale="64" zoomScaleNormal="130" workbookViewId="0">
      <selection activeCell="E92" sqref="E92"/>
    </sheetView>
  </sheetViews>
  <sheetFormatPr defaultRowHeight="17"/>
  <cols>
    <col min="1" max="1" width="8.6640625" style="1"/>
    <col min="2" max="2" width="38.75" style="1" bestFit="1" customWidth="1"/>
    <col min="3" max="3" width="15.9140625" style="1" bestFit="1" customWidth="1"/>
    <col min="4" max="6" width="14.75" style="1" bestFit="1" customWidth="1"/>
    <col min="7" max="7" width="13.6640625" style="1" bestFit="1" customWidth="1"/>
    <col min="8" max="8" width="8.6640625" style="1"/>
    <col min="9" max="9" width="13.5" style="1" bestFit="1" customWidth="1"/>
    <col min="10" max="10" width="13" style="1" bestFit="1" customWidth="1"/>
    <col min="11" max="11" width="10.5" style="1" bestFit="1" customWidth="1"/>
    <col min="12" max="12" width="13" style="1" bestFit="1" customWidth="1"/>
    <col min="13" max="16384" width="8.6640625" style="1"/>
  </cols>
  <sheetData>
    <row r="1" spans="2:9">
      <c r="B1" s="1" t="s">
        <v>281</v>
      </c>
    </row>
    <row r="2" spans="2:9">
      <c r="B2" s="1" t="s">
        <v>232</v>
      </c>
      <c r="C2" s="1" t="s">
        <v>236</v>
      </c>
      <c r="D2" s="1" t="s">
        <v>60</v>
      </c>
      <c r="E2" s="1" t="s">
        <v>61</v>
      </c>
      <c r="F2" s="1" t="s">
        <v>62</v>
      </c>
    </row>
    <row r="3" spans="2:9">
      <c r="C3" s="1" t="s">
        <v>237</v>
      </c>
      <c r="D3" s="1" t="s">
        <v>235</v>
      </c>
      <c r="E3" s="1" t="s">
        <v>234</v>
      </c>
      <c r="F3" s="1" t="s">
        <v>233</v>
      </c>
    </row>
    <row r="4" spans="2:9">
      <c r="B4" s="1" t="s">
        <v>238</v>
      </c>
    </row>
    <row r="5" spans="2:9" s="114" customFormat="1">
      <c r="B5" s="114" t="s">
        <v>239</v>
      </c>
      <c r="C5" s="115">
        <v>65986780946</v>
      </c>
      <c r="D5" s="115">
        <v>63970786965</v>
      </c>
      <c r="E5" s="115">
        <v>67687584185</v>
      </c>
      <c r="F5" s="115">
        <v>83269124410</v>
      </c>
      <c r="G5" s="115"/>
      <c r="H5" s="115"/>
      <c r="I5" s="115"/>
    </row>
    <row r="6" spans="2:9" s="116" customFormat="1">
      <c r="B6" s="116" t="s">
        <v>240</v>
      </c>
      <c r="C6" s="117">
        <v>28012486271</v>
      </c>
      <c r="D6" s="117">
        <v>22726383499</v>
      </c>
      <c r="E6" s="117">
        <v>24742641689</v>
      </c>
      <c r="F6" s="117">
        <v>27251464400</v>
      </c>
      <c r="G6" s="117"/>
      <c r="H6" s="117"/>
      <c r="I6" s="117"/>
    </row>
    <row r="7" spans="2:9" s="116" customFormat="1">
      <c r="B7" s="116" t="s">
        <v>241</v>
      </c>
      <c r="C7" s="117">
        <v>3473290340</v>
      </c>
      <c r="D7" s="117">
        <v>7867466865</v>
      </c>
      <c r="E7" s="117">
        <v>9342034134</v>
      </c>
      <c r="F7" s="117">
        <v>14423534762</v>
      </c>
      <c r="G7" s="117"/>
      <c r="H7" s="117"/>
      <c r="I7" s="117"/>
    </row>
    <row r="8" spans="2:9" s="116" customFormat="1">
      <c r="B8" s="199" t="s">
        <v>707</v>
      </c>
      <c r="C8" s="117">
        <v>3081758049</v>
      </c>
      <c r="D8" s="117">
        <v>3463709575</v>
      </c>
      <c r="E8" s="117">
        <v>6951444141</v>
      </c>
      <c r="F8" s="117"/>
      <c r="G8" s="117"/>
      <c r="H8" s="117"/>
      <c r="I8" s="117"/>
    </row>
    <row r="9" spans="2:9" s="116" customFormat="1">
      <c r="B9" s="199" t="s">
        <v>708</v>
      </c>
      <c r="C9" s="117">
        <f>+C7-C8</f>
        <v>391532291</v>
      </c>
      <c r="D9" s="117">
        <f>+D7-D8</f>
        <v>4403757290</v>
      </c>
      <c r="E9" s="117">
        <f>+E7-E8</f>
        <v>2390589993</v>
      </c>
      <c r="F9" s="117"/>
      <c r="G9" s="117"/>
      <c r="H9" s="117"/>
      <c r="I9" s="117"/>
    </row>
    <row r="10" spans="2:9">
      <c r="B10" s="1" t="s">
        <v>242</v>
      </c>
      <c r="C10" s="68">
        <v>251664501</v>
      </c>
      <c r="D10" s="68">
        <v>155541213</v>
      </c>
      <c r="E10" s="68">
        <v>281392799</v>
      </c>
      <c r="F10" s="68">
        <v>1127273601</v>
      </c>
      <c r="G10" s="68"/>
      <c r="H10" s="68"/>
      <c r="I10" s="68"/>
    </row>
    <row r="11" spans="2:9">
      <c r="B11" s="1" t="s">
        <v>243</v>
      </c>
      <c r="C11" s="68">
        <v>10000000000</v>
      </c>
      <c r="D11" s="68">
        <v>43229631</v>
      </c>
      <c r="E11" s="68">
        <v>20000000</v>
      </c>
      <c r="F11" s="68">
        <v>49173724</v>
      </c>
      <c r="G11" s="68"/>
      <c r="H11" s="68"/>
      <c r="I11" s="68"/>
    </row>
    <row r="12" spans="2:9" s="116" customFormat="1">
      <c r="B12" s="116" t="s">
        <v>244</v>
      </c>
      <c r="C12" s="117">
        <v>24248690094</v>
      </c>
      <c r="D12" s="117">
        <v>33139257967</v>
      </c>
      <c r="E12" s="117">
        <v>33301515563</v>
      </c>
      <c r="F12" s="117">
        <v>40416654763</v>
      </c>
      <c r="G12" s="117"/>
      <c r="H12" s="117"/>
      <c r="I12" s="117"/>
    </row>
    <row r="13" spans="2:9">
      <c r="B13" s="1" t="s">
        <v>245</v>
      </c>
      <c r="C13" s="68">
        <v>649740</v>
      </c>
      <c r="D13" s="68">
        <v>38907790</v>
      </c>
      <c r="E13" s="1">
        <v>0</v>
      </c>
      <c r="F13" s="68">
        <v>1023160</v>
      </c>
      <c r="G13" s="68"/>
      <c r="I13" s="68"/>
    </row>
    <row r="14" spans="2:9" s="114" customFormat="1">
      <c r="B14" s="114" t="s">
        <v>246</v>
      </c>
      <c r="C14" s="115">
        <v>50104208950</v>
      </c>
      <c r="D14" s="115">
        <v>100596376971</v>
      </c>
      <c r="E14" s="115">
        <v>112669283405</v>
      </c>
      <c r="F14" s="115">
        <v>114014465059</v>
      </c>
      <c r="G14" s="115"/>
      <c r="H14" s="115"/>
      <c r="I14" s="115"/>
    </row>
    <row r="15" spans="2:9">
      <c r="B15" s="1" t="s">
        <v>247</v>
      </c>
      <c r="C15" s="1">
        <v>0</v>
      </c>
      <c r="D15" s="1">
        <v>0</v>
      </c>
      <c r="E15" s="68">
        <v>1968504053</v>
      </c>
      <c r="F15" s="68">
        <v>1561989649</v>
      </c>
      <c r="H15" s="68"/>
      <c r="I15" s="68"/>
    </row>
    <row r="16" spans="2:9">
      <c r="B16" s="1" t="s">
        <v>248</v>
      </c>
      <c r="C16" s="68">
        <v>285672975</v>
      </c>
      <c r="D16" s="68">
        <v>365045929</v>
      </c>
      <c r="E16" s="68">
        <v>462190398</v>
      </c>
      <c r="F16" s="68">
        <v>420394623</v>
      </c>
      <c r="G16" s="68"/>
      <c r="H16" s="68"/>
      <c r="I16" s="68"/>
    </row>
    <row r="17" spans="2:9">
      <c r="B17" s="1" t="s">
        <v>249</v>
      </c>
      <c r="C17" s="1">
        <v>0</v>
      </c>
      <c r="D17" s="68">
        <v>131365192</v>
      </c>
      <c r="E17" s="68">
        <v>106339984</v>
      </c>
      <c r="F17" s="68">
        <v>93930226</v>
      </c>
      <c r="G17" s="68"/>
      <c r="H17" s="68"/>
      <c r="I17" s="68"/>
    </row>
    <row r="18" spans="2:9" s="116" customFormat="1">
      <c r="B18" s="116" t="s">
        <v>250</v>
      </c>
      <c r="C18" s="117">
        <v>45721070283</v>
      </c>
      <c r="D18" s="117">
        <v>91539926204</v>
      </c>
      <c r="E18" s="117">
        <v>100151000731</v>
      </c>
      <c r="F18" s="117">
        <v>101691321233</v>
      </c>
      <c r="G18" s="117"/>
      <c r="H18" s="117"/>
      <c r="I18" s="117"/>
    </row>
    <row r="19" spans="2:9">
      <c r="B19" s="1" t="s">
        <v>251</v>
      </c>
      <c r="C19" s="68">
        <v>184088435</v>
      </c>
      <c r="D19" s="68">
        <v>252162975</v>
      </c>
      <c r="E19" s="68">
        <v>282890571</v>
      </c>
      <c r="F19" s="68">
        <v>498239894</v>
      </c>
      <c r="G19" s="68"/>
      <c r="H19" s="68"/>
      <c r="I19" s="68"/>
    </row>
    <row r="20" spans="2:9">
      <c r="B20" s="1" t="s">
        <v>252</v>
      </c>
      <c r="C20" s="68">
        <v>202167830</v>
      </c>
      <c r="D20" s="68">
        <v>543838489</v>
      </c>
      <c r="E20" s="68">
        <v>1196140238</v>
      </c>
      <c r="F20" s="68">
        <v>1168499744</v>
      </c>
      <c r="G20" s="68"/>
      <c r="H20" s="68"/>
      <c r="I20" s="68"/>
    </row>
    <row r="21" spans="2:9">
      <c r="B21" s="1" t="s">
        <v>253</v>
      </c>
      <c r="C21" s="68">
        <v>3711209427</v>
      </c>
      <c r="D21" s="68">
        <v>7764038182</v>
      </c>
      <c r="E21" s="68">
        <v>8502217430</v>
      </c>
      <c r="F21" s="68">
        <v>8580089690</v>
      </c>
      <c r="G21" s="68"/>
      <c r="H21" s="68"/>
      <c r="I21" s="68"/>
    </row>
    <row r="22" spans="2:9" s="114" customFormat="1">
      <c r="B22" s="114" t="s">
        <v>254</v>
      </c>
      <c r="C22" s="115">
        <v>116090989896</v>
      </c>
      <c r="D22" s="115">
        <v>164567163936</v>
      </c>
      <c r="E22" s="115">
        <v>180356867590</v>
      </c>
      <c r="F22" s="115">
        <v>197283589469</v>
      </c>
      <c r="G22" s="115"/>
      <c r="H22" s="115"/>
      <c r="I22" s="115"/>
    </row>
    <row r="23" spans="2:9">
      <c r="B23" s="1" t="s">
        <v>255</v>
      </c>
    </row>
    <row r="24" spans="2:9" s="114" customFormat="1">
      <c r="B24" s="114" t="s">
        <v>256</v>
      </c>
      <c r="C24" s="115">
        <v>104856707913</v>
      </c>
      <c r="D24" s="115">
        <v>195365147611</v>
      </c>
      <c r="E24" s="115">
        <v>203209023076</v>
      </c>
      <c r="F24" s="115">
        <v>85400497165</v>
      </c>
      <c r="G24" s="115"/>
      <c r="H24" s="115"/>
      <c r="I24" s="115"/>
    </row>
    <row r="25" spans="2:9" s="116" customFormat="1">
      <c r="B25" s="116" t="s">
        <v>257</v>
      </c>
      <c r="C25" s="117">
        <v>2424809888</v>
      </c>
      <c r="D25" s="117">
        <v>16338816644</v>
      </c>
      <c r="E25" s="117">
        <v>13928611789</v>
      </c>
      <c r="F25" s="117">
        <v>12531168353</v>
      </c>
      <c r="G25" s="117"/>
      <c r="H25" s="117"/>
      <c r="I25" s="117"/>
    </row>
    <row r="26" spans="2:9">
      <c r="B26" s="1" t="s">
        <v>258</v>
      </c>
      <c r="C26" s="68">
        <v>2950000000</v>
      </c>
      <c r="D26" s="68">
        <v>20278800000</v>
      </c>
      <c r="E26" s="68">
        <v>28340000000</v>
      </c>
      <c r="F26" s="68">
        <v>23540000000</v>
      </c>
      <c r="G26" s="68"/>
      <c r="H26" s="68"/>
      <c r="I26" s="68"/>
    </row>
    <row r="27" spans="2:9">
      <c r="B27" s="1" t="s">
        <v>259</v>
      </c>
      <c r="C27" s="68">
        <v>2018607374</v>
      </c>
      <c r="D27" s="68">
        <v>8461273992</v>
      </c>
      <c r="E27" s="68">
        <v>1941091992</v>
      </c>
      <c r="F27" s="68">
        <v>2761371992</v>
      </c>
      <c r="G27" s="68"/>
      <c r="H27" s="68"/>
      <c r="I27" s="68"/>
    </row>
    <row r="28" spans="2:9" s="116" customFormat="1">
      <c r="B28" s="116" t="s">
        <v>260</v>
      </c>
      <c r="C28" s="117">
        <v>12443822696</v>
      </c>
      <c r="D28" s="117">
        <v>21265442449</v>
      </c>
      <c r="E28" s="117">
        <v>21235486019</v>
      </c>
      <c r="F28" s="116" t="s">
        <v>85</v>
      </c>
      <c r="G28" s="117"/>
      <c r="H28" s="117"/>
    </row>
    <row r="29" spans="2:9" s="116" customFormat="1">
      <c r="B29" s="116" t="s">
        <v>261</v>
      </c>
      <c r="C29" s="117">
        <v>17855794552</v>
      </c>
      <c r="D29" s="117">
        <v>21127537259</v>
      </c>
      <c r="E29" s="117">
        <v>25084898741</v>
      </c>
      <c r="F29" s="117">
        <v>7510899957</v>
      </c>
      <c r="G29" s="117"/>
      <c r="H29" s="117"/>
      <c r="I29" s="117"/>
    </row>
    <row r="30" spans="2:9" s="116" customFormat="1">
      <c r="B30" s="116" t="s">
        <v>262</v>
      </c>
      <c r="C30" s="117">
        <v>66869213520</v>
      </c>
      <c r="D30" s="117">
        <v>106071656198</v>
      </c>
      <c r="E30" s="117">
        <v>110140327181</v>
      </c>
      <c r="F30" s="117">
        <v>38457335662</v>
      </c>
      <c r="G30" s="117"/>
      <c r="H30" s="117"/>
      <c r="I30" s="117"/>
    </row>
    <row r="31" spans="2:9">
      <c r="B31" s="1" t="s">
        <v>263</v>
      </c>
      <c r="C31" s="68">
        <v>61017265</v>
      </c>
      <c r="D31" s="68">
        <v>98103639</v>
      </c>
      <c r="E31" s="68">
        <v>124798999</v>
      </c>
      <c r="F31" s="68">
        <v>137687459</v>
      </c>
      <c r="G31" s="68"/>
      <c r="H31" s="68"/>
      <c r="I31" s="68"/>
    </row>
    <row r="32" spans="2:9">
      <c r="B32" s="1" t="s">
        <v>264</v>
      </c>
      <c r="C32" s="68">
        <v>28610807</v>
      </c>
      <c r="D32" s="68">
        <v>481859115</v>
      </c>
      <c r="E32" s="68">
        <v>2051537780</v>
      </c>
      <c r="F32" s="1" t="s">
        <v>85</v>
      </c>
      <c r="G32" s="68"/>
      <c r="H32" s="68"/>
    </row>
    <row r="33" spans="2:9">
      <c r="B33" s="1" t="s">
        <v>265</v>
      </c>
      <c r="C33" s="68">
        <v>204831811</v>
      </c>
      <c r="D33" s="68">
        <v>1241658315</v>
      </c>
      <c r="E33" s="68">
        <v>362270575</v>
      </c>
      <c r="F33" s="68">
        <v>462033742</v>
      </c>
      <c r="G33" s="68"/>
      <c r="H33" s="68"/>
      <c r="I33" s="68"/>
    </row>
    <row r="34" spans="2:9" s="114" customFormat="1">
      <c r="B34" s="114" t="s">
        <v>266</v>
      </c>
      <c r="C34" s="115">
        <v>32985695361</v>
      </c>
      <c r="D34" s="115">
        <v>23403844417</v>
      </c>
      <c r="E34" s="115">
        <v>15103520782</v>
      </c>
      <c r="F34" s="115">
        <v>13740842143</v>
      </c>
      <c r="G34" s="115"/>
      <c r="H34" s="115"/>
      <c r="I34" s="115"/>
    </row>
    <row r="35" spans="2:9" s="116" customFormat="1">
      <c r="B35" s="116" t="s">
        <v>267</v>
      </c>
      <c r="C35" s="117">
        <v>31878648626</v>
      </c>
      <c r="D35" s="117">
        <v>23279042634</v>
      </c>
      <c r="E35" s="117">
        <v>14982950642</v>
      </c>
      <c r="F35" s="117">
        <v>13552384646</v>
      </c>
      <c r="G35" s="117"/>
      <c r="H35" s="117"/>
      <c r="I35" s="117"/>
    </row>
    <row r="36" spans="2:9">
      <c r="B36" s="1" t="s">
        <v>268</v>
      </c>
      <c r="C36" s="68">
        <v>107046735</v>
      </c>
      <c r="D36" s="68">
        <v>124801783</v>
      </c>
      <c r="E36" s="68">
        <v>120570140</v>
      </c>
      <c r="F36" s="68">
        <v>188457497</v>
      </c>
      <c r="G36" s="68"/>
      <c r="H36" s="68"/>
      <c r="I36" s="68"/>
    </row>
    <row r="37" spans="2:9">
      <c r="B37" s="1" t="s">
        <v>269</v>
      </c>
      <c r="C37" s="68">
        <v>1000000000</v>
      </c>
      <c r="D37" s="1" t="s">
        <v>85</v>
      </c>
      <c r="E37" s="1" t="s">
        <v>85</v>
      </c>
      <c r="F37" s="1" t="s">
        <v>85</v>
      </c>
    </row>
    <row r="38" spans="2:9" s="114" customFormat="1">
      <c r="B38" s="114" t="s">
        <v>270</v>
      </c>
      <c r="C38" s="115">
        <v>137842403274</v>
      </c>
      <c r="D38" s="115">
        <v>218768992028</v>
      </c>
      <c r="E38" s="115">
        <v>218312543858</v>
      </c>
      <c r="F38" s="115">
        <v>99141339308</v>
      </c>
      <c r="G38" s="115"/>
      <c r="H38" s="115"/>
      <c r="I38" s="115"/>
    </row>
    <row r="39" spans="2:9">
      <c r="B39" s="1" t="s">
        <v>271</v>
      </c>
    </row>
    <row r="40" spans="2:9">
      <c r="B40" s="1" t="s">
        <v>272</v>
      </c>
      <c r="C40" s="68">
        <v>-21767188116</v>
      </c>
      <c r="D40" s="68">
        <v>-54359465973</v>
      </c>
      <c r="E40" s="68">
        <v>-38475338487</v>
      </c>
      <c r="F40" s="68">
        <v>97545269707</v>
      </c>
      <c r="G40" s="68"/>
      <c r="H40" s="68"/>
      <c r="I40" s="68"/>
    </row>
    <row r="41" spans="2:9" s="116" customFormat="1">
      <c r="B41" s="116" t="s">
        <v>273</v>
      </c>
      <c r="C41" s="117">
        <v>171428500</v>
      </c>
      <c r="D41" s="117">
        <v>195759500</v>
      </c>
      <c r="E41" s="117">
        <v>196913000</v>
      </c>
      <c r="F41" s="117">
        <v>412808000</v>
      </c>
      <c r="G41" s="117"/>
      <c r="H41" s="117"/>
      <c r="I41" s="117"/>
    </row>
    <row r="42" spans="2:9" s="116" customFormat="1">
      <c r="B42" s="116" t="s">
        <v>274</v>
      </c>
      <c r="C42" s="117">
        <v>296881</v>
      </c>
      <c r="D42" s="117">
        <v>12628086640</v>
      </c>
      <c r="E42" s="117">
        <v>13226753140</v>
      </c>
      <c r="F42" s="117">
        <v>194101552563</v>
      </c>
      <c r="G42" s="117"/>
      <c r="H42" s="117"/>
      <c r="I42" s="117"/>
    </row>
    <row r="43" spans="2:9">
      <c r="B43" s="1" t="s">
        <v>275</v>
      </c>
      <c r="C43" s="68">
        <v>1078477053</v>
      </c>
      <c r="D43" s="68">
        <v>3223072104</v>
      </c>
      <c r="E43" s="68">
        <v>4886138677</v>
      </c>
      <c r="F43" s="68">
        <v>5672498767</v>
      </c>
      <c r="G43" s="68"/>
      <c r="H43" s="68"/>
      <c r="I43" s="68"/>
    </row>
    <row r="44" spans="2:9">
      <c r="B44" s="1" t="s">
        <v>276</v>
      </c>
      <c r="E44" s="68">
        <v>104765449</v>
      </c>
      <c r="F44" s="68">
        <v>33322721</v>
      </c>
      <c r="H44" s="68"/>
      <c r="I44" s="68"/>
    </row>
    <row r="45" spans="2:9" s="116" customFormat="1">
      <c r="B45" s="116" t="s">
        <v>277</v>
      </c>
      <c r="C45" s="117">
        <v>-23017390550</v>
      </c>
      <c r="D45" s="117">
        <v>-70406384217</v>
      </c>
      <c r="E45" s="117">
        <v>-56889908753</v>
      </c>
      <c r="F45" s="117">
        <v>-102674912344</v>
      </c>
      <c r="G45" s="117"/>
      <c r="H45" s="117"/>
      <c r="I45" s="117"/>
    </row>
    <row r="46" spans="2:9">
      <c r="B46" s="1" t="s">
        <v>278</v>
      </c>
      <c r="C46" s="68">
        <v>15774738</v>
      </c>
      <c r="D46" s="68">
        <v>157637881</v>
      </c>
      <c r="E46" s="68">
        <v>519662219</v>
      </c>
      <c r="F46" s="68">
        <v>596980454</v>
      </c>
      <c r="G46" s="68"/>
      <c r="H46" s="68"/>
      <c r="I46" s="68"/>
    </row>
    <row r="47" spans="2:9" s="114" customFormat="1">
      <c r="B47" s="114" t="s">
        <v>279</v>
      </c>
      <c r="C47" s="115">
        <v>-21751413378</v>
      </c>
      <c r="D47" s="115">
        <v>-54201828092</v>
      </c>
      <c r="E47" s="115">
        <v>-37955676268</v>
      </c>
      <c r="F47" s="115">
        <v>98142250161</v>
      </c>
      <c r="G47" s="115"/>
      <c r="H47" s="115"/>
      <c r="I47" s="115"/>
    </row>
    <row r="48" spans="2:9">
      <c r="B48" s="1" t="s">
        <v>280</v>
      </c>
      <c r="C48" s="68">
        <v>116090989896</v>
      </c>
      <c r="D48" s="68">
        <v>164567163936</v>
      </c>
      <c r="E48" s="68">
        <v>180356867590</v>
      </c>
      <c r="F48" s="68">
        <v>197283589469</v>
      </c>
      <c r="G48" s="68"/>
      <c r="H48" s="68"/>
      <c r="I48" s="68"/>
    </row>
    <row r="51" spans="2:10">
      <c r="B51" s="1" t="s">
        <v>282</v>
      </c>
      <c r="C51" s="1" t="s">
        <v>236</v>
      </c>
      <c r="D51" s="1" t="s">
        <v>60</v>
      </c>
      <c r="E51" s="1" t="s">
        <v>61</v>
      </c>
      <c r="F51" s="1" t="s">
        <v>62</v>
      </c>
    </row>
    <row r="52" spans="2:10">
      <c r="C52" s="1" t="s">
        <v>237</v>
      </c>
      <c r="D52" s="1" t="s">
        <v>235</v>
      </c>
      <c r="E52" s="1" t="s">
        <v>234</v>
      </c>
      <c r="F52" s="1" t="s">
        <v>233</v>
      </c>
    </row>
    <row r="53" spans="2:10">
      <c r="B53" s="1" t="s">
        <v>283</v>
      </c>
      <c r="C53" s="68">
        <v>18635704283</v>
      </c>
      <c r="D53" s="68">
        <v>70196780896</v>
      </c>
      <c r="E53" s="68">
        <v>108665913336</v>
      </c>
      <c r="F53" s="68">
        <v>77349935666</v>
      </c>
      <c r="G53" s="68"/>
      <c r="H53" s="68"/>
      <c r="I53" s="68"/>
      <c r="J53" s="68"/>
    </row>
    <row r="54" spans="2:10">
      <c r="B54" s="1" t="s">
        <v>284</v>
      </c>
      <c r="C54" s="68">
        <v>10968670439</v>
      </c>
      <c r="D54" s="68">
        <v>60966276976</v>
      </c>
      <c r="E54" s="68">
        <v>75461607003</v>
      </c>
      <c r="F54" s="68">
        <v>45430265358</v>
      </c>
      <c r="G54" s="68"/>
      <c r="H54" s="68"/>
      <c r="I54" s="68"/>
      <c r="J54" s="68"/>
    </row>
    <row r="55" spans="2:10">
      <c r="B55" s="1" t="s">
        <v>285</v>
      </c>
      <c r="C55" s="68">
        <v>7667033844</v>
      </c>
      <c r="D55" s="68">
        <v>9230503920</v>
      </c>
      <c r="E55" s="68">
        <v>33204306333</v>
      </c>
      <c r="F55" s="68">
        <v>31919670308</v>
      </c>
      <c r="G55" s="68"/>
      <c r="H55" s="68"/>
      <c r="I55" s="68"/>
      <c r="J55" s="68"/>
    </row>
    <row r="56" spans="2:10">
      <c r="B56" s="1" t="s">
        <v>286</v>
      </c>
      <c r="C56" s="68">
        <v>5119060964</v>
      </c>
      <c r="D56" s="68">
        <v>6355442976</v>
      </c>
      <c r="E56" s="68">
        <v>9565277568</v>
      </c>
      <c r="F56" s="68">
        <v>5606602334</v>
      </c>
      <c r="G56" s="68"/>
      <c r="H56" s="68"/>
      <c r="I56" s="68"/>
      <c r="J56" s="68"/>
    </row>
    <row r="57" spans="2:10">
      <c r="B57" s="1" t="s">
        <v>287</v>
      </c>
      <c r="C57" s="68">
        <v>2547972880</v>
      </c>
      <c r="D57" s="68">
        <v>2875060944</v>
      </c>
      <c r="E57" s="68">
        <v>23639028765</v>
      </c>
      <c r="F57" s="68">
        <v>26313067974</v>
      </c>
      <c r="G57" s="68"/>
      <c r="H57" s="68"/>
      <c r="I57" s="68"/>
      <c r="J57" s="68"/>
    </row>
    <row r="58" spans="2:10">
      <c r="B58" s="1" t="s">
        <v>288</v>
      </c>
      <c r="C58" s="68">
        <v>22327235</v>
      </c>
      <c r="D58" s="68">
        <v>156143625</v>
      </c>
      <c r="E58" s="68">
        <v>371117992</v>
      </c>
      <c r="F58" s="68">
        <v>349402681</v>
      </c>
      <c r="G58" s="68"/>
      <c r="H58" s="68"/>
      <c r="I58" s="68"/>
      <c r="J58" s="68"/>
    </row>
    <row r="59" spans="2:10">
      <c r="B59" s="1" t="s">
        <v>289</v>
      </c>
      <c r="C59" s="68">
        <v>1870277093</v>
      </c>
      <c r="D59" s="68">
        <v>54225165</v>
      </c>
      <c r="E59" s="68">
        <v>14241110</v>
      </c>
      <c r="F59" s="68">
        <v>93514100</v>
      </c>
      <c r="G59" s="68"/>
      <c r="H59" s="68"/>
      <c r="I59" s="68"/>
      <c r="J59" s="68"/>
    </row>
    <row r="60" spans="2:10">
      <c r="B60" s="1" t="s">
        <v>290</v>
      </c>
      <c r="C60" s="68">
        <v>436599160</v>
      </c>
      <c r="D60" s="68">
        <v>756238745</v>
      </c>
      <c r="E60" s="68">
        <v>5132142213</v>
      </c>
      <c r="F60" s="68">
        <v>2223572267</v>
      </c>
      <c r="G60" s="68"/>
      <c r="H60" s="68"/>
      <c r="I60" s="68"/>
      <c r="J60" s="68"/>
    </row>
    <row r="61" spans="2:10">
      <c r="B61" s="179" t="s">
        <v>801</v>
      </c>
      <c r="C61" s="68">
        <f>+C214</f>
        <v>140939055</v>
      </c>
      <c r="D61" s="68">
        <f>+I213</f>
        <v>418687701</v>
      </c>
      <c r="E61" s="68">
        <f>+J213</f>
        <v>54903554</v>
      </c>
      <c r="F61" s="68"/>
      <c r="G61" s="68"/>
      <c r="H61" s="68"/>
      <c r="I61" s="68"/>
      <c r="J61" s="68"/>
    </row>
    <row r="62" spans="2:10">
      <c r="B62" s="179" t="s">
        <v>799</v>
      </c>
      <c r="C62" s="68">
        <f>+C60-C61</f>
        <v>295660105</v>
      </c>
      <c r="D62" s="68">
        <f>+D60-D61</f>
        <v>337551044</v>
      </c>
      <c r="E62" s="68">
        <f>+E60-E61</f>
        <v>5077238659</v>
      </c>
      <c r="F62" s="68"/>
      <c r="G62" s="68"/>
      <c r="H62" s="68"/>
      <c r="I62" s="68"/>
      <c r="J62" s="68"/>
    </row>
    <row r="63" spans="2:10">
      <c r="B63" s="1" t="s">
        <v>291</v>
      </c>
      <c r="C63" s="68">
        <v>1046131561</v>
      </c>
      <c r="D63" s="68">
        <v>53830624952</v>
      </c>
      <c r="E63" s="68">
        <v>13815788585</v>
      </c>
      <c r="F63" s="68">
        <v>74269768771</v>
      </c>
      <c r="G63" s="68"/>
      <c r="H63" s="68"/>
      <c r="I63" s="68"/>
      <c r="J63" s="68"/>
    </row>
    <row r="64" spans="2:10">
      <c r="B64" s="179" t="s">
        <v>798</v>
      </c>
      <c r="C64" s="68">
        <v>804628653</v>
      </c>
      <c r="D64" s="68">
        <f>+I223</f>
        <v>2928082090</v>
      </c>
      <c r="E64" s="68">
        <f>+J223</f>
        <v>5250478112</v>
      </c>
      <c r="F64" s="68">
        <f>-F94</f>
        <v>725639476</v>
      </c>
      <c r="G64" s="68"/>
      <c r="H64" s="68"/>
      <c r="I64" s="68"/>
      <c r="J64" s="68"/>
    </row>
    <row r="65" spans="2:10">
      <c r="B65" s="179" t="s">
        <v>799</v>
      </c>
      <c r="C65" s="68">
        <f>+C63-C64</f>
        <v>241502908</v>
      </c>
      <c r="D65" s="68">
        <f>+D63-D64</f>
        <v>50902542862</v>
      </c>
      <c r="E65" s="68">
        <f>+E63-E64</f>
        <v>8565310473</v>
      </c>
      <c r="F65" s="68">
        <f>+F63-F64</f>
        <v>73544129295</v>
      </c>
      <c r="G65" s="68"/>
      <c r="H65" s="68"/>
      <c r="I65" s="68"/>
      <c r="J65" s="68"/>
    </row>
    <row r="66" spans="2:10">
      <c r="B66" s="1" t="s">
        <v>292</v>
      </c>
      <c r="E66" s="68">
        <v>-126515070</v>
      </c>
      <c r="F66" s="68">
        <v>-292450997</v>
      </c>
      <c r="I66" s="68"/>
      <c r="J66" s="68"/>
    </row>
    <row r="67" spans="2:10">
      <c r="B67" s="1" t="s">
        <v>293</v>
      </c>
      <c r="C67" s="68">
        <v>90490621</v>
      </c>
      <c r="D67" s="68">
        <v>-50097406803</v>
      </c>
      <c r="E67" s="68">
        <v>15185744205</v>
      </c>
      <c r="F67" s="68">
        <v>-45769690946</v>
      </c>
      <c r="G67" s="68"/>
      <c r="H67" s="68"/>
      <c r="I67" s="68"/>
      <c r="J67" s="68"/>
    </row>
    <row r="68" spans="2:10">
      <c r="B68" s="1" t="s">
        <v>294</v>
      </c>
      <c r="C68" s="68">
        <v>123092731</v>
      </c>
      <c r="D68" s="68">
        <v>-2708413136</v>
      </c>
      <c r="E68" s="68">
        <v>1682079973</v>
      </c>
      <c r="F68" s="68">
        <v>56036423</v>
      </c>
      <c r="G68" s="68"/>
      <c r="H68" s="68"/>
      <c r="I68" s="68"/>
      <c r="J68" s="68"/>
    </row>
    <row r="69" spans="2:10">
      <c r="B69" s="1" t="s">
        <v>295</v>
      </c>
      <c r="C69" s="68">
        <v>-32602110</v>
      </c>
      <c r="D69" s="68">
        <v>-47388993667</v>
      </c>
      <c r="E69" s="68">
        <v>13503664232</v>
      </c>
      <c r="F69" s="68">
        <v>-45825727369</v>
      </c>
      <c r="G69" s="68"/>
      <c r="H69" s="68"/>
      <c r="I69" s="68"/>
      <c r="J69" s="68"/>
    </row>
    <row r="70" spans="2:10">
      <c r="B70" s="1" t="s">
        <v>296</v>
      </c>
    </row>
    <row r="71" spans="2:10">
      <c r="B71" s="1" t="s">
        <v>297</v>
      </c>
      <c r="C71" s="68">
        <v>-32602110</v>
      </c>
      <c r="D71" s="68">
        <v>-47388993667</v>
      </c>
      <c r="E71" s="68">
        <v>13516475464</v>
      </c>
      <c r="F71" s="68">
        <v>-45785003591</v>
      </c>
      <c r="G71" s="68"/>
      <c r="H71" s="68"/>
      <c r="I71" s="68"/>
      <c r="J71" s="68"/>
    </row>
    <row r="72" spans="2:10">
      <c r="B72" s="1" t="s">
        <v>298</v>
      </c>
      <c r="C72" s="1" t="s">
        <v>85</v>
      </c>
      <c r="D72" s="1" t="s">
        <v>85</v>
      </c>
      <c r="E72" s="68">
        <v>-12811232</v>
      </c>
      <c r="F72" s="68">
        <v>-40723778</v>
      </c>
      <c r="I72" s="68"/>
      <c r="J72" s="68"/>
    </row>
    <row r="73" spans="2:10">
      <c r="B73" s="1" t="s">
        <v>299</v>
      </c>
      <c r="C73" s="1" t="s">
        <v>85</v>
      </c>
      <c r="D73" s="1" t="s">
        <v>85</v>
      </c>
      <c r="E73" s="68">
        <v>115946183</v>
      </c>
      <c r="F73" s="68">
        <v>-63393545</v>
      </c>
      <c r="I73" s="68"/>
      <c r="J73" s="68"/>
    </row>
    <row r="74" spans="2:10">
      <c r="B74" s="1" t="s">
        <v>300</v>
      </c>
      <c r="C74" s="1" t="s">
        <v>85</v>
      </c>
      <c r="D74" s="1" t="s">
        <v>85</v>
      </c>
      <c r="E74" s="1" t="s">
        <v>85</v>
      </c>
      <c r="F74" s="1" t="s">
        <v>85</v>
      </c>
    </row>
    <row r="75" spans="2:10">
      <c r="B75" s="1" t="s">
        <v>301</v>
      </c>
      <c r="C75" s="1" t="s">
        <v>85</v>
      </c>
      <c r="D75" s="1" t="s">
        <v>85</v>
      </c>
      <c r="E75" s="68">
        <v>115946183</v>
      </c>
      <c r="F75" s="68">
        <v>-63393545</v>
      </c>
      <c r="I75" s="68"/>
      <c r="J75" s="68"/>
    </row>
    <row r="76" spans="2:10">
      <c r="B76" s="1" t="s">
        <v>110</v>
      </c>
      <c r="C76" s="68">
        <v>-32602110</v>
      </c>
      <c r="D76" s="68">
        <v>-47388993667</v>
      </c>
      <c r="E76" s="68">
        <v>13619610415</v>
      </c>
      <c r="F76" s="68">
        <v>-45889120914</v>
      </c>
      <c r="G76" s="68"/>
      <c r="H76" s="68"/>
      <c r="I76" s="68"/>
      <c r="J76" s="68"/>
    </row>
    <row r="77" spans="2:10">
      <c r="B77" s="1" t="s">
        <v>302</v>
      </c>
    </row>
    <row r="78" spans="2:10">
      <c r="B78" s="1" t="s">
        <v>303</v>
      </c>
      <c r="C78" s="68">
        <v>-32602110</v>
      </c>
      <c r="D78" s="68">
        <v>-47388993667</v>
      </c>
      <c r="E78" s="68">
        <v>13621240913</v>
      </c>
      <c r="F78" s="68">
        <v>-45856446319</v>
      </c>
      <c r="G78" s="68"/>
      <c r="H78" s="68"/>
      <c r="I78" s="68"/>
      <c r="J78" s="68"/>
    </row>
    <row r="79" spans="2:10">
      <c r="B79" s="1" t="s">
        <v>304</v>
      </c>
      <c r="C79" s="1" t="s">
        <v>85</v>
      </c>
      <c r="D79" s="1" t="s">
        <v>85</v>
      </c>
      <c r="E79" s="68">
        <v>-1630498</v>
      </c>
      <c r="F79" s="68">
        <v>-32674595</v>
      </c>
      <c r="I79" s="68"/>
      <c r="J79" s="68"/>
    </row>
    <row r="80" spans="2:10">
      <c r="B80" s="1" t="s">
        <v>305</v>
      </c>
    </row>
    <row r="81" spans="1:10">
      <c r="B81" s="1" t="s">
        <v>306</v>
      </c>
      <c r="C81" s="1" t="s">
        <v>85</v>
      </c>
      <c r="D81" s="68">
        <v>-137416</v>
      </c>
      <c r="E81" s="68">
        <v>34362</v>
      </c>
      <c r="F81" s="68">
        <v>-94266</v>
      </c>
      <c r="H81" s="68"/>
      <c r="I81" s="68"/>
      <c r="J81" s="68"/>
    </row>
    <row r="82" spans="1:10">
      <c r="B82" s="1" t="s">
        <v>307</v>
      </c>
      <c r="C82" s="1" t="s">
        <v>85</v>
      </c>
      <c r="D82" s="68">
        <v>-137416</v>
      </c>
      <c r="E82" s="68">
        <v>14741</v>
      </c>
      <c r="F82" s="68">
        <v>-94266</v>
      </c>
      <c r="H82" s="68"/>
      <c r="I82" s="68"/>
      <c r="J82" s="68"/>
    </row>
    <row r="85" spans="1:10">
      <c r="B85" s="1" t="s">
        <v>282</v>
      </c>
      <c r="D85" s="1" t="s">
        <v>60</v>
      </c>
      <c r="E85" s="1" t="s">
        <v>61</v>
      </c>
      <c r="F85" s="1" t="s">
        <v>62</v>
      </c>
    </row>
    <row r="86" spans="1:10">
      <c r="D86" s="1" t="s">
        <v>235</v>
      </c>
      <c r="E86" s="1" t="s">
        <v>234</v>
      </c>
      <c r="F86" s="1" t="s">
        <v>233</v>
      </c>
    </row>
    <row r="87" spans="1:10" s="114" customFormat="1">
      <c r="B87" s="114" t="s">
        <v>308</v>
      </c>
      <c r="C87" s="115">
        <f>+D139</f>
        <v>-14480525697</v>
      </c>
      <c r="D87" s="115">
        <v>1249560090</v>
      </c>
      <c r="E87" s="115">
        <v>35490332212</v>
      </c>
      <c r="F87" s="115">
        <v>15840340769</v>
      </c>
      <c r="G87" s="115"/>
      <c r="H87" s="115"/>
    </row>
    <row r="88" spans="1:10" s="116" customFormat="1">
      <c r="B88" s="116" t="s">
        <v>309</v>
      </c>
      <c r="C88" s="117">
        <f>+C140</f>
        <v>-32602110</v>
      </c>
      <c r="D88" s="117">
        <v>-47388993667</v>
      </c>
      <c r="E88" s="117">
        <v>13503664232</v>
      </c>
      <c r="F88" s="117">
        <v>-45825727369</v>
      </c>
      <c r="G88" s="117"/>
      <c r="H88" s="117"/>
    </row>
    <row r="89" spans="1:10" s="116" customFormat="1">
      <c r="A89" s="116" t="s">
        <v>470</v>
      </c>
      <c r="B89" s="116" t="s">
        <v>310</v>
      </c>
      <c r="C89" s="117">
        <f>+C141</f>
        <v>6299161199</v>
      </c>
      <c r="D89" s="117">
        <v>57713019465</v>
      </c>
      <c r="E89" s="117">
        <v>22018266663</v>
      </c>
      <c r="F89" s="117">
        <v>77958701864</v>
      </c>
      <c r="G89" s="117"/>
      <c r="H89" s="117"/>
    </row>
    <row r="90" spans="1:10" s="116" customFormat="1">
      <c r="B90" s="124" t="s">
        <v>497</v>
      </c>
      <c r="C90" s="117"/>
      <c r="D90" s="117">
        <f>+L143</f>
        <v>4761432272</v>
      </c>
      <c r="E90" s="117">
        <f>+I154</f>
        <v>8788437703</v>
      </c>
      <c r="F90" s="117"/>
      <c r="G90" s="117"/>
      <c r="H90" s="117"/>
    </row>
    <row r="91" spans="1:10" s="116" customFormat="1">
      <c r="B91" s="124" t="s">
        <v>498</v>
      </c>
      <c r="C91" s="117"/>
      <c r="D91" s="117">
        <f>+L144</f>
        <v>203914495</v>
      </c>
      <c r="E91" s="117">
        <f>+I161+I168</f>
        <v>357395153</v>
      </c>
      <c r="F91" s="117"/>
      <c r="G91" s="117"/>
      <c r="H91" s="117"/>
    </row>
    <row r="92" spans="1:10" s="116" customFormat="1">
      <c r="B92" s="116" t="s">
        <v>311</v>
      </c>
      <c r="C92" s="117">
        <f>+C156</f>
        <v>-20742333382</v>
      </c>
      <c r="D92" s="117">
        <v>-8806202059</v>
      </c>
      <c r="E92" s="117">
        <v>2507496867</v>
      </c>
      <c r="F92" s="117">
        <v>-13404183857</v>
      </c>
      <c r="G92" s="117"/>
      <c r="H92" s="117"/>
    </row>
    <row r="93" spans="1:10">
      <c r="B93" s="1" t="s">
        <v>312</v>
      </c>
      <c r="C93" s="68"/>
      <c r="D93" s="68">
        <v>458832226</v>
      </c>
      <c r="E93" s="68">
        <v>49286463</v>
      </c>
      <c r="F93" s="68">
        <v>6909229</v>
      </c>
      <c r="G93" s="68"/>
      <c r="H93" s="68"/>
    </row>
    <row r="94" spans="1:10">
      <c r="B94" s="1" t="s">
        <v>313</v>
      </c>
      <c r="C94" s="68"/>
      <c r="D94" s="68">
        <v>-631871648</v>
      </c>
      <c r="E94" s="68">
        <v>-2015641948</v>
      </c>
      <c r="F94" s="68">
        <v>-725639476</v>
      </c>
      <c r="G94" s="68"/>
      <c r="H94" s="68"/>
    </row>
    <row r="95" spans="1:10">
      <c r="B95" s="1" t="s">
        <v>314</v>
      </c>
      <c r="C95" s="68"/>
      <c r="D95" s="68">
        <v>-95224227</v>
      </c>
      <c r="E95" s="68">
        <v>-572740065</v>
      </c>
      <c r="F95" s="68">
        <v>-2169719622</v>
      </c>
      <c r="G95" s="68"/>
      <c r="H95" s="68"/>
    </row>
    <row r="96" spans="1:10" s="114" customFormat="1">
      <c r="B96" s="114" t="s">
        <v>315</v>
      </c>
      <c r="C96" s="115">
        <f>+D171</f>
        <v>-32357965060</v>
      </c>
      <c r="D96" s="115">
        <v>-31672732919</v>
      </c>
      <c r="E96" s="115">
        <v>-26744587620</v>
      </c>
      <c r="F96" s="115">
        <v>-7292727184</v>
      </c>
      <c r="G96" s="115"/>
      <c r="H96" s="115"/>
    </row>
    <row r="97" spans="2:8">
      <c r="B97" s="1" t="s">
        <v>316</v>
      </c>
      <c r="C97" s="68"/>
      <c r="D97" s="68">
        <v>22000000000</v>
      </c>
      <c r="E97" s="68">
        <v>14723755</v>
      </c>
      <c r="G97" s="68"/>
      <c r="H97" s="68"/>
    </row>
    <row r="98" spans="2:8">
      <c r="B98" s="1" t="s">
        <v>317</v>
      </c>
      <c r="C98" s="68"/>
      <c r="D98" s="68">
        <v>2782530000</v>
      </c>
      <c r="H98" s="68"/>
    </row>
    <row r="99" spans="2:8">
      <c r="B99" s="1" t="s">
        <v>318</v>
      </c>
      <c r="C99" s="68"/>
      <c r="D99" s="68">
        <v>92000000</v>
      </c>
      <c r="E99" s="68">
        <v>17000000</v>
      </c>
      <c r="F99" s="68">
        <v>30000000</v>
      </c>
      <c r="G99" s="68"/>
      <c r="H99" s="68"/>
    </row>
    <row r="100" spans="2:8">
      <c r="B100" s="1" t="s">
        <v>319</v>
      </c>
      <c r="C100" s="68"/>
      <c r="D100" s="68">
        <v>58023637</v>
      </c>
      <c r="E100" s="68">
        <v>18181820</v>
      </c>
      <c r="G100" s="68"/>
      <c r="H100" s="68"/>
    </row>
    <row r="101" spans="2:8">
      <c r="B101" s="1" t="s">
        <v>320</v>
      </c>
      <c r="E101" s="68">
        <v>2100000</v>
      </c>
      <c r="F101" s="68">
        <v>900000</v>
      </c>
      <c r="G101" s="68"/>
    </row>
    <row r="102" spans="2:8">
      <c r="B102" s="1" t="s">
        <v>321</v>
      </c>
      <c r="C102" s="68"/>
      <c r="D102" s="68">
        <v>53500000</v>
      </c>
      <c r="E102" s="68">
        <v>37500000</v>
      </c>
      <c r="F102" s="68">
        <v>193000000</v>
      </c>
      <c r="G102" s="68"/>
      <c r="H102" s="68"/>
    </row>
    <row r="103" spans="2:8">
      <c r="B103" s="1" t="s">
        <v>322</v>
      </c>
      <c r="C103" s="68"/>
      <c r="D103" s="68">
        <v>42214930</v>
      </c>
      <c r="E103" s="68">
        <v>10484060</v>
      </c>
      <c r="F103" s="68">
        <v>353267040</v>
      </c>
      <c r="G103" s="68"/>
      <c r="H103" s="68"/>
    </row>
    <row r="104" spans="2:8">
      <c r="B104" s="1" t="s">
        <v>323</v>
      </c>
      <c r="E104" s="68">
        <v>294376779</v>
      </c>
      <c r="G104" s="68"/>
    </row>
    <row r="105" spans="2:8">
      <c r="B105" s="1" t="s">
        <v>324</v>
      </c>
      <c r="C105" s="68"/>
      <c r="D105" s="68">
        <v>-12000000000</v>
      </c>
      <c r="H105" s="68"/>
    </row>
    <row r="106" spans="2:8">
      <c r="B106" s="1" t="s">
        <v>325</v>
      </c>
      <c r="C106" s="68"/>
      <c r="D106" s="68">
        <v>-4500000</v>
      </c>
      <c r="E106" s="68">
        <v>-6000000</v>
      </c>
      <c r="F106" s="68">
        <v>-3000000</v>
      </c>
      <c r="G106" s="68"/>
      <c r="H106" s="68"/>
    </row>
    <row r="107" spans="2:8" s="116" customFormat="1">
      <c r="B107" s="116" t="s">
        <v>326</v>
      </c>
      <c r="C107" s="117">
        <f>-SUM(C179:C186)</f>
        <v>-22378155717</v>
      </c>
      <c r="D107" s="117">
        <v>-20236835944</v>
      </c>
      <c r="E107" s="117">
        <v>-4553938055</v>
      </c>
      <c r="G107" s="117"/>
      <c r="H107" s="117"/>
    </row>
    <row r="108" spans="2:8" s="116" customFormat="1">
      <c r="B108" s="116" t="s">
        <v>327</v>
      </c>
      <c r="E108" s="117">
        <v>-37713600</v>
      </c>
      <c r="F108" s="117">
        <v>-7050000</v>
      </c>
      <c r="G108" s="117"/>
    </row>
    <row r="109" spans="2:8" s="116" customFormat="1">
      <c r="B109" s="116" t="s">
        <v>328</v>
      </c>
      <c r="C109" s="117"/>
      <c r="D109" s="117">
        <v>-13465248211</v>
      </c>
      <c r="E109" s="117">
        <v>-12890222184</v>
      </c>
      <c r="F109" s="117">
        <v>-3529582826</v>
      </c>
      <c r="G109" s="117"/>
      <c r="H109" s="117"/>
    </row>
    <row r="110" spans="2:8" s="116" customFormat="1">
      <c r="B110" s="116" t="s">
        <v>329</v>
      </c>
      <c r="C110" s="117"/>
      <c r="D110" s="117">
        <v>-392983627</v>
      </c>
      <c r="E110" s="117">
        <v>-40104538</v>
      </c>
      <c r="G110" s="117"/>
      <c r="H110" s="117"/>
    </row>
    <row r="111" spans="2:8" s="116" customFormat="1">
      <c r="B111" s="116" t="s">
        <v>330</v>
      </c>
      <c r="C111" s="117"/>
      <c r="D111" s="117">
        <v>-816310569</v>
      </c>
      <c r="E111" s="117">
        <v>-1562675931</v>
      </c>
      <c r="F111" s="117">
        <v>-333376104</v>
      </c>
      <c r="G111" s="117"/>
      <c r="H111" s="117"/>
    </row>
    <row r="112" spans="2:8" s="116" customFormat="1">
      <c r="B112" s="116" t="s">
        <v>331</v>
      </c>
      <c r="C112" s="117"/>
      <c r="D112" s="117">
        <v>-8023571151</v>
      </c>
      <c r="E112" s="117">
        <v>-5070514433</v>
      </c>
      <c r="F112" s="117">
        <v>-3351806704</v>
      </c>
      <c r="G112" s="117"/>
      <c r="H112" s="117"/>
    </row>
    <row r="113" spans="2:8">
      <c r="B113" s="1" t="s">
        <v>332</v>
      </c>
      <c r="C113" s="68"/>
      <c r="D113" s="68">
        <v>-1102954509</v>
      </c>
      <c r="E113" s="68">
        <v>-201980788</v>
      </c>
      <c r="F113" s="68">
        <v>-23920338</v>
      </c>
      <c r="G113" s="68"/>
      <c r="H113" s="68"/>
    </row>
    <row r="114" spans="2:8" s="116" customFormat="1">
      <c r="B114" s="116" t="s">
        <v>333</v>
      </c>
      <c r="C114" s="117">
        <f>-C187-C188</f>
        <v>-121710136</v>
      </c>
      <c r="D114" s="117">
        <v>-10821545</v>
      </c>
      <c r="E114" s="117">
        <v>-10449645</v>
      </c>
      <c r="G114" s="117"/>
      <c r="H114" s="117"/>
    </row>
    <row r="115" spans="2:8" s="116" customFormat="1">
      <c r="B115" s="116" t="s">
        <v>334</v>
      </c>
      <c r="C115" s="117"/>
      <c r="D115" s="117">
        <v>-438318000</v>
      </c>
      <c r="E115" s="117">
        <v>-628657000</v>
      </c>
      <c r="F115" s="117">
        <v>-95466622</v>
      </c>
      <c r="G115" s="117"/>
      <c r="H115" s="117"/>
    </row>
    <row r="116" spans="2:8">
      <c r="B116" s="1" t="s">
        <v>335</v>
      </c>
      <c r="E116" s="68">
        <v>-1995553800</v>
      </c>
      <c r="G116" s="68"/>
    </row>
    <row r="117" spans="2:8">
      <c r="B117" s="1" t="s">
        <v>336</v>
      </c>
    </row>
    <row r="118" spans="2:8">
      <c r="B118" s="1" t="s">
        <v>337</v>
      </c>
      <c r="C118" s="68"/>
      <c r="D118" s="68">
        <v>-197000000</v>
      </c>
      <c r="E118" s="68">
        <v>-109000000</v>
      </c>
      <c r="F118" s="68">
        <v>-208300000</v>
      </c>
      <c r="G118" s="68"/>
      <c r="H118" s="68"/>
    </row>
    <row r="119" spans="2:8">
      <c r="B119" s="1" t="s">
        <v>338</v>
      </c>
      <c r="C119" s="68"/>
      <c r="D119" s="68">
        <v>-12457930</v>
      </c>
      <c r="E119" s="68">
        <v>-32144060</v>
      </c>
      <c r="F119" s="68">
        <v>-317391630</v>
      </c>
      <c r="G119" s="68"/>
      <c r="H119" s="68"/>
    </row>
    <row r="120" spans="2:8" s="114" customFormat="1">
      <c r="B120" s="114" t="s">
        <v>339</v>
      </c>
      <c r="C120" s="115">
        <f>+D195</f>
        <v>62300096228</v>
      </c>
      <c r="D120" s="115">
        <v>25128755343</v>
      </c>
      <c r="E120" s="115">
        <v>-7261758609</v>
      </c>
      <c r="F120" s="115">
        <v>-5619070396</v>
      </c>
      <c r="G120" s="115"/>
      <c r="H120" s="115"/>
    </row>
    <row r="121" spans="2:8" s="116" customFormat="1">
      <c r="B121" s="116" t="s">
        <v>340</v>
      </c>
      <c r="C121" s="117">
        <f>+C200</f>
        <v>14999996000</v>
      </c>
      <c r="D121" s="117">
        <v>9999600000</v>
      </c>
      <c r="E121" s="117">
        <v>599820000</v>
      </c>
      <c r="F121" s="116" t="s">
        <v>85</v>
      </c>
      <c r="G121" s="117"/>
      <c r="H121" s="117"/>
    </row>
    <row r="122" spans="2:8" s="116" customFormat="1">
      <c r="B122" s="116" t="s">
        <v>341</v>
      </c>
      <c r="C122" s="117">
        <f>+C197</f>
        <v>1600495000</v>
      </c>
      <c r="D122" s="117">
        <v>19207875000</v>
      </c>
      <c r="E122" s="117">
        <v>30300000000</v>
      </c>
      <c r="F122" s="116" t="s">
        <v>85</v>
      </c>
      <c r="G122" s="117"/>
      <c r="H122" s="117"/>
    </row>
    <row r="123" spans="2:8" s="116" customFormat="1">
      <c r="B123" s="116" t="s">
        <v>342</v>
      </c>
      <c r="C123" s="117">
        <f>+C198</f>
        <v>19361000000</v>
      </c>
      <c r="D123" s="117">
        <v>1400000000</v>
      </c>
      <c r="E123" s="117">
        <v>4510000000</v>
      </c>
      <c r="F123" s="116" t="s">
        <v>85</v>
      </c>
      <c r="G123" s="117"/>
      <c r="H123" s="117"/>
    </row>
    <row r="124" spans="2:8">
      <c r="B124" s="1" t="s">
        <v>343</v>
      </c>
      <c r="C124" s="68">
        <f>+C201</f>
        <v>29000002228</v>
      </c>
    </row>
    <row r="125" spans="2:8" s="116" customFormat="1">
      <c r="B125" s="116" t="s">
        <v>344</v>
      </c>
      <c r="C125" s="117">
        <f>-C203</f>
        <v>-1602145000</v>
      </c>
      <c r="D125" s="117">
        <v>-1850275000</v>
      </c>
      <c r="E125" s="117">
        <v>-22238800000</v>
      </c>
      <c r="F125" s="117">
        <v>-4800000000</v>
      </c>
      <c r="G125" s="117"/>
      <c r="H125" s="117"/>
    </row>
    <row r="126" spans="2:8" s="116" customFormat="1">
      <c r="B126" s="116" t="s">
        <v>345</v>
      </c>
      <c r="C126" s="117">
        <f>-C204</f>
        <v>-1011252000</v>
      </c>
      <c r="D126" s="117">
        <v>-2018607374</v>
      </c>
      <c r="E126" s="117">
        <v>-8461273992</v>
      </c>
      <c r="F126" s="117">
        <v>-610285996</v>
      </c>
      <c r="G126" s="117"/>
      <c r="H126" s="117"/>
    </row>
    <row r="127" spans="2:8" s="116" customFormat="1">
      <c r="B127" s="116" t="s">
        <v>346</v>
      </c>
      <c r="C127" s="117">
        <f>-C205</f>
        <v>-48000000</v>
      </c>
      <c r="D127" s="117">
        <v>-1538332000</v>
      </c>
      <c r="E127" s="117">
        <v>-10865000000</v>
      </c>
      <c r="F127" s="116" t="s">
        <v>85</v>
      </c>
      <c r="G127" s="117"/>
      <c r="H127" s="117"/>
    </row>
    <row r="128" spans="2:8">
      <c r="B128" s="1" t="s">
        <v>347</v>
      </c>
      <c r="E128" s="68">
        <v>-1000000000</v>
      </c>
      <c r="G128" s="68"/>
    </row>
    <row r="129" spans="2:12">
      <c r="B129" s="1" t="s">
        <v>348</v>
      </c>
      <c r="C129" s="68"/>
      <c r="D129" s="68">
        <v>-71505283</v>
      </c>
      <c r="E129" s="68">
        <v>-106504617</v>
      </c>
      <c r="F129" s="68">
        <v>-208784400</v>
      </c>
      <c r="G129" s="68"/>
      <c r="H129" s="68"/>
    </row>
    <row r="130" spans="2:12">
      <c r="B130" s="1" t="s">
        <v>349</v>
      </c>
      <c r="C130" s="68"/>
      <c r="D130" s="68">
        <v>-5294417486</v>
      </c>
      <c r="E130" s="68">
        <v>1483985983</v>
      </c>
      <c r="F130" s="68">
        <v>2928543189</v>
      </c>
      <c r="G130" s="68"/>
      <c r="H130" s="68"/>
    </row>
    <row r="131" spans="2:12" s="116" customFormat="1">
      <c r="B131" s="116" t="s">
        <v>350</v>
      </c>
      <c r="C131" s="117">
        <f>+D208</f>
        <v>233784143</v>
      </c>
      <c r="D131" s="117">
        <v>8314714</v>
      </c>
      <c r="E131" s="117">
        <v>484096640</v>
      </c>
      <c r="F131" s="117">
        <v>-451359447</v>
      </c>
      <c r="G131" s="117"/>
      <c r="H131" s="117"/>
    </row>
    <row r="132" spans="2:12" s="116" customFormat="1">
      <c r="B132" s="116" t="s">
        <v>351</v>
      </c>
      <c r="E132" s="117">
        <v>48175567</v>
      </c>
      <c r="F132" s="117">
        <v>31638969</v>
      </c>
      <c r="G132" s="117"/>
    </row>
    <row r="133" spans="2:12">
      <c r="B133" s="1" t="s">
        <v>352</v>
      </c>
      <c r="C133" s="68">
        <f>+D207+D208</f>
        <v>15695389614</v>
      </c>
      <c r="D133" s="68">
        <v>-5286102772</v>
      </c>
      <c r="E133" s="68">
        <v>2016258190</v>
      </c>
      <c r="F133" s="68">
        <v>2508822711</v>
      </c>
      <c r="G133" s="68"/>
      <c r="H133" s="68"/>
    </row>
    <row r="134" spans="2:12">
      <c r="B134" s="1" t="s">
        <v>353</v>
      </c>
      <c r="C134" s="68"/>
      <c r="D134" s="68">
        <v>28012486271</v>
      </c>
      <c r="E134" s="68">
        <v>22726383499</v>
      </c>
      <c r="F134" s="68">
        <v>24742641689</v>
      </c>
      <c r="G134" s="68"/>
      <c r="H134" s="68"/>
    </row>
    <row r="135" spans="2:12">
      <c r="B135" s="1" t="s">
        <v>354</v>
      </c>
      <c r="C135" s="68"/>
      <c r="D135" s="68">
        <v>22726383499</v>
      </c>
      <c r="E135" s="68">
        <v>24742641689</v>
      </c>
      <c r="F135" s="68">
        <v>27251464400</v>
      </c>
      <c r="G135" s="68"/>
      <c r="H135" s="68"/>
    </row>
    <row r="137" spans="2:12">
      <c r="H137" s="1">
        <v>2023</v>
      </c>
    </row>
    <row r="138" spans="2:12" ht="28">
      <c r="B138" s="45" t="s">
        <v>395</v>
      </c>
      <c r="C138" s="403" t="s">
        <v>396</v>
      </c>
      <c r="D138" s="404"/>
      <c r="E138" s="403" t="s">
        <v>397</v>
      </c>
      <c r="F138" s="405"/>
      <c r="H138" s="45" t="s">
        <v>282</v>
      </c>
      <c r="I138" s="46" t="s">
        <v>286</v>
      </c>
      <c r="J138" s="46" t="s">
        <v>486</v>
      </c>
      <c r="K138" s="46" t="s">
        <v>487</v>
      </c>
      <c r="L138" s="47" t="s">
        <v>74</v>
      </c>
    </row>
    <row r="139" spans="2:12">
      <c r="B139" s="101" t="s">
        <v>398</v>
      </c>
      <c r="C139" s="119"/>
      <c r="D139" s="97">
        <v>-14480525697</v>
      </c>
      <c r="E139" s="119"/>
      <c r="F139" s="98">
        <v>494638627</v>
      </c>
      <c r="H139" s="36" t="s">
        <v>488</v>
      </c>
      <c r="I139" s="32">
        <v>2370495642</v>
      </c>
      <c r="J139" s="32">
        <v>5369701761</v>
      </c>
      <c r="K139" s="32">
        <v>831199601</v>
      </c>
      <c r="L139" s="98">
        <v>8571397004</v>
      </c>
    </row>
    <row r="140" spans="2:12">
      <c r="B140" s="101" t="s">
        <v>399</v>
      </c>
      <c r="C140" s="97">
        <v>-32602110</v>
      </c>
      <c r="D140" s="119"/>
      <c r="E140" s="97">
        <v>780167714</v>
      </c>
      <c r="F140" s="120"/>
      <c r="H140" s="36" t="s">
        <v>489</v>
      </c>
      <c r="I140" s="32">
        <v>212723342</v>
      </c>
      <c r="J140" s="32">
        <v>391377474</v>
      </c>
      <c r="K140" s="34" t="s">
        <v>85</v>
      </c>
      <c r="L140" s="98">
        <v>604100816</v>
      </c>
    </row>
    <row r="141" spans="2:12" ht="28">
      <c r="B141" s="101" t="s">
        <v>400</v>
      </c>
      <c r="C141" s="97">
        <v>6299161199</v>
      </c>
      <c r="D141" s="119"/>
      <c r="E141" s="97">
        <v>2704869271</v>
      </c>
      <c r="F141" s="120"/>
      <c r="H141" s="36" t="s">
        <v>490</v>
      </c>
      <c r="I141" s="32">
        <v>272921569</v>
      </c>
      <c r="J141" s="32">
        <v>567743492</v>
      </c>
      <c r="K141" s="32">
        <v>29253769</v>
      </c>
      <c r="L141" s="98">
        <v>869918830</v>
      </c>
    </row>
    <row r="142" spans="2:12" ht="28">
      <c r="B142" s="121" t="s">
        <v>401</v>
      </c>
      <c r="C142" s="97">
        <v>15851388</v>
      </c>
      <c r="D142" s="119"/>
      <c r="E142" s="97">
        <v>27019213</v>
      </c>
      <c r="F142" s="120"/>
      <c r="H142" s="36" t="s">
        <v>491</v>
      </c>
      <c r="I142" s="32">
        <v>174693909</v>
      </c>
      <c r="J142" s="32">
        <v>157365637</v>
      </c>
      <c r="K142" s="34" t="s">
        <v>85</v>
      </c>
      <c r="L142" s="98">
        <v>332059546</v>
      </c>
    </row>
    <row r="143" spans="2:12" ht="28">
      <c r="B143" s="121" t="s">
        <v>402</v>
      </c>
      <c r="C143" s="97">
        <v>-9674005</v>
      </c>
      <c r="D143" s="119"/>
      <c r="E143" s="97">
        <v>304027685</v>
      </c>
      <c r="F143" s="120"/>
      <c r="H143" s="36" t="s">
        <v>123</v>
      </c>
      <c r="I143" s="32">
        <v>176478863</v>
      </c>
      <c r="J143" s="32">
        <v>4584953409</v>
      </c>
      <c r="K143" s="34" t="s">
        <v>85</v>
      </c>
      <c r="L143" s="98">
        <v>4761432272</v>
      </c>
    </row>
    <row r="144" spans="2:12" ht="28">
      <c r="B144" s="121" t="s">
        <v>403</v>
      </c>
      <c r="C144" s="97">
        <v>3216247440</v>
      </c>
      <c r="D144" s="119"/>
      <c r="E144" s="97">
        <v>1246878683</v>
      </c>
      <c r="F144" s="120"/>
      <c r="H144" s="36" t="s">
        <v>124</v>
      </c>
      <c r="I144" s="32">
        <v>190555050</v>
      </c>
      <c r="J144" s="32">
        <v>13359445</v>
      </c>
      <c r="K144" s="34" t="s">
        <v>85</v>
      </c>
      <c r="L144" s="98">
        <v>203914495</v>
      </c>
    </row>
    <row r="145" spans="2:12" ht="28">
      <c r="B145" s="121" t="s">
        <v>404</v>
      </c>
      <c r="C145" s="97">
        <v>189093188</v>
      </c>
      <c r="D145" s="119"/>
      <c r="E145" s="97">
        <v>16977612</v>
      </c>
      <c r="F145" s="120"/>
      <c r="H145" s="36" t="s">
        <v>492</v>
      </c>
      <c r="I145" s="32">
        <v>101415886</v>
      </c>
      <c r="J145" s="32">
        <v>173451427</v>
      </c>
      <c r="K145" s="32">
        <v>24663047</v>
      </c>
      <c r="L145" s="98">
        <v>299530360</v>
      </c>
    </row>
    <row r="146" spans="2:12">
      <c r="B146" s="121" t="s">
        <v>405</v>
      </c>
      <c r="C146" s="97">
        <v>56473535</v>
      </c>
      <c r="D146" s="119"/>
      <c r="E146" s="119" t="s">
        <v>85</v>
      </c>
      <c r="F146" s="120"/>
      <c r="H146" s="38" t="s">
        <v>74</v>
      </c>
      <c r="I146" s="99">
        <v>3499284261</v>
      </c>
      <c r="J146" s="99">
        <v>11257952645</v>
      </c>
      <c r="K146" s="99">
        <v>885116417</v>
      </c>
      <c r="L146" s="100">
        <v>15642353323</v>
      </c>
    </row>
    <row r="147" spans="2:12">
      <c r="B147" s="121" t="s">
        <v>406</v>
      </c>
      <c r="C147" s="119" t="s">
        <v>85</v>
      </c>
      <c r="D147" s="119"/>
      <c r="E147" s="97">
        <v>935921785</v>
      </c>
      <c r="F147" s="120"/>
    </row>
    <row r="148" spans="2:12">
      <c r="B148" s="121" t="s">
        <v>407</v>
      </c>
      <c r="C148" s="97">
        <v>825412829</v>
      </c>
      <c r="D148" s="119"/>
      <c r="E148" s="119" t="s">
        <v>85</v>
      </c>
      <c r="F148" s="120"/>
    </row>
    <row r="149" spans="2:12">
      <c r="B149" s="121" t="s">
        <v>408</v>
      </c>
      <c r="C149" s="119" t="s">
        <v>85</v>
      </c>
      <c r="D149" s="119"/>
      <c r="E149" s="97">
        <v>174044293</v>
      </c>
      <c r="F149" s="120"/>
      <c r="H149" s="51"/>
      <c r="I149" s="51" t="s">
        <v>494</v>
      </c>
      <c r="J149"/>
    </row>
    <row r="150" spans="2:12">
      <c r="B150" s="121" t="s">
        <v>409</v>
      </c>
      <c r="C150" s="97">
        <v>961469138</v>
      </c>
      <c r="D150" s="119"/>
      <c r="E150" s="119" t="s">
        <v>85</v>
      </c>
      <c r="F150" s="120"/>
      <c r="H150" s="54" t="s">
        <v>101</v>
      </c>
      <c r="I150"/>
      <c r="J150"/>
    </row>
    <row r="151" spans="2:12">
      <c r="B151" s="121" t="s">
        <v>410</v>
      </c>
      <c r="C151" s="97">
        <v>1044287686</v>
      </c>
      <c r="D151" s="119"/>
      <c r="E151" s="119" t="s">
        <v>85</v>
      </c>
      <c r="F151" s="120"/>
      <c r="H151" s="123" t="s">
        <v>59</v>
      </c>
      <c r="I151" s="46">
        <v>2024</v>
      </c>
      <c r="J151" s="47">
        <v>2023</v>
      </c>
    </row>
    <row r="152" spans="2:12">
      <c r="B152" s="101" t="s">
        <v>411</v>
      </c>
      <c r="C152" s="97">
        <v>-4751404</v>
      </c>
      <c r="D152" s="119"/>
      <c r="E152" s="97">
        <v>-13559736</v>
      </c>
      <c r="F152" s="120"/>
      <c r="H152" s="101" t="s">
        <v>284</v>
      </c>
      <c r="I152" s="32">
        <v>8420386076</v>
      </c>
      <c r="J152" s="48">
        <v>4628000584</v>
      </c>
    </row>
    <row r="153" spans="2:12" ht="28">
      <c r="B153" s="121" t="s">
        <v>412</v>
      </c>
      <c r="C153" s="97">
        <v>2751404</v>
      </c>
      <c r="D153" s="119"/>
      <c r="E153" s="97">
        <v>12143715</v>
      </c>
      <c r="F153" s="120"/>
      <c r="H153" s="101" t="s">
        <v>286</v>
      </c>
      <c r="I153" s="32">
        <v>368051627</v>
      </c>
      <c r="J153" s="48">
        <v>176478863</v>
      </c>
    </row>
    <row r="154" spans="2:12">
      <c r="B154" s="121" t="s">
        <v>413</v>
      </c>
      <c r="C154" s="97">
        <v>2000000</v>
      </c>
      <c r="D154" s="119"/>
      <c r="E154" s="119">
        <v>766</v>
      </c>
      <c r="F154" s="120"/>
      <c r="H154" s="38" t="s">
        <v>493</v>
      </c>
      <c r="I154" s="39">
        <v>8788437703</v>
      </c>
      <c r="J154" s="49">
        <v>4804479447</v>
      </c>
    </row>
    <row r="155" spans="2:12">
      <c r="B155" s="121" t="s">
        <v>414</v>
      </c>
      <c r="C155" s="119" t="s">
        <v>85</v>
      </c>
      <c r="D155" s="119"/>
      <c r="E155" s="97">
        <v>1415255</v>
      </c>
      <c r="F155" s="120"/>
    </row>
    <row r="156" spans="2:12">
      <c r="B156" s="101" t="s">
        <v>415</v>
      </c>
      <c r="C156" s="97">
        <v>-20742333382</v>
      </c>
      <c r="D156" s="119"/>
      <c r="E156" s="97">
        <v>-2976838622</v>
      </c>
      <c r="F156" s="120"/>
      <c r="H156" s="51"/>
      <c r="I156"/>
      <c r="J156"/>
    </row>
    <row r="157" spans="2:12">
      <c r="B157" s="121" t="s">
        <v>416</v>
      </c>
      <c r="C157" s="97">
        <v>-477308554</v>
      </c>
      <c r="D157" s="119"/>
      <c r="E157" s="97">
        <v>-1077907974</v>
      </c>
      <c r="F157" s="120"/>
      <c r="H157" s="54" t="s">
        <v>101</v>
      </c>
      <c r="I157" t="s">
        <v>495</v>
      </c>
      <c r="J157"/>
    </row>
    <row r="158" spans="2:12">
      <c r="B158" s="121" t="s">
        <v>417</v>
      </c>
      <c r="C158" s="97">
        <v>-93350366</v>
      </c>
      <c r="D158" s="119"/>
      <c r="E158" s="97">
        <v>-25727280</v>
      </c>
      <c r="F158" s="120"/>
      <c r="H158" s="123" t="s">
        <v>59</v>
      </c>
      <c r="I158" s="46">
        <v>2024</v>
      </c>
      <c r="J158" s="47">
        <v>2023</v>
      </c>
    </row>
    <row r="159" spans="2:12">
      <c r="B159" s="121" t="s">
        <v>418</v>
      </c>
      <c r="C159" s="97">
        <v>-44504110</v>
      </c>
      <c r="D159" s="119"/>
      <c r="E159" s="119" t="s">
        <v>85</v>
      </c>
      <c r="F159" s="120"/>
      <c r="H159" s="101" t="s">
        <v>284</v>
      </c>
      <c r="I159" s="32">
        <v>21494899</v>
      </c>
      <c r="J159" s="48">
        <v>21494892</v>
      </c>
    </row>
    <row r="160" spans="2:12" ht="28">
      <c r="B160" s="121" t="s">
        <v>419</v>
      </c>
      <c r="C160" s="97">
        <v>31066345</v>
      </c>
      <c r="D160" s="119"/>
      <c r="E160" s="97">
        <v>136009088</v>
      </c>
      <c r="F160" s="120"/>
      <c r="H160" s="101" t="s">
        <v>286</v>
      </c>
      <c r="I160" s="32">
        <v>98211558</v>
      </c>
      <c r="J160" s="48">
        <v>64959091</v>
      </c>
    </row>
    <row r="161" spans="2:10">
      <c r="B161" s="121" t="s">
        <v>420</v>
      </c>
      <c r="C161" s="97">
        <v>-4096649</v>
      </c>
      <c r="D161" s="119"/>
      <c r="E161" s="97">
        <v>-4572756</v>
      </c>
      <c r="F161" s="120"/>
      <c r="H161" s="38" t="s">
        <v>493</v>
      </c>
      <c r="I161" s="39">
        <v>119706457</v>
      </c>
      <c r="J161" s="49">
        <v>86453983</v>
      </c>
    </row>
    <row r="162" spans="2:10">
      <c r="B162" s="121" t="s">
        <v>421</v>
      </c>
      <c r="C162" s="97">
        <v>-619140</v>
      </c>
      <c r="D162" s="119"/>
      <c r="E162" s="119" t="s">
        <v>85</v>
      </c>
      <c r="F162" s="120"/>
    </row>
    <row r="163" spans="2:10">
      <c r="B163" s="121" t="s">
        <v>422</v>
      </c>
      <c r="C163" s="97">
        <v>-20955754781</v>
      </c>
      <c r="D163" s="119"/>
      <c r="E163" s="97">
        <v>-1464769060</v>
      </c>
      <c r="F163" s="120"/>
      <c r="H163" s="51"/>
      <c r="I163"/>
      <c r="J163"/>
    </row>
    <row r="164" spans="2:10">
      <c r="B164" s="121" t="s">
        <v>423</v>
      </c>
      <c r="C164" s="97">
        <v>164745695</v>
      </c>
      <c r="D164" s="119"/>
      <c r="E164" s="97">
        <v>184151795</v>
      </c>
      <c r="F164" s="120"/>
      <c r="H164" s="54" t="s">
        <v>101</v>
      </c>
      <c r="I164" t="s">
        <v>496</v>
      </c>
      <c r="J164"/>
    </row>
    <row r="165" spans="2:10">
      <c r="B165" s="121" t="s">
        <v>424</v>
      </c>
      <c r="C165" s="97">
        <v>408342557</v>
      </c>
      <c r="D165" s="119"/>
      <c r="E165" s="97">
        <v>-25542937</v>
      </c>
      <c r="F165" s="120"/>
      <c r="H165" s="123" t="s">
        <v>59</v>
      </c>
      <c r="I165" s="46">
        <v>2024</v>
      </c>
      <c r="J165" s="47">
        <v>2023</v>
      </c>
    </row>
    <row r="166" spans="2:10">
      <c r="B166" s="121" t="s">
        <v>425</v>
      </c>
      <c r="C166" s="97">
        <v>146581402</v>
      </c>
      <c r="D166" s="119"/>
      <c r="E166" s="97">
        <v>9350136</v>
      </c>
      <c r="F166" s="120"/>
      <c r="H166" s="101" t="s">
        <v>284</v>
      </c>
      <c r="I166" s="32">
        <v>20548009</v>
      </c>
      <c r="J166" s="48">
        <v>13359445</v>
      </c>
    </row>
    <row r="167" spans="2:10" ht="28">
      <c r="B167" s="121" t="s">
        <v>426</v>
      </c>
      <c r="C167" s="97">
        <v>101323619</v>
      </c>
      <c r="D167" s="119"/>
      <c r="E167" s="97">
        <v>41073689</v>
      </c>
      <c r="F167" s="120"/>
      <c r="H167" s="101" t="s">
        <v>286</v>
      </c>
      <c r="I167" s="32">
        <v>217140687</v>
      </c>
      <c r="J167" s="48">
        <v>49934441</v>
      </c>
    </row>
    <row r="168" spans="2:10">
      <c r="B168" s="121" t="s">
        <v>427</v>
      </c>
      <c r="C168" s="97">
        <v>-3343817</v>
      </c>
      <c r="D168" s="119"/>
      <c r="E168" s="97">
        <v>2507817</v>
      </c>
      <c r="F168" s="120"/>
      <c r="H168" s="38" t="s">
        <v>493</v>
      </c>
      <c r="I168" s="39">
        <v>237688696</v>
      </c>
      <c r="J168" s="49">
        <v>63293886</v>
      </c>
    </row>
    <row r="169" spans="2:10">
      <c r="B169" s="121" t="s">
        <v>428</v>
      </c>
      <c r="C169" s="97">
        <v>16524491</v>
      </c>
      <c r="D169" s="119"/>
      <c r="E169" s="97">
        <v>-46907660</v>
      </c>
      <c r="F169" s="120"/>
    </row>
    <row r="170" spans="2:10">
      <c r="B170" s="121" t="s">
        <v>429</v>
      </c>
      <c r="C170" s="97">
        <v>-31940074</v>
      </c>
      <c r="D170" s="119"/>
      <c r="E170" s="97">
        <v>-704503480</v>
      </c>
      <c r="F170" s="120"/>
    </row>
    <row r="171" spans="2:10">
      <c r="B171" s="101" t="s">
        <v>430</v>
      </c>
      <c r="C171" s="119"/>
      <c r="D171" s="97">
        <v>-32357965060</v>
      </c>
      <c r="E171" s="119"/>
      <c r="F171" s="98">
        <v>-12607550527</v>
      </c>
    </row>
    <row r="172" spans="2:10">
      <c r="B172" s="101" t="s">
        <v>431</v>
      </c>
      <c r="C172" s="97">
        <v>269856203</v>
      </c>
      <c r="D172" s="119"/>
      <c r="E172" s="97">
        <v>145547000</v>
      </c>
      <c r="F172" s="120"/>
    </row>
    <row r="173" spans="2:10">
      <c r="B173" s="121" t="s">
        <v>432</v>
      </c>
      <c r="C173" s="97">
        <v>72000000</v>
      </c>
      <c r="D173" s="119"/>
      <c r="E173" s="119" t="s">
        <v>85</v>
      </c>
      <c r="F173" s="120"/>
    </row>
    <row r="174" spans="2:10">
      <c r="B174" s="121" t="s">
        <v>433</v>
      </c>
      <c r="C174" s="119"/>
      <c r="D174" s="119"/>
      <c r="E174" s="97">
        <v>4327000</v>
      </c>
      <c r="F174" s="120"/>
    </row>
    <row r="175" spans="2:10">
      <c r="B175" s="121" t="s">
        <v>434</v>
      </c>
      <c r="C175" s="97">
        <v>21000000</v>
      </c>
      <c r="D175" s="119"/>
      <c r="E175" s="97">
        <v>15500000</v>
      </c>
      <c r="F175" s="120"/>
    </row>
    <row r="176" spans="2:10">
      <c r="B176" s="121" t="s">
        <v>435</v>
      </c>
      <c r="C176" s="97">
        <v>24024000</v>
      </c>
      <c r="D176" s="119"/>
      <c r="E176" s="97">
        <v>119020000</v>
      </c>
      <c r="F176" s="120"/>
    </row>
    <row r="177" spans="2:6">
      <c r="B177" s="121" t="s">
        <v>436</v>
      </c>
      <c r="C177" s="97">
        <v>152832203</v>
      </c>
      <c r="D177" s="119"/>
      <c r="E177" s="97">
        <v>6700000</v>
      </c>
      <c r="F177" s="120"/>
    </row>
    <row r="178" spans="2:6">
      <c r="B178" s="101" t="s">
        <v>437</v>
      </c>
      <c r="C178" s="97">
        <v>-32627821263</v>
      </c>
      <c r="D178" s="119"/>
      <c r="E178" s="97">
        <v>-12753097527</v>
      </c>
      <c r="F178" s="120"/>
    </row>
    <row r="179" spans="2:6">
      <c r="B179" s="121" t="s">
        <v>438</v>
      </c>
      <c r="C179" s="97">
        <v>8488170480</v>
      </c>
      <c r="D179" s="119"/>
      <c r="E179" s="119" t="s">
        <v>85</v>
      </c>
      <c r="F179" s="120"/>
    </row>
    <row r="180" spans="2:6">
      <c r="B180" s="121" t="s">
        <v>439</v>
      </c>
      <c r="C180" s="97">
        <v>12071904818</v>
      </c>
      <c r="D180" s="119"/>
      <c r="E180" s="97">
        <v>3401173909</v>
      </c>
      <c r="F180" s="120"/>
    </row>
    <row r="181" spans="2:6">
      <c r="B181" s="121" t="s">
        <v>440</v>
      </c>
      <c r="C181" s="97">
        <v>42325917</v>
      </c>
      <c r="D181" s="119"/>
      <c r="E181" s="97">
        <v>96999355</v>
      </c>
      <c r="F181" s="120"/>
    </row>
    <row r="182" spans="2:6">
      <c r="B182" s="121" t="s">
        <v>441</v>
      </c>
      <c r="C182" s="97">
        <v>236502670</v>
      </c>
      <c r="D182" s="119"/>
      <c r="E182" s="97">
        <v>4470000</v>
      </c>
      <c r="F182" s="120"/>
    </row>
    <row r="183" spans="2:6">
      <c r="B183" s="121" t="s">
        <v>442</v>
      </c>
      <c r="C183" s="97">
        <v>191243444</v>
      </c>
      <c r="D183" s="119"/>
      <c r="E183" s="97">
        <v>207956313</v>
      </c>
      <c r="F183" s="120"/>
    </row>
    <row r="184" spans="2:6">
      <c r="B184" s="121" t="s">
        <v>443</v>
      </c>
      <c r="C184" s="97">
        <v>55100000</v>
      </c>
      <c r="D184" s="119"/>
      <c r="E184" s="97">
        <v>202050000</v>
      </c>
      <c r="F184" s="120"/>
    </row>
    <row r="185" spans="2:6">
      <c r="B185" s="121" t="s">
        <v>444</v>
      </c>
      <c r="C185" s="97">
        <v>334348643</v>
      </c>
      <c r="D185" s="119"/>
      <c r="E185" s="119" t="s">
        <v>85</v>
      </c>
      <c r="F185" s="120"/>
    </row>
    <row r="186" spans="2:6">
      <c r="B186" s="121" t="s">
        <v>445</v>
      </c>
      <c r="C186" s="97">
        <v>958559745</v>
      </c>
      <c r="D186" s="119"/>
      <c r="E186" s="97">
        <v>2317794775</v>
      </c>
      <c r="F186" s="120"/>
    </row>
    <row r="187" spans="2:6">
      <c r="B187" s="121" t="s">
        <v>446</v>
      </c>
      <c r="C187" s="97">
        <v>18170954</v>
      </c>
      <c r="D187" s="119"/>
      <c r="E187" s="119" t="s">
        <v>85</v>
      </c>
      <c r="F187" s="120"/>
    </row>
    <row r="188" spans="2:6">
      <c r="B188" s="121" t="s">
        <v>447</v>
      </c>
      <c r="C188" s="97">
        <v>103539182</v>
      </c>
      <c r="D188" s="119"/>
      <c r="E188" s="97">
        <v>134510818</v>
      </c>
      <c r="F188" s="120"/>
    </row>
    <row r="189" spans="2:6">
      <c r="B189" s="121" t="s">
        <v>448</v>
      </c>
      <c r="C189" s="119"/>
      <c r="D189" s="119"/>
      <c r="E189" s="97">
        <v>368442357</v>
      </c>
      <c r="F189" s="120"/>
    </row>
    <row r="190" spans="2:6">
      <c r="B190" s="121" t="s">
        <v>449</v>
      </c>
      <c r="C190" s="97">
        <v>10000000000</v>
      </c>
      <c r="D190" s="119"/>
      <c r="E190" s="119" t="s">
        <v>85</v>
      </c>
      <c r="F190" s="120"/>
    </row>
    <row r="191" spans="2:6">
      <c r="B191" s="121" t="s">
        <v>450</v>
      </c>
      <c r="C191" s="119"/>
      <c r="D191" s="119"/>
      <c r="E191" s="97">
        <v>5900000000</v>
      </c>
      <c r="F191" s="120"/>
    </row>
    <row r="192" spans="2:6">
      <c r="B192" s="121" t="s">
        <v>451</v>
      </c>
      <c r="C192" s="97">
        <v>105500000</v>
      </c>
      <c r="D192" s="119"/>
      <c r="E192" s="97">
        <v>45000000</v>
      </c>
      <c r="F192" s="120"/>
    </row>
    <row r="193" spans="2:6">
      <c r="B193" s="121" t="s">
        <v>452</v>
      </c>
      <c r="C193" s="97">
        <v>22455410</v>
      </c>
      <c r="D193" s="119"/>
      <c r="E193" s="97">
        <v>68000000</v>
      </c>
      <c r="F193" s="120"/>
    </row>
    <row r="194" spans="2:6">
      <c r="B194" s="121" t="s">
        <v>453</v>
      </c>
      <c r="C194" s="119"/>
      <c r="D194" s="119"/>
      <c r="E194" s="97">
        <v>6700000</v>
      </c>
      <c r="F194" s="120"/>
    </row>
    <row r="195" spans="2:6">
      <c r="B195" s="101" t="s">
        <v>454</v>
      </c>
      <c r="C195" s="119"/>
      <c r="D195" s="97">
        <v>62300096228</v>
      </c>
      <c r="E195" s="119"/>
      <c r="F195" s="98">
        <v>22428308000</v>
      </c>
    </row>
    <row r="196" spans="2:6">
      <c r="B196" s="101" t="s">
        <v>455</v>
      </c>
      <c r="C196" s="97">
        <v>64961493228</v>
      </c>
      <c r="D196" s="119"/>
      <c r="E196" s="97">
        <v>29357650000</v>
      </c>
      <c r="F196" s="120"/>
    </row>
    <row r="197" spans="2:6">
      <c r="B197" s="121" t="s">
        <v>456</v>
      </c>
      <c r="C197" s="97">
        <v>1600495000</v>
      </c>
      <c r="D197" s="119"/>
      <c r="E197" s="97">
        <v>2451650000</v>
      </c>
      <c r="F197" s="120"/>
    </row>
    <row r="198" spans="2:6">
      <c r="B198" s="121" t="s">
        <v>457</v>
      </c>
      <c r="C198" s="97">
        <v>19361000000</v>
      </c>
      <c r="D198" s="119"/>
      <c r="E198" s="97">
        <v>5930000000</v>
      </c>
      <c r="F198" s="120"/>
    </row>
    <row r="199" spans="2:6">
      <c r="B199" s="121" t="s">
        <v>458</v>
      </c>
      <c r="C199" s="119" t="s">
        <v>85</v>
      </c>
      <c r="D199" s="119"/>
      <c r="E199" s="97">
        <v>976000000</v>
      </c>
      <c r="F199" s="120"/>
    </row>
    <row r="200" spans="2:6">
      <c r="B200" s="121" t="s">
        <v>459</v>
      </c>
      <c r="C200" s="97">
        <v>14999996000</v>
      </c>
      <c r="D200" s="119"/>
      <c r="E200" s="97">
        <v>20000000000</v>
      </c>
      <c r="F200" s="120"/>
    </row>
    <row r="201" spans="2:6">
      <c r="B201" s="121" t="s">
        <v>460</v>
      </c>
      <c r="C201" s="97">
        <v>29000002228</v>
      </c>
      <c r="D201" s="119"/>
      <c r="E201" s="119" t="s">
        <v>85</v>
      </c>
      <c r="F201" s="120"/>
    </row>
    <row r="202" spans="2:6">
      <c r="B202" s="101" t="s">
        <v>461</v>
      </c>
      <c r="C202" s="97">
        <v>-2661397000</v>
      </c>
      <c r="D202" s="119"/>
      <c r="E202" s="97">
        <v>-6929342000</v>
      </c>
      <c r="F202" s="120"/>
    </row>
    <row r="203" spans="2:6">
      <c r="B203" s="121" t="s">
        <v>462</v>
      </c>
      <c r="C203" s="97">
        <v>1602145000</v>
      </c>
      <c r="D203" s="119"/>
      <c r="E203" s="97">
        <v>2450000000</v>
      </c>
      <c r="F203" s="120"/>
    </row>
    <row r="204" spans="2:6">
      <c r="B204" s="121" t="s">
        <v>463</v>
      </c>
      <c r="C204" s="97">
        <v>1011252000</v>
      </c>
      <c r="D204" s="119"/>
      <c r="E204" s="97">
        <v>334189996</v>
      </c>
      <c r="F204" s="120"/>
    </row>
    <row r="205" spans="2:6">
      <c r="B205" s="121" t="s">
        <v>464</v>
      </c>
      <c r="C205" s="97">
        <v>48000000</v>
      </c>
      <c r="D205" s="119"/>
      <c r="E205" s="97">
        <v>4113152004</v>
      </c>
      <c r="F205" s="120"/>
    </row>
    <row r="206" spans="2:6">
      <c r="B206" s="121" t="s">
        <v>465</v>
      </c>
      <c r="C206" s="119" t="s">
        <v>85</v>
      </c>
      <c r="D206" s="119"/>
      <c r="E206" s="97">
        <v>32000000</v>
      </c>
      <c r="F206" s="120"/>
    </row>
    <row r="207" spans="2:6">
      <c r="B207" s="101" t="s">
        <v>466</v>
      </c>
      <c r="C207" s="119"/>
      <c r="D207" s="97">
        <v>15461605471</v>
      </c>
      <c r="E207" s="119"/>
      <c r="F207" s="98">
        <v>10315396100</v>
      </c>
    </row>
    <row r="208" spans="2:6">
      <c r="B208" s="101" t="s">
        <v>467</v>
      </c>
      <c r="C208" s="119"/>
      <c r="D208" s="97">
        <v>233784143</v>
      </c>
      <c r="E208" s="119"/>
      <c r="F208" s="120" t="s">
        <v>85</v>
      </c>
    </row>
    <row r="209" spans="2:11">
      <c r="B209" s="101" t="s">
        <v>468</v>
      </c>
      <c r="C209" s="119"/>
      <c r="D209" s="97">
        <v>12317096657</v>
      </c>
      <c r="E209" s="119"/>
      <c r="F209" s="98">
        <v>2001700557</v>
      </c>
    </row>
    <row r="210" spans="2:11">
      <c r="B210" s="55" t="s">
        <v>469</v>
      </c>
      <c r="C210" s="122"/>
      <c r="D210" s="99">
        <v>28012486271</v>
      </c>
      <c r="E210" s="122"/>
      <c r="F210" s="100">
        <v>12317096657</v>
      </c>
    </row>
    <row r="211" spans="2:11">
      <c r="D211" s="68"/>
      <c r="I211" s="1">
        <v>23</v>
      </c>
      <c r="J211" s="1">
        <v>24</v>
      </c>
    </row>
    <row r="212" spans="2:11">
      <c r="C212" s="1" t="s">
        <v>662</v>
      </c>
      <c r="H212" s="45" t="s">
        <v>59</v>
      </c>
      <c r="I212" s="47" t="s">
        <v>549</v>
      </c>
      <c r="J212" s="46" t="s">
        <v>548</v>
      </c>
      <c r="K212" s="47"/>
    </row>
    <row r="213" spans="2:11">
      <c r="B213" s="226" t="s">
        <v>802</v>
      </c>
      <c r="C213" s="227"/>
      <c r="D213" s="228">
        <v>458926395</v>
      </c>
      <c r="E213" s="227"/>
      <c r="F213" s="229">
        <v>57787876</v>
      </c>
      <c r="H213" s="101" t="s">
        <v>800</v>
      </c>
      <c r="I213" s="48">
        <v>418687701</v>
      </c>
      <c r="J213" s="32">
        <v>54903554</v>
      </c>
      <c r="K213" s="48"/>
    </row>
    <row r="214" spans="2:11" ht="28">
      <c r="B214" s="101" t="s">
        <v>803</v>
      </c>
      <c r="C214" s="97">
        <v>140939055</v>
      </c>
      <c r="D214" s="119"/>
      <c r="E214" s="97">
        <v>5361859</v>
      </c>
      <c r="F214" s="120"/>
      <c r="H214" s="101" t="s">
        <v>818</v>
      </c>
      <c r="I214" s="48">
        <v>414328116</v>
      </c>
      <c r="J214" s="32">
        <v>49585997</v>
      </c>
      <c r="K214" s="48"/>
    </row>
    <row r="215" spans="2:11" ht="56">
      <c r="B215" s="101" t="s">
        <v>804</v>
      </c>
      <c r="C215" s="97">
        <v>292908701</v>
      </c>
      <c r="D215" s="119"/>
      <c r="E215" s="97">
        <v>24104387</v>
      </c>
      <c r="F215" s="120"/>
      <c r="H215" s="101" t="s">
        <v>819</v>
      </c>
      <c r="I215" s="48">
        <v>4359585</v>
      </c>
      <c r="J215" s="32">
        <v>5317557</v>
      </c>
      <c r="K215" s="48"/>
    </row>
    <row r="216" spans="2:11" ht="70">
      <c r="B216" s="101" t="s">
        <v>805</v>
      </c>
      <c r="C216" s="97">
        <v>2751404</v>
      </c>
      <c r="D216" s="119"/>
      <c r="E216" s="97">
        <v>24730658</v>
      </c>
      <c r="F216" s="120"/>
      <c r="H216" s="101" t="s">
        <v>820</v>
      </c>
      <c r="I216" s="58" t="s">
        <v>85</v>
      </c>
      <c r="J216" s="32">
        <v>29956430</v>
      </c>
      <c r="K216" s="58"/>
    </row>
    <row r="217" spans="2:11">
      <c r="B217" s="101" t="s">
        <v>806</v>
      </c>
      <c r="C217" s="97">
        <v>2000000</v>
      </c>
      <c r="D217" s="119"/>
      <c r="E217" s="119">
        <v>766</v>
      </c>
      <c r="F217" s="120"/>
      <c r="H217" s="101" t="s">
        <v>821</v>
      </c>
      <c r="I217" s="48">
        <v>297496552</v>
      </c>
      <c r="J217" s="32">
        <v>238494671</v>
      </c>
      <c r="K217" s="48"/>
    </row>
    <row r="218" spans="2:11" ht="28">
      <c r="B218" s="101" t="s">
        <v>807</v>
      </c>
      <c r="C218" s="119" t="s">
        <v>85</v>
      </c>
      <c r="D218" s="119"/>
      <c r="E218" s="97">
        <v>1415255</v>
      </c>
      <c r="F218" s="120"/>
      <c r="H218" s="101" t="s">
        <v>822</v>
      </c>
      <c r="I218" s="48">
        <v>40054492</v>
      </c>
      <c r="J218" s="32">
        <v>659929650</v>
      </c>
      <c r="K218" s="48"/>
    </row>
    <row r="219" spans="2:11" ht="28">
      <c r="B219" s="55" t="s">
        <v>808</v>
      </c>
      <c r="C219" s="99">
        <v>20327235</v>
      </c>
      <c r="D219" s="122"/>
      <c r="E219" s="99">
        <v>2174951</v>
      </c>
      <c r="F219" s="230"/>
      <c r="H219" s="101" t="s">
        <v>823</v>
      </c>
      <c r="I219" s="58" t="s">
        <v>85</v>
      </c>
      <c r="J219" s="32">
        <v>4148857908</v>
      </c>
      <c r="K219" s="58"/>
    </row>
    <row r="220" spans="2:11">
      <c r="H220" s="38" t="s">
        <v>70</v>
      </c>
      <c r="I220" s="49">
        <v>756238745</v>
      </c>
      <c r="J220" s="39">
        <v>5132142213</v>
      </c>
      <c r="K220" s="49"/>
    </row>
    <row r="221" spans="2:11">
      <c r="B221" s="226" t="s">
        <v>809</v>
      </c>
      <c r="C221" s="227"/>
      <c r="D221" s="228">
        <v>2916408654</v>
      </c>
      <c r="E221" s="227"/>
      <c r="F221" s="229">
        <v>1299446179</v>
      </c>
    </row>
    <row r="222" spans="2:11">
      <c r="B222" s="101" t="s">
        <v>810</v>
      </c>
      <c r="C222" s="97">
        <v>804628653</v>
      </c>
      <c r="D222" s="119"/>
      <c r="E222" s="97">
        <v>178763019</v>
      </c>
      <c r="F222" s="120"/>
      <c r="H222" s="45" t="s">
        <v>59</v>
      </c>
      <c r="I222" s="47" t="s">
        <v>549</v>
      </c>
      <c r="J222" s="46" t="s">
        <v>548</v>
      </c>
      <c r="K222" s="47"/>
    </row>
    <row r="223" spans="2:11">
      <c r="B223" s="101" t="s">
        <v>811</v>
      </c>
      <c r="C223" s="97">
        <v>121054565</v>
      </c>
      <c r="D223" s="119"/>
      <c r="E223" s="97">
        <v>1439541</v>
      </c>
      <c r="F223" s="120"/>
      <c r="H223" s="101" t="s">
        <v>797</v>
      </c>
      <c r="I223" s="231">
        <v>2928082090</v>
      </c>
      <c r="J223" s="32">
        <v>5250478112</v>
      </c>
      <c r="K223" s="231"/>
    </row>
    <row r="224" spans="2:11" ht="28">
      <c r="B224" s="101" t="s">
        <v>812</v>
      </c>
      <c r="C224" s="97">
        <v>120448343</v>
      </c>
      <c r="D224" s="119"/>
      <c r="E224" s="119" t="s">
        <v>85</v>
      </c>
      <c r="F224" s="120"/>
      <c r="H224" s="101" t="s">
        <v>824</v>
      </c>
      <c r="I224" s="231">
        <v>691686595</v>
      </c>
      <c r="J224" s="32">
        <v>1926658613</v>
      </c>
      <c r="K224" s="231"/>
    </row>
    <row r="225" spans="2:14" ht="28">
      <c r="B225" s="101" t="s">
        <v>813</v>
      </c>
      <c r="C225" s="97">
        <v>825412829</v>
      </c>
      <c r="D225" s="119"/>
      <c r="E225" s="119" t="s">
        <v>85</v>
      </c>
      <c r="F225" s="120"/>
      <c r="H225" s="101" t="s">
        <v>825</v>
      </c>
      <c r="I225" s="231">
        <v>2230883824</v>
      </c>
      <c r="J225" s="32">
        <v>3316545941</v>
      </c>
      <c r="K225" s="231"/>
    </row>
    <row r="226" spans="2:14" ht="28">
      <c r="B226" s="101" t="s">
        <v>814</v>
      </c>
      <c r="C226" s="119" t="s">
        <v>85</v>
      </c>
      <c r="D226" s="119"/>
      <c r="E226" s="97">
        <v>174044293</v>
      </c>
      <c r="F226" s="120"/>
      <c r="H226" s="101" t="s">
        <v>826</v>
      </c>
      <c r="I226" s="231">
        <v>5511671</v>
      </c>
      <c r="J226" s="32">
        <v>7273558</v>
      </c>
      <c r="K226" s="231"/>
    </row>
    <row r="227" spans="2:14" ht="70">
      <c r="B227" s="101" t="s">
        <v>815</v>
      </c>
      <c r="C227" s="97">
        <v>1044287686</v>
      </c>
      <c r="D227" s="119"/>
      <c r="E227" s="119" t="s">
        <v>85</v>
      </c>
      <c r="F227" s="120"/>
      <c r="H227" s="101" t="s">
        <v>827</v>
      </c>
      <c r="I227" s="231">
        <v>11474140512</v>
      </c>
      <c r="J227" s="34" t="s">
        <v>85</v>
      </c>
      <c r="K227" s="231"/>
    </row>
    <row r="228" spans="2:14" ht="56">
      <c r="B228" s="101" t="s">
        <v>816</v>
      </c>
      <c r="C228" s="119" t="s">
        <v>85</v>
      </c>
      <c r="D228" s="119"/>
      <c r="E228" s="97">
        <v>935921785</v>
      </c>
      <c r="F228" s="120"/>
      <c r="H228" s="101" t="s">
        <v>828</v>
      </c>
      <c r="I228" s="232" t="s">
        <v>85</v>
      </c>
      <c r="J228" s="32">
        <v>9276245</v>
      </c>
      <c r="K228" s="232"/>
    </row>
    <row r="229" spans="2:14">
      <c r="B229" s="55" t="s">
        <v>817</v>
      </c>
      <c r="C229" s="99">
        <v>576578</v>
      </c>
      <c r="D229" s="122"/>
      <c r="E229" s="99">
        <v>9277541</v>
      </c>
      <c r="F229" s="230"/>
      <c r="H229" s="101" t="s">
        <v>829</v>
      </c>
      <c r="I229" s="231">
        <v>204259600</v>
      </c>
      <c r="J229" s="32">
        <v>263690449</v>
      </c>
      <c r="K229" s="231"/>
    </row>
    <row r="230" spans="2:14" ht="28">
      <c r="H230" s="101" t="s">
        <v>830</v>
      </c>
      <c r="I230" s="231">
        <v>21700072</v>
      </c>
      <c r="J230" s="32">
        <v>5906631</v>
      </c>
      <c r="K230" s="231"/>
    </row>
    <row r="231" spans="2:14" ht="28">
      <c r="H231" s="101" t="s">
        <v>831</v>
      </c>
      <c r="I231" s="231">
        <v>39202442678</v>
      </c>
      <c r="J231" s="32">
        <v>8217528891</v>
      </c>
      <c r="K231" s="231"/>
    </row>
    <row r="232" spans="2:14" ht="28">
      <c r="H232" s="101" t="s">
        <v>832</v>
      </c>
      <c r="I232" s="232" t="s">
        <v>85</v>
      </c>
      <c r="J232" s="32">
        <v>68908257</v>
      </c>
      <c r="K232" s="232"/>
    </row>
    <row r="233" spans="2:14">
      <c r="H233" s="38" t="s">
        <v>70</v>
      </c>
      <c r="I233" s="49">
        <v>53830624952</v>
      </c>
      <c r="J233" s="39">
        <v>13815788585</v>
      </c>
      <c r="K233" s="49"/>
    </row>
    <row r="238" spans="2:14">
      <c r="J238" s="415" t="s">
        <v>59</v>
      </c>
      <c r="K238" s="403" t="s">
        <v>853</v>
      </c>
      <c r="L238" s="404"/>
      <c r="M238" s="417" t="s">
        <v>114</v>
      </c>
      <c r="N238" s="418"/>
    </row>
    <row r="239" spans="2:14">
      <c r="B239" s="45" t="s">
        <v>836</v>
      </c>
      <c r="C239" s="46" t="s">
        <v>837</v>
      </c>
      <c r="D239" s="46" t="s">
        <v>838</v>
      </c>
      <c r="E239" s="46" t="s">
        <v>76</v>
      </c>
      <c r="F239" s="46" t="s">
        <v>103</v>
      </c>
      <c r="G239" s="47" t="s">
        <v>745</v>
      </c>
      <c r="J239" s="416"/>
      <c r="K239" s="30" t="s">
        <v>168</v>
      </c>
      <c r="L239" s="236" t="s">
        <v>850</v>
      </c>
      <c r="M239" s="236" t="s">
        <v>168</v>
      </c>
      <c r="N239" s="35" t="s">
        <v>850</v>
      </c>
    </row>
    <row r="240" spans="2:14">
      <c r="B240" s="406" t="s">
        <v>839</v>
      </c>
      <c r="C240" s="409">
        <v>44358</v>
      </c>
      <c r="D240" s="409">
        <v>48010</v>
      </c>
      <c r="E240" s="31" t="s">
        <v>840</v>
      </c>
      <c r="F240" s="34" t="s">
        <v>85</v>
      </c>
      <c r="G240" s="48">
        <v>2500000000</v>
      </c>
      <c r="J240" s="101" t="s">
        <v>797</v>
      </c>
      <c r="K240" s="32">
        <v>607682189</v>
      </c>
      <c r="L240" s="32">
        <v>3233678290</v>
      </c>
      <c r="M240" s="32">
        <v>1479927473</v>
      </c>
      <c r="N240" s="48">
        <v>3890825276</v>
      </c>
    </row>
    <row r="241" spans="2:14" ht="28">
      <c r="B241" s="407"/>
      <c r="C241" s="410"/>
      <c r="D241" s="410"/>
      <c r="E241" s="31" t="s">
        <v>841</v>
      </c>
      <c r="F241" s="34" t="s">
        <v>85</v>
      </c>
      <c r="G241" s="48">
        <v>1027161712</v>
      </c>
      <c r="J241" s="101" t="s">
        <v>824</v>
      </c>
      <c r="K241" s="32">
        <v>205709576</v>
      </c>
      <c r="L241" s="32">
        <v>898317880</v>
      </c>
      <c r="M241" s="32">
        <v>416692703</v>
      </c>
      <c r="N241" s="48">
        <v>1462883270</v>
      </c>
    </row>
    <row r="242" spans="2:14" ht="28">
      <c r="B242" s="407"/>
      <c r="C242" s="410"/>
      <c r="D242" s="410"/>
      <c r="E242" s="31" t="s">
        <v>842</v>
      </c>
      <c r="F242" s="34" t="s">
        <v>85</v>
      </c>
      <c r="G242" s="48">
        <v>-2019993132</v>
      </c>
      <c r="J242" s="101" t="s">
        <v>825</v>
      </c>
      <c r="K242" s="32">
        <v>399939895</v>
      </c>
      <c r="L242" s="32">
        <v>2328765072</v>
      </c>
      <c r="M242" s="32">
        <v>1061578771</v>
      </c>
      <c r="N242" s="48">
        <v>2422602257</v>
      </c>
    </row>
    <row r="243" spans="2:14">
      <c r="B243" s="408"/>
      <c r="C243" s="411"/>
      <c r="D243" s="411"/>
      <c r="E243" s="31" t="s">
        <v>843</v>
      </c>
      <c r="F243" s="34" t="s">
        <v>85</v>
      </c>
      <c r="G243" s="48">
        <v>1507168580</v>
      </c>
      <c r="J243" s="101" t="s">
        <v>826</v>
      </c>
      <c r="K243" s="32">
        <v>2032718</v>
      </c>
      <c r="L243" s="32">
        <v>6595338</v>
      </c>
      <c r="M243" s="32">
        <v>1655999</v>
      </c>
      <c r="N243" s="48">
        <v>5339749</v>
      </c>
    </row>
    <row r="244" spans="2:14" ht="42">
      <c r="B244" s="406" t="s">
        <v>844</v>
      </c>
      <c r="C244" s="409">
        <v>44366</v>
      </c>
      <c r="D244" s="409">
        <v>48018</v>
      </c>
      <c r="E244" s="31" t="s">
        <v>840</v>
      </c>
      <c r="F244" s="34" t="s">
        <v>85</v>
      </c>
      <c r="G244" s="48">
        <v>7000000000</v>
      </c>
      <c r="J244" s="101" t="s">
        <v>851</v>
      </c>
      <c r="K244" s="34" t="s">
        <v>85</v>
      </c>
      <c r="L244" s="32">
        <v>11480579287</v>
      </c>
      <c r="M244" s="34" t="s">
        <v>85</v>
      </c>
      <c r="N244" s="58" t="s">
        <v>85</v>
      </c>
    </row>
    <row r="245" spans="2:14" ht="42">
      <c r="B245" s="407"/>
      <c r="C245" s="410"/>
      <c r="D245" s="410"/>
      <c r="E245" s="31" t="s">
        <v>841</v>
      </c>
      <c r="F245" s="34" t="s">
        <v>85</v>
      </c>
      <c r="G245" s="48">
        <v>2876052794</v>
      </c>
      <c r="J245" s="101" t="s">
        <v>852</v>
      </c>
      <c r="K245" s="34" t="s">
        <v>85</v>
      </c>
      <c r="L245" s="34" t="s">
        <v>85</v>
      </c>
      <c r="M245" s="32">
        <v>9276245</v>
      </c>
      <c r="N245" s="48">
        <v>9276245</v>
      </c>
    </row>
    <row r="246" spans="2:14">
      <c r="B246" s="407"/>
      <c r="C246" s="410"/>
      <c r="D246" s="410"/>
      <c r="E246" s="31" t="s">
        <v>842</v>
      </c>
      <c r="F246" s="34" t="s">
        <v>85</v>
      </c>
      <c r="G246" s="48">
        <v>-5640535955</v>
      </c>
      <c r="J246" s="101" t="s">
        <v>829</v>
      </c>
      <c r="K246" s="32">
        <v>541726189</v>
      </c>
      <c r="L246" s="32">
        <v>797074952</v>
      </c>
      <c r="M246" s="32">
        <v>204962002</v>
      </c>
      <c r="N246" s="48">
        <v>226003510</v>
      </c>
    </row>
    <row r="247" spans="2:14">
      <c r="B247" s="408"/>
      <c r="C247" s="411"/>
      <c r="D247" s="411"/>
      <c r="E247" s="31" t="s">
        <v>843</v>
      </c>
      <c r="F247" s="34" t="s">
        <v>85</v>
      </c>
      <c r="G247" s="48">
        <v>4235516839</v>
      </c>
      <c r="J247" s="101" t="s">
        <v>830</v>
      </c>
      <c r="K247" s="32">
        <v>-589288216</v>
      </c>
      <c r="L247" s="32">
        <v>31617229</v>
      </c>
      <c r="M247" s="32">
        <v>-231938073</v>
      </c>
      <c r="N247" s="58" t="s">
        <v>85</v>
      </c>
    </row>
    <row r="248" spans="2:14" ht="28">
      <c r="B248" s="406" t="s">
        <v>845</v>
      </c>
      <c r="C248" s="409">
        <v>44511</v>
      </c>
      <c r="D248" s="409">
        <v>48163</v>
      </c>
      <c r="E248" s="31" t="s">
        <v>840</v>
      </c>
      <c r="F248" s="34" t="s">
        <v>85</v>
      </c>
      <c r="G248" s="48">
        <v>10500000000</v>
      </c>
      <c r="J248" s="101" t="s">
        <v>831</v>
      </c>
      <c r="K248" s="34" t="s">
        <v>85</v>
      </c>
      <c r="L248" s="32">
        <v>59286939175</v>
      </c>
      <c r="M248" s="34" t="s">
        <v>85</v>
      </c>
      <c r="N248" s="58" t="s">
        <v>85</v>
      </c>
    </row>
    <row r="249" spans="2:14">
      <c r="B249" s="407"/>
      <c r="C249" s="410"/>
      <c r="D249" s="410"/>
      <c r="E249" s="31" t="s">
        <v>841</v>
      </c>
      <c r="F249" s="34" t="s">
        <v>85</v>
      </c>
      <c r="G249" s="48">
        <v>4314079192</v>
      </c>
      <c r="J249" s="38" t="s">
        <v>70</v>
      </c>
      <c r="K249" s="237">
        <v>560120162</v>
      </c>
      <c r="L249" s="237">
        <v>74829888933</v>
      </c>
      <c r="M249" s="237">
        <v>1462227647</v>
      </c>
      <c r="N249" s="238">
        <v>4126105031</v>
      </c>
    </row>
    <row r="250" spans="2:14">
      <c r="B250" s="407"/>
      <c r="C250" s="410"/>
      <c r="D250" s="410"/>
      <c r="E250" s="31" t="s">
        <v>842</v>
      </c>
      <c r="F250" s="34" t="s">
        <v>85</v>
      </c>
      <c r="G250" s="48">
        <v>-8840491070</v>
      </c>
    </row>
    <row r="251" spans="2:14">
      <c r="B251" s="408"/>
      <c r="C251" s="411"/>
      <c r="D251" s="411"/>
      <c r="E251" s="31" t="s">
        <v>843</v>
      </c>
      <c r="F251" s="34" t="s">
        <v>85</v>
      </c>
      <c r="G251" s="48">
        <v>5973588122</v>
      </c>
    </row>
    <row r="252" spans="2:14">
      <c r="B252" s="406" t="s">
        <v>846</v>
      </c>
      <c r="C252" s="409">
        <v>44709</v>
      </c>
      <c r="D252" s="409">
        <v>48362</v>
      </c>
      <c r="E252" s="31" t="s">
        <v>840</v>
      </c>
      <c r="F252" s="34" t="s">
        <v>85</v>
      </c>
      <c r="G252" s="48">
        <v>15000000000</v>
      </c>
    </row>
    <row r="253" spans="2:14">
      <c r="B253" s="407"/>
      <c r="C253" s="410"/>
      <c r="D253" s="410"/>
      <c r="E253" s="31" t="s">
        <v>841</v>
      </c>
      <c r="F253" s="34" t="s">
        <v>85</v>
      </c>
      <c r="G253" s="48">
        <v>6164964988</v>
      </c>
    </row>
    <row r="254" spans="2:14">
      <c r="B254" s="407"/>
      <c r="C254" s="410"/>
      <c r="D254" s="410"/>
      <c r="E254" s="31" t="s">
        <v>842</v>
      </c>
      <c r="F254" s="34" t="s">
        <v>85</v>
      </c>
      <c r="G254" s="48">
        <v>-14379543383</v>
      </c>
    </row>
    <row r="255" spans="2:14">
      <c r="B255" s="408"/>
      <c r="C255" s="411"/>
      <c r="D255" s="411"/>
      <c r="E255" s="31" t="s">
        <v>843</v>
      </c>
      <c r="F255" s="34" t="s">
        <v>85</v>
      </c>
      <c r="G255" s="48">
        <v>6785421605</v>
      </c>
    </row>
    <row r="256" spans="2:14">
      <c r="B256" s="140" t="s">
        <v>847</v>
      </c>
      <c r="C256" s="409">
        <v>44841</v>
      </c>
      <c r="D256" s="409">
        <v>48494</v>
      </c>
      <c r="E256" s="31" t="s">
        <v>840</v>
      </c>
      <c r="F256" s="32">
        <v>29000002228</v>
      </c>
      <c r="G256" s="48">
        <v>29000002228</v>
      </c>
    </row>
    <row r="257" spans="2:7">
      <c r="B257" s="141" t="s">
        <v>848</v>
      </c>
      <c r="C257" s="410"/>
      <c r="D257" s="410"/>
      <c r="E257" s="31" t="s">
        <v>841</v>
      </c>
      <c r="F257" s="32">
        <v>22959463563</v>
      </c>
      <c r="G257" s="48">
        <v>22959463563</v>
      </c>
    </row>
    <row r="258" spans="2:7">
      <c r="B258" s="141"/>
      <c r="C258" s="410"/>
      <c r="D258" s="410"/>
      <c r="E258" s="31" t="s">
        <v>842</v>
      </c>
      <c r="F258" s="32">
        <v>-43928305505</v>
      </c>
      <c r="G258" s="48">
        <v>-45376262196</v>
      </c>
    </row>
    <row r="259" spans="2:7">
      <c r="B259" s="142"/>
      <c r="C259" s="411"/>
      <c r="D259" s="411"/>
      <c r="E259" s="31" t="s">
        <v>843</v>
      </c>
      <c r="F259" s="32">
        <v>8031160286</v>
      </c>
      <c r="G259" s="48">
        <v>6583203595</v>
      </c>
    </row>
    <row r="260" spans="2:7">
      <c r="B260" s="412" t="s">
        <v>117</v>
      </c>
      <c r="C260" s="413"/>
      <c r="D260" s="413"/>
      <c r="E260" s="414"/>
      <c r="F260" s="39">
        <v>8031160286</v>
      </c>
      <c r="G260" s="49">
        <v>25084898741</v>
      </c>
    </row>
  </sheetData>
  <mergeCells count="20">
    <mergeCell ref="B260:E260"/>
    <mergeCell ref="J238:J239"/>
    <mergeCell ref="K238:L238"/>
    <mergeCell ref="M238:N238"/>
    <mergeCell ref="B252:B255"/>
    <mergeCell ref="C252:C255"/>
    <mergeCell ref="D252:D255"/>
    <mergeCell ref="C256:C259"/>
    <mergeCell ref="D256:D259"/>
    <mergeCell ref="B244:B247"/>
    <mergeCell ref="C244:C247"/>
    <mergeCell ref="D244:D247"/>
    <mergeCell ref="B248:B251"/>
    <mergeCell ref="C248:C251"/>
    <mergeCell ref="D248:D251"/>
    <mergeCell ref="C138:D138"/>
    <mergeCell ref="E138:F138"/>
    <mergeCell ref="B240:B243"/>
    <mergeCell ref="C240:C243"/>
    <mergeCell ref="D240:D243"/>
  </mergeCells>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C9EF1-C035-4AC0-A4CE-A5BF1E379DC9}">
  <sheetPr>
    <tabColor theme="2" tint="-0.249977111117893"/>
  </sheetPr>
  <dimension ref="A1:AD216"/>
  <sheetViews>
    <sheetView topLeftCell="A134" zoomScale="85" zoomScaleNormal="85" workbookViewId="0">
      <selection activeCell="G150" sqref="G150"/>
    </sheetView>
  </sheetViews>
  <sheetFormatPr defaultRowHeight="17"/>
  <cols>
    <col min="1" max="1" width="25.83203125" style="1" bestFit="1" customWidth="1"/>
    <col min="2" max="2" width="15.83203125" style="1" bestFit="1" customWidth="1"/>
    <col min="3" max="3" width="16.08203125" style="1" bestFit="1" customWidth="1"/>
    <col min="4" max="4" width="12.6640625" style="1" bestFit="1" customWidth="1"/>
    <col min="5" max="5" width="14.4140625" style="1" bestFit="1" customWidth="1"/>
    <col min="6" max="8" width="15" style="1" bestFit="1" customWidth="1"/>
    <col min="9" max="9" width="16.25" style="1" bestFit="1" customWidth="1"/>
    <col min="10" max="10" width="15.4140625" style="1" bestFit="1" customWidth="1"/>
    <col min="11" max="11" width="14.4140625" style="1" bestFit="1" customWidth="1"/>
    <col min="12" max="12" width="14" style="1" bestFit="1" customWidth="1"/>
    <col min="13" max="13" width="21.58203125" style="1" customWidth="1"/>
    <col min="14" max="14" width="15.5" style="1" bestFit="1" customWidth="1"/>
    <col min="15" max="15" width="15.1640625" style="1" bestFit="1" customWidth="1"/>
    <col min="16" max="16" width="15.5" style="1" bestFit="1" customWidth="1"/>
    <col min="17" max="17" width="14.08203125" style="1" bestFit="1" customWidth="1"/>
    <col min="18" max="18" width="8.6640625" style="1"/>
    <col min="19" max="21" width="14.33203125" style="1" bestFit="1" customWidth="1"/>
    <col min="22" max="22" width="14.1640625" style="1" bestFit="1" customWidth="1"/>
    <col min="23" max="24" width="14.33203125" style="1" bestFit="1" customWidth="1"/>
    <col min="25" max="25" width="14.1640625" style="1" bestFit="1" customWidth="1"/>
    <col min="26" max="27" width="14.33203125" style="1" bestFit="1" customWidth="1"/>
    <col min="28" max="28" width="14.1640625" style="1" bestFit="1" customWidth="1"/>
    <col min="29" max="29" width="14.33203125" style="1" bestFit="1" customWidth="1"/>
    <col min="30" max="16384" width="8.6640625" style="1"/>
  </cols>
  <sheetData>
    <row r="1" spans="1:20" ht="28">
      <c r="A1" s="28" t="s">
        <v>57</v>
      </c>
      <c r="B1"/>
      <c r="C1"/>
      <c r="D1"/>
      <c r="E1"/>
      <c r="F1"/>
      <c r="G1"/>
    </row>
    <row r="2" spans="1:20">
      <c r="A2" s="29" t="s">
        <v>58</v>
      </c>
      <c r="B2"/>
      <c r="C2"/>
      <c r="D2"/>
      <c r="E2"/>
      <c r="F2"/>
      <c r="G2"/>
    </row>
    <row r="3" spans="1:20">
      <c r="A3" s="415" t="s">
        <v>59</v>
      </c>
      <c r="B3" s="403" t="s">
        <v>60</v>
      </c>
      <c r="C3" s="404"/>
      <c r="D3" s="403" t="s">
        <v>61</v>
      </c>
      <c r="E3" s="404"/>
      <c r="F3" s="403" t="s">
        <v>62</v>
      </c>
      <c r="G3" s="405"/>
      <c r="I3" s="1" t="s">
        <v>115</v>
      </c>
      <c r="J3" s="1" t="s">
        <v>116</v>
      </c>
      <c r="K3" s="1" t="s">
        <v>125</v>
      </c>
      <c r="M3" s="51" t="s">
        <v>100</v>
      </c>
      <c r="N3" s="1" t="s">
        <v>116</v>
      </c>
      <c r="O3"/>
      <c r="P3"/>
      <c r="R3" s="125"/>
      <c r="S3" s="126" t="s">
        <v>505</v>
      </c>
      <c r="T3" s="126" t="s">
        <v>506</v>
      </c>
    </row>
    <row r="4" spans="1:20">
      <c r="A4" s="416"/>
      <c r="B4" s="30" t="s">
        <v>63</v>
      </c>
      <c r="C4" s="30" t="s">
        <v>64</v>
      </c>
      <c r="D4" s="30" t="s">
        <v>63</v>
      </c>
      <c r="E4" s="30" t="s">
        <v>64</v>
      </c>
      <c r="F4" s="30" t="s">
        <v>63</v>
      </c>
      <c r="G4" s="35" t="s">
        <v>64</v>
      </c>
      <c r="I4" s="45" t="s">
        <v>59</v>
      </c>
      <c r="J4" s="46" t="s">
        <v>104</v>
      </c>
      <c r="K4" s="47" t="s">
        <v>114</v>
      </c>
      <c r="M4" s="54" t="s">
        <v>101</v>
      </c>
      <c r="N4"/>
      <c r="O4"/>
      <c r="P4"/>
      <c r="R4" s="125"/>
      <c r="S4" s="126" t="s">
        <v>504</v>
      </c>
      <c r="T4" s="126" t="s">
        <v>507</v>
      </c>
    </row>
    <row r="5" spans="1:20">
      <c r="A5" s="36" t="s">
        <v>65</v>
      </c>
      <c r="B5" s="32">
        <v>38533</v>
      </c>
      <c r="C5" s="33">
        <v>0.54900000000000004</v>
      </c>
      <c r="D5" s="32">
        <v>43404</v>
      </c>
      <c r="E5" s="33">
        <v>0.39900000000000002</v>
      </c>
      <c r="F5" s="32">
        <v>29723</v>
      </c>
      <c r="G5" s="37">
        <v>0.38400000000000001</v>
      </c>
      <c r="I5" s="52" t="s">
        <v>65</v>
      </c>
      <c r="J5" s="32">
        <v>45928286674</v>
      </c>
      <c r="K5" s="48">
        <v>26438724223</v>
      </c>
      <c r="M5" s="45" t="s">
        <v>59</v>
      </c>
      <c r="N5" s="46" t="s">
        <v>65</v>
      </c>
      <c r="O5" s="46" t="s">
        <v>67</v>
      </c>
      <c r="P5" s="47" t="s">
        <v>117</v>
      </c>
      <c r="S5" s="1" t="s">
        <v>508</v>
      </c>
      <c r="T5" s="1" t="s">
        <v>509</v>
      </c>
    </row>
    <row r="6" spans="1:20">
      <c r="A6" s="36" t="s">
        <v>66</v>
      </c>
      <c r="B6" s="32">
        <v>24751</v>
      </c>
      <c r="C6" s="33">
        <v>0.35299999999999998</v>
      </c>
      <c r="D6" s="32">
        <v>54715</v>
      </c>
      <c r="E6" s="33">
        <v>0.504</v>
      </c>
      <c r="F6" s="32">
        <v>40017</v>
      </c>
      <c r="G6" s="37">
        <v>0.51700000000000002</v>
      </c>
      <c r="I6" s="52" t="s">
        <v>66</v>
      </c>
      <c r="J6" s="32">
        <v>59887565685</v>
      </c>
      <c r="K6" s="48">
        <v>38714507422</v>
      </c>
      <c r="M6" s="36" t="s">
        <v>118</v>
      </c>
      <c r="N6" s="32">
        <v>116164825307</v>
      </c>
      <c r="O6" s="32">
        <v>2212096339</v>
      </c>
      <c r="P6" s="48">
        <v>118376921646</v>
      </c>
      <c r="R6" s="125"/>
      <c r="S6" s="126" t="s">
        <v>510</v>
      </c>
      <c r="T6" s="126" t="s">
        <v>507</v>
      </c>
    </row>
    <row r="7" spans="1:20">
      <c r="A7" s="36" t="s">
        <v>67</v>
      </c>
      <c r="B7" s="32">
        <v>1959</v>
      </c>
      <c r="C7" s="33">
        <v>2.8000000000000001E-2</v>
      </c>
      <c r="D7" s="32">
        <v>5086</v>
      </c>
      <c r="E7" s="33">
        <v>4.7E-2</v>
      </c>
      <c r="F7" s="32">
        <v>3156</v>
      </c>
      <c r="G7" s="37">
        <v>4.1000000000000002E-2</v>
      </c>
      <c r="I7" s="52" t="s">
        <v>67</v>
      </c>
      <c r="J7" s="32">
        <v>5382459389</v>
      </c>
      <c r="K7" s="48">
        <v>4208156318</v>
      </c>
      <c r="M7" s="36" t="s">
        <v>119</v>
      </c>
      <c r="N7" s="32">
        <v>41956250674</v>
      </c>
      <c r="O7" s="32">
        <v>-178383117</v>
      </c>
      <c r="P7" s="48">
        <v>41777867557</v>
      </c>
      <c r="R7" s="125"/>
      <c r="S7" s="126" t="s">
        <v>511</v>
      </c>
      <c r="T7" s="126" t="s">
        <v>512</v>
      </c>
    </row>
    <row r="8" spans="1:20">
      <c r="A8" s="36" t="s">
        <v>68</v>
      </c>
      <c r="B8" s="32">
        <v>3966</v>
      </c>
      <c r="C8" s="33">
        <v>5.7000000000000002E-2</v>
      </c>
      <c r="D8" s="32">
        <v>4396</v>
      </c>
      <c r="E8" s="33">
        <v>0.04</v>
      </c>
      <c r="F8" s="32">
        <v>3619</v>
      </c>
      <c r="G8" s="37">
        <v>4.7E-2</v>
      </c>
      <c r="I8" s="52" t="s">
        <v>68</v>
      </c>
      <c r="J8" s="32">
        <v>5848772560</v>
      </c>
      <c r="K8" s="48">
        <v>2896981566</v>
      </c>
      <c r="M8" s="36" t="s">
        <v>120</v>
      </c>
      <c r="N8" s="32">
        <v>102731538233</v>
      </c>
      <c r="O8" s="34" t="s">
        <v>85</v>
      </c>
      <c r="P8" s="48">
        <v>102731538233</v>
      </c>
      <c r="R8" s="125"/>
      <c r="S8" s="126" t="s">
        <v>513</v>
      </c>
      <c r="T8" s="127" t="s">
        <v>506</v>
      </c>
    </row>
    <row r="9" spans="1:20">
      <c r="A9" s="36" t="s">
        <v>69</v>
      </c>
      <c r="B9" s="34">
        <v>988</v>
      </c>
      <c r="C9" s="33">
        <v>1.4E-2</v>
      </c>
      <c r="D9" s="32">
        <v>1065</v>
      </c>
      <c r="E9" s="33">
        <v>0.01</v>
      </c>
      <c r="F9" s="34">
        <v>835</v>
      </c>
      <c r="G9" s="37">
        <v>1.0999999999999999E-2</v>
      </c>
      <c r="I9" s="52" t="s">
        <v>69</v>
      </c>
      <c r="J9" s="32">
        <v>1329837338</v>
      </c>
      <c r="K9" s="48">
        <v>786423321</v>
      </c>
      <c r="M9" s="36" t="s">
        <v>121</v>
      </c>
      <c r="N9" s="32">
        <v>1142281594</v>
      </c>
      <c r="O9" s="32">
        <v>5145114</v>
      </c>
      <c r="P9" s="48">
        <v>1147426708</v>
      </c>
      <c r="S9" s="1" t="s">
        <v>503</v>
      </c>
      <c r="T9" s="1" t="s">
        <v>514</v>
      </c>
    </row>
    <row r="10" spans="1:20">
      <c r="A10" s="38" t="s">
        <v>70</v>
      </c>
      <c r="B10" s="39">
        <v>70197</v>
      </c>
      <c r="C10" s="40">
        <v>1</v>
      </c>
      <c r="D10" s="39">
        <v>108666</v>
      </c>
      <c r="E10" s="40">
        <v>1</v>
      </c>
      <c r="F10" s="39">
        <v>77350</v>
      </c>
      <c r="G10" s="41">
        <v>1</v>
      </c>
      <c r="I10" s="38" t="s">
        <v>70</v>
      </c>
      <c r="J10" s="39">
        <v>118376921646</v>
      </c>
      <c r="K10" s="49">
        <v>73044792850</v>
      </c>
      <c r="M10" s="36" t="s">
        <v>122</v>
      </c>
      <c r="N10" s="32">
        <v>482148370</v>
      </c>
      <c r="O10" s="34" t="s">
        <v>85</v>
      </c>
      <c r="P10" s="48">
        <v>482148370</v>
      </c>
    </row>
    <row r="11" spans="1:20">
      <c r="A11" s="1" t="s">
        <v>515</v>
      </c>
      <c r="B11" s="68">
        <f>+B5+B6</f>
        <v>63284</v>
      </c>
      <c r="D11" s="68">
        <f>+D5+D6</f>
        <v>98119</v>
      </c>
      <c r="F11" s="68">
        <f>+F5+F6</f>
        <v>69740</v>
      </c>
      <c r="J11" s="68">
        <f>+J5+J6</f>
        <v>105815852359</v>
      </c>
      <c r="M11" s="36" t="s">
        <v>123</v>
      </c>
      <c r="N11" s="32">
        <v>7712571619</v>
      </c>
      <c r="O11" s="34" t="s">
        <v>85</v>
      </c>
      <c r="P11" s="48">
        <v>7712571619</v>
      </c>
    </row>
    <row r="12" spans="1:20">
      <c r="M12" s="38" t="s">
        <v>124</v>
      </c>
      <c r="N12" s="39">
        <v>248858644</v>
      </c>
      <c r="O12" s="39">
        <v>1013669</v>
      </c>
      <c r="P12" s="49">
        <v>249872313</v>
      </c>
    </row>
    <row r="13" spans="1:20" ht="28">
      <c r="A13" s="28" t="s">
        <v>71</v>
      </c>
      <c r="B13"/>
      <c r="C13"/>
      <c r="D13"/>
      <c r="E13"/>
      <c r="F13"/>
      <c r="G13"/>
      <c r="J13" s="68">
        <f>+J10-J16</f>
        <v>20275022646</v>
      </c>
    </row>
    <row r="14" spans="1:20">
      <c r="A14" s="42" t="s">
        <v>58</v>
      </c>
      <c r="B14"/>
      <c r="C14"/>
      <c r="D14"/>
      <c r="E14"/>
      <c r="F14"/>
      <c r="G14"/>
      <c r="J14" s="1" t="s">
        <v>116</v>
      </c>
      <c r="K14" s="1" t="s">
        <v>125</v>
      </c>
      <c r="M14" s="51" t="s">
        <v>516</v>
      </c>
      <c r="N14" s="1" t="s">
        <v>517</v>
      </c>
      <c r="O14"/>
      <c r="P14"/>
    </row>
    <row r="15" spans="1:20">
      <c r="A15" s="422" t="s">
        <v>72</v>
      </c>
      <c r="B15" s="432" t="s">
        <v>60</v>
      </c>
      <c r="C15" s="434"/>
      <c r="D15" s="432" t="s">
        <v>61</v>
      </c>
      <c r="E15" s="434"/>
      <c r="F15" s="432" t="s">
        <v>62</v>
      </c>
      <c r="G15" s="450"/>
      <c r="I15" s="45" t="s">
        <v>59</v>
      </c>
      <c r="J15" s="46" t="s">
        <v>104</v>
      </c>
      <c r="K15" s="47" t="s">
        <v>114</v>
      </c>
      <c r="M15" s="54" t="s">
        <v>101</v>
      </c>
      <c r="N15"/>
      <c r="O15"/>
      <c r="P15"/>
      <c r="R15" s="54" t="s">
        <v>101</v>
      </c>
      <c r="S15" t="s">
        <v>517</v>
      </c>
      <c r="T15" t="s">
        <v>546</v>
      </c>
    </row>
    <row r="16" spans="1:20">
      <c r="A16" s="424"/>
      <c r="B16" s="43" t="s">
        <v>63</v>
      </c>
      <c r="C16" s="43" t="s">
        <v>73</v>
      </c>
      <c r="D16" s="43" t="s">
        <v>63</v>
      </c>
      <c r="E16" s="43" t="s">
        <v>73</v>
      </c>
      <c r="F16" s="43" t="s">
        <v>63</v>
      </c>
      <c r="G16" s="44" t="s">
        <v>73</v>
      </c>
      <c r="I16" s="55" t="s">
        <v>503</v>
      </c>
      <c r="J16" s="39">
        <v>98101899000</v>
      </c>
      <c r="K16" s="49">
        <v>63189976600</v>
      </c>
      <c r="M16" s="45" t="s">
        <v>59</v>
      </c>
      <c r="N16" s="46" t="s">
        <v>65</v>
      </c>
      <c r="O16" s="46" t="s">
        <v>67</v>
      </c>
      <c r="P16" s="47" t="s">
        <v>117</v>
      </c>
      <c r="R16" s="45" t="s">
        <v>59</v>
      </c>
      <c r="S16" s="46" t="s">
        <v>543</v>
      </c>
      <c r="T16" s="47" t="s">
        <v>544</v>
      </c>
    </row>
    <row r="17" spans="1:20">
      <c r="A17" s="36" t="s">
        <v>503</v>
      </c>
      <c r="B17" s="32">
        <v>46647</v>
      </c>
      <c r="C17" s="33">
        <v>0.66449999999999998</v>
      </c>
      <c r="D17" s="32">
        <v>94602</v>
      </c>
      <c r="E17" s="33">
        <v>0.87060000000000004</v>
      </c>
      <c r="F17" s="32">
        <v>65418</v>
      </c>
      <c r="G17" s="37">
        <v>0.84570000000000001</v>
      </c>
      <c r="M17" s="36" t="s">
        <v>118</v>
      </c>
      <c r="N17" s="32">
        <v>76341755346</v>
      </c>
      <c r="O17" s="32">
        <v>1008180320</v>
      </c>
      <c r="P17" s="48">
        <v>77349935666</v>
      </c>
      <c r="R17" s="55" t="s">
        <v>503</v>
      </c>
      <c r="S17" s="39">
        <v>65417641000</v>
      </c>
      <c r="T17" s="49">
        <v>33783862600</v>
      </c>
    </row>
    <row r="18" spans="1:20">
      <c r="A18" s="36" t="s">
        <v>69</v>
      </c>
      <c r="B18" s="32">
        <v>23550</v>
      </c>
      <c r="C18" s="33">
        <v>0.33550000000000002</v>
      </c>
      <c r="D18" s="32">
        <v>14064</v>
      </c>
      <c r="E18" s="33">
        <v>0.12939999999999999</v>
      </c>
      <c r="F18" s="32">
        <v>11932</v>
      </c>
      <c r="G18" s="37">
        <v>0.15429999999999999</v>
      </c>
      <c r="M18" s="36" t="s">
        <v>119</v>
      </c>
      <c r="N18" s="32">
        <v>26443020320</v>
      </c>
      <c r="O18" s="32">
        <v>-129952346</v>
      </c>
      <c r="P18" s="48">
        <v>26313067974</v>
      </c>
    </row>
    <row r="19" spans="1:20">
      <c r="A19" s="38" t="s">
        <v>74</v>
      </c>
      <c r="B19" s="39">
        <v>70197</v>
      </c>
      <c r="C19" s="40">
        <v>1</v>
      </c>
      <c r="D19" s="39">
        <v>108666</v>
      </c>
      <c r="E19" s="40">
        <v>1</v>
      </c>
      <c r="F19" s="39">
        <v>77350</v>
      </c>
      <c r="G19" s="41">
        <v>1</v>
      </c>
      <c r="M19" s="36" t="s">
        <v>120</v>
      </c>
      <c r="N19" s="32">
        <v>101691321233</v>
      </c>
      <c r="O19" s="34" t="s">
        <v>85</v>
      </c>
      <c r="P19" s="48">
        <v>101691321233</v>
      </c>
    </row>
    <row r="20" spans="1:20">
      <c r="A20" s="1" t="s">
        <v>523</v>
      </c>
      <c r="B20" s="1">
        <f>+B17/B11</f>
        <v>0.7371057455280956</v>
      </c>
      <c r="D20" s="1">
        <f>+D17/D11</f>
        <v>0.96415577003434605</v>
      </c>
      <c r="F20" s="1">
        <f>+F17/F11</f>
        <v>0.93802695726985952</v>
      </c>
      <c r="J20" s="1">
        <f>+J16/J11</f>
        <v>0.92710021053528946</v>
      </c>
      <c r="M20" s="36" t="s">
        <v>121</v>
      </c>
      <c r="N20" s="32">
        <v>1162767618</v>
      </c>
      <c r="O20" s="32">
        <v>5732126</v>
      </c>
      <c r="P20" s="48">
        <v>1168499744</v>
      </c>
      <c r="R20" s="54" t="s">
        <v>101</v>
      </c>
      <c r="S20" t="s">
        <v>551</v>
      </c>
      <c r="T20" t="s">
        <v>552</v>
      </c>
    </row>
    <row r="21" spans="1:20">
      <c r="M21" s="36" t="s">
        <v>122</v>
      </c>
      <c r="N21" s="32">
        <v>498239894</v>
      </c>
      <c r="O21" s="34" t="s">
        <v>85</v>
      </c>
      <c r="P21" s="48">
        <v>498239894</v>
      </c>
      <c r="R21" s="45" t="s">
        <v>59</v>
      </c>
      <c r="S21" s="46" t="s">
        <v>548</v>
      </c>
      <c r="T21" s="47" t="s">
        <v>549</v>
      </c>
    </row>
    <row r="22" spans="1:20" ht="56" customHeight="1">
      <c r="A22" s="28" t="s">
        <v>75</v>
      </c>
      <c r="B22"/>
      <c r="C22"/>
      <c r="D22"/>
      <c r="E22"/>
      <c r="F22"/>
      <c r="M22" s="36" t="s">
        <v>123</v>
      </c>
      <c r="N22" s="32">
        <v>4982938848</v>
      </c>
      <c r="O22" s="34" t="s">
        <v>85</v>
      </c>
      <c r="P22" s="48">
        <v>4982938848</v>
      </c>
      <c r="R22" s="101" t="s">
        <v>545</v>
      </c>
      <c r="S22" s="32">
        <v>94601715600</v>
      </c>
      <c r="T22" s="48">
        <v>46646516090</v>
      </c>
    </row>
    <row r="23" spans="1:20" ht="17.5" customHeight="1">
      <c r="A23" s="29" t="s">
        <v>58</v>
      </c>
      <c r="B23"/>
      <c r="C23"/>
      <c r="D23"/>
      <c r="E23"/>
      <c r="F23"/>
      <c r="M23" s="38" t="s">
        <v>124</v>
      </c>
      <c r="N23" s="39">
        <v>163172620</v>
      </c>
      <c r="O23" s="39">
        <v>500909</v>
      </c>
      <c r="P23" s="49">
        <v>163673529</v>
      </c>
      <c r="R23" s="55" t="s">
        <v>550</v>
      </c>
      <c r="S23" s="39">
        <v>2400000</v>
      </c>
      <c r="T23" s="49">
        <v>11956834000</v>
      </c>
    </row>
    <row r="24" spans="1:20" ht="17.5" customHeight="1">
      <c r="A24" s="45" t="s">
        <v>76</v>
      </c>
      <c r="B24" s="46" t="s">
        <v>77</v>
      </c>
      <c r="C24" s="46" t="s">
        <v>78</v>
      </c>
      <c r="D24" s="46" t="s">
        <v>79</v>
      </c>
      <c r="E24" s="46" t="s">
        <v>80</v>
      </c>
      <c r="F24" s="47" t="s">
        <v>74</v>
      </c>
    </row>
    <row r="25" spans="1:20" ht="28">
      <c r="A25" s="406" t="s">
        <v>81</v>
      </c>
      <c r="B25" s="31" t="s">
        <v>82</v>
      </c>
      <c r="C25" s="32">
        <v>1000</v>
      </c>
      <c r="D25" s="32">
        <v>7000</v>
      </c>
      <c r="E25" s="32">
        <v>3000</v>
      </c>
      <c r="F25" s="48">
        <v>11000</v>
      </c>
    </row>
    <row r="26" spans="1:20" ht="28">
      <c r="A26" s="407"/>
      <c r="B26" s="31" t="s">
        <v>83</v>
      </c>
      <c r="C26" s="32">
        <v>1000</v>
      </c>
      <c r="D26" s="32">
        <v>1000</v>
      </c>
      <c r="E26" s="32">
        <v>1000</v>
      </c>
      <c r="F26" s="48">
        <v>3000</v>
      </c>
    </row>
    <row r="27" spans="1:20">
      <c r="A27" s="408"/>
      <c r="B27" s="31" t="s">
        <v>84</v>
      </c>
      <c r="C27" s="34">
        <v>500</v>
      </c>
      <c r="D27" s="32">
        <v>4500</v>
      </c>
      <c r="E27" s="34" t="s">
        <v>85</v>
      </c>
      <c r="F27" s="48">
        <v>5000</v>
      </c>
    </row>
    <row r="28" spans="1:20" ht="28">
      <c r="A28" s="406" t="s">
        <v>86</v>
      </c>
      <c r="B28" s="31" t="s">
        <v>87</v>
      </c>
      <c r="C28" s="32">
        <v>2000</v>
      </c>
      <c r="D28" s="32">
        <v>13000</v>
      </c>
      <c r="E28" s="34" t="s">
        <v>85</v>
      </c>
      <c r="F28" s="48">
        <v>15000</v>
      </c>
    </row>
    <row r="29" spans="1:20" ht="28">
      <c r="A29" s="407"/>
      <c r="B29" s="31" t="s">
        <v>88</v>
      </c>
      <c r="C29" s="32">
        <v>1000</v>
      </c>
      <c r="D29" s="32">
        <v>4000</v>
      </c>
      <c r="E29" s="34" t="s">
        <v>85</v>
      </c>
      <c r="F29" s="48">
        <v>5000</v>
      </c>
    </row>
    <row r="30" spans="1:20" ht="28">
      <c r="A30" s="408"/>
      <c r="B30" s="31" t="s">
        <v>89</v>
      </c>
      <c r="C30" s="34" t="s">
        <v>85</v>
      </c>
      <c r="D30" s="32">
        <v>1000</v>
      </c>
      <c r="E30" s="34" t="s">
        <v>85</v>
      </c>
      <c r="F30" s="48">
        <v>1000</v>
      </c>
    </row>
    <row r="31" spans="1:20">
      <c r="A31" s="412" t="s">
        <v>90</v>
      </c>
      <c r="B31" s="414"/>
      <c r="C31" s="39">
        <v>5500</v>
      </c>
      <c r="D31" s="39">
        <v>30500</v>
      </c>
      <c r="E31" s="39">
        <v>4000</v>
      </c>
      <c r="F31" s="49">
        <v>40000</v>
      </c>
    </row>
    <row r="34" spans="1:7">
      <c r="A34" s="28" t="s">
        <v>91</v>
      </c>
      <c r="B34"/>
      <c r="C34"/>
    </row>
    <row r="35" spans="1:7">
      <c r="A35" s="29" t="s">
        <v>92</v>
      </c>
      <c r="B35"/>
      <c r="C35"/>
    </row>
    <row r="36" spans="1:7" ht="28">
      <c r="A36" s="45" t="s">
        <v>76</v>
      </c>
      <c r="B36" s="46" t="s">
        <v>93</v>
      </c>
      <c r="C36" s="47" t="s">
        <v>94</v>
      </c>
    </row>
    <row r="37" spans="1:7">
      <c r="A37" s="36" t="s">
        <v>95</v>
      </c>
      <c r="B37" s="32">
        <v>2965913</v>
      </c>
      <c r="C37" s="50">
        <v>0.31990000000000002</v>
      </c>
    </row>
    <row r="38" spans="1:7">
      <c r="A38" s="36" t="s">
        <v>96</v>
      </c>
      <c r="B38" s="32">
        <v>2002343</v>
      </c>
      <c r="C38" s="50">
        <v>0.53580000000000005</v>
      </c>
    </row>
    <row r="39" spans="1:7">
      <c r="A39" s="36" t="s">
        <v>97</v>
      </c>
      <c r="B39" s="32">
        <v>726631</v>
      </c>
      <c r="C39" s="50">
        <v>0.61419999999999997</v>
      </c>
    </row>
    <row r="40" spans="1:7">
      <c r="A40" s="36" t="s">
        <v>98</v>
      </c>
      <c r="B40" s="32">
        <v>743161</v>
      </c>
      <c r="C40" s="50">
        <v>0.69430000000000003</v>
      </c>
    </row>
    <row r="41" spans="1:7">
      <c r="A41" s="38" t="s">
        <v>99</v>
      </c>
      <c r="B41" s="39">
        <v>2834640</v>
      </c>
      <c r="C41" s="41">
        <v>1</v>
      </c>
    </row>
    <row r="44" spans="1:7">
      <c r="A44" s="51" t="s">
        <v>100</v>
      </c>
      <c r="B44" t="s">
        <v>113</v>
      </c>
      <c r="C44"/>
      <c r="D44"/>
      <c r="E44"/>
      <c r="F44"/>
      <c r="G44"/>
    </row>
    <row r="45" spans="1:7">
      <c r="A45" s="29" t="s">
        <v>101</v>
      </c>
      <c r="B45"/>
      <c r="C45"/>
      <c r="D45"/>
      <c r="E45"/>
      <c r="F45"/>
      <c r="G45"/>
    </row>
    <row r="46" spans="1:7">
      <c r="A46" s="415" t="s">
        <v>102</v>
      </c>
      <c r="B46" s="403" t="s">
        <v>103</v>
      </c>
      <c r="C46" s="419"/>
      <c r="D46" s="404"/>
      <c r="E46" s="403" t="s">
        <v>104</v>
      </c>
      <c r="F46" s="419"/>
      <c r="G46" s="405"/>
    </row>
    <row r="47" spans="1:7">
      <c r="A47" s="416"/>
      <c r="B47" s="30" t="s">
        <v>105</v>
      </c>
      <c r="C47" s="30" t="s">
        <v>106</v>
      </c>
      <c r="D47" s="30" t="s">
        <v>107</v>
      </c>
      <c r="E47" s="30" t="s">
        <v>108</v>
      </c>
      <c r="F47" s="30" t="s">
        <v>109</v>
      </c>
      <c r="G47" s="35" t="s">
        <v>110</v>
      </c>
    </row>
    <row r="48" spans="1:7">
      <c r="A48" s="52" t="s">
        <v>111</v>
      </c>
      <c r="B48" s="32">
        <v>60076545781</v>
      </c>
      <c r="C48" s="32">
        <v>54325381679</v>
      </c>
      <c r="D48" s="32">
        <v>5751164102</v>
      </c>
      <c r="E48" s="32">
        <v>43988528045</v>
      </c>
      <c r="F48" s="32">
        <v>4519997966</v>
      </c>
      <c r="G48" s="48">
        <v>4519997966</v>
      </c>
    </row>
    <row r="49" spans="1:15" ht="28">
      <c r="A49" s="53" t="s">
        <v>112</v>
      </c>
      <c r="B49" s="39">
        <v>3244839790</v>
      </c>
      <c r="C49" s="39">
        <v>2151380853</v>
      </c>
      <c r="D49" s="39">
        <v>1093458937</v>
      </c>
      <c r="E49" s="39">
        <v>2212096339</v>
      </c>
      <c r="F49" s="39">
        <v>80191762</v>
      </c>
      <c r="G49" s="49">
        <v>107790663</v>
      </c>
    </row>
    <row r="53" spans="1:15" ht="35">
      <c r="A53" s="57" t="s">
        <v>128</v>
      </c>
      <c r="B53"/>
      <c r="C53"/>
      <c r="D53"/>
      <c r="E53"/>
      <c r="F53"/>
      <c r="G53"/>
      <c r="H53"/>
      <c r="I53"/>
      <c r="J53"/>
      <c r="K53"/>
      <c r="L53"/>
      <c r="M53"/>
      <c r="N53"/>
      <c r="O53"/>
    </row>
    <row r="54" spans="1:15">
      <c r="A54" s="42"/>
      <c r="B54" s="42" t="s">
        <v>129</v>
      </c>
      <c r="C54"/>
      <c r="D54"/>
      <c r="E54"/>
      <c r="F54"/>
      <c r="G54"/>
      <c r="H54"/>
      <c r="I54"/>
      <c r="J54"/>
      <c r="K54"/>
      <c r="L54"/>
      <c r="M54"/>
      <c r="N54"/>
      <c r="O54"/>
    </row>
    <row r="55" spans="1:15">
      <c r="A55" s="415" t="s">
        <v>130</v>
      </c>
      <c r="B55" s="403" t="s">
        <v>131</v>
      </c>
      <c r="C55" s="419"/>
      <c r="D55" s="419"/>
      <c r="E55" s="419"/>
      <c r="F55" s="419"/>
      <c r="G55" s="419"/>
      <c r="H55" s="419"/>
      <c r="I55" s="404"/>
      <c r="J55" s="403" t="s">
        <v>132</v>
      </c>
      <c r="K55" s="419"/>
      <c r="L55" s="419"/>
      <c r="M55" s="404"/>
      <c r="N55" s="440" t="s">
        <v>74</v>
      </c>
      <c r="O55" s="441"/>
    </row>
    <row r="56" spans="1:15">
      <c r="A56" s="421"/>
      <c r="B56" s="446" t="s">
        <v>133</v>
      </c>
      <c r="C56" s="447"/>
      <c r="D56" s="446" t="s">
        <v>135</v>
      </c>
      <c r="E56" s="447"/>
      <c r="F56" s="446" t="s">
        <v>137</v>
      </c>
      <c r="G56" s="447"/>
      <c r="H56" s="446" t="s">
        <v>69</v>
      </c>
      <c r="I56" s="447"/>
      <c r="J56" s="446" t="s">
        <v>138</v>
      </c>
      <c r="K56" s="447"/>
      <c r="L56" s="446" t="s">
        <v>138</v>
      </c>
      <c r="M56" s="447"/>
      <c r="N56" s="442"/>
      <c r="O56" s="443"/>
    </row>
    <row r="57" spans="1:15">
      <c r="A57" s="421"/>
      <c r="B57" s="442" t="s">
        <v>134</v>
      </c>
      <c r="C57" s="448"/>
      <c r="D57" s="442" t="s">
        <v>136</v>
      </c>
      <c r="E57" s="448"/>
      <c r="F57" s="442"/>
      <c r="G57" s="448"/>
      <c r="H57" s="442"/>
      <c r="I57" s="448"/>
      <c r="J57" s="442" t="s">
        <v>139</v>
      </c>
      <c r="K57" s="448"/>
      <c r="L57" s="442" t="s">
        <v>139</v>
      </c>
      <c r="M57" s="448"/>
      <c r="N57" s="442"/>
      <c r="O57" s="443"/>
    </row>
    <row r="58" spans="1:15">
      <c r="A58" s="421"/>
      <c r="B58" s="444"/>
      <c r="C58" s="449"/>
      <c r="D58" s="444"/>
      <c r="E58" s="449"/>
      <c r="F58" s="444"/>
      <c r="G58" s="449"/>
      <c r="H58" s="444"/>
      <c r="I58" s="449"/>
      <c r="J58" s="444" t="s">
        <v>140</v>
      </c>
      <c r="K58" s="449"/>
      <c r="L58" s="444" t="s">
        <v>141</v>
      </c>
      <c r="M58" s="449"/>
      <c r="N58" s="444"/>
      <c r="O58" s="445"/>
    </row>
    <row r="59" spans="1:15">
      <c r="A59" s="416"/>
      <c r="B59" s="30" t="s">
        <v>142</v>
      </c>
      <c r="C59" s="30" t="s">
        <v>73</v>
      </c>
      <c r="D59" s="30" t="s">
        <v>142</v>
      </c>
      <c r="E59" s="30" t="s">
        <v>73</v>
      </c>
      <c r="F59" s="30" t="s">
        <v>142</v>
      </c>
      <c r="G59" s="30" t="s">
        <v>73</v>
      </c>
      <c r="H59" s="30" t="s">
        <v>142</v>
      </c>
      <c r="I59" s="30" t="s">
        <v>73</v>
      </c>
      <c r="J59" s="30" t="s">
        <v>142</v>
      </c>
      <c r="K59" s="30" t="s">
        <v>73</v>
      </c>
      <c r="L59" s="30" t="s">
        <v>142</v>
      </c>
      <c r="M59" s="30" t="s">
        <v>73</v>
      </c>
      <c r="N59" s="30" t="s">
        <v>142</v>
      </c>
      <c r="O59" s="35" t="s">
        <v>73</v>
      </c>
    </row>
    <row r="60" spans="1:15">
      <c r="A60" s="36" t="s">
        <v>143</v>
      </c>
      <c r="B60" s="32">
        <v>253940</v>
      </c>
      <c r="C60" s="34">
        <v>48.4</v>
      </c>
      <c r="D60" s="32">
        <v>2030</v>
      </c>
      <c r="E60" s="34">
        <v>29.38</v>
      </c>
      <c r="F60" s="32">
        <v>9025</v>
      </c>
      <c r="G60" s="34">
        <v>34.409999999999997</v>
      </c>
      <c r="H60" s="32">
        <v>34350</v>
      </c>
      <c r="I60" s="34">
        <v>42.83</v>
      </c>
      <c r="J60" s="34" t="s">
        <v>85</v>
      </c>
      <c r="K60" s="34" t="s">
        <v>85</v>
      </c>
      <c r="L60" s="34" t="s">
        <v>85</v>
      </c>
      <c r="M60" s="34" t="s">
        <v>85</v>
      </c>
      <c r="N60" s="32">
        <v>299345</v>
      </c>
      <c r="O60" s="58">
        <v>39.909999999999997</v>
      </c>
    </row>
    <row r="61" spans="1:15">
      <c r="A61" s="36" t="s">
        <v>144</v>
      </c>
      <c r="B61" s="32">
        <v>219060</v>
      </c>
      <c r="C61" s="34">
        <v>41.75</v>
      </c>
      <c r="D61" s="32">
        <v>3050</v>
      </c>
      <c r="E61" s="34">
        <v>44.14</v>
      </c>
      <c r="F61" s="32">
        <v>11210</v>
      </c>
      <c r="G61" s="34">
        <v>42.75</v>
      </c>
      <c r="H61" s="32">
        <v>24310</v>
      </c>
      <c r="I61" s="34">
        <v>30.31</v>
      </c>
      <c r="J61" s="32">
        <v>11750</v>
      </c>
      <c r="K61" s="34">
        <v>10.49</v>
      </c>
      <c r="L61" s="34" t="s">
        <v>85</v>
      </c>
      <c r="M61" s="34" t="s">
        <v>85</v>
      </c>
      <c r="N61" s="32">
        <v>269380</v>
      </c>
      <c r="O61" s="58">
        <v>35.92</v>
      </c>
    </row>
    <row r="62" spans="1:15">
      <c r="A62" s="36" t="s">
        <v>145</v>
      </c>
      <c r="B62" s="32">
        <v>31685</v>
      </c>
      <c r="C62" s="34">
        <v>6.04</v>
      </c>
      <c r="D62" s="34">
        <v>890</v>
      </c>
      <c r="E62" s="34">
        <v>12.88</v>
      </c>
      <c r="F62" s="32">
        <v>2495</v>
      </c>
      <c r="G62" s="34">
        <v>9.51</v>
      </c>
      <c r="H62" s="32">
        <v>8290</v>
      </c>
      <c r="I62" s="34">
        <v>10.34</v>
      </c>
      <c r="J62" s="32">
        <v>49950</v>
      </c>
      <c r="K62" s="34">
        <v>44.6</v>
      </c>
      <c r="L62" s="34" t="s">
        <v>85</v>
      </c>
      <c r="M62" s="34" t="s">
        <v>85</v>
      </c>
      <c r="N62" s="32">
        <v>93310</v>
      </c>
      <c r="O62" s="58">
        <v>12.44</v>
      </c>
    </row>
    <row r="63" spans="1:15">
      <c r="A63" s="36" t="s">
        <v>146</v>
      </c>
      <c r="B63" s="32">
        <v>15555</v>
      </c>
      <c r="C63" s="34">
        <v>2.96</v>
      </c>
      <c r="D63" s="34">
        <v>590</v>
      </c>
      <c r="E63" s="34">
        <v>8.5399999999999991</v>
      </c>
      <c r="F63" s="32">
        <v>1420</v>
      </c>
      <c r="G63" s="34">
        <v>5.41</v>
      </c>
      <c r="H63" s="32">
        <v>6450</v>
      </c>
      <c r="I63" s="34">
        <v>8.0399999999999991</v>
      </c>
      <c r="J63" s="32">
        <v>35480</v>
      </c>
      <c r="K63" s="34">
        <v>31.68</v>
      </c>
      <c r="L63" s="34" t="s">
        <v>85</v>
      </c>
      <c r="M63" s="34" t="s">
        <v>85</v>
      </c>
      <c r="N63" s="32">
        <v>59495</v>
      </c>
      <c r="O63" s="58">
        <v>7.93</v>
      </c>
    </row>
    <row r="64" spans="1:15">
      <c r="A64" s="36" t="s">
        <v>147</v>
      </c>
      <c r="B64" s="32">
        <v>4425</v>
      </c>
      <c r="C64" s="34">
        <v>0.84</v>
      </c>
      <c r="D64" s="34">
        <v>350</v>
      </c>
      <c r="E64" s="34">
        <v>5.07</v>
      </c>
      <c r="F64" s="32">
        <v>2075</v>
      </c>
      <c r="G64" s="34">
        <v>7.91</v>
      </c>
      <c r="H64" s="32">
        <v>6800</v>
      </c>
      <c r="I64" s="34">
        <v>8.48</v>
      </c>
      <c r="J64" s="32">
        <v>14820</v>
      </c>
      <c r="K64" s="34">
        <v>13.23</v>
      </c>
      <c r="L64" s="34" t="s">
        <v>85</v>
      </c>
      <c r="M64" s="34" t="s">
        <v>85</v>
      </c>
      <c r="N64" s="32">
        <v>28470</v>
      </c>
      <c r="O64" s="58">
        <v>3.8</v>
      </c>
    </row>
    <row r="65" spans="1:15">
      <c r="A65" s="38" t="s">
        <v>148</v>
      </c>
      <c r="B65" s="39">
        <v>524665</v>
      </c>
      <c r="C65" s="59">
        <v>100</v>
      </c>
      <c r="D65" s="39">
        <v>6910</v>
      </c>
      <c r="E65" s="59">
        <v>100</v>
      </c>
      <c r="F65" s="39">
        <v>26225</v>
      </c>
      <c r="G65" s="59">
        <v>100</v>
      </c>
      <c r="H65" s="39">
        <v>80200</v>
      </c>
      <c r="I65" s="59">
        <v>100</v>
      </c>
      <c r="J65" s="39">
        <v>112000</v>
      </c>
      <c r="K65" s="59">
        <v>100</v>
      </c>
      <c r="L65" s="59" t="s">
        <v>85</v>
      </c>
      <c r="M65" s="59" t="s">
        <v>85</v>
      </c>
      <c r="N65" s="39">
        <v>750000</v>
      </c>
      <c r="O65" s="60">
        <v>100</v>
      </c>
    </row>
    <row r="66" spans="1:15">
      <c r="N66" s="68"/>
    </row>
    <row r="67" spans="1:15">
      <c r="A67" s="422" t="s">
        <v>76</v>
      </c>
      <c r="B67" s="425" t="s">
        <v>149</v>
      </c>
      <c r="C67" s="64" t="s">
        <v>150</v>
      </c>
      <c r="D67" s="428" t="s">
        <v>152</v>
      </c>
      <c r="E67" s="429"/>
      <c r="F67" s="432" t="s">
        <v>153</v>
      </c>
      <c r="G67" s="433"/>
      <c r="H67" s="433"/>
      <c r="I67" s="433"/>
      <c r="J67" s="433"/>
      <c r="K67" s="434"/>
      <c r="L67" s="64" t="s">
        <v>154</v>
      </c>
      <c r="M67" s="435" t="s">
        <v>156</v>
      </c>
    </row>
    <row r="68" spans="1:15">
      <c r="A68" s="423"/>
      <c r="B68" s="426"/>
      <c r="C68" s="61" t="s">
        <v>151</v>
      </c>
      <c r="D68" s="430"/>
      <c r="E68" s="431"/>
      <c r="F68" s="438" t="s">
        <v>157</v>
      </c>
      <c r="G68" s="439"/>
      <c r="H68" s="438" t="s">
        <v>158</v>
      </c>
      <c r="I68" s="439"/>
      <c r="J68" s="438" t="s">
        <v>159</v>
      </c>
      <c r="K68" s="439"/>
      <c r="L68" s="61" t="s">
        <v>155</v>
      </c>
      <c r="M68" s="436"/>
    </row>
    <row r="69" spans="1:15">
      <c r="A69" s="424"/>
      <c r="B69" s="427"/>
      <c r="C69" s="62"/>
      <c r="D69" s="43" t="s">
        <v>93</v>
      </c>
      <c r="E69" s="43" t="s">
        <v>160</v>
      </c>
      <c r="F69" s="43" t="s">
        <v>93</v>
      </c>
      <c r="G69" s="43" t="s">
        <v>160</v>
      </c>
      <c r="H69" s="43" t="s">
        <v>93</v>
      </c>
      <c r="I69" s="43" t="s">
        <v>160</v>
      </c>
      <c r="J69" s="43" t="s">
        <v>93</v>
      </c>
      <c r="K69" s="43" t="s">
        <v>160</v>
      </c>
      <c r="L69" s="62"/>
      <c r="M69" s="437"/>
    </row>
    <row r="70" spans="1:15">
      <c r="A70" s="36" t="s">
        <v>161</v>
      </c>
      <c r="B70" s="63" t="s">
        <v>162</v>
      </c>
      <c r="C70" s="31" t="s">
        <v>161</v>
      </c>
      <c r="D70" s="32">
        <v>2834640</v>
      </c>
      <c r="E70" s="33">
        <v>0.34300000000000003</v>
      </c>
      <c r="F70" s="32">
        <v>2834640</v>
      </c>
      <c r="G70" s="33">
        <v>0.30599999999999999</v>
      </c>
      <c r="H70" s="32">
        <v>2834640</v>
      </c>
      <c r="I70" s="33">
        <v>0.30599999999999999</v>
      </c>
      <c r="J70" s="34" t="s">
        <v>85</v>
      </c>
      <c r="K70" s="34" t="s">
        <v>85</v>
      </c>
      <c r="L70" s="31" t="s">
        <v>163</v>
      </c>
      <c r="M70" s="65" t="s">
        <v>164</v>
      </c>
    </row>
    <row r="71" spans="1:15" ht="53" customHeight="1">
      <c r="A71" s="406" t="s">
        <v>165</v>
      </c>
      <c r="B71" s="399" t="s">
        <v>166</v>
      </c>
      <c r="C71" s="401" t="s">
        <v>167</v>
      </c>
      <c r="D71" s="395">
        <v>1312500</v>
      </c>
      <c r="E71" s="397">
        <v>0.159</v>
      </c>
      <c r="F71" s="395">
        <v>1312500</v>
      </c>
      <c r="G71" s="397">
        <v>0.14099999999999999</v>
      </c>
      <c r="H71" s="32">
        <v>590625</v>
      </c>
      <c r="I71" s="33">
        <v>6.4000000000000001E-2</v>
      </c>
      <c r="J71" s="395">
        <v>131250</v>
      </c>
      <c r="K71" s="33">
        <v>1.4E-2</v>
      </c>
      <c r="L71" s="31" t="s">
        <v>168</v>
      </c>
      <c r="M71" s="65" t="s">
        <v>169</v>
      </c>
      <c r="N71" s="1" t="s">
        <v>212</v>
      </c>
      <c r="O71" s="1" t="s">
        <v>214</v>
      </c>
    </row>
    <row r="72" spans="1:15">
      <c r="A72" s="407"/>
      <c r="B72" s="400"/>
      <c r="C72" s="402"/>
      <c r="D72" s="396"/>
      <c r="E72" s="398"/>
      <c r="F72" s="396"/>
      <c r="G72" s="398"/>
      <c r="H72" s="32">
        <v>590625</v>
      </c>
      <c r="I72" s="33">
        <v>6.4000000000000001E-2</v>
      </c>
      <c r="J72" s="396"/>
      <c r="K72" s="63"/>
      <c r="L72" s="31" t="s">
        <v>170</v>
      </c>
      <c r="M72" s="65" t="s">
        <v>169</v>
      </c>
      <c r="N72" s="1" t="s">
        <v>212</v>
      </c>
      <c r="O72" s="1" t="s">
        <v>214</v>
      </c>
    </row>
    <row r="73" spans="1:15" ht="28">
      <c r="A73" s="407"/>
      <c r="B73" s="69" t="s">
        <v>171</v>
      </c>
      <c r="C73" s="70" t="s">
        <v>167</v>
      </c>
      <c r="D73" s="71">
        <v>727410</v>
      </c>
      <c r="E73" s="72">
        <v>8.7999999999999995E-2</v>
      </c>
      <c r="F73" s="71">
        <v>727410</v>
      </c>
      <c r="G73" s="72">
        <v>7.8E-2</v>
      </c>
      <c r="H73" s="71">
        <v>436446</v>
      </c>
      <c r="I73" s="72">
        <v>4.7E-2</v>
      </c>
      <c r="J73" s="71">
        <v>290964</v>
      </c>
      <c r="K73" s="72">
        <v>3.1E-2</v>
      </c>
      <c r="L73" s="70" t="s">
        <v>172</v>
      </c>
      <c r="M73" s="73" t="s">
        <v>169</v>
      </c>
      <c r="N73" s="1" t="s">
        <v>212</v>
      </c>
      <c r="O73" s="1" t="s">
        <v>214</v>
      </c>
    </row>
    <row r="74" spans="1:15">
      <c r="A74" s="407"/>
      <c r="B74" s="69" t="s">
        <v>173</v>
      </c>
      <c r="C74" s="70" t="s">
        <v>174</v>
      </c>
      <c r="D74" s="71">
        <v>666660</v>
      </c>
      <c r="E74" s="72">
        <v>8.1000000000000003E-2</v>
      </c>
      <c r="F74" s="71">
        <v>666660</v>
      </c>
      <c r="G74" s="72">
        <v>7.1999999999999995E-2</v>
      </c>
      <c r="H74" s="71">
        <v>399996</v>
      </c>
      <c r="I74" s="72">
        <v>4.2999999999999997E-2</v>
      </c>
      <c r="J74" s="71">
        <v>266664</v>
      </c>
      <c r="K74" s="72">
        <v>2.9000000000000001E-2</v>
      </c>
      <c r="L74" s="70" t="s">
        <v>172</v>
      </c>
      <c r="M74" s="73" t="s">
        <v>169</v>
      </c>
      <c r="N74" s="1" t="s">
        <v>213</v>
      </c>
    </row>
    <row r="75" spans="1:15">
      <c r="A75" s="407"/>
      <c r="B75" s="63" t="s">
        <v>175</v>
      </c>
      <c r="C75" s="31" t="s">
        <v>174</v>
      </c>
      <c r="D75" s="32">
        <v>519230</v>
      </c>
      <c r="E75" s="33">
        <v>6.3E-2</v>
      </c>
      <c r="F75" s="32">
        <v>519230</v>
      </c>
      <c r="G75" s="33">
        <v>5.6000000000000001E-2</v>
      </c>
      <c r="H75" s="34" t="s">
        <v>85</v>
      </c>
      <c r="I75" s="34" t="s">
        <v>85</v>
      </c>
      <c r="J75" s="32">
        <v>519230</v>
      </c>
      <c r="K75" s="33">
        <v>5.6000000000000001E-2</v>
      </c>
      <c r="L75" s="31" t="s">
        <v>85</v>
      </c>
      <c r="M75" s="65" t="s">
        <v>85</v>
      </c>
      <c r="N75" s="1" t="s">
        <v>213</v>
      </c>
      <c r="O75" s="1" t="s">
        <v>215</v>
      </c>
    </row>
    <row r="76" spans="1:15">
      <c r="A76" s="408"/>
      <c r="B76" s="31" t="s">
        <v>176</v>
      </c>
      <c r="C76" s="31"/>
      <c r="D76" s="32">
        <v>3225800</v>
      </c>
      <c r="E76" s="33">
        <v>0.39100000000000001</v>
      </c>
      <c r="F76" s="32">
        <v>3225800</v>
      </c>
      <c r="G76" s="33">
        <v>0.34799999999999998</v>
      </c>
      <c r="H76" s="32">
        <v>2017692</v>
      </c>
      <c r="I76" s="33">
        <v>0.218</v>
      </c>
      <c r="J76" s="32">
        <v>1208108</v>
      </c>
      <c r="K76" s="33">
        <v>0.13</v>
      </c>
      <c r="L76" s="31" t="s">
        <v>85</v>
      </c>
      <c r="M76" s="65" t="s">
        <v>85</v>
      </c>
    </row>
    <row r="77" spans="1:15" ht="28">
      <c r="A77" s="406" t="s">
        <v>177</v>
      </c>
      <c r="B77" s="69" t="s">
        <v>178</v>
      </c>
      <c r="C77" s="70" t="s">
        <v>167</v>
      </c>
      <c r="D77" s="71">
        <v>267540</v>
      </c>
      <c r="E77" s="72">
        <v>3.2000000000000001E-2</v>
      </c>
      <c r="F77" s="71">
        <v>267540</v>
      </c>
      <c r="G77" s="72">
        <v>2.9000000000000001E-2</v>
      </c>
      <c r="H77" s="71">
        <v>160524</v>
      </c>
      <c r="I77" s="72">
        <v>1.7000000000000001E-2</v>
      </c>
      <c r="J77" s="71">
        <v>107016</v>
      </c>
      <c r="K77" s="72">
        <v>1.2E-2</v>
      </c>
      <c r="L77" s="70" t="s">
        <v>172</v>
      </c>
      <c r="M77" s="73" t="s">
        <v>169</v>
      </c>
      <c r="N77" s="1" t="s">
        <v>212</v>
      </c>
    </row>
    <row r="78" spans="1:15" ht="28">
      <c r="A78" s="407"/>
      <c r="B78" s="69" t="s">
        <v>179</v>
      </c>
      <c r="C78" s="70" t="s">
        <v>174</v>
      </c>
      <c r="D78" s="71">
        <v>204080</v>
      </c>
      <c r="E78" s="72">
        <v>2.5000000000000001E-2</v>
      </c>
      <c r="F78" s="71">
        <v>204080</v>
      </c>
      <c r="G78" s="72">
        <v>2.1999999999999999E-2</v>
      </c>
      <c r="H78" s="71">
        <v>122448</v>
      </c>
      <c r="I78" s="72">
        <v>1.2999999999999999E-2</v>
      </c>
      <c r="J78" s="71">
        <v>81632</v>
      </c>
      <c r="K78" s="72">
        <v>8.9999999999999993E-3</v>
      </c>
      <c r="L78" s="70" t="s">
        <v>172</v>
      </c>
      <c r="M78" s="73" t="s">
        <v>169</v>
      </c>
      <c r="N78" s="1" t="s">
        <v>213</v>
      </c>
    </row>
    <row r="79" spans="1:15" ht="28">
      <c r="A79" s="407"/>
      <c r="B79" s="69" t="s">
        <v>180</v>
      </c>
      <c r="C79" s="70" t="s">
        <v>167</v>
      </c>
      <c r="D79" s="71">
        <v>164790</v>
      </c>
      <c r="E79" s="72">
        <v>0.02</v>
      </c>
      <c r="F79" s="71">
        <v>164790</v>
      </c>
      <c r="G79" s="72">
        <v>1.7999999999999999E-2</v>
      </c>
      <c r="H79" s="71">
        <v>98874</v>
      </c>
      <c r="I79" s="72">
        <v>1.0999999999999999E-2</v>
      </c>
      <c r="J79" s="71">
        <v>65916</v>
      </c>
      <c r="K79" s="72">
        <v>7.0000000000000001E-3</v>
      </c>
      <c r="L79" s="70" t="s">
        <v>172</v>
      </c>
      <c r="M79" s="73" t="s">
        <v>169</v>
      </c>
      <c r="N79" s="1" t="s">
        <v>212</v>
      </c>
    </row>
    <row r="80" spans="1:15" ht="42">
      <c r="A80" s="407"/>
      <c r="B80" s="69" t="s">
        <v>181</v>
      </c>
      <c r="C80" s="70" t="s">
        <v>167</v>
      </c>
      <c r="D80" s="71">
        <v>159430</v>
      </c>
      <c r="E80" s="72">
        <v>1.9E-2</v>
      </c>
      <c r="F80" s="71">
        <v>159430</v>
      </c>
      <c r="G80" s="72">
        <v>1.7000000000000001E-2</v>
      </c>
      <c r="H80" s="71">
        <v>111601</v>
      </c>
      <c r="I80" s="72">
        <v>1.2E-2</v>
      </c>
      <c r="J80" s="71">
        <v>47829</v>
      </c>
      <c r="K80" s="72">
        <v>5.0000000000000001E-3</v>
      </c>
      <c r="L80" s="70" t="s">
        <v>172</v>
      </c>
      <c r="M80" s="73" t="s">
        <v>169</v>
      </c>
      <c r="N80" s="1" t="s">
        <v>212</v>
      </c>
      <c r="O80" s="1" t="s">
        <v>214</v>
      </c>
    </row>
    <row r="81" spans="1:14" ht="42">
      <c r="A81" s="407"/>
      <c r="B81" s="69" t="s">
        <v>182</v>
      </c>
      <c r="C81" s="70" t="s">
        <v>167</v>
      </c>
      <c r="D81" s="71">
        <v>120000</v>
      </c>
      <c r="E81" s="72">
        <v>1.4999999999999999E-2</v>
      </c>
      <c r="F81" s="71">
        <v>120000</v>
      </c>
      <c r="G81" s="72">
        <v>1.2999999999999999E-2</v>
      </c>
      <c r="H81" s="71">
        <v>84000</v>
      </c>
      <c r="I81" s="72">
        <v>8.9999999999999993E-3</v>
      </c>
      <c r="J81" s="71">
        <v>36000</v>
      </c>
      <c r="K81" s="72">
        <v>4.0000000000000001E-3</v>
      </c>
      <c r="L81" s="70" t="s">
        <v>172</v>
      </c>
      <c r="M81" s="73" t="s">
        <v>169</v>
      </c>
      <c r="N81" s="1" t="s">
        <v>212</v>
      </c>
    </row>
    <row r="82" spans="1:14" ht="28">
      <c r="A82" s="407"/>
      <c r="B82" s="69" t="s">
        <v>183</v>
      </c>
      <c r="C82" s="70" t="s">
        <v>167</v>
      </c>
      <c r="D82" s="71">
        <v>120000</v>
      </c>
      <c r="E82" s="72">
        <v>1.4999999999999999E-2</v>
      </c>
      <c r="F82" s="71">
        <v>120000</v>
      </c>
      <c r="G82" s="72">
        <v>1.2999999999999999E-2</v>
      </c>
      <c r="H82" s="71">
        <v>84000</v>
      </c>
      <c r="I82" s="72">
        <v>8.9999999999999993E-3</v>
      </c>
      <c r="J82" s="71">
        <v>36000</v>
      </c>
      <c r="K82" s="72">
        <v>4.0000000000000001E-3</v>
      </c>
      <c r="L82" s="70" t="s">
        <v>172</v>
      </c>
      <c r="M82" s="73" t="s">
        <v>169</v>
      </c>
      <c r="N82" s="1" t="s">
        <v>212</v>
      </c>
    </row>
    <row r="83" spans="1:14" ht="28">
      <c r="A83" s="407"/>
      <c r="B83" s="69" t="s">
        <v>184</v>
      </c>
      <c r="C83" s="70" t="s">
        <v>185</v>
      </c>
      <c r="D83" s="71">
        <v>113820</v>
      </c>
      <c r="E83" s="72">
        <v>1.4E-2</v>
      </c>
      <c r="F83" s="71">
        <v>113820</v>
      </c>
      <c r="G83" s="72">
        <v>1.2E-2</v>
      </c>
      <c r="H83" s="71">
        <v>68292</v>
      </c>
      <c r="I83" s="72">
        <v>7.0000000000000001E-3</v>
      </c>
      <c r="J83" s="71">
        <v>45528</v>
      </c>
      <c r="K83" s="72">
        <v>5.0000000000000001E-3</v>
      </c>
      <c r="L83" s="70" t="s">
        <v>172</v>
      </c>
      <c r="M83" s="73" t="s">
        <v>169</v>
      </c>
      <c r="N83" s="1" t="s">
        <v>212</v>
      </c>
    </row>
    <row r="84" spans="1:14" ht="67" customHeight="1">
      <c r="A84" s="407"/>
      <c r="B84" s="399" t="s">
        <v>186</v>
      </c>
      <c r="C84" s="401" t="s">
        <v>167</v>
      </c>
      <c r="D84" s="395">
        <v>106819</v>
      </c>
      <c r="E84" s="397">
        <v>1.2999999999999999E-2</v>
      </c>
      <c r="F84" s="395">
        <v>106819</v>
      </c>
      <c r="G84" s="397">
        <v>1.2E-2</v>
      </c>
      <c r="H84" s="32">
        <v>48069</v>
      </c>
      <c r="I84" s="33">
        <v>5.0000000000000001E-3</v>
      </c>
      <c r="J84" s="395">
        <v>10682</v>
      </c>
      <c r="K84" s="33">
        <v>1E-3</v>
      </c>
      <c r="L84" s="31" t="s">
        <v>168</v>
      </c>
      <c r="M84" s="65" t="s">
        <v>169</v>
      </c>
    </row>
    <row r="85" spans="1:14">
      <c r="A85" s="407"/>
      <c r="B85" s="400"/>
      <c r="C85" s="402"/>
      <c r="D85" s="396"/>
      <c r="E85" s="398"/>
      <c r="F85" s="396"/>
      <c r="G85" s="398"/>
      <c r="H85" s="32">
        <v>48068</v>
      </c>
      <c r="I85" s="33">
        <v>5.0000000000000001E-3</v>
      </c>
      <c r="J85" s="396"/>
      <c r="K85" s="63"/>
      <c r="L85" s="31" t="s">
        <v>170</v>
      </c>
      <c r="M85" s="65" t="s">
        <v>169</v>
      </c>
    </row>
    <row r="86" spans="1:14" ht="28">
      <c r="A86" s="407"/>
      <c r="B86" s="69" t="s">
        <v>187</v>
      </c>
      <c r="C86" s="70" t="s">
        <v>167</v>
      </c>
      <c r="D86" s="71">
        <v>98460</v>
      </c>
      <c r="E86" s="72">
        <v>1.2E-2</v>
      </c>
      <c r="F86" s="71">
        <v>98460</v>
      </c>
      <c r="G86" s="72">
        <v>1.0999999999999999E-2</v>
      </c>
      <c r="H86" s="71">
        <v>68922</v>
      </c>
      <c r="I86" s="72">
        <v>7.0000000000000001E-3</v>
      </c>
      <c r="J86" s="71">
        <v>29538</v>
      </c>
      <c r="K86" s="72">
        <v>3.0000000000000001E-3</v>
      </c>
      <c r="L86" s="70" t="s">
        <v>172</v>
      </c>
      <c r="M86" s="73" t="s">
        <v>169</v>
      </c>
      <c r="N86" s="1" t="s">
        <v>212</v>
      </c>
    </row>
    <row r="87" spans="1:14" ht="28">
      <c r="A87" s="407"/>
      <c r="B87" s="69" t="s">
        <v>188</v>
      </c>
      <c r="C87" s="70" t="s">
        <v>167</v>
      </c>
      <c r="D87" s="71">
        <v>98460</v>
      </c>
      <c r="E87" s="72">
        <v>1.2E-2</v>
      </c>
      <c r="F87" s="71">
        <v>98460</v>
      </c>
      <c r="G87" s="72">
        <v>1.0999999999999999E-2</v>
      </c>
      <c r="H87" s="71">
        <v>68922</v>
      </c>
      <c r="I87" s="72">
        <v>7.0000000000000001E-3</v>
      </c>
      <c r="J87" s="71">
        <v>29538</v>
      </c>
      <c r="K87" s="72">
        <v>3.0000000000000001E-3</v>
      </c>
      <c r="L87" s="70" t="s">
        <v>172</v>
      </c>
      <c r="M87" s="73" t="s">
        <v>169</v>
      </c>
      <c r="N87" s="1" t="s">
        <v>212</v>
      </c>
    </row>
    <row r="88" spans="1:14">
      <c r="A88" s="408"/>
      <c r="B88" s="31" t="s">
        <v>176</v>
      </c>
      <c r="C88" s="31"/>
      <c r="D88" s="32">
        <v>1453399</v>
      </c>
      <c r="E88" s="33">
        <v>0.17599999999999999</v>
      </c>
      <c r="F88" s="32">
        <v>1453399</v>
      </c>
      <c r="G88" s="33">
        <v>0.157</v>
      </c>
      <c r="H88" s="32">
        <v>963720</v>
      </c>
      <c r="I88" s="33">
        <v>0.104</v>
      </c>
      <c r="J88" s="32">
        <v>489679</v>
      </c>
      <c r="K88" s="33">
        <v>5.2999999999999999E-2</v>
      </c>
      <c r="L88" s="31" t="s">
        <v>85</v>
      </c>
      <c r="M88" s="65" t="s">
        <v>85</v>
      </c>
    </row>
    <row r="89" spans="1:14" ht="28">
      <c r="A89" s="406" t="s">
        <v>189</v>
      </c>
      <c r="B89" s="69" t="s">
        <v>190</v>
      </c>
      <c r="C89" s="70" t="s">
        <v>167</v>
      </c>
      <c r="D89" s="71">
        <v>76920</v>
      </c>
      <c r="E89" s="72">
        <v>8.9999999999999993E-3</v>
      </c>
      <c r="F89" s="71">
        <v>76920</v>
      </c>
      <c r="G89" s="72">
        <v>8.0000000000000002E-3</v>
      </c>
      <c r="H89" s="71">
        <v>53844</v>
      </c>
      <c r="I89" s="72">
        <v>6.0000000000000001E-3</v>
      </c>
      <c r="J89" s="71">
        <v>23076</v>
      </c>
      <c r="K89" s="72">
        <v>2E-3</v>
      </c>
      <c r="L89" s="70" t="s">
        <v>172</v>
      </c>
      <c r="M89" s="73" t="s">
        <v>169</v>
      </c>
      <c r="N89" s="1" t="s">
        <v>212</v>
      </c>
    </row>
    <row r="90" spans="1:14">
      <c r="A90" s="407"/>
      <c r="B90" s="69" t="s">
        <v>191</v>
      </c>
      <c r="C90" s="70" t="s">
        <v>192</v>
      </c>
      <c r="D90" s="71">
        <v>75000</v>
      </c>
      <c r="E90" s="72">
        <v>8.9999999999999993E-3</v>
      </c>
      <c r="F90" s="71">
        <v>75000</v>
      </c>
      <c r="G90" s="72">
        <v>8.0000000000000002E-3</v>
      </c>
      <c r="H90" s="71">
        <v>35000</v>
      </c>
      <c r="I90" s="72">
        <v>4.0000000000000001E-3</v>
      </c>
      <c r="J90" s="71">
        <v>40000</v>
      </c>
      <c r="K90" s="72">
        <v>4.0000000000000001E-3</v>
      </c>
      <c r="L90" s="70" t="s">
        <v>172</v>
      </c>
      <c r="M90" s="73" t="s">
        <v>169</v>
      </c>
    </row>
    <row r="91" spans="1:14" ht="39" customHeight="1">
      <c r="A91" s="407"/>
      <c r="B91" s="399" t="s">
        <v>193</v>
      </c>
      <c r="C91" s="401" t="s">
        <v>167</v>
      </c>
      <c r="D91" s="395">
        <v>70419</v>
      </c>
      <c r="E91" s="397">
        <v>8.9999999999999993E-3</v>
      </c>
      <c r="F91" s="395">
        <v>70419</v>
      </c>
      <c r="G91" s="397">
        <v>8.0000000000000002E-3</v>
      </c>
      <c r="H91" s="32">
        <v>31689</v>
      </c>
      <c r="I91" s="33">
        <v>3.0000000000000001E-3</v>
      </c>
      <c r="J91" s="395">
        <v>7042</v>
      </c>
      <c r="K91" s="33">
        <v>1E-3</v>
      </c>
      <c r="L91" s="31" t="s">
        <v>168</v>
      </c>
      <c r="M91" s="65" t="s">
        <v>169</v>
      </c>
    </row>
    <row r="92" spans="1:14">
      <c r="A92" s="407"/>
      <c r="B92" s="400"/>
      <c r="C92" s="402"/>
      <c r="D92" s="396"/>
      <c r="E92" s="398"/>
      <c r="F92" s="396"/>
      <c r="G92" s="398"/>
      <c r="H92" s="32">
        <v>31688</v>
      </c>
      <c r="I92" s="33">
        <v>3.0000000000000001E-3</v>
      </c>
      <c r="J92" s="396"/>
      <c r="K92" s="63"/>
      <c r="L92" s="31" t="s">
        <v>170</v>
      </c>
      <c r="M92" s="65" t="s">
        <v>169</v>
      </c>
    </row>
    <row r="93" spans="1:14" ht="42">
      <c r="A93" s="407"/>
      <c r="B93" s="69" t="s">
        <v>194</v>
      </c>
      <c r="C93" s="70" t="s">
        <v>167</v>
      </c>
      <c r="D93" s="71">
        <v>65240</v>
      </c>
      <c r="E93" s="72">
        <v>8.0000000000000002E-3</v>
      </c>
      <c r="F93" s="71">
        <v>65240</v>
      </c>
      <c r="G93" s="72">
        <v>7.0000000000000001E-3</v>
      </c>
      <c r="H93" s="71">
        <v>45668</v>
      </c>
      <c r="I93" s="72">
        <v>5.0000000000000001E-3</v>
      </c>
      <c r="J93" s="71">
        <v>19572</v>
      </c>
      <c r="K93" s="72">
        <v>2E-3</v>
      </c>
      <c r="L93" s="70" t="s">
        <v>172</v>
      </c>
      <c r="M93" s="73" t="s">
        <v>169</v>
      </c>
      <c r="N93" s="1" t="s">
        <v>212</v>
      </c>
    </row>
    <row r="94" spans="1:14">
      <c r="A94" s="407"/>
      <c r="B94" s="399" t="s">
        <v>195</v>
      </c>
      <c r="C94" s="401" t="s">
        <v>185</v>
      </c>
      <c r="D94" s="395">
        <v>62500</v>
      </c>
      <c r="E94" s="397">
        <v>8.0000000000000002E-3</v>
      </c>
      <c r="F94" s="395">
        <v>62500</v>
      </c>
      <c r="G94" s="397">
        <v>7.0000000000000001E-3</v>
      </c>
      <c r="H94" s="32">
        <v>28125</v>
      </c>
      <c r="I94" s="33">
        <v>3.0000000000000001E-3</v>
      </c>
      <c r="J94" s="395">
        <v>6250</v>
      </c>
      <c r="K94" s="33">
        <v>1E-3</v>
      </c>
      <c r="L94" s="31" t="s">
        <v>168</v>
      </c>
      <c r="M94" s="65" t="s">
        <v>169</v>
      </c>
    </row>
    <row r="95" spans="1:14">
      <c r="A95" s="407"/>
      <c r="B95" s="400"/>
      <c r="C95" s="402"/>
      <c r="D95" s="396"/>
      <c r="E95" s="398"/>
      <c r="F95" s="396"/>
      <c r="G95" s="398"/>
      <c r="H95" s="32">
        <v>28125</v>
      </c>
      <c r="I95" s="33">
        <v>3.0000000000000001E-3</v>
      </c>
      <c r="J95" s="396"/>
      <c r="K95" s="63"/>
      <c r="L95" s="31" t="s">
        <v>170</v>
      </c>
      <c r="M95" s="65" t="s">
        <v>169</v>
      </c>
    </row>
    <row r="96" spans="1:14">
      <c r="A96" s="407"/>
      <c r="B96" s="399" t="s">
        <v>196</v>
      </c>
      <c r="C96" s="401" t="s">
        <v>185</v>
      </c>
      <c r="D96" s="395">
        <v>62500</v>
      </c>
      <c r="E96" s="397">
        <v>8.0000000000000002E-3</v>
      </c>
      <c r="F96" s="395">
        <v>62500</v>
      </c>
      <c r="G96" s="397">
        <v>7.0000000000000001E-3</v>
      </c>
      <c r="H96" s="32">
        <v>28125</v>
      </c>
      <c r="I96" s="33">
        <v>3.0000000000000001E-3</v>
      </c>
      <c r="J96" s="395">
        <v>6250</v>
      </c>
      <c r="K96" s="33">
        <v>1E-3</v>
      </c>
      <c r="L96" s="31" t="s">
        <v>168</v>
      </c>
      <c r="M96" s="65" t="s">
        <v>169</v>
      </c>
    </row>
    <row r="97" spans="1:15">
      <c r="A97" s="407"/>
      <c r="B97" s="400"/>
      <c r="C97" s="402"/>
      <c r="D97" s="396"/>
      <c r="E97" s="398"/>
      <c r="F97" s="396"/>
      <c r="G97" s="398"/>
      <c r="H97" s="32">
        <v>28125</v>
      </c>
      <c r="I97" s="33">
        <v>3.0000000000000001E-3</v>
      </c>
      <c r="J97" s="396"/>
      <c r="K97" s="63"/>
      <c r="L97" s="31" t="s">
        <v>170</v>
      </c>
      <c r="M97" s="65" t="s">
        <v>169</v>
      </c>
    </row>
    <row r="98" spans="1:15" ht="42">
      <c r="A98" s="407"/>
      <c r="B98" s="69" t="s">
        <v>197</v>
      </c>
      <c r="C98" s="70" t="s">
        <v>167</v>
      </c>
      <c r="D98" s="71">
        <v>57400</v>
      </c>
      <c r="E98" s="72">
        <v>7.0000000000000001E-3</v>
      </c>
      <c r="F98" s="71">
        <v>57400</v>
      </c>
      <c r="G98" s="72">
        <v>6.0000000000000001E-3</v>
      </c>
      <c r="H98" s="71">
        <v>40180</v>
      </c>
      <c r="I98" s="72">
        <v>4.0000000000000001E-3</v>
      </c>
      <c r="J98" s="71">
        <v>17220</v>
      </c>
      <c r="K98" s="72">
        <v>2E-3</v>
      </c>
      <c r="L98" s="70" t="s">
        <v>172</v>
      </c>
      <c r="M98" s="73" t="s">
        <v>169</v>
      </c>
      <c r="N98" s="1" t="s">
        <v>212</v>
      </c>
      <c r="O98" s="1" t="s">
        <v>214</v>
      </c>
    </row>
    <row r="99" spans="1:15" ht="42">
      <c r="A99" s="407"/>
      <c r="B99" s="69" t="s">
        <v>198</v>
      </c>
      <c r="C99" s="70" t="s">
        <v>167</v>
      </c>
      <c r="D99" s="71">
        <v>38260</v>
      </c>
      <c r="E99" s="72">
        <v>5.0000000000000001E-3</v>
      </c>
      <c r="F99" s="71">
        <v>38260</v>
      </c>
      <c r="G99" s="72">
        <v>4.0000000000000001E-3</v>
      </c>
      <c r="H99" s="71">
        <v>26782</v>
      </c>
      <c r="I99" s="72">
        <v>3.0000000000000001E-3</v>
      </c>
      <c r="J99" s="71">
        <v>11478</v>
      </c>
      <c r="K99" s="72">
        <v>1E-3</v>
      </c>
      <c r="L99" s="70" t="s">
        <v>172</v>
      </c>
      <c r="M99" s="73" t="s">
        <v>169</v>
      </c>
      <c r="N99" s="1" t="s">
        <v>212</v>
      </c>
      <c r="O99" s="1" t="s">
        <v>214</v>
      </c>
    </row>
    <row r="100" spans="1:15" ht="28">
      <c r="A100" s="407"/>
      <c r="B100" s="69" t="s">
        <v>199</v>
      </c>
      <c r="C100" s="70" t="s">
        <v>185</v>
      </c>
      <c r="D100" s="71">
        <v>30000</v>
      </c>
      <c r="E100" s="72">
        <v>4.0000000000000001E-3</v>
      </c>
      <c r="F100" s="71">
        <v>30000</v>
      </c>
      <c r="G100" s="72">
        <v>3.0000000000000001E-3</v>
      </c>
      <c r="H100" s="71">
        <v>18000</v>
      </c>
      <c r="I100" s="72">
        <v>2E-3</v>
      </c>
      <c r="J100" s="71">
        <v>12000</v>
      </c>
      <c r="K100" s="72">
        <v>1E-3</v>
      </c>
      <c r="L100" s="70" t="s">
        <v>172</v>
      </c>
      <c r="M100" s="73" t="s">
        <v>169</v>
      </c>
      <c r="N100" s="1" t="s">
        <v>212</v>
      </c>
    </row>
    <row r="101" spans="1:15" ht="28">
      <c r="A101" s="407"/>
      <c r="B101" s="69" t="s">
        <v>200</v>
      </c>
      <c r="C101" s="70" t="s">
        <v>167</v>
      </c>
      <c r="D101" s="71">
        <v>25640</v>
      </c>
      <c r="E101" s="72">
        <v>3.0000000000000001E-3</v>
      </c>
      <c r="F101" s="71">
        <v>25640</v>
      </c>
      <c r="G101" s="72">
        <v>3.0000000000000001E-3</v>
      </c>
      <c r="H101" s="71">
        <v>17948</v>
      </c>
      <c r="I101" s="72">
        <v>2E-3</v>
      </c>
      <c r="J101" s="71">
        <v>7692</v>
      </c>
      <c r="K101" s="72">
        <v>1E-3</v>
      </c>
      <c r="L101" s="70" t="s">
        <v>172</v>
      </c>
      <c r="M101" s="73" t="s">
        <v>169</v>
      </c>
      <c r="N101" s="1" t="s">
        <v>212</v>
      </c>
    </row>
    <row r="102" spans="1:15" ht="42">
      <c r="A102" s="407"/>
      <c r="B102" s="69" t="s">
        <v>201</v>
      </c>
      <c r="C102" s="70" t="s">
        <v>167</v>
      </c>
      <c r="D102" s="71">
        <v>25640</v>
      </c>
      <c r="E102" s="72">
        <v>3.0000000000000001E-3</v>
      </c>
      <c r="F102" s="71">
        <v>25640</v>
      </c>
      <c r="G102" s="72">
        <v>3.0000000000000001E-3</v>
      </c>
      <c r="H102" s="71">
        <v>17948</v>
      </c>
      <c r="I102" s="72">
        <v>2E-3</v>
      </c>
      <c r="J102" s="71">
        <v>7692</v>
      </c>
      <c r="K102" s="72">
        <v>1E-3</v>
      </c>
      <c r="L102" s="70" t="s">
        <v>172</v>
      </c>
      <c r="M102" s="73" t="s">
        <v>169</v>
      </c>
      <c r="N102" s="1" t="s">
        <v>212</v>
      </c>
    </row>
    <row r="103" spans="1:15" ht="42">
      <c r="A103" s="407"/>
      <c r="B103" s="69" t="s">
        <v>202</v>
      </c>
      <c r="C103" s="70" t="s">
        <v>167</v>
      </c>
      <c r="D103" s="71">
        <v>25640</v>
      </c>
      <c r="E103" s="72">
        <v>3.0000000000000001E-3</v>
      </c>
      <c r="F103" s="71">
        <v>25640</v>
      </c>
      <c r="G103" s="72">
        <v>3.0000000000000001E-3</v>
      </c>
      <c r="H103" s="71">
        <v>17948</v>
      </c>
      <c r="I103" s="72">
        <v>2E-3</v>
      </c>
      <c r="J103" s="71">
        <v>7692</v>
      </c>
      <c r="K103" s="72">
        <v>1E-3</v>
      </c>
      <c r="L103" s="70" t="s">
        <v>172</v>
      </c>
      <c r="M103" s="73" t="s">
        <v>169</v>
      </c>
      <c r="N103" s="1" t="s">
        <v>212</v>
      </c>
    </row>
    <row r="104" spans="1:15">
      <c r="A104" s="407"/>
      <c r="B104" s="69" t="s">
        <v>203</v>
      </c>
      <c r="C104" s="70" t="s">
        <v>185</v>
      </c>
      <c r="D104" s="71">
        <v>25000</v>
      </c>
      <c r="E104" s="72">
        <v>3.0000000000000001E-3</v>
      </c>
      <c r="F104" s="71">
        <v>25000</v>
      </c>
      <c r="G104" s="72">
        <v>3.0000000000000001E-3</v>
      </c>
      <c r="H104" s="71">
        <v>25000</v>
      </c>
      <c r="I104" s="72">
        <v>3.0000000000000001E-3</v>
      </c>
      <c r="J104" s="74" t="s">
        <v>85</v>
      </c>
      <c r="K104" s="74" t="s">
        <v>85</v>
      </c>
      <c r="L104" s="70" t="s">
        <v>172</v>
      </c>
      <c r="M104" s="73" t="s">
        <v>169</v>
      </c>
      <c r="N104" s="1" t="s">
        <v>212</v>
      </c>
    </row>
    <row r="105" spans="1:15">
      <c r="A105" s="407"/>
      <c r="B105" s="63" t="s">
        <v>204</v>
      </c>
      <c r="C105" s="31" t="s">
        <v>204</v>
      </c>
      <c r="D105" s="32">
        <v>102162</v>
      </c>
      <c r="E105" s="33">
        <v>1.2E-2</v>
      </c>
      <c r="F105" s="32">
        <v>102162</v>
      </c>
      <c r="G105" s="33">
        <v>1.0999999999999999E-2</v>
      </c>
      <c r="H105" s="34" t="s">
        <v>85</v>
      </c>
      <c r="I105" s="34" t="s">
        <v>85</v>
      </c>
      <c r="J105" s="32">
        <v>102162</v>
      </c>
      <c r="K105" s="33">
        <v>1.0999999999999999E-2</v>
      </c>
      <c r="L105" s="31" t="s">
        <v>85</v>
      </c>
      <c r="M105" s="65" t="s">
        <v>85</v>
      </c>
    </row>
    <row r="106" spans="1:15">
      <c r="A106" s="408"/>
      <c r="B106" s="31" t="s">
        <v>176</v>
      </c>
      <c r="C106" s="31"/>
      <c r="D106" s="32">
        <v>742321</v>
      </c>
      <c r="E106" s="33">
        <v>0.09</v>
      </c>
      <c r="F106" s="32">
        <v>742321</v>
      </c>
      <c r="G106" s="33">
        <v>0.08</v>
      </c>
      <c r="H106" s="32">
        <v>474195</v>
      </c>
      <c r="I106" s="33">
        <v>5.0999999999999997E-2</v>
      </c>
      <c r="J106" s="32">
        <v>268126</v>
      </c>
      <c r="K106" s="33">
        <v>2.9000000000000001E-2</v>
      </c>
      <c r="L106" s="31" t="s">
        <v>85</v>
      </c>
      <c r="M106" s="65" t="s">
        <v>85</v>
      </c>
    </row>
    <row r="107" spans="1:15">
      <c r="A107" s="36" t="s">
        <v>205</v>
      </c>
      <c r="B107" s="63" t="s">
        <v>206</v>
      </c>
      <c r="C107" s="31" t="s">
        <v>207</v>
      </c>
      <c r="D107" s="34" t="s">
        <v>85</v>
      </c>
      <c r="E107" s="34" t="s">
        <v>85</v>
      </c>
      <c r="F107" s="32">
        <v>1000000</v>
      </c>
      <c r="G107" s="33">
        <v>0.108</v>
      </c>
      <c r="H107" s="34" t="s">
        <v>85</v>
      </c>
      <c r="I107" s="34" t="s">
        <v>85</v>
      </c>
      <c r="J107" s="32">
        <v>1000000</v>
      </c>
      <c r="K107" s="33">
        <v>0.108</v>
      </c>
      <c r="L107" s="31" t="s">
        <v>85</v>
      </c>
      <c r="M107" s="65" t="s">
        <v>85</v>
      </c>
    </row>
    <row r="108" spans="1:15">
      <c r="A108" s="36" t="s">
        <v>208</v>
      </c>
      <c r="B108" s="63" t="s">
        <v>209</v>
      </c>
      <c r="C108" s="31" t="s">
        <v>210</v>
      </c>
      <c r="D108" s="34" t="s">
        <v>85</v>
      </c>
      <c r="E108" s="34" t="s">
        <v>85</v>
      </c>
      <c r="F108" s="32">
        <v>19607</v>
      </c>
      <c r="G108" s="33">
        <v>2E-3</v>
      </c>
      <c r="H108" s="32">
        <v>19607</v>
      </c>
      <c r="I108" s="33">
        <v>2E-3</v>
      </c>
      <c r="J108" s="34" t="s">
        <v>85</v>
      </c>
      <c r="K108" s="34" t="s">
        <v>85</v>
      </c>
      <c r="L108" s="31" t="s">
        <v>168</v>
      </c>
      <c r="M108" s="65" t="s">
        <v>211</v>
      </c>
    </row>
    <row r="109" spans="1:15">
      <c r="A109" s="412" t="s">
        <v>74</v>
      </c>
      <c r="B109" s="413"/>
      <c r="C109" s="414"/>
      <c r="D109" s="39">
        <v>8256160</v>
      </c>
      <c r="E109" s="40">
        <v>1</v>
      </c>
      <c r="F109" s="39">
        <v>9275767</v>
      </c>
      <c r="G109" s="40">
        <v>1</v>
      </c>
      <c r="H109" s="39">
        <v>6309854</v>
      </c>
      <c r="I109" s="40">
        <v>0.68</v>
      </c>
      <c r="J109" s="39">
        <v>2965913</v>
      </c>
      <c r="K109" s="40">
        <v>0.32</v>
      </c>
      <c r="L109" s="66" t="s">
        <v>85</v>
      </c>
      <c r="M109" s="67" t="s">
        <v>85</v>
      </c>
    </row>
    <row r="111" spans="1:15">
      <c r="A111" s="28" t="s">
        <v>91</v>
      </c>
      <c r="B111"/>
      <c r="C111"/>
    </row>
    <row r="112" spans="1:15">
      <c r="A112" s="29" t="s">
        <v>92</v>
      </c>
      <c r="B112"/>
      <c r="C112"/>
    </row>
    <row r="113" spans="1:14" ht="28">
      <c r="A113" s="45" t="s">
        <v>76</v>
      </c>
      <c r="B113" s="46" t="s">
        <v>93</v>
      </c>
      <c r="C113" s="47" t="s">
        <v>94</v>
      </c>
    </row>
    <row r="114" spans="1:14">
      <c r="A114" s="36" t="s">
        <v>95</v>
      </c>
      <c r="B114" s="32">
        <v>2965913</v>
      </c>
      <c r="C114" s="37">
        <v>0.31969999999999998</v>
      </c>
    </row>
    <row r="115" spans="1:14">
      <c r="A115" s="36" t="s">
        <v>96</v>
      </c>
      <c r="B115" s="32">
        <v>2002343</v>
      </c>
      <c r="C115" s="37">
        <v>0.53559999999999997</v>
      </c>
    </row>
    <row r="116" spans="1:14">
      <c r="A116" s="36" t="s">
        <v>97</v>
      </c>
      <c r="B116" s="32">
        <v>726631</v>
      </c>
      <c r="C116" s="37">
        <v>0.61399999999999999</v>
      </c>
    </row>
    <row r="117" spans="1:14">
      <c r="A117" s="36" t="s">
        <v>98</v>
      </c>
      <c r="B117" s="32">
        <v>746240</v>
      </c>
      <c r="C117" s="37">
        <v>0.69440000000000002</v>
      </c>
    </row>
    <row r="118" spans="1:14">
      <c r="A118" s="38" t="s">
        <v>99</v>
      </c>
      <c r="B118" s="39">
        <v>2834640</v>
      </c>
      <c r="C118" s="41">
        <v>1</v>
      </c>
    </row>
    <row r="119" spans="1:14">
      <c r="J119" s="1">
        <v>2022</v>
      </c>
    </row>
    <row r="120" spans="1:14">
      <c r="A120" s="1" t="s">
        <v>574</v>
      </c>
      <c r="J120" s="1" t="s">
        <v>580</v>
      </c>
    </row>
    <row r="121" spans="1:14">
      <c r="B121" s="1">
        <v>2022</v>
      </c>
      <c r="C121" s="1">
        <v>2023</v>
      </c>
      <c r="D121" s="1">
        <v>2024</v>
      </c>
      <c r="J121" s="1" t="s">
        <v>282</v>
      </c>
      <c r="K121" s="1" t="s">
        <v>486</v>
      </c>
      <c r="L121" s="1" t="s">
        <v>581</v>
      </c>
      <c r="M121" s="1" t="s">
        <v>74</v>
      </c>
    </row>
    <row r="122" spans="1:14">
      <c r="J122" s="1" t="s">
        <v>488</v>
      </c>
      <c r="K122" s="68">
        <v>3734397707</v>
      </c>
      <c r="L122" s="68">
        <v>1292714835</v>
      </c>
      <c r="M122" s="68">
        <v>6982658719</v>
      </c>
      <c r="N122" s="68"/>
    </row>
    <row r="123" spans="1:14">
      <c r="A123" s="1" t="s">
        <v>575</v>
      </c>
      <c r="B123" s="68">
        <v>10968670439</v>
      </c>
      <c r="C123" s="68"/>
      <c r="D123" s="68"/>
      <c r="J123" s="1" t="s">
        <v>489</v>
      </c>
      <c r="K123" s="68">
        <v>280857835</v>
      </c>
      <c r="L123" s="1" t="s">
        <v>85</v>
      </c>
      <c r="M123" s="68">
        <v>468157035</v>
      </c>
      <c r="N123" s="68"/>
    </row>
    <row r="124" spans="1:14">
      <c r="A124" s="1" t="s">
        <v>641</v>
      </c>
      <c r="B124" s="68">
        <f>+B125+B126</f>
        <v>-9691533925</v>
      </c>
      <c r="C124" s="68"/>
      <c r="D124" s="68"/>
      <c r="J124" s="68" t="s">
        <v>490</v>
      </c>
      <c r="K124" s="68">
        <v>340275244</v>
      </c>
      <c r="L124" s="68">
        <v>6643190</v>
      </c>
      <c r="M124" s="68">
        <v>527645522</v>
      </c>
      <c r="N124" s="68"/>
    </row>
    <row r="125" spans="1:14">
      <c r="A125" s="179" t="s">
        <v>642</v>
      </c>
      <c r="B125" s="68">
        <v>3297467579</v>
      </c>
      <c r="C125" s="68"/>
      <c r="D125" s="68"/>
      <c r="J125" s="68" t="s">
        <v>491</v>
      </c>
      <c r="K125" s="68">
        <v>79493760</v>
      </c>
      <c r="L125" s="1" t="s">
        <v>85</v>
      </c>
      <c r="M125" s="68">
        <v>253732665</v>
      </c>
      <c r="N125" s="68"/>
    </row>
    <row r="126" spans="1:14">
      <c r="A126" s="179" t="s">
        <v>643</v>
      </c>
      <c r="B126" s="68">
        <v>-12989001504</v>
      </c>
      <c r="C126" s="68"/>
      <c r="J126" s="68" t="s">
        <v>123</v>
      </c>
      <c r="K126" s="68">
        <v>3030204043</v>
      </c>
      <c r="L126" s="1" t="s">
        <v>85</v>
      </c>
      <c r="M126" s="68">
        <v>3216247440</v>
      </c>
      <c r="N126" s="68"/>
    </row>
    <row r="127" spans="1:14">
      <c r="A127" s="1" t="s">
        <v>644</v>
      </c>
      <c r="B127" s="68">
        <v>20661034155</v>
      </c>
      <c r="D127" s="68"/>
      <c r="J127" s="68" t="s">
        <v>124</v>
      </c>
      <c r="K127" s="68" t="s">
        <v>85</v>
      </c>
      <c r="L127" s="1" t="s">
        <v>85</v>
      </c>
      <c r="M127" s="68">
        <v>189093188</v>
      </c>
      <c r="N127" s="68"/>
    </row>
    <row r="128" spans="1:14">
      <c r="A128" s="1" t="s">
        <v>645</v>
      </c>
      <c r="B128" s="68">
        <v>961469138</v>
      </c>
      <c r="C128" s="68"/>
      <c r="D128" s="68"/>
      <c r="J128" s="68" t="s">
        <v>492</v>
      </c>
      <c r="K128" s="68">
        <v>154804640</v>
      </c>
      <c r="L128" s="68">
        <v>5701920</v>
      </c>
      <c r="M128" s="68">
        <v>262844660</v>
      </c>
      <c r="N128" s="68"/>
    </row>
    <row r="129" spans="1:30">
      <c r="A129" s="1" t="s">
        <v>646</v>
      </c>
      <c r="B129" s="68">
        <v>-962298929</v>
      </c>
      <c r="C129" s="68"/>
      <c r="D129" s="68"/>
      <c r="J129" s="177" t="s">
        <v>74</v>
      </c>
      <c r="K129" s="178">
        <v>7620033229</v>
      </c>
      <c r="L129" s="178">
        <v>1305059945</v>
      </c>
      <c r="M129" s="178">
        <v>11900379229</v>
      </c>
      <c r="N129" s="178"/>
    </row>
    <row r="130" spans="1:30">
      <c r="B130" s="68"/>
      <c r="J130" s="68"/>
      <c r="L130" s="68"/>
      <c r="S130" s="68"/>
    </row>
    <row r="131" spans="1:30">
      <c r="B131" s="68"/>
      <c r="J131" s="68"/>
      <c r="L131" s="68"/>
    </row>
    <row r="132" spans="1:30">
      <c r="I132" s="1" t="s">
        <v>648</v>
      </c>
      <c r="N132" s="1" t="s">
        <v>647</v>
      </c>
    </row>
    <row r="133" spans="1:30">
      <c r="A133" s="1" t="s">
        <v>576</v>
      </c>
      <c r="O133" s="68"/>
      <c r="P133" s="68"/>
      <c r="T133" s="415" t="s">
        <v>59</v>
      </c>
      <c r="U133" s="403" t="s">
        <v>659</v>
      </c>
      <c r="V133" s="419"/>
      <c r="W133" s="404"/>
      <c r="X133" s="403" t="s">
        <v>660</v>
      </c>
      <c r="Y133" s="419"/>
      <c r="Z133" s="404"/>
      <c r="AA133" s="417" t="s">
        <v>662</v>
      </c>
      <c r="AB133" s="420"/>
      <c r="AC133" s="418"/>
    </row>
    <row r="134" spans="1:30">
      <c r="K134" s="1">
        <v>23</v>
      </c>
      <c r="L134" s="1">
        <v>24</v>
      </c>
      <c r="O134" s="1" t="s">
        <v>59</v>
      </c>
      <c r="P134" s="1">
        <v>23</v>
      </c>
      <c r="Q134" s="1">
        <v>24</v>
      </c>
      <c r="T134" s="416"/>
      <c r="U134" s="30" t="s">
        <v>651</v>
      </c>
      <c r="V134" s="30" t="s">
        <v>652</v>
      </c>
      <c r="W134" s="30" t="s">
        <v>653</v>
      </c>
      <c r="X134" s="30" t="s">
        <v>651</v>
      </c>
      <c r="Y134" s="30" t="s">
        <v>652</v>
      </c>
      <c r="Z134" s="30" t="s">
        <v>653</v>
      </c>
      <c r="AA134" s="30" t="s">
        <v>651</v>
      </c>
      <c r="AB134" s="30" t="s">
        <v>652</v>
      </c>
      <c r="AC134" s="35" t="s">
        <v>653</v>
      </c>
    </row>
    <row r="135" spans="1:30">
      <c r="C135" s="68">
        <v>22</v>
      </c>
      <c r="D135" s="68">
        <v>23</v>
      </c>
      <c r="E135" s="68">
        <v>24</v>
      </c>
      <c r="I135" s="1" t="s">
        <v>609</v>
      </c>
      <c r="J135" s="1" t="s">
        <v>609</v>
      </c>
      <c r="K135" s="1" t="s">
        <v>549</v>
      </c>
      <c r="L135" s="1" t="s">
        <v>548</v>
      </c>
      <c r="O135" s="1" t="s">
        <v>661</v>
      </c>
      <c r="P135" s="68">
        <v>-8238277270</v>
      </c>
      <c r="Q135" s="68">
        <v>-790226684</v>
      </c>
      <c r="T135" s="101" t="s">
        <v>654</v>
      </c>
      <c r="U135" s="32">
        <v>13600483756</v>
      </c>
      <c r="V135" s="32">
        <v>-1538682023</v>
      </c>
      <c r="W135" s="32">
        <v>12061801733</v>
      </c>
      <c r="X135" s="32">
        <v>9219802741</v>
      </c>
      <c r="Y135" s="32">
        <v>-503752067</v>
      </c>
      <c r="Z135" s="32">
        <v>8716050674</v>
      </c>
      <c r="AA135" s="32">
        <v>12989001504</v>
      </c>
      <c r="AB135" s="32">
        <v>-2045999262</v>
      </c>
      <c r="AC135" s="48">
        <v>10943002242</v>
      </c>
    </row>
    <row r="136" spans="1:30">
      <c r="B136" s="1" t="s">
        <v>582</v>
      </c>
      <c r="C136" s="68">
        <f>+SUM(C137:C162)</f>
        <v>5119060964</v>
      </c>
      <c r="D136" s="68">
        <f>+SUM(D137:D164)</f>
        <v>6355442976</v>
      </c>
      <c r="E136" s="68">
        <f>+SUM(E137:E164)</f>
        <v>9565277568</v>
      </c>
      <c r="J136" s="177" t="s">
        <v>488</v>
      </c>
      <c r="K136" s="178">
        <v>2260413732</v>
      </c>
      <c r="L136" s="178">
        <v>2664204058</v>
      </c>
      <c r="M136" s="178"/>
      <c r="O136" s="1" t="s">
        <v>634</v>
      </c>
      <c r="P136" s="68">
        <v>36798921224</v>
      </c>
      <c r="Q136" s="68">
        <v>32409839375</v>
      </c>
      <c r="R136" s="68"/>
      <c r="U136" s="101" t="s">
        <v>655</v>
      </c>
      <c r="V136" s="32">
        <v>13472177444</v>
      </c>
      <c r="W136" s="32">
        <v>-2279118967</v>
      </c>
      <c r="X136" s="32">
        <v>11193058477</v>
      </c>
      <c r="Y136" s="32">
        <v>16113282321</v>
      </c>
      <c r="Z136" s="32">
        <v>-2343046669</v>
      </c>
      <c r="AA136" s="32">
        <v>13770235652</v>
      </c>
      <c r="AB136" s="32">
        <v>3305006814</v>
      </c>
      <c r="AC136" s="34" t="s">
        <v>85</v>
      </c>
      <c r="AD136" s="48">
        <v>3305006814</v>
      </c>
    </row>
    <row r="137" spans="1:30">
      <c r="A137" s="189" t="s">
        <v>682</v>
      </c>
      <c r="B137" s="1" t="s">
        <v>583</v>
      </c>
      <c r="C137" s="68">
        <v>1955546177</v>
      </c>
      <c r="D137" s="68">
        <v>2260413732</v>
      </c>
      <c r="E137" s="68">
        <v>2664204058</v>
      </c>
      <c r="J137" s="177" t="s">
        <v>610</v>
      </c>
      <c r="K137" s="178">
        <v>180488056</v>
      </c>
      <c r="L137" s="178">
        <v>613342633</v>
      </c>
      <c r="M137" s="178"/>
      <c r="O137" s="1" t="s">
        <v>635</v>
      </c>
      <c r="P137" s="68">
        <v>5310000</v>
      </c>
      <c r="Q137" s="68">
        <v>176338992</v>
      </c>
      <c r="R137" s="68"/>
      <c r="U137" s="101" t="s">
        <v>656</v>
      </c>
      <c r="V137" s="32">
        <v>7576229468</v>
      </c>
      <c r="W137" s="34" t="s">
        <v>85</v>
      </c>
      <c r="X137" s="32">
        <v>7576229468</v>
      </c>
      <c r="Y137" s="32">
        <v>8975353609</v>
      </c>
      <c r="Z137" s="34" t="s">
        <v>85</v>
      </c>
      <c r="AA137" s="32">
        <v>8975353609</v>
      </c>
      <c r="AB137" s="32">
        <v>8375095783</v>
      </c>
      <c r="AC137" s="34" t="s">
        <v>85</v>
      </c>
      <c r="AD137" s="48">
        <v>8375095783</v>
      </c>
    </row>
    <row r="138" spans="1:30">
      <c r="A138" s="189" t="s">
        <v>682</v>
      </c>
      <c r="B138" s="1" t="s">
        <v>584</v>
      </c>
      <c r="C138" s="68">
        <v>187299200</v>
      </c>
      <c r="D138" s="68">
        <v>212723342</v>
      </c>
      <c r="E138" s="68">
        <v>329533376</v>
      </c>
      <c r="J138" s="177" t="s">
        <v>489</v>
      </c>
      <c r="K138" s="178">
        <v>212723342</v>
      </c>
      <c r="L138" s="178">
        <v>329533376</v>
      </c>
      <c r="M138" s="178"/>
      <c r="O138" s="177" t="s">
        <v>488</v>
      </c>
      <c r="P138" s="178">
        <v>9019730459</v>
      </c>
      <c r="Q138" s="178">
        <v>13642574971</v>
      </c>
      <c r="R138" s="68"/>
      <c r="U138" s="101" t="s">
        <v>657</v>
      </c>
      <c r="V138" s="32">
        <v>2448773085</v>
      </c>
      <c r="W138" s="34" t="s">
        <v>85</v>
      </c>
      <c r="X138" s="32">
        <v>2448773085</v>
      </c>
      <c r="Y138" s="32">
        <v>1677618032</v>
      </c>
      <c r="Z138" s="34" t="s">
        <v>85</v>
      </c>
      <c r="AA138" s="32">
        <v>1677618032</v>
      </c>
      <c r="AB138" s="32">
        <v>1625585255</v>
      </c>
      <c r="AC138" s="34" t="s">
        <v>85</v>
      </c>
      <c r="AD138" s="48">
        <v>1625585255</v>
      </c>
    </row>
    <row r="139" spans="1:30">
      <c r="A139" s="189" t="s">
        <v>682</v>
      </c>
      <c r="B139" s="1" t="s">
        <v>585</v>
      </c>
      <c r="C139" s="68">
        <v>180727088</v>
      </c>
      <c r="D139" s="68">
        <v>272921569</v>
      </c>
      <c r="E139" s="68">
        <v>411749634</v>
      </c>
      <c r="J139" s="177" t="s">
        <v>490</v>
      </c>
      <c r="K139" s="178">
        <v>272921569</v>
      </c>
      <c r="L139" s="178">
        <v>411749634</v>
      </c>
      <c r="M139" s="178"/>
      <c r="O139" s="179" t="s">
        <v>578</v>
      </c>
      <c r="P139" s="68">
        <v>6759316727</v>
      </c>
      <c r="Q139" s="68">
        <v>10978370913</v>
      </c>
      <c r="R139" s="68"/>
      <c r="U139" s="101" t="s">
        <v>658</v>
      </c>
      <c r="V139" s="32">
        <v>21652800</v>
      </c>
      <c r="W139" s="34" t="s">
        <v>85</v>
      </c>
      <c r="X139" s="32">
        <v>21652800</v>
      </c>
      <c r="Y139" s="34" t="s">
        <v>85</v>
      </c>
      <c r="Z139" s="34" t="s">
        <v>85</v>
      </c>
      <c r="AA139" s="34"/>
      <c r="AB139" s="34" t="s">
        <v>85</v>
      </c>
      <c r="AC139" s="34" t="s">
        <v>85</v>
      </c>
      <c r="AD139" s="58"/>
    </row>
    <row r="140" spans="1:30">
      <c r="A140" s="189" t="s">
        <v>685</v>
      </c>
      <c r="B140" s="1" t="s">
        <v>586</v>
      </c>
      <c r="C140" s="68">
        <v>58138119</v>
      </c>
      <c r="D140" s="68">
        <v>120415819</v>
      </c>
      <c r="E140" s="68">
        <v>233996353</v>
      </c>
      <c r="J140" s="177" t="s">
        <v>611</v>
      </c>
      <c r="K140" s="178">
        <v>120415819</v>
      </c>
      <c r="L140" s="178">
        <v>233996353</v>
      </c>
      <c r="M140" s="178"/>
      <c r="O140" s="179" t="s">
        <v>640</v>
      </c>
      <c r="P140" s="68">
        <v>2260413732</v>
      </c>
      <c r="Q140" s="68">
        <v>2664204058</v>
      </c>
      <c r="R140" s="68"/>
      <c r="U140" s="38" t="s">
        <v>70</v>
      </c>
      <c r="V140" s="39">
        <v>37119316553</v>
      </c>
      <c r="W140" s="39">
        <v>-3817800990</v>
      </c>
      <c r="X140" s="39">
        <v>33301515563</v>
      </c>
      <c r="Y140" s="39">
        <v>35986056703</v>
      </c>
      <c r="Z140" s="39">
        <v>-2846798736</v>
      </c>
      <c r="AA140" s="39">
        <v>33139257967</v>
      </c>
      <c r="AB140" s="39">
        <v>26294689356</v>
      </c>
      <c r="AC140" s="39">
        <v>-2045999262</v>
      </c>
      <c r="AD140" s="49">
        <v>24248690094</v>
      </c>
    </row>
    <row r="141" spans="1:30">
      <c r="A141" s="189" t="s">
        <v>685</v>
      </c>
      <c r="B141" s="1" t="s">
        <v>587</v>
      </c>
      <c r="C141" s="68">
        <v>44868470</v>
      </c>
      <c r="D141" s="68">
        <v>77031487</v>
      </c>
      <c r="E141" s="68">
        <v>139194615</v>
      </c>
      <c r="J141" s="177" t="s">
        <v>612</v>
      </c>
      <c r="K141" s="178">
        <v>70956625</v>
      </c>
      <c r="L141" s="178">
        <v>79640201</v>
      </c>
      <c r="M141" s="178"/>
      <c r="O141" s="177" t="s">
        <v>489</v>
      </c>
      <c r="P141" s="178">
        <v>618965956</v>
      </c>
      <c r="Q141" s="178">
        <v>898398808</v>
      </c>
      <c r="R141" s="68"/>
    </row>
    <row r="142" spans="1:30">
      <c r="A142" s="189" t="s">
        <v>686</v>
      </c>
      <c r="B142" s="1" t="s">
        <v>588</v>
      </c>
      <c r="C142" s="68">
        <v>16649823</v>
      </c>
      <c r="D142" s="68">
        <v>23699663</v>
      </c>
      <c r="E142" s="68">
        <v>34519357</v>
      </c>
      <c r="J142" s="177" t="s">
        <v>613</v>
      </c>
      <c r="K142" s="178">
        <v>23699663</v>
      </c>
      <c r="L142" s="178">
        <v>34519357</v>
      </c>
      <c r="M142" s="178"/>
      <c r="O142" s="179" t="s">
        <v>578</v>
      </c>
      <c r="P142" s="68">
        <v>406242614</v>
      </c>
      <c r="Q142" s="68">
        <v>568865432</v>
      </c>
      <c r="R142" s="68"/>
      <c r="U142" s="68">
        <f>+AA140-X140-971000000</f>
        <v>-1133257596</v>
      </c>
    </row>
    <row r="143" spans="1:30">
      <c r="A143" s="189" t="s">
        <v>686</v>
      </c>
      <c r="B143" s="1" t="s">
        <v>589</v>
      </c>
      <c r="C143" s="68">
        <v>24857270</v>
      </c>
      <c r="E143" s="68"/>
      <c r="J143" s="177" t="s">
        <v>614</v>
      </c>
      <c r="K143" s="178">
        <v>114575556</v>
      </c>
      <c r="L143" s="178">
        <v>179525574</v>
      </c>
      <c r="M143" s="178"/>
      <c r="O143" s="179" t="s">
        <v>640</v>
      </c>
      <c r="P143" s="68">
        <v>212723342</v>
      </c>
      <c r="Q143" s="68">
        <v>329533376</v>
      </c>
      <c r="R143" s="68"/>
      <c r="U143" s="68">
        <f>+SUM(Z135,AA136,AA139)-SUM(W135,X136,X139)</f>
        <v>-790226684</v>
      </c>
    </row>
    <row r="144" spans="1:30">
      <c r="A144" s="189" t="s">
        <v>686</v>
      </c>
      <c r="B144" s="1" t="s">
        <v>590</v>
      </c>
      <c r="C144" s="68">
        <v>102338100</v>
      </c>
      <c r="D144" s="68">
        <v>114575556</v>
      </c>
      <c r="E144" s="68">
        <v>179525574</v>
      </c>
      <c r="J144" s="177" t="s">
        <v>615</v>
      </c>
      <c r="K144" s="178">
        <v>268529236</v>
      </c>
      <c r="L144" s="178">
        <v>693786141</v>
      </c>
      <c r="M144" s="178"/>
      <c r="O144" s="177" t="s">
        <v>636</v>
      </c>
      <c r="P144" s="178">
        <v>1452257060</v>
      </c>
      <c r="Q144" s="178">
        <v>1462776338</v>
      </c>
      <c r="R144" s="68"/>
    </row>
    <row r="145" spans="1:18">
      <c r="A145" s="189" t="s">
        <v>683</v>
      </c>
      <c r="B145" s="1" t="s">
        <v>591</v>
      </c>
      <c r="C145" s="68">
        <v>186043397</v>
      </c>
      <c r="D145" s="68">
        <v>241437954</v>
      </c>
      <c r="E145" s="68">
        <v>466263185</v>
      </c>
      <c r="J145" s="177" t="s">
        <v>616</v>
      </c>
      <c r="K145" s="178">
        <v>112766221</v>
      </c>
      <c r="L145" s="178">
        <v>65242020</v>
      </c>
      <c r="M145" s="178"/>
      <c r="O145" s="179" t="s">
        <v>578</v>
      </c>
      <c r="P145" s="68">
        <v>1237511361</v>
      </c>
      <c r="Q145" s="68">
        <v>946445513</v>
      </c>
      <c r="R145" s="68"/>
    </row>
    <row r="146" spans="1:18">
      <c r="A146" s="189" t="s">
        <v>686</v>
      </c>
      <c r="B146" s="1" t="s">
        <v>592</v>
      </c>
      <c r="C146" s="68">
        <v>174238905</v>
      </c>
      <c r="D146" s="68">
        <v>112766221</v>
      </c>
      <c r="E146" s="68">
        <v>65242020</v>
      </c>
      <c r="J146" s="177" t="s">
        <v>123</v>
      </c>
      <c r="K146" s="178">
        <v>241437954</v>
      </c>
      <c r="L146" s="178">
        <v>466263185</v>
      </c>
      <c r="M146" s="178"/>
      <c r="O146" s="179" t="s">
        <v>640</v>
      </c>
      <c r="P146" s="68">
        <v>214745699</v>
      </c>
      <c r="Q146" s="68">
        <v>516330825</v>
      </c>
    </row>
    <row r="147" spans="1:18">
      <c r="A147" s="189" t="s">
        <v>686</v>
      </c>
      <c r="B147" s="1" t="s">
        <v>593</v>
      </c>
      <c r="C147" s="68">
        <v>10406000</v>
      </c>
      <c r="D147" s="68">
        <v>3663000</v>
      </c>
      <c r="E147" s="68">
        <v>10526000</v>
      </c>
      <c r="J147" s="177" t="s">
        <v>124</v>
      </c>
      <c r="K147" s="178">
        <v>49934441</v>
      </c>
      <c r="L147" s="178">
        <v>217140687</v>
      </c>
      <c r="M147" s="178"/>
      <c r="O147" s="177" t="s">
        <v>637</v>
      </c>
      <c r="P147" s="178">
        <v>4954227316</v>
      </c>
      <c r="Q147" s="178">
        <v>9145832856</v>
      </c>
    </row>
    <row r="148" spans="1:18">
      <c r="A148" s="189" t="s">
        <v>686</v>
      </c>
      <c r="B148" s="1" t="s">
        <v>594</v>
      </c>
      <c r="C148" s="68">
        <v>15851388</v>
      </c>
      <c r="D148" s="68">
        <v>8842317</v>
      </c>
      <c r="E148" s="68">
        <v>37248412</v>
      </c>
      <c r="J148" s="177" t="s">
        <v>617</v>
      </c>
      <c r="K148" s="178">
        <v>36867689</v>
      </c>
      <c r="L148" s="178">
        <v>82408350</v>
      </c>
      <c r="M148" s="178"/>
      <c r="O148" s="179" t="s">
        <v>578</v>
      </c>
      <c r="P148" s="68">
        <v>4662854921</v>
      </c>
      <c r="Q148" s="68">
        <v>8462428984</v>
      </c>
    </row>
    <row r="149" spans="1:18">
      <c r="A149" s="189" t="s">
        <v>683</v>
      </c>
      <c r="B149" s="1" t="s">
        <v>595</v>
      </c>
      <c r="C149" s="68">
        <v>189093188</v>
      </c>
      <c r="D149" s="68">
        <v>49934441</v>
      </c>
      <c r="E149" s="68">
        <v>217140687</v>
      </c>
      <c r="J149" s="177" t="s">
        <v>618</v>
      </c>
      <c r="K149" s="178">
        <v>77031487</v>
      </c>
      <c r="L149" s="178">
        <v>139194615</v>
      </c>
      <c r="M149" s="178"/>
      <c r="O149" s="179" t="s">
        <v>640</v>
      </c>
      <c r="P149" s="68">
        <v>291372395</v>
      </c>
      <c r="Q149" s="68">
        <v>683403872</v>
      </c>
    </row>
    <row r="150" spans="1:18">
      <c r="A150" s="189" t="s">
        <v>686</v>
      </c>
      <c r="B150" s="1" t="s">
        <v>596</v>
      </c>
      <c r="C150" s="68">
        <v>62938484</v>
      </c>
      <c r="D150" s="68">
        <v>36867689</v>
      </c>
      <c r="E150" s="68">
        <v>82408350</v>
      </c>
      <c r="J150" s="177" t="s">
        <v>619</v>
      </c>
      <c r="K150" s="178">
        <v>81303722</v>
      </c>
      <c r="L150" s="178">
        <v>201231366</v>
      </c>
      <c r="M150" s="178"/>
      <c r="O150" s="177" t="s">
        <v>491</v>
      </c>
      <c r="P150" s="178">
        <v>226931858</v>
      </c>
      <c r="Q150" s="178">
        <v>228598883</v>
      </c>
    </row>
    <row r="151" spans="1:18">
      <c r="A151" s="189" t="s">
        <v>686</v>
      </c>
      <c r="B151" s="1" t="s">
        <v>597</v>
      </c>
      <c r="C151" s="68">
        <v>78192673</v>
      </c>
      <c r="D151" s="68">
        <v>70956625</v>
      </c>
      <c r="E151" s="68">
        <v>79640201</v>
      </c>
      <c r="J151" s="177" t="s">
        <v>620</v>
      </c>
      <c r="K151" s="178">
        <v>31104546</v>
      </c>
      <c r="L151" s="178">
        <v>32505876</v>
      </c>
      <c r="M151" s="178"/>
      <c r="O151" s="179" t="s">
        <v>578</v>
      </c>
      <c r="P151" s="68">
        <v>114165637</v>
      </c>
      <c r="Q151" s="68">
        <v>163356863</v>
      </c>
    </row>
    <row r="152" spans="1:18">
      <c r="A152" s="189" t="s">
        <v>684</v>
      </c>
      <c r="B152" s="1" t="s">
        <v>598</v>
      </c>
      <c r="C152" s="68">
        <v>1162451330</v>
      </c>
      <c r="D152" s="68">
        <v>1756795183</v>
      </c>
      <c r="E152" s="68">
        <v>2026409422</v>
      </c>
      <c r="J152" s="1" t="s">
        <v>621</v>
      </c>
      <c r="L152" s="68">
        <v>168112</v>
      </c>
      <c r="O152" s="179" t="s">
        <v>640</v>
      </c>
      <c r="P152" s="68">
        <v>112766221</v>
      </c>
      <c r="Q152" s="68">
        <v>65242020</v>
      </c>
    </row>
    <row r="153" spans="1:18">
      <c r="A153" s="189" t="s">
        <v>686</v>
      </c>
      <c r="B153" s="1" t="s">
        <v>599</v>
      </c>
      <c r="C153" s="68">
        <v>154279516</v>
      </c>
      <c r="D153" s="68">
        <v>97790087</v>
      </c>
      <c r="E153" s="68">
        <v>160987695</v>
      </c>
      <c r="J153" s="177" t="s">
        <v>622</v>
      </c>
      <c r="K153" s="178">
        <v>2595981</v>
      </c>
      <c r="L153" s="178">
        <v>10374357</v>
      </c>
      <c r="M153" s="178"/>
      <c r="O153" s="177" t="s">
        <v>615</v>
      </c>
      <c r="P153" s="178">
        <v>885545478</v>
      </c>
      <c r="Q153" s="178">
        <v>2076820966</v>
      </c>
    </row>
    <row r="154" spans="1:18">
      <c r="A154" s="189" t="s">
        <v>684</v>
      </c>
      <c r="B154" s="1" t="s">
        <v>600</v>
      </c>
      <c r="C154" s="1" t="s">
        <v>85</v>
      </c>
      <c r="D154" s="68">
        <v>868000</v>
      </c>
      <c r="E154" s="68">
        <v>4501000</v>
      </c>
      <c r="J154" s="177" t="s">
        <v>623</v>
      </c>
      <c r="K154" s="178">
        <v>868000</v>
      </c>
      <c r="L154" s="178">
        <v>4501000</v>
      </c>
      <c r="M154" s="178"/>
      <c r="O154" s="179" t="s">
        <v>578</v>
      </c>
      <c r="P154" s="68">
        <v>617016242</v>
      </c>
      <c r="Q154" s="68">
        <v>1383034825</v>
      </c>
    </row>
    <row r="155" spans="1:18">
      <c r="A155" s="189" t="s">
        <v>686</v>
      </c>
      <c r="B155" s="1" t="s">
        <v>601</v>
      </c>
      <c r="C155" s="68">
        <v>40360958</v>
      </c>
      <c r="D155" s="68">
        <v>31104546</v>
      </c>
      <c r="E155" s="68">
        <v>32505876</v>
      </c>
      <c r="J155" s="177" t="s">
        <v>624</v>
      </c>
      <c r="K155" s="178">
        <v>97790087</v>
      </c>
      <c r="L155" s="178">
        <v>160987695</v>
      </c>
      <c r="M155" s="178"/>
      <c r="O155" s="179" t="s">
        <v>640</v>
      </c>
      <c r="P155" s="68">
        <v>268529236</v>
      </c>
      <c r="Q155" s="68">
        <v>693786141</v>
      </c>
    </row>
    <row r="156" spans="1:18">
      <c r="A156" s="189" t="s">
        <v>686</v>
      </c>
      <c r="B156" s="1" t="s">
        <v>602</v>
      </c>
      <c r="C156" s="68">
        <v>266036172</v>
      </c>
      <c r="D156" s="68">
        <v>268529236</v>
      </c>
      <c r="E156" s="68">
        <v>693786141</v>
      </c>
      <c r="J156" s="177" t="s">
        <v>487</v>
      </c>
      <c r="K156" s="178">
        <v>1756795183</v>
      </c>
      <c r="L156" s="178">
        <v>2026409422</v>
      </c>
      <c r="M156" s="178"/>
      <c r="O156" s="177" t="s">
        <v>638</v>
      </c>
      <c r="P156" s="178">
        <v>21598107871</v>
      </c>
      <c r="Q156" s="178">
        <v>25775930066</v>
      </c>
    </row>
    <row r="157" spans="1:18">
      <c r="A157" s="189" t="s">
        <v>685</v>
      </c>
      <c r="B157" s="1" t="s">
        <v>603</v>
      </c>
      <c r="C157" s="68">
        <v>169543923</v>
      </c>
      <c r="D157" s="68">
        <v>81303722</v>
      </c>
      <c r="E157" s="68">
        <v>201231366</v>
      </c>
      <c r="J157" s="1" t="s">
        <v>625</v>
      </c>
      <c r="K157" s="68">
        <v>214745699</v>
      </c>
      <c r="L157" s="68">
        <v>516330825</v>
      </c>
      <c r="M157" s="68"/>
      <c r="O157" s="179" t="s">
        <v>578</v>
      </c>
      <c r="P157" s="68">
        <v>18603215520</v>
      </c>
      <c r="Q157" s="68">
        <v>21163152790</v>
      </c>
    </row>
    <row r="158" spans="1:18">
      <c r="A158" s="189" t="s">
        <v>686</v>
      </c>
      <c r="B158" s="1" t="s">
        <v>604</v>
      </c>
      <c r="C158" s="68">
        <v>5859734</v>
      </c>
      <c r="E158" s="68"/>
      <c r="J158" s="177" t="s">
        <v>626</v>
      </c>
      <c r="K158" s="178">
        <v>8842317</v>
      </c>
      <c r="L158" s="178">
        <v>37248412</v>
      </c>
      <c r="M158" s="178"/>
      <c r="O158" s="179" t="s">
        <v>640</v>
      </c>
      <c r="P158" s="68">
        <v>2994892351</v>
      </c>
      <c r="Q158" s="68">
        <v>4612777276</v>
      </c>
    </row>
    <row r="159" spans="1:18">
      <c r="A159" s="189" t="s">
        <v>686</v>
      </c>
      <c r="B159" s="1" t="s">
        <v>605</v>
      </c>
      <c r="C159" s="68">
        <v>4981396</v>
      </c>
      <c r="D159" s="68">
        <v>100780312</v>
      </c>
      <c r="E159" s="68">
        <v>182829624</v>
      </c>
      <c r="J159" s="177" t="s">
        <v>627</v>
      </c>
      <c r="K159" s="178">
        <v>100780312</v>
      </c>
      <c r="L159" s="178">
        <v>182829624</v>
      </c>
      <c r="M159" s="178"/>
      <c r="O159" s="1" t="s">
        <v>639</v>
      </c>
      <c r="P159" s="68">
        <v>67321719952</v>
      </c>
      <c r="Q159" s="68">
        <v>85026884571</v>
      </c>
    </row>
    <row r="160" spans="1:18">
      <c r="A160" s="189" t="s">
        <v>686</v>
      </c>
      <c r="B160" s="1" t="s">
        <v>606</v>
      </c>
      <c r="C160" s="68">
        <v>25878485</v>
      </c>
      <c r="D160" s="68">
        <v>518754</v>
      </c>
      <c r="E160" s="1">
        <v>632</v>
      </c>
      <c r="J160" s="177" t="s">
        <v>628</v>
      </c>
      <c r="K160" s="178">
        <v>518754</v>
      </c>
      <c r="L160" s="177">
        <v>632</v>
      </c>
      <c r="M160" s="178"/>
      <c r="O160" s="1" t="s">
        <v>649</v>
      </c>
      <c r="P160" s="68">
        <v>60966276976</v>
      </c>
      <c r="Q160" s="68">
        <v>75461607003</v>
      </c>
    </row>
    <row r="161" spans="1:17">
      <c r="A161" s="189" t="s">
        <v>686</v>
      </c>
      <c r="B161" s="1" t="s">
        <v>607</v>
      </c>
      <c r="C161" s="68">
        <v>2120368</v>
      </c>
      <c r="E161" s="68"/>
      <c r="J161" s="177" t="s">
        <v>629</v>
      </c>
      <c r="K161" s="178">
        <v>3663000</v>
      </c>
      <c r="L161" s="178">
        <v>10526000</v>
      </c>
      <c r="M161" s="178"/>
      <c r="O161" s="1" t="s">
        <v>650</v>
      </c>
      <c r="P161" s="68">
        <v>60966276976</v>
      </c>
      <c r="Q161" s="68">
        <v>75461607003</v>
      </c>
    </row>
    <row r="162" spans="1:17">
      <c r="A162" s="189" t="s">
        <v>686</v>
      </c>
      <c r="B162" s="1" t="s">
        <v>608</v>
      </c>
      <c r="C162" s="68">
        <v>360800</v>
      </c>
      <c r="D162" s="68">
        <v>2595981</v>
      </c>
      <c r="E162" s="68">
        <v>10374357</v>
      </c>
      <c r="J162" s="1" t="s">
        <v>630</v>
      </c>
      <c r="K162" s="1" t="s">
        <v>85</v>
      </c>
      <c r="L162" s="68">
        <v>156926000</v>
      </c>
    </row>
    <row r="163" spans="1:17">
      <c r="A163" s="189" t="s">
        <v>682</v>
      </c>
      <c r="B163" s="1" t="s">
        <v>632</v>
      </c>
      <c r="D163" s="68">
        <v>180488056</v>
      </c>
      <c r="E163" s="68">
        <v>613342633</v>
      </c>
      <c r="J163" s="1" t="s">
        <v>69</v>
      </c>
      <c r="K163" s="68">
        <v>13673985</v>
      </c>
      <c r="L163" s="68">
        <v>14692063</v>
      </c>
      <c r="M163" s="68"/>
    </row>
    <row r="164" spans="1:17">
      <c r="A164" s="189" t="s">
        <v>686</v>
      </c>
      <c r="B164" s="1" t="s">
        <v>633</v>
      </c>
      <c r="C164" s="68"/>
      <c r="D164" s="68">
        <v>228419684</v>
      </c>
      <c r="E164" s="68">
        <v>688117000</v>
      </c>
      <c r="J164" s="1" t="s">
        <v>631</v>
      </c>
      <c r="K164" s="68">
        <v>6355442976</v>
      </c>
      <c r="L164" s="68">
        <v>9565277568</v>
      </c>
      <c r="M164" s="68"/>
    </row>
    <row r="167" spans="1:17">
      <c r="A167" s="189" t="s">
        <v>682</v>
      </c>
    </row>
    <row r="168" spans="1:17">
      <c r="A168" s="189" t="s">
        <v>683</v>
      </c>
    </row>
    <row r="169" spans="1:17">
      <c r="A169" s="189" t="s">
        <v>684</v>
      </c>
    </row>
    <row r="170" spans="1:17">
      <c r="A170" s="189" t="s">
        <v>685</v>
      </c>
    </row>
    <row r="171" spans="1:17">
      <c r="A171" s="189" t="s">
        <v>686</v>
      </c>
    </row>
    <row r="175" spans="1:17">
      <c r="A175" s="202"/>
      <c r="B175" s="203"/>
      <c r="C175" s="204"/>
    </row>
    <row r="176" spans="1:17">
      <c r="A176" s="52" t="s">
        <v>326</v>
      </c>
      <c r="B176" s="34">
        <v>0</v>
      </c>
      <c r="C176" s="48">
        <v>-4451663055</v>
      </c>
    </row>
    <row r="177" spans="1:17">
      <c r="A177" s="52" t="s">
        <v>327</v>
      </c>
      <c r="B177" s="32">
        <v>-35744000</v>
      </c>
      <c r="C177" s="48">
        <v>-37300000</v>
      </c>
    </row>
    <row r="178" spans="1:17">
      <c r="A178" s="52" t="s">
        <v>328</v>
      </c>
      <c r="B178" s="32">
        <v>-7151342963</v>
      </c>
      <c r="C178" s="48">
        <v>-10491467574</v>
      </c>
    </row>
    <row r="179" spans="1:17">
      <c r="A179" s="52" t="s">
        <v>329</v>
      </c>
      <c r="B179" s="34">
        <v>0</v>
      </c>
      <c r="C179" s="48">
        <v>-40104538</v>
      </c>
    </row>
    <row r="180" spans="1:17">
      <c r="A180" s="52" t="s">
        <v>330</v>
      </c>
      <c r="B180" s="32">
        <v>-421335086</v>
      </c>
      <c r="C180" s="48">
        <v>-1287257559</v>
      </c>
    </row>
    <row r="181" spans="1:17">
      <c r="A181" s="53" t="s">
        <v>331</v>
      </c>
      <c r="B181" s="39">
        <v>-4827777557</v>
      </c>
      <c r="C181" s="60"/>
    </row>
    <row r="185" spans="1:17">
      <c r="A185" s="463" t="s">
        <v>59</v>
      </c>
      <c r="B185" s="464"/>
      <c r="C185" s="451" t="s">
        <v>741</v>
      </c>
      <c r="D185" s="451" t="s">
        <v>742</v>
      </c>
      <c r="E185" s="210" t="s">
        <v>743</v>
      </c>
      <c r="F185" s="451" t="s">
        <v>659</v>
      </c>
      <c r="G185" s="451" t="s">
        <v>660</v>
      </c>
      <c r="H185" s="453" t="s">
        <v>662</v>
      </c>
      <c r="J185" s="463" t="s">
        <v>59</v>
      </c>
      <c r="K185" s="464"/>
      <c r="L185" s="451" t="s">
        <v>741</v>
      </c>
      <c r="M185" s="451" t="s">
        <v>742</v>
      </c>
      <c r="N185" s="210" t="s">
        <v>743</v>
      </c>
      <c r="O185" s="451" t="s">
        <v>116</v>
      </c>
      <c r="P185" s="453" t="s">
        <v>745</v>
      </c>
    </row>
    <row r="186" spans="1:17">
      <c r="A186" s="465"/>
      <c r="B186" s="449"/>
      <c r="C186" s="452"/>
      <c r="D186" s="452"/>
      <c r="E186" s="208" t="s">
        <v>744</v>
      </c>
      <c r="F186" s="452"/>
      <c r="G186" s="452"/>
      <c r="H186" s="454"/>
      <c r="J186" s="465"/>
      <c r="K186" s="449"/>
      <c r="L186" s="452"/>
      <c r="M186" s="452"/>
      <c r="N186" s="208" t="s">
        <v>103</v>
      </c>
      <c r="O186" s="452"/>
      <c r="P186" s="454"/>
      <c r="Q186" s="1" t="s">
        <v>780</v>
      </c>
    </row>
    <row r="187" spans="1:17">
      <c r="A187" s="455" t="s">
        <v>746</v>
      </c>
      <c r="B187" s="211" t="s">
        <v>747</v>
      </c>
      <c r="C187" s="211" t="s">
        <v>748</v>
      </c>
      <c r="D187" s="212">
        <v>45912</v>
      </c>
      <c r="E187" s="211">
        <v>3.06</v>
      </c>
      <c r="F187" s="213">
        <v>1600000000</v>
      </c>
      <c r="G187" s="213">
        <v>5800000000</v>
      </c>
      <c r="H187" s="214">
        <v>1650000000</v>
      </c>
      <c r="J187" s="455" t="s">
        <v>746</v>
      </c>
      <c r="K187" s="31" t="s">
        <v>747</v>
      </c>
      <c r="L187" s="31" t="s">
        <v>771</v>
      </c>
      <c r="M187" s="31" t="s">
        <v>85</v>
      </c>
      <c r="N187" s="31" t="s">
        <v>85</v>
      </c>
      <c r="O187" s="34" t="s">
        <v>85</v>
      </c>
      <c r="P187" s="48">
        <v>1600000000</v>
      </c>
    </row>
    <row r="188" spans="1:17">
      <c r="A188" s="456"/>
      <c r="B188" s="211" t="s">
        <v>747</v>
      </c>
      <c r="C188" s="211" t="s">
        <v>749</v>
      </c>
      <c r="D188" s="212">
        <v>45744</v>
      </c>
      <c r="E188" s="211">
        <v>4.3899999999999997</v>
      </c>
      <c r="F188" s="213">
        <v>1800000000</v>
      </c>
      <c r="G188" s="213">
        <v>3400000000</v>
      </c>
      <c r="H188" s="214">
        <v>800000000</v>
      </c>
      <c r="J188" s="456"/>
      <c r="K188" s="31" t="s">
        <v>747</v>
      </c>
      <c r="L188" s="31" t="s">
        <v>758</v>
      </c>
      <c r="M188" s="31" t="s">
        <v>85</v>
      </c>
      <c r="N188" s="31" t="s">
        <v>85</v>
      </c>
      <c r="O188" s="34" t="s">
        <v>85</v>
      </c>
      <c r="P188" s="48">
        <v>1800000000</v>
      </c>
    </row>
    <row r="189" spans="1:17" ht="28">
      <c r="A189" s="456"/>
      <c r="B189" s="31" t="s">
        <v>750</v>
      </c>
      <c r="C189" s="31" t="s">
        <v>751</v>
      </c>
      <c r="D189" s="209">
        <v>45930</v>
      </c>
      <c r="E189" s="31">
        <v>3.87</v>
      </c>
      <c r="F189" s="32">
        <v>9000000000</v>
      </c>
      <c r="G189" s="32">
        <v>500000000</v>
      </c>
      <c r="H189" s="58" t="s">
        <v>85</v>
      </c>
      <c r="J189" s="456"/>
      <c r="K189" s="31" t="s">
        <v>750</v>
      </c>
      <c r="L189" s="31" t="s">
        <v>772</v>
      </c>
      <c r="M189" s="209">
        <v>46295</v>
      </c>
      <c r="N189" s="31">
        <v>2.4</v>
      </c>
      <c r="O189" s="32">
        <v>9000000000</v>
      </c>
      <c r="P189" s="48">
        <v>9000000000</v>
      </c>
    </row>
    <row r="190" spans="1:17">
      <c r="A190" s="456"/>
      <c r="B190" s="31" t="s">
        <v>747</v>
      </c>
      <c r="C190" s="31" t="s">
        <v>752</v>
      </c>
      <c r="D190" s="209">
        <v>45912</v>
      </c>
      <c r="E190" s="31" t="s">
        <v>753</v>
      </c>
      <c r="F190" s="32">
        <v>3640000000</v>
      </c>
      <c r="G190" s="32">
        <v>6000000000</v>
      </c>
      <c r="H190" s="58" t="s">
        <v>85</v>
      </c>
      <c r="J190" s="456"/>
      <c r="K190" s="31" t="s">
        <v>747</v>
      </c>
      <c r="L190" s="31" t="s">
        <v>773</v>
      </c>
      <c r="M190" s="209">
        <v>46109</v>
      </c>
      <c r="N190" s="31">
        <v>2.31</v>
      </c>
      <c r="O190" s="32">
        <v>1000000000</v>
      </c>
      <c r="P190" s="48">
        <v>3640000000</v>
      </c>
      <c r="Q190" s="68">
        <f>+P190-O190</f>
        <v>2640000000</v>
      </c>
    </row>
    <row r="191" spans="1:17" ht="28">
      <c r="A191" s="456"/>
      <c r="B191" s="211" t="s">
        <v>747</v>
      </c>
      <c r="C191" s="211" t="s">
        <v>754</v>
      </c>
      <c r="D191" s="212">
        <v>45665</v>
      </c>
      <c r="E191" s="211">
        <v>3.8</v>
      </c>
      <c r="F191" s="213">
        <v>2000000000</v>
      </c>
      <c r="G191" s="213">
        <v>2000000000</v>
      </c>
      <c r="H191" s="215" t="s">
        <v>85</v>
      </c>
      <c r="J191" s="456"/>
      <c r="K191" s="31" t="s">
        <v>747</v>
      </c>
      <c r="L191" s="31" t="s">
        <v>756</v>
      </c>
      <c r="M191" s="31" t="s">
        <v>85</v>
      </c>
      <c r="N191" s="31" t="s">
        <v>85</v>
      </c>
      <c r="O191" s="34" t="s">
        <v>85</v>
      </c>
      <c r="P191" s="48">
        <v>2000000000</v>
      </c>
    </row>
    <row r="192" spans="1:17">
      <c r="A192" s="456"/>
      <c r="B192" s="31" t="s">
        <v>755</v>
      </c>
      <c r="C192" s="31" t="s">
        <v>756</v>
      </c>
      <c r="D192" s="31" t="s">
        <v>85</v>
      </c>
      <c r="E192" s="31" t="s">
        <v>85</v>
      </c>
      <c r="F192" s="34" t="s">
        <v>85</v>
      </c>
      <c r="G192" s="32">
        <v>2578800000</v>
      </c>
      <c r="H192" s="58" t="s">
        <v>85</v>
      </c>
      <c r="J192" s="456"/>
      <c r="K192" s="31" t="s">
        <v>747</v>
      </c>
      <c r="L192" s="31" t="s">
        <v>766</v>
      </c>
      <c r="M192" s="31" t="s">
        <v>85</v>
      </c>
      <c r="N192" s="31" t="s">
        <v>85</v>
      </c>
      <c r="O192" s="34" t="s">
        <v>85</v>
      </c>
      <c r="P192" s="48">
        <v>3000000000</v>
      </c>
    </row>
    <row r="193" spans="1:17">
      <c r="A193" s="456"/>
      <c r="B193" s="211" t="s">
        <v>747</v>
      </c>
      <c r="C193" s="211" t="s">
        <v>757</v>
      </c>
      <c r="D193" s="212">
        <v>45892</v>
      </c>
      <c r="E193" s="211">
        <v>3.29</v>
      </c>
      <c r="F193" s="213">
        <v>3000000000</v>
      </c>
      <c r="G193" s="216" t="s">
        <v>85</v>
      </c>
      <c r="H193" s="215" t="s">
        <v>85</v>
      </c>
      <c r="J193" s="456"/>
      <c r="K193" s="31" t="s">
        <v>750</v>
      </c>
      <c r="L193" s="31" t="s">
        <v>774</v>
      </c>
      <c r="M193" s="209">
        <v>45665</v>
      </c>
      <c r="N193" s="31">
        <v>2.98</v>
      </c>
      <c r="O193" s="32">
        <v>7300000000</v>
      </c>
      <c r="P193" s="48">
        <v>7300000000</v>
      </c>
    </row>
    <row r="194" spans="1:17">
      <c r="A194" s="456"/>
      <c r="B194" s="31" t="s">
        <v>747</v>
      </c>
      <c r="C194" s="31" t="s">
        <v>758</v>
      </c>
      <c r="D194" s="31" t="s">
        <v>85</v>
      </c>
      <c r="E194" s="31" t="s">
        <v>85</v>
      </c>
      <c r="F194" s="34" t="s">
        <v>85</v>
      </c>
      <c r="G194" s="34" t="s">
        <v>85</v>
      </c>
      <c r="H194" s="48">
        <v>500000000</v>
      </c>
      <c r="J194" s="457"/>
      <c r="K194" s="458" t="s">
        <v>760</v>
      </c>
      <c r="L194" s="459"/>
      <c r="M194" s="459"/>
      <c r="N194" s="460"/>
      <c r="O194" s="32">
        <v>17300000000</v>
      </c>
      <c r="P194" s="48">
        <v>28340000000</v>
      </c>
    </row>
    <row r="195" spans="1:17" ht="28">
      <c r="A195" s="456"/>
      <c r="B195" s="31" t="s">
        <v>750</v>
      </c>
      <c r="C195" s="31" t="s">
        <v>759</v>
      </c>
      <c r="D195" s="209">
        <v>45665</v>
      </c>
      <c r="E195" s="31">
        <v>4.46</v>
      </c>
      <c r="F195" s="32">
        <v>7300000000</v>
      </c>
      <c r="G195" s="34" t="s">
        <v>85</v>
      </c>
      <c r="H195" s="58" t="s">
        <v>85</v>
      </c>
      <c r="J195" s="455" t="s">
        <v>761</v>
      </c>
      <c r="K195" s="31" t="s">
        <v>750</v>
      </c>
      <c r="L195" s="31" t="s">
        <v>775</v>
      </c>
      <c r="M195" s="209">
        <v>48484</v>
      </c>
      <c r="N195" s="31" t="s">
        <v>776</v>
      </c>
      <c r="O195" s="32">
        <v>6053204000</v>
      </c>
      <c r="P195" s="48">
        <v>6639246000</v>
      </c>
      <c r="Q195" s="68">
        <f t="shared" ref="Q195:Q200" si="0">+P195-O195</f>
        <v>586042000</v>
      </c>
    </row>
    <row r="196" spans="1:17">
      <c r="A196" s="457"/>
      <c r="B196" s="458" t="s">
        <v>760</v>
      </c>
      <c r="C196" s="459"/>
      <c r="D196" s="459"/>
      <c r="E196" s="460"/>
      <c r="F196" s="32">
        <v>28340000000</v>
      </c>
      <c r="G196" s="32">
        <v>20278800000</v>
      </c>
      <c r="H196" s="48">
        <v>2950000000</v>
      </c>
      <c r="J196" s="456"/>
      <c r="K196" s="31" t="s">
        <v>747</v>
      </c>
      <c r="L196" s="31" t="s">
        <v>777</v>
      </c>
      <c r="M196" s="209">
        <v>46231</v>
      </c>
      <c r="N196" s="31">
        <v>1.52</v>
      </c>
      <c r="O196" s="32">
        <v>300000000</v>
      </c>
      <c r="P196" s="48">
        <v>300000000</v>
      </c>
      <c r="Q196" s="68">
        <f t="shared" si="0"/>
        <v>0</v>
      </c>
    </row>
    <row r="197" spans="1:17">
      <c r="A197" s="455" t="s">
        <v>761</v>
      </c>
      <c r="B197" s="31" t="s">
        <v>750</v>
      </c>
      <c r="C197" s="31" t="s">
        <v>762</v>
      </c>
      <c r="D197" s="209">
        <v>48484</v>
      </c>
      <c r="E197" s="31" t="s">
        <v>763</v>
      </c>
      <c r="F197" s="32">
        <v>6639246000</v>
      </c>
      <c r="G197" s="32">
        <v>8286660000</v>
      </c>
      <c r="H197" s="48">
        <v>10466316000</v>
      </c>
      <c r="J197" s="456"/>
      <c r="K197" s="31" t="s">
        <v>750</v>
      </c>
      <c r="L197" s="31" t="s">
        <v>774</v>
      </c>
      <c r="M197" s="209">
        <v>46587</v>
      </c>
      <c r="N197" s="31">
        <v>2.73</v>
      </c>
      <c r="O197" s="32">
        <v>4300000000</v>
      </c>
      <c r="P197" s="48">
        <v>4500000000</v>
      </c>
      <c r="Q197" s="68">
        <f t="shared" si="0"/>
        <v>200000000</v>
      </c>
    </row>
    <row r="198" spans="1:17" ht="28">
      <c r="A198" s="456"/>
      <c r="B198" s="31" t="s">
        <v>747</v>
      </c>
      <c r="C198" s="31" t="s">
        <v>749</v>
      </c>
      <c r="D198" s="209">
        <v>46231</v>
      </c>
      <c r="E198" s="31">
        <v>2.41</v>
      </c>
      <c r="F198" s="32">
        <v>300000000</v>
      </c>
      <c r="G198" s="32">
        <v>300000000</v>
      </c>
      <c r="H198" s="48">
        <v>500000000</v>
      </c>
      <c r="J198" s="456"/>
      <c r="K198" s="31" t="s">
        <v>750</v>
      </c>
      <c r="L198" s="31" t="s">
        <v>768</v>
      </c>
      <c r="M198" s="209">
        <v>48016</v>
      </c>
      <c r="N198" s="31" t="s">
        <v>778</v>
      </c>
      <c r="O198" s="32">
        <v>1631690000</v>
      </c>
      <c r="P198" s="48">
        <v>1958130000</v>
      </c>
      <c r="Q198" s="68">
        <f t="shared" si="0"/>
        <v>326440000</v>
      </c>
    </row>
    <row r="199" spans="1:17">
      <c r="A199" s="456"/>
      <c r="B199" s="31" t="s">
        <v>750</v>
      </c>
      <c r="C199" s="31" t="s">
        <v>759</v>
      </c>
      <c r="D199" s="209">
        <v>46587</v>
      </c>
      <c r="E199" s="31">
        <v>3.52</v>
      </c>
      <c r="F199" s="32">
        <v>4500000000</v>
      </c>
      <c r="G199" s="34" t="s">
        <v>85</v>
      </c>
      <c r="H199" s="48">
        <v>500000000</v>
      </c>
      <c r="J199" s="456"/>
      <c r="K199" s="31" t="s">
        <v>750</v>
      </c>
      <c r="L199" s="31" t="s">
        <v>774</v>
      </c>
      <c r="M199" s="209">
        <v>47123</v>
      </c>
      <c r="N199" s="31">
        <v>3.31</v>
      </c>
      <c r="O199" s="32">
        <v>666666640</v>
      </c>
      <c r="P199" s="48">
        <v>826666634</v>
      </c>
      <c r="Q199" s="68">
        <f t="shared" si="0"/>
        <v>159999994</v>
      </c>
    </row>
    <row r="200" spans="1:17" ht="28">
      <c r="A200" s="456"/>
      <c r="B200" s="31" t="s">
        <v>747</v>
      </c>
      <c r="C200" s="31" t="s">
        <v>179</v>
      </c>
      <c r="D200" s="31" t="s">
        <v>85</v>
      </c>
      <c r="E200" s="31" t="s">
        <v>85</v>
      </c>
      <c r="F200" s="34" t="s">
        <v>85</v>
      </c>
      <c r="G200" s="32">
        <v>486990000</v>
      </c>
      <c r="H200" s="48">
        <v>680940000</v>
      </c>
      <c r="J200" s="456"/>
      <c r="K200" s="31" t="s">
        <v>750</v>
      </c>
      <c r="L200" s="31" t="s">
        <v>779</v>
      </c>
      <c r="M200" s="209">
        <v>48394</v>
      </c>
      <c r="N200" s="31">
        <v>2.87</v>
      </c>
      <c r="O200" s="32">
        <v>2603340000</v>
      </c>
      <c r="P200" s="48">
        <v>2700000000</v>
      </c>
      <c r="Q200" s="68">
        <f t="shared" si="0"/>
        <v>96660000</v>
      </c>
    </row>
    <row r="201" spans="1:17" ht="28">
      <c r="A201" s="456"/>
      <c r="B201" s="31" t="s">
        <v>750</v>
      </c>
      <c r="C201" s="31" t="s">
        <v>764</v>
      </c>
      <c r="D201" s="209">
        <v>48016</v>
      </c>
      <c r="E201" s="31" t="s">
        <v>765</v>
      </c>
      <c r="F201" s="32">
        <v>1958130000</v>
      </c>
      <c r="G201" s="32">
        <v>1650000000</v>
      </c>
      <c r="H201" s="48">
        <v>1150000000</v>
      </c>
      <c r="J201" s="456"/>
      <c r="K201" s="458" t="s">
        <v>760</v>
      </c>
      <c r="L201" s="459"/>
      <c r="M201" s="459"/>
      <c r="N201" s="460"/>
      <c r="O201" s="32">
        <v>15554900640</v>
      </c>
      <c r="P201" s="48">
        <v>16924042634</v>
      </c>
    </row>
    <row r="202" spans="1:17">
      <c r="A202" s="456"/>
      <c r="B202" s="31" t="s">
        <v>750</v>
      </c>
      <c r="C202" s="31" t="s">
        <v>766</v>
      </c>
      <c r="D202" s="31" t="s">
        <v>85</v>
      </c>
      <c r="E202" s="31" t="s">
        <v>85</v>
      </c>
      <c r="F202" s="34" t="s">
        <v>85</v>
      </c>
      <c r="G202" s="32">
        <v>10000000000</v>
      </c>
      <c r="H202" s="48">
        <v>10000000000</v>
      </c>
      <c r="J202" s="456"/>
      <c r="K202" s="458" t="s">
        <v>769</v>
      </c>
      <c r="L202" s="459"/>
      <c r="M202" s="459"/>
      <c r="N202" s="460"/>
      <c r="O202" s="32">
        <v>-3161131992</v>
      </c>
      <c r="P202" s="48">
        <v>-1941091992</v>
      </c>
    </row>
    <row r="203" spans="1:17">
      <c r="A203" s="456"/>
      <c r="B203" s="31" t="s">
        <v>750</v>
      </c>
      <c r="C203" s="31" t="s">
        <v>759</v>
      </c>
      <c r="D203" s="209">
        <v>47123</v>
      </c>
      <c r="E203" s="31" t="s">
        <v>767</v>
      </c>
      <c r="F203" s="32">
        <v>826666634</v>
      </c>
      <c r="G203" s="32">
        <v>8316666626</v>
      </c>
      <c r="H203" s="48">
        <v>8500000000</v>
      </c>
      <c r="J203" s="461"/>
      <c r="K203" s="462" t="s">
        <v>770</v>
      </c>
      <c r="L203" s="413"/>
      <c r="M203" s="413"/>
      <c r="N203" s="414"/>
      <c r="O203" s="39">
        <v>12393768648</v>
      </c>
      <c r="P203" s="49">
        <v>14982950642</v>
      </c>
    </row>
    <row r="204" spans="1:17" ht="28">
      <c r="A204" s="456"/>
      <c r="B204" s="31" t="s">
        <v>750</v>
      </c>
      <c r="C204" s="31" t="s">
        <v>768</v>
      </c>
      <c r="D204" s="209">
        <v>48394</v>
      </c>
      <c r="E204" s="31">
        <v>2.56</v>
      </c>
      <c r="F204" s="32">
        <v>2700000000</v>
      </c>
      <c r="G204" s="32">
        <v>2700000000</v>
      </c>
      <c r="H204" s="48">
        <v>2100000000</v>
      </c>
    </row>
    <row r="205" spans="1:17">
      <c r="A205" s="456"/>
      <c r="B205" s="458" t="s">
        <v>760</v>
      </c>
      <c r="C205" s="459"/>
      <c r="D205" s="459"/>
      <c r="E205" s="460"/>
      <c r="F205" s="32">
        <v>16924042634</v>
      </c>
      <c r="G205" s="32">
        <v>31740316626</v>
      </c>
      <c r="H205" s="48">
        <v>33897256000</v>
      </c>
    </row>
    <row r="206" spans="1:17">
      <c r="A206" s="456"/>
      <c r="B206" s="458" t="s">
        <v>769</v>
      </c>
      <c r="C206" s="459"/>
      <c r="D206" s="459"/>
      <c r="E206" s="460"/>
      <c r="F206" s="32">
        <v>-1941091992</v>
      </c>
      <c r="G206" s="32">
        <v>-8461273992</v>
      </c>
      <c r="H206" s="48">
        <v>-2018607374</v>
      </c>
    </row>
    <row r="207" spans="1:17">
      <c r="A207" s="461"/>
      <c r="B207" s="462" t="s">
        <v>770</v>
      </c>
      <c r="C207" s="413"/>
      <c r="D207" s="413"/>
      <c r="E207" s="414"/>
      <c r="F207" s="39">
        <v>14982950642</v>
      </c>
      <c r="G207" s="39">
        <v>23279042634</v>
      </c>
      <c r="H207" s="49">
        <v>31878648626</v>
      </c>
    </row>
    <row r="212" spans="1:6" ht="28">
      <c r="A212" s="28" t="s">
        <v>785</v>
      </c>
      <c r="B212"/>
      <c r="C212"/>
      <c r="D212"/>
      <c r="E212"/>
      <c r="F212"/>
    </row>
    <row r="213" spans="1:6">
      <c r="A213" s="29" t="s">
        <v>58</v>
      </c>
      <c r="B213"/>
      <c r="C213"/>
      <c r="D213"/>
      <c r="E213"/>
      <c r="F213"/>
    </row>
    <row r="214" spans="1:6">
      <c r="A214" s="45" t="s">
        <v>76</v>
      </c>
      <c r="B214" s="46" t="s">
        <v>77</v>
      </c>
      <c r="C214" s="46" t="s">
        <v>78</v>
      </c>
      <c r="D214" s="46" t="s">
        <v>79</v>
      </c>
      <c r="E214" s="46" t="s">
        <v>80</v>
      </c>
      <c r="F214" s="47" t="s">
        <v>74</v>
      </c>
    </row>
    <row r="215" spans="1:6">
      <c r="A215" s="36" t="s">
        <v>786</v>
      </c>
      <c r="B215" s="31" t="s">
        <v>787</v>
      </c>
      <c r="C215" s="34">
        <v>129</v>
      </c>
      <c r="D215" s="32">
        <v>6722</v>
      </c>
      <c r="E215" s="217">
        <v>5288</v>
      </c>
      <c r="F215" s="218">
        <v>12139</v>
      </c>
    </row>
    <row r="216" spans="1:6">
      <c r="A216" s="412" t="s">
        <v>74</v>
      </c>
      <c r="B216" s="414"/>
      <c r="C216" s="59">
        <v>129</v>
      </c>
      <c r="D216" s="39">
        <v>6722</v>
      </c>
      <c r="E216" s="219">
        <v>5288</v>
      </c>
      <c r="F216" s="220">
        <v>12139</v>
      </c>
    </row>
  </sheetData>
  <mergeCells count="107">
    <mergeCell ref="A216:B216"/>
    <mergeCell ref="J187:J194"/>
    <mergeCell ref="K194:N194"/>
    <mergeCell ref="J195:J203"/>
    <mergeCell ref="K201:N201"/>
    <mergeCell ref="K202:N202"/>
    <mergeCell ref="K203:N203"/>
    <mergeCell ref="J185:K186"/>
    <mergeCell ref="L185:L186"/>
    <mergeCell ref="M185:M186"/>
    <mergeCell ref="O185:O186"/>
    <mergeCell ref="P185:P186"/>
    <mergeCell ref="H185:H186"/>
    <mergeCell ref="A187:A196"/>
    <mergeCell ref="B196:E196"/>
    <mergeCell ref="A197:A207"/>
    <mergeCell ref="B205:E205"/>
    <mergeCell ref="B206:E206"/>
    <mergeCell ref="B207:E207"/>
    <mergeCell ref="A185:B186"/>
    <mergeCell ref="C185:C186"/>
    <mergeCell ref="D185:D186"/>
    <mergeCell ref="F185:F186"/>
    <mergeCell ref="G185:G186"/>
    <mergeCell ref="E46:G46"/>
    <mergeCell ref="A3:A4"/>
    <mergeCell ref="B3:C3"/>
    <mergeCell ref="D3:E3"/>
    <mergeCell ref="F3:G3"/>
    <mergeCell ref="A15:A16"/>
    <mergeCell ref="B15:C15"/>
    <mergeCell ref="D15:E15"/>
    <mergeCell ref="F15:G15"/>
    <mergeCell ref="A25:A27"/>
    <mergeCell ref="A28:A30"/>
    <mergeCell ref="A31:B31"/>
    <mergeCell ref="A46:A47"/>
    <mergeCell ref="B46:D46"/>
    <mergeCell ref="E71:E72"/>
    <mergeCell ref="J84:J85"/>
    <mergeCell ref="N55:O58"/>
    <mergeCell ref="B56:C56"/>
    <mergeCell ref="B57:C57"/>
    <mergeCell ref="B58:C58"/>
    <mergeCell ref="D56:E56"/>
    <mergeCell ref="D57:E57"/>
    <mergeCell ref="D58:E58"/>
    <mergeCell ref="F56:G58"/>
    <mergeCell ref="H56:I58"/>
    <mergeCell ref="J56:K56"/>
    <mergeCell ref="J57:K57"/>
    <mergeCell ref="J58:K58"/>
    <mergeCell ref="L56:M56"/>
    <mergeCell ref="L57:M57"/>
    <mergeCell ref="L58:M58"/>
    <mergeCell ref="A77:A88"/>
    <mergeCell ref="B84:B85"/>
    <mergeCell ref="C84:C85"/>
    <mergeCell ref="D84:D85"/>
    <mergeCell ref="E84:E85"/>
    <mergeCell ref="G84:G85"/>
    <mergeCell ref="A55:A59"/>
    <mergeCell ref="B55:I55"/>
    <mergeCell ref="J55:M55"/>
    <mergeCell ref="F71:F72"/>
    <mergeCell ref="G71:G72"/>
    <mergeCell ref="J71:J72"/>
    <mergeCell ref="A67:A69"/>
    <mergeCell ref="B67:B69"/>
    <mergeCell ref="D67:E68"/>
    <mergeCell ref="F67:K67"/>
    <mergeCell ref="M67:M69"/>
    <mergeCell ref="F68:G68"/>
    <mergeCell ref="H68:I68"/>
    <mergeCell ref="J68:K68"/>
    <mergeCell ref="A71:A76"/>
    <mergeCell ref="B71:B72"/>
    <mergeCell ref="C71:C72"/>
    <mergeCell ref="D71:D72"/>
    <mergeCell ref="B96:B97"/>
    <mergeCell ref="C96:C97"/>
    <mergeCell ref="D96:D97"/>
    <mergeCell ref="E96:E97"/>
    <mergeCell ref="A109:C109"/>
    <mergeCell ref="A89:A106"/>
    <mergeCell ref="B91:B92"/>
    <mergeCell ref="C91:C92"/>
    <mergeCell ref="D91:D92"/>
    <mergeCell ref="E91:E92"/>
    <mergeCell ref="B94:B95"/>
    <mergeCell ref="C94:C95"/>
    <mergeCell ref="D94:D95"/>
    <mergeCell ref="E94:E95"/>
    <mergeCell ref="J94:J95"/>
    <mergeCell ref="F84:F85"/>
    <mergeCell ref="F91:F92"/>
    <mergeCell ref="G91:G92"/>
    <mergeCell ref="T133:T134"/>
    <mergeCell ref="U133:W133"/>
    <mergeCell ref="X133:Z133"/>
    <mergeCell ref="AA133:AC133"/>
    <mergeCell ref="F96:F97"/>
    <mergeCell ref="G96:G97"/>
    <mergeCell ref="J96:J97"/>
    <mergeCell ref="J91:J92"/>
    <mergeCell ref="F94:F95"/>
    <mergeCell ref="G94:G95"/>
  </mergeCells>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6CE87-6808-4BFE-9019-570FA5BED1EE}">
  <sheetPr>
    <tabColor theme="2" tint="-0.249977111117893"/>
  </sheetPr>
  <dimension ref="B2:B59"/>
  <sheetViews>
    <sheetView workbookViewId="0">
      <selection activeCell="T37" sqref="T37"/>
    </sheetView>
  </sheetViews>
  <sheetFormatPr defaultRowHeight="17"/>
  <cols>
    <col min="1" max="1" width="2.58203125" style="1" customWidth="1"/>
    <col min="2" max="16384" width="8.6640625" style="1"/>
  </cols>
  <sheetData>
    <row r="2" spans="2:2">
      <c r="B2" s="56" t="s">
        <v>127</v>
      </c>
    </row>
    <row r="3" spans="2:2">
      <c r="B3" s="2" t="s">
        <v>0</v>
      </c>
    </row>
    <row r="4" spans="2:2">
      <c r="B4" s="2" t="s">
        <v>1</v>
      </c>
    </row>
    <row r="5" spans="2:2">
      <c r="B5" s="2" t="s">
        <v>2</v>
      </c>
    </row>
    <row r="7" spans="2:2">
      <c r="B7" s="1" t="s">
        <v>38</v>
      </c>
    </row>
    <row r="8" spans="2:2">
      <c r="B8" s="2" t="s">
        <v>3</v>
      </c>
    </row>
    <row r="10" spans="2:2">
      <c r="B10" s="1" t="s">
        <v>4</v>
      </c>
    </row>
    <row r="11" spans="2:2">
      <c r="B11" s="2" t="s">
        <v>5</v>
      </c>
    </row>
    <row r="13" spans="2:2">
      <c r="B13" s="1" t="s">
        <v>6</v>
      </c>
    </row>
    <row r="14" spans="2:2">
      <c r="B14" s="2" t="s">
        <v>7</v>
      </c>
    </row>
    <row r="16" spans="2:2">
      <c r="B16" s="56" t="s">
        <v>126</v>
      </c>
    </row>
    <row r="17" spans="2:2">
      <c r="B17" s="2" t="s">
        <v>39</v>
      </c>
    </row>
    <row r="19" spans="2:2">
      <c r="B19" s="1" t="s">
        <v>559</v>
      </c>
    </row>
    <row r="20" spans="2:2">
      <c r="B20" s="1" t="s">
        <v>557</v>
      </c>
    </row>
    <row r="21" spans="2:2">
      <c r="B21" s="2" t="s">
        <v>558</v>
      </c>
    </row>
    <row r="22" spans="2:2">
      <c r="B22" s="2"/>
    </row>
    <row r="23" spans="2:2">
      <c r="B23" s="2" t="s">
        <v>567</v>
      </c>
    </row>
    <row r="24" spans="2:2">
      <c r="B24" s="2" t="s">
        <v>568</v>
      </c>
    </row>
    <row r="25" spans="2:2">
      <c r="B25" s="2"/>
    </row>
    <row r="26" spans="2:2">
      <c r="B26" s="2"/>
    </row>
    <row r="51" spans="2:2">
      <c r="B51" s="2" t="s">
        <v>518</v>
      </c>
    </row>
    <row r="52" spans="2:2">
      <c r="B52" s="2" t="s">
        <v>519</v>
      </c>
    </row>
    <row r="53" spans="2:2">
      <c r="B53" s="2" t="s">
        <v>520</v>
      </c>
    </row>
    <row r="54" spans="2:2">
      <c r="B54" s="2" t="s">
        <v>521</v>
      </c>
    </row>
    <row r="56" spans="2:2">
      <c r="B56" s="2" t="s">
        <v>525</v>
      </c>
    </row>
    <row r="59" spans="2:2">
      <c r="B59" s="1" t="s">
        <v>530</v>
      </c>
    </row>
  </sheetData>
  <phoneticPr fontId="1" type="noConversion"/>
  <hyperlinks>
    <hyperlink ref="B16" r:id="rId1" xr:uid="{837AD3BB-7EF5-40C2-9AE5-2A029EE41417}"/>
    <hyperlink ref="B2" r:id="rId2" xr:uid="{A7D3C695-2CEE-499E-851C-382D1AB5822D}"/>
  </hyperlinks>
  <pageMargins left="0.7" right="0.7" top="0.75" bottom="0.75" header="0.3" footer="0.3"/>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FD675-DE11-4333-B7AD-39A939283673}">
  <sheetPr>
    <tabColor theme="2" tint="-0.249977111117893"/>
  </sheetPr>
  <dimension ref="B2:B25"/>
  <sheetViews>
    <sheetView workbookViewId="0">
      <selection activeCell="B28" sqref="B28"/>
    </sheetView>
  </sheetViews>
  <sheetFormatPr defaultRowHeight="17"/>
  <cols>
    <col min="1" max="16384" width="8.6640625" style="1"/>
  </cols>
  <sheetData>
    <row r="2" spans="2:2">
      <c r="B2" s="1" t="s">
        <v>40</v>
      </c>
    </row>
    <row r="3" spans="2:2">
      <c r="B3" s="1" t="s">
        <v>41</v>
      </c>
    </row>
    <row r="4" spans="2:2">
      <c r="B4" s="1" t="s">
        <v>42</v>
      </c>
    </row>
    <row r="6" spans="2:2">
      <c r="B6" s="1" t="s">
        <v>43</v>
      </c>
    </row>
    <row r="7" spans="2:2">
      <c r="B7" s="1" t="s">
        <v>44</v>
      </c>
    </row>
    <row r="9" spans="2:2">
      <c r="B9" s="1" t="s">
        <v>45</v>
      </c>
    </row>
    <row r="10" spans="2:2">
      <c r="B10" s="1" t="s">
        <v>46</v>
      </c>
    </row>
    <row r="12" spans="2:2">
      <c r="B12" s="1" t="s">
        <v>47</v>
      </c>
    </row>
    <row r="13" spans="2:2">
      <c r="B13" s="1" t="s">
        <v>48</v>
      </c>
    </row>
    <row r="15" spans="2:2">
      <c r="B15" s="1" t="s">
        <v>49</v>
      </c>
    </row>
    <row r="16" spans="2:2">
      <c r="B16" s="1" t="s">
        <v>50</v>
      </c>
    </row>
    <row r="18" spans="2:2">
      <c r="B18" s="1" t="s">
        <v>51</v>
      </c>
    </row>
    <row r="19" spans="2:2">
      <c r="B19" s="1" t="s">
        <v>52</v>
      </c>
    </row>
    <row r="21" spans="2:2">
      <c r="B21" s="1" t="s">
        <v>53</v>
      </c>
    </row>
    <row r="22" spans="2:2">
      <c r="B22" s="1" t="s">
        <v>54</v>
      </c>
    </row>
    <row r="24" spans="2:2">
      <c r="B24" s="1" t="s">
        <v>55</v>
      </c>
    </row>
    <row r="25" spans="2:2">
      <c r="B25" s="1" t="s">
        <v>56</v>
      </c>
    </row>
  </sheetData>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E375F-6FEB-4B70-A78C-ABDEFFA5D6E9}">
  <sheetPr>
    <tabColor theme="2" tint="-0.249977111117893"/>
  </sheetPr>
  <dimension ref="A1:AC12"/>
  <sheetViews>
    <sheetView topLeftCell="D1" workbookViewId="0">
      <selection activeCell="G16" sqref="G16"/>
    </sheetView>
  </sheetViews>
  <sheetFormatPr defaultRowHeight="17"/>
  <cols>
    <col min="1" max="1" width="12.4140625" customWidth="1"/>
    <col min="2" max="2" width="7.1640625" bestFit="1" customWidth="1"/>
    <col min="3" max="3" width="35.9140625" bestFit="1" customWidth="1"/>
    <col min="4" max="4" width="20.25" bestFit="1" customWidth="1"/>
    <col min="5" max="5" width="13.1640625" bestFit="1" customWidth="1"/>
    <col min="6" max="6" width="10.6640625" bestFit="1" customWidth="1"/>
    <col min="7" max="7" width="19.4140625" bestFit="1" customWidth="1"/>
  </cols>
  <sheetData>
    <row r="1" spans="1:29">
      <c r="B1" t="s">
        <v>913</v>
      </c>
      <c r="C1" t="s">
        <v>916</v>
      </c>
      <c r="D1" t="s">
        <v>917</v>
      </c>
      <c r="E1" t="s">
        <v>918</v>
      </c>
      <c r="F1" t="s">
        <v>919</v>
      </c>
      <c r="G1" t="s">
        <v>920</v>
      </c>
      <c r="H1" s="345">
        <v>23</v>
      </c>
      <c r="I1" s="345">
        <v>24</v>
      </c>
      <c r="J1" s="345">
        <v>25</v>
      </c>
      <c r="K1" s="345">
        <v>26</v>
      </c>
      <c r="L1" s="345"/>
      <c r="M1" s="345"/>
      <c r="N1" s="345"/>
      <c r="O1" s="345"/>
      <c r="P1" s="345"/>
      <c r="Q1" s="345"/>
      <c r="R1" s="345"/>
      <c r="S1" s="345"/>
      <c r="T1" s="345"/>
      <c r="U1" s="345"/>
      <c r="V1" s="345"/>
      <c r="W1" s="345"/>
      <c r="X1" s="345"/>
      <c r="Y1" s="345"/>
      <c r="Z1" s="345"/>
      <c r="AA1" s="345"/>
      <c r="AB1" s="345"/>
      <c r="AC1" s="345"/>
    </row>
    <row r="2" spans="1:29">
      <c r="A2" t="e" vm="1">
        <v>#VALUE!</v>
      </c>
      <c r="B2">
        <v>388210</v>
      </c>
      <c r="C2" t="str" cm="1">
        <f t="array" aca="1" ref="C2" ca="1">+_FV(A2,"Name")</f>
        <v>CMTX Co.,Ltd.</v>
      </c>
      <c r="D2" t="str" cm="1">
        <f t="array" aca="1" ref="D2" ca="1">+_FV(A2,"Exchange")</f>
        <v>Korea Stock Exchange</v>
      </c>
      <c r="E2" s="341" cm="1">
        <f t="array" aca="1" ref="E2" ca="1">+_FV(A2,"Price")</f>
        <v>114900</v>
      </c>
      <c r="F2" s="343" cm="1">
        <f t="array" aca="1" ref="F2" ca="1">+_FV(A2,"Shares outstanding",TRUE)</f>
        <v>9634440</v>
      </c>
      <c r="G2" s="344" cm="1">
        <f t="array" aca="1" ref="G2" ca="1">+_FV(A2,"Market cap",TRUE)</f>
        <v>930977900000</v>
      </c>
      <c r="H2">
        <v>702</v>
      </c>
      <c r="I2">
        <v>1087</v>
      </c>
      <c r="J2">
        <v>1659</v>
      </c>
      <c r="K2">
        <v>2078</v>
      </c>
    </row>
    <row r="3" spans="1:29">
      <c r="E3" s="341"/>
      <c r="F3" s="343"/>
      <c r="G3" s="344"/>
      <c r="H3">
        <v>29</v>
      </c>
      <c r="I3">
        <v>236</v>
      </c>
      <c r="J3">
        <v>448</v>
      </c>
      <c r="K3">
        <v>512</v>
      </c>
    </row>
    <row r="4" spans="1:29">
      <c r="A4" t="e" vm="2">
        <v>#VALUE!</v>
      </c>
      <c r="B4">
        <v>101160</v>
      </c>
      <c r="C4" t="str" cm="1">
        <f t="array" aca="1" ref="C4" ca="1">+_FV(A4,"Name")</f>
        <v>WORLDEXINDUSTRY&amp;TRADINGCO.,LTD</v>
      </c>
      <c r="D4" t="str" cm="1">
        <f t="array" aca="1" ref="D4" ca="1">+_FV(A4,"Exchange")</f>
        <v>Korea Stock Exchange</v>
      </c>
      <c r="E4" s="341" cm="1">
        <f t="array" aca="1" ref="E4" ca="1">+_FV(A4,"Price")</f>
        <v>25900</v>
      </c>
      <c r="F4" s="343" cm="1">
        <f t="array" aca="1" ref="F4" ca="1">+_FV(A4,"Shares outstanding",TRUE)</f>
        <v>16510990</v>
      </c>
      <c r="G4" s="344" cm="1">
        <f t="array" aca="1" ref="G4" ca="1">+_FV(A4,"Market cap",TRUE)</f>
        <v>362416300000</v>
      </c>
    </row>
    <row r="5" spans="1:29">
      <c r="E5" s="341"/>
      <c r="F5" s="343"/>
      <c r="G5" s="344"/>
    </row>
    <row r="6" spans="1:29">
      <c r="A6" t="e" vm="3">
        <v>#VALUE!</v>
      </c>
      <c r="B6">
        <v>272110</v>
      </c>
      <c r="C6" t="str" cm="1">
        <f t="array" aca="1" ref="C6" ca="1">+_FV(A6,"Name")</f>
        <v>KnJ Co.,Ltd.</v>
      </c>
      <c r="D6" t="str" cm="1">
        <f t="array" aca="1" ref="D6" ca="1">+_FV(A6,"Exchange")</f>
        <v>Korea Stock Exchange</v>
      </c>
      <c r="E6" s="341" cm="1">
        <f t="array" aca="1" ref="E6" ca="1">+_FV(A6,"Price")</f>
        <v>32300</v>
      </c>
      <c r="F6" s="343" cm="1">
        <f t="array" aca="1" ref="F6" ca="1">+_FV(A6,"Shares outstanding",TRUE)</f>
        <v>8025390</v>
      </c>
      <c r="G6" s="344" cm="1">
        <f t="array" aca="1" ref="G6" ca="1">+_FV(A6,"Market cap",TRUE)</f>
        <v>164520600000</v>
      </c>
    </row>
    <row r="7" spans="1:29">
      <c r="E7" s="341"/>
      <c r="F7" s="343"/>
      <c r="G7" s="344"/>
    </row>
    <row r="8" spans="1:29">
      <c r="A8" t="e" vm="4">
        <v>#VALUE!</v>
      </c>
      <c r="B8">
        <v>166090</v>
      </c>
      <c r="C8" t="str" cm="1">
        <f t="array" aca="1" ref="C8" ca="1">+_FV(A8,"Name")</f>
        <v>Hana Materials Inc.</v>
      </c>
      <c r="D8" t="str" cm="1">
        <f t="array" aca="1" ref="D8" ca="1">+_FV(A8,"Exchange")</f>
        <v>Korea Stock Exchange</v>
      </c>
      <c r="E8" s="341" cm="1">
        <f t="array" aca="1" ref="E8" ca="1">+_FV(A8,"Price")</f>
        <v>69100</v>
      </c>
      <c r="F8" s="343" cm="1">
        <f t="array" aca="1" ref="F8" ca="1">+_FV(A8,"Shares outstanding",TRUE)</f>
        <v>19777670</v>
      </c>
      <c r="G8" s="344" cm="1">
        <f t="array" aca="1" ref="G8" ca="1">+_FV(A8,"Market cap",TRUE)</f>
        <v>915706300000</v>
      </c>
    </row>
    <row r="9" spans="1:29">
      <c r="E9" s="341"/>
      <c r="F9" s="343"/>
      <c r="G9" s="344"/>
    </row>
    <row r="10" spans="1:29">
      <c r="A10" s="342" t="e" vm="5">
        <v>#VALUE!</v>
      </c>
      <c r="B10" s="342" t="s">
        <v>915</v>
      </c>
      <c r="C10" t="str" cm="1">
        <f t="array" aca="1" ref="C10" ca="1">+_FV(A10,"Name")</f>
        <v>TOKAI CARBON KOREA Co., Ltd.</v>
      </c>
      <c r="D10" t="str" cm="1">
        <f t="array" aca="1" ref="D10" ca="1">+_FV(A10,"Exchange")</f>
        <v>Korea Stock Exchange</v>
      </c>
      <c r="E10" s="341" cm="1">
        <f t="array" aca="1" ref="E10" ca="1">+_FV(A10,"Price")</f>
        <v>282000</v>
      </c>
      <c r="F10" s="343" cm="1">
        <f t="array" aca="1" ref="F10" ca="1">+_FV(A10,"Shares outstanding",TRUE)</f>
        <v>11179420</v>
      </c>
      <c r="G10" s="344" cm="1">
        <f t="array" aca="1" ref="G10" ca="1">+_FV(A10,"Market cap",TRUE)</f>
        <v>1755168000000</v>
      </c>
    </row>
    <row r="11" spans="1:29">
      <c r="A11" s="342"/>
      <c r="B11" s="342"/>
      <c r="E11" s="341"/>
      <c r="F11" s="343"/>
      <c r="G11" s="344"/>
    </row>
    <row r="12" spans="1:29">
      <c r="A12" t="e" vm="6">
        <v>#VALUE!</v>
      </c>
      <c r="B12">
        <v>146320</v>
      </c>
      <c r="C12" t="str" cm="1">
        <f t="array" aca="1" ref="C12" ca="1">+_FV(A12,"Name")</f>
        <v>BCnC Co., Ltd.</v>
      </c>
      <c r="D12" t="str" cm="1">
        <f t="array" aca="1" ref="D12" ca="1">+_FV(A12,"Exchange")</f>
        <v>Korea Stock Exchange</v>
      </c>
      <c r="E12" s="341" cm="1">
        <f t="array" aca="1" ref="E12" ca="1">+_FV(A12,"Price")</f>
        <v>15140</v>
      </c>
      <c r="F12" s="343" cm="1">
        <f t="array" aca="1" ref="F12" ca="1">+_FV(A12,"Shares outstanding",TRUE)</f>
        <v>12797920</v>
      </c>
      <c r="G12" s="344" cm="1">
        <f t="array" aca="1" ref="G12" ca="1">+_FV(A12,"Market cap",TRUE)</f>
        <v>176995300000</v>
      </c>
    </row>
  </sheetData>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8C905-B1C3-4AE2-9CFE-AB868FBE9C5C}">
  <dimension ref="A1:O246"/>
  <sheetViews>
    <sheetView zoomScale="115" zoomScaleNormal="115" workbookViewId="0">
      <selection activeCell="P234" sqref="P234"/>
    </sheetView>
  </sheetViews>
  <sheetFormatPr defaultRowHeight="17"/>
  <sheetData>
    <row r="1" spans="1:15">
      <c r="A1" s="352" t="s">
        <v>951</v>
      </c>
      <c r="B1" s="355" t="s">
        <v>503</v>
      </c>
      <c r="C1" s="355"/>
      <c r="D1" s="352" t="s">
        <v>1195</v>
      </c>
      <c r="F1" s="355" t="s">
        <v>12</v>
      </c>
      <c r="G1" s="355"/>
      <c r="H1" s="355" t="s">
        <v>13</v>
      </c>
      <c r="J1" s="355" t="s">
        <v>14</v>
      </c>
      <c r="L1" s="355" t="s">
        <v>15</v>
      </c>
      <c r="N1" s="355" t="s">
        <v>16</v>
      </c>
    </row>
    <row r="2" spans="1:15">
      <c r="A2" s="353" t="s">
        <v>1194</v>
      </c>
      <c r="B2" s="354">
        <v>54000</v>
      </c>
      <c r="C2" s="354">
        <v>100</v>
      </c>
      <c r="D2" s="354">
        <v>170400</v>
      </c>
      <c r="E2" s="354">
        <v>100</v>
      </c>
      <c r="F2" s="356">
        <v>15720</v>
      </c>
      <c r="G2" s="354">
        <v>100</v>
      </c>
      <c r="H2" s="356">
        <v>12830</v>
      </c>
      <c r="I2" s="354">
        <v>100</v>
      </c>
      <c r="J2" s="356">
        <v>22700</v>
      </c>
      <c r="K2" s="354">
        <v>100</v>
      </c>
      <c r="L2" s="356">
        <v>67600</v>
      </c>
      <c r="M2" s="354">
        <v>100</v>
      </c>
      <c r="N2" s="356">
        <v>7810</v>
      </c>
      <c r="O2" s="354">
        <v>100</v>
      </c>
    </row>
    <row r="3" spans="1:15">
      <c r="A3" s="353" t="s">
        <v>1193</v>
      </c>
      <c r="B3" s="354">
        <v>54000</v>
      </c>
      <c r="C3" s="354">
        <f>+C2*(1+(B3/B2-1))</f>
        <v>100</v>
      </c>
      <c r="D3" s="354">
        <v>171800</v>
      </c>
      <c r="E3" s="354">
        <f>+E2*(1+(D3/D2-1))</f>
        <v>100.82159624413146</v>
      </c>
      <c r="F3" s="356">
        <v>15890</v>
      </c>
      <c r="G3" s="354">
        <f>+G2*(1+(F3/F2-1))</f>
        <v>101.08142493638677</v>
      </c>
      <c r="H3" s="356">
        <v>13250</v>
      </c>
      <c r="I3" s="354">
        <f>+I2*(1+(H3/H2-1))</f>
        <v>103.27357755261106</v>
      </c>
      <c r="J3" s="356">
        <v>23400</v>
      </c>
      <c r="K3" s="354">
        <f>+K2*(1+(J3/J2-1))</f>
        <v>103.08370044052863</v>
      </c>
      <c r="L3" s="356">
        <v>71100</v>
      </c>
      <c r="M3" s="354">
        <f>+M2*(1+(L3/L2-1))</f>
        <v>105.1775147928994</v>
      </c>
      <c r="N3" s="356">
        <v>8260</v>
      </c>
      <c r="O3" s="354">
        <f>+O2*(1+(N3/N2-1))</f>
        <v>105.7618437900128</v>
      </c>
    </row>
    <row r="4" spans="1:15">
      <c r="A4" s="353" t="s">
        <v>1192</v>
      </c>
      <c r="B4" s="354">
        <v>55900</v>
      </c>
      <c r="C4" s="354">
        <f t="shared" ref="C4:C67" si="0">+C3*(1+(B4/B3-1))</f>
        <v>103.51851851851852</v>
      </c>
      <c r="D4" s="354">
        <v>176100</v>
      </c>
      <c r="E4" s="354">
        <f t="shared" ref="E4:E67" si="1">+E3*(1+(D4/D3-1))</f>
        <v>103.34507042253522</v>
      </c>
      <c r="F4" s="356">
        <v>16380</v>
      </c>
      <c r="G4" s="354">
        <f t="shared" ref="G4:G67" si="2">+G3*(1+(F4/F3-1))</f>
        <v>104.19847328244275</v>
      </c>
      <c r="H4" s="356">
        <v>13130</v>
      </c>
      <c r="I4" s="354">
        <f t="shared" ref="I4:I67" si="3">+I3*(1+(H4/H3-1))</f>
        <v>102.33826968043647</v>
      </c>
      <c r="J4" s="356">
        <v>24000</v>
      </c>
      <c r="K4" s="354">
        <f t="shared" ref="K4:K67" si="4">+K3*(1+(J4/J3-1))</f>
        <v>105.72687224669602</v>
      </c>
      <c r="L4" s="356">
        <v>70600</v>
      </c>
      <c r="M4" s="354">
        <f t="shared" ref="M4:M67" si="5">+M3*(1+(L4/L3-1))</f>
        <v>104.43786982248521</v>
      </c>
      <c r="N4" s="356">
        <v>8350</v>
      </c>
      <c r="O4" s="354">
        <f t="shared" ref="O4:O67" si="6">+O3*(1+(N4/N3-1))</f>
        <v>106.91421254801537</v>
      </c>
    </row>
    <row r="5" spans="1:15">
      <c r="A5" s="353" t="s">
        <v>1191</v>
      </c>
      <c r="B5" s="354">
        <v>56100</v>
      </c>
      <c r="C5" s="354">
        <f t="shared" si="0"/>
        <v>103.88888888888889</v>
      </c>
      <c r="D5" s="354">
        <v>175500</v>
      </c>
      <c r="E5" s="354">
        <f t="shared" si="1"/>
        <v>102.99295774647888</v>
      </c>
      <c r="F5" s="356">
        <v>16480</v>
      </c>
      <c r="G5" s="354">
        <f t="shared" si="2"/>
        <v>104.83460559796437</v>
      </c>
      <c r="H5" s="356">
        <v>13580</v>
      </c>
      <c r="I5" s="354">
        <f t="shared" si="3"/>
        <v>105.84567420109119</v>
      </c>
      <c r="J5" s="356">
        <v>23750</v>
      </c>
      <c r="K5" s="354">
        <f t="shared" si="4"/>
        <v>104.62555066079294</v>
      </c>
      <c r="L5" s="356">
        <v>70600</v>
      </c>
      <c r="M5" s="354">
        <f t="shared" si="5"/>
        <v>104.43786982248521</v>
      </c>
      <c r="N5" s="356">
        <v>8540</v>
      </c>
      <c r="O5" s="354">
        <f t="shared" si="6"/>
        <v>109.34699103713189</v>
      </c>
    </row>
    <row r="6" spans="1:15">
      <c r="A6" s="353" t="s">
        <v>1190</v>
      </c>
      <c r="B6" s="354">
        <v>55600</v>
      </c>
      <c r="C6" s="354">
        <f t="shared" si="0"/>
        <v>102.96296296296296</v>
      </c>
      <c r="D6" s="354">
        <v>179300</v>
      </c>
      <c r="E6" s="354">
        <f t="shared" si="1"/>
        <v>105.22300469483568</v>
      </c>
      <c r="F6" s="356">
        <v>16650</v>
      </c>
      <c r="G6" s="354">
        <f t="shared" si="2"/>
        <v>105.91603053435114</v>
      </c>
      <c r="H6" s="356">
        <v>13670</v>
      </c>
      <c r="I6" s="354">
        <f t="shared" si="3"/>
        <v>106.54715510522213</v>
      </c>
      <c r="J6" s="356">
        <v>23850</v>
      </c>
      <c r="K6" s="354">
        <f t="shared" si="4"/>
        <v>105.06607929515417</v>
      </c>
      <c r="L6" s="356">
        <v>71700</v>
      </c>
      <c r="M6" s="354">
        <f t="shared" si="5"/>
        <v>106.06508875739645</v>
      </c>
      <c r="N6" s="356">
        <v>8790</v>
      </c>
      <c r="O6" s="354">
        <f t="shared" si="6"/>
        <v>112.54801536491676</v>
      </c>
    </row>
    <row r="7" spans="1:15">
      <c r="A7" s="353" t="s">
        <v>1189</v>
      </c>
      <c r="B7" s="354">
        <v>54200</v>
      </c>
      <c r="C7" s="354">
        <f t="shared" si="0"/>
        <v>100.37037037037038</v>
      </c>
      <c r="D7" s="354">
        <v>184000</v>
      </c>
      <c r="E7" s="354">
        <f t="shared" si="1"/>
        <v>107.98122065727701</v>
      </c>
      <c r="F7" s="356">
        <v>16850</v>
      </c>
      <c r="G7" s="354">
        <f t="shared" si="2"/>
        <v>107.18829516539439</v>
      </c>
      <c r="H7" s="356">
        <v>14060</v>
      </c>
      <c r="I7" s="354">
        <f t="shared" si="3"/>
        <v>109.58690568978955</v>
      </c>
      <c r="J7" s="356">
        <v>24150</v>
      </c>
      <c r="K7" s="354">
        <f t="shared" si="4"/>
        <v>106.38766519823787</v>
      </c>
      <c r="L7" s="356">
        <v>72000</v>
      </c>
      <c r="M7" s="354">
        <f t="shared" si="5"/>
        <v>106.50887573964496</v>
      </c>
      <c r="N7" s="356">
        <v>8850</v>
      </c>
      <c r="O7" s="354">
        <f t="shared" si="6"/>
        <v>113.31626120358516</v>
      </c>
    </row>
    <row r="8" spans="1:15">
      <c r="A8" s="353" t="s">
        <v>1188</v>
      </c>
      <c r="B8" s="354">
        <v>54900</v>
      </c>
      <c r="C8" s="354">
        <f t="shared" si="0"/>
        <v>101.66666666666667</v>
      </c>
      <c r="D8" s="354">
        <v>183500</v>
      </c>
      <c r="E8" s="354">
        <f t="shared" si="1"/>
        <v>107.68779342723006</v>
      </c>
      <c r="F8" s="356">
        <v>16790</v>
      </c>
      <c r="G8" s="354">
        <f t="shared" si="2"/>
        <v>106.80661577608141</v>
      </c>
      <c r="H8" s="356">
        <v>13850</v>
      </c>
      <c r="I8" s="354">
        <f t="shared" si="3"/>
        <v>107.95011691348401</v>
      </c>
      <c r="J8" s="356">
        <v>24450</v>
      </c>
      <c r="K8" s="354">
        <f t="shared" si="4"/>
        <v>107.70925110132157</v>
      </c>
      <c r="L8" s="356">
        <v>72100</v>
      </c>
      <c r="M8" s="354">
        <f t="shared" si="5"/>
        <v>106.65680473372781</v>
      </c>
      <c r="N8" s="356">
        <v>8890</v>
      </c>
      <c r="O8" s="354">
        <f t="shared" si="6"/>
        <v>113.82842509603074</v>
      </c>
    </row>
    <row r="9" spans="1:15">
      <c r="A9" s="353" t="s">
        <v>1187</v>
      </c>
      <c r="B9" s="354">
        <v>53100</v>
      </c>
      <c r="C9" s="354">
        <f t="shared" si="0"/>
        <v>98.333333333333329</v>
      </c>
      <c r="D9" s="354">
        <v>175000</v>
      </c>
      <c r="E9" s="354">
        <f t="shared" si="1"/>
        <v>102.69953051643193</v>
      </c>
      <c r="F9" s="356">
        <v>16480</v>
      </c>
      <c r="G9" s="354">
        <f t="shared" si="2"/>
        <v>104.83460559796437</v>
      </c>
      <c r="H9" s="356">
        <v>13040</v>
      </c>
      <c r="I9" s="354">
        <f t="shared" si="3"/>
        <v>101.63678877630552</v>
      </c>
      <c r="J9" s="356">
        <v>23200</v>
      </c>
      <c r="K9" s="354">
        <f t="shared" si="4"/>
        <v>102.20264317180616</v>
      </c>
      <c r="L9" s="356">
        <v>69900</v>
      </c>
      <c r="M9" s="354">
        <f t="shared" si="5"/>
        <v>103.40236686390533</v>
      </c>
      <c r="N9" s="356">
        <v>8600</v>
      </c>
      <c r="O9" s="354">
        <f t="shared" si="6"/>
        <v>110.11523687580026</v>
      </c>
    </row>
    <row r="10" spans="1:15">
      <c r="A10" s="353" t="s">
        <v>1186</v>
      </c>
      <c r="B10" s="354">
        <v>53000</v>
      </c>
      <c r="C10" s="354">
        <f t="shared" si="0"/>
        <v>98.148148148148138</v>
      </c>
      <c r="D10" s="354">
        <v>168500</v>
      </c>
      <c r="E10" s="354">
        <f t="shared" si="1"/>
        <v>98.8849765258216</v>
      </c>
      <c r="F10" s="356">
        <v>16080</v>
      </c>
      <c r="G10" s="354">
        <f t="shared" si="2"/>
        <v>102.29007633587786</v>
      </c>
      <c r="H10" s="356">
        <v>12430</v>
      </c>
      <c r="I10" s="354">
        <f t="shared" si="3"/>
        <v>96.882307092751347</v>
      </c>
      <c r="J10" s="356">
        <v>23050</v>
      </c>
      <c r="K10" s="354">
        <f t="shared" si="4"/>
        <v>101.54185022026431</v>
      </c>
      <c r="L10" s="356">
        <v>68000</v>
      </c>
      <c r="M10" s="354">
        <f t="shared" si="5"/>
        <v>100.59171597633136</v>
      </c>
      <c r="N10" s="356">
        <v>8270</v>
      </c>
      <c r="O10" s="354">
        <f t="shared" si="6"/>
        <v>105.8898847631242</v>
      </c>
    </row>
    <row r="11" spans="1:15">
      <c r="A11" s="353" t="s">
        <v>1185</v>
      </c>
      <c r="B11" s="354">
        <v>53500</v>
      </c>
      <c r="C11" s="354">
        <f t="shared" si="0"/>
        <v>99.074074074074076</v>
      </c>
      <c r="D11" s="354">
        <v>169600</v>
      </c>
      <c r="E11" s="354">
        <f t="shared" si="1"/>
        <v>99.530516431924895</v>
      </c>
      <c r="F11" s="356">
        <v>16540</v>
      </c>
      <c r="G11" s="354">
        <f t="shared" si="2"/>
        <v>105.21628498727735</v>
      </c>
      <c r="H11" s="356">
        <v>12990</v>
      </c>
      <c r="I11" s="354">
        <f t="shared" si="3"/>
        <v>101.24707716289944</v>
      </c>
      <c r="J11" s="356">
        <v>23850</v>
      </c>
      <c r="K11" s="354">
        <f t="shared" si="4"/>
        <v>105.06607929515418</v>
      </c>
      <c r="L11" s="356">
        <v>69700</v>
      </c>
      <c r="M11" s="354">
        <f t="shared" si="5"/>
        <v>103.10650887573964</v>
      </c>
      <c r="N11" s="356">
        <v>8460</v>
      </c>
      <c r="O11" s="354">
        <f t="shared" si="6"/>
        <v>108.32266325224072</v>
      </c>
    </row>
    <row r="12" spans="1:15">
      <c r="A12" s="353" t="s">
        <v>1184</v>
      </c>
      <c r="B12" s="354">
        <v>54400</v>
      </c>
      <c r="C12" s="354">
        <f t="shared" si="0"/>
        <v>100.74074074074075</v>
      </c>
      <c r="D12" s="354">
        <v>168500</v>
      </c>
      <c r="E12" s="354">
        <f t="shared" si="1"/>
        <v>98.884976525821614</v>
      </c>
      <c r="F12" s="356">
        <v>16530</v>
      </c>
      <c r="G12" s="354">
        <f t="shared" si="2"/>
        <v>105.15267175572519</v>
      </c>
      <c r="H12" s="356">
        <v>12670</v>
      </c>
      <c r="I12" s="354">
        <f t="shared" si="3"/>
        <v>98.752922837100527</v>
      </c>
      <c r="J12" s="356">
        <v>24150</v>
      </c>
      <c r="K12" s="354">
        <f t="shared" si="4"/>
        <v>106.38766519823788</v>
      </c>
      <c r="L12" s="356">
        <v>69700</v>
      </c>
      <c r="M12" s="354">
        <f t="shared" si="5"/>
        <v>103.10650887573964</v>
      </c>
      <c r="N12" s="356">
        <v>8220</v>
      </c>
      <c r="O12" s="354">
        <f t="shared" si="6"/>
        <v>105.24967989756722</v>
      </c>
    </row>
    <row r="13" spans="1:15">
      <c r="A13" s="353" t="s">
        <v>1183</v>
      </c>
      <c r="B13" s="354">
        <v>53600</v>
      </c>
      <c r="C13" s="354">
        <f t="shared" si="0"/>
        <v>99.259259259259267</v>
      </c>
      <c r="D13" s="354">
        <v>170100</v>
      </c>
      <c r="E13" s="354">
        <f t="shared" si="1"/>
        <v>99.823943661971853</v>
      </c>
      <c r="F13" s="356">
        <v>16450</v>
      </c>
      <c r="G13" s="354">
        <f t="shared" si="2"/>
        <v>104.64376590330789</v>
      </c>
      <c r="H13" s="356">
        <v>12290</v>
      </c>
      <c r="I13" s="354">
        <f t="shared" si="3"/>
        <v>95.791114575214323</v>
      </c>
      <c r="J13" s="356">
        <v>23500</v>
      </c>
      <c r="K13" s="354">
        <f t="shared" si="4"/>
        <v>103.52422907488987</v>
      </c>
      <c r="L13" s="356">
        <v>70000</v>
      </c>
      <c r="M13" s="354">
        <f t="shared" si="5"/>
        <v>103.55029585798816</v>
      </c>
      <c r="N13" s="356">
        <v>8020</v>
      </c>
      <c r="O13" s="354">
        <f t="shared" si="6"/>
        <v>102.68886043533931</v>
      </c>
    </row>
    <row r="14" spans="1:15">
      <c r="A14" s="353" t="s">
        <v>1182</v>
      </c>
      <c r="B14" s="354">
        <v>53700</v>
      </c>
      <c r="C14" s="354">
        <f t="shared" si="0"/>
        <v>99.444444444444457</v>
      </c>
      <c r="D14" s="354">
        <v>174500</v>
      </c>
      <c r="E14" s="354">
        <f t="shared" si="1"/>
        <v>102.406103286385</v>
      </c>
      <c r="F14" s="356">
        <v>16500</v>
      </c>
      <c r="G14" s="354">
        <f t="shared" si="2"/>
        <v>104.96183206106872</v>
      </c>
      <c r="H14" s="356">
        <v>14050</v>
      </c>
      <c r="I14" s="354">
        <f t="shared" si="3"/>
        <v>109.50896336710831</v>
      </c>
      <c r="J14" s="356">
        <v>22750</v>
      </c>
      <c r="K14" s="354">
        <f t="shared" si="4"/>
        <v>100.22026431718062</v>
      </c>
      <c r="L14" s="356">
        <v>70100</v>
      </c>
      <c r="M14" s="354">
        <f t="shared" si="5"/>
        <v>103.69822485207099</v>
      </c>
      <c r="N14" s="356">
        <v>8000</v>
      </c>
      <c r="O14" s="354">
        <f t="shared" si="6"/>
        <v>102.43277848911652</v>
      </c>
    </row>
    <row r="15" spans="1:15">
      <c r="A15" s="353" t="s">
        <v>1181</v>
      </c>
      <c r="B15" s="354">
        <v>53200</v>
      </c>
      <c r="C15" s="354">
        <f t="shared" si="0"/>
        <v>98.518518518518533</v>
      </c>
      <c r="D15" s="354">
        <v>173900</v>
      </c>
      <c r="E15" s="354">
        <f t="shared" si="1"/>
        <v>102.05399061032867</v>
      </c>
      <c r="F15" s="356">
        <v>16940</v>
      </c>
      <c r="G15" s="354">
        <f t="shared" si="2"/>
        <v>107.76081424936388</v>
      </c>
      <c r="H15" s="356">
        <v>13550</v>
      </c>
      <c r="I15" s="354">
        <f t="shared" si="3"/>
        <v>105.61184723304751</v>
      </c>
      <c r="J15" s="356">
        <v>22950</v>
      </c>
      <c r="K15" s="354">
        <f t="shared" si="4"/>
        <v>101.10132158590308</v>
      </c>
      <c r="L15" s="356">
        <v>70900</v>
      </c>
      <c r="M15" s="354">
        <f t="shared" si="5"/>
        <v>104.88165680473371</v>
      </c>
      <c r="N15" s="356">
        <v>8060</v>
      </c>
      <c r="O15" s="354">
        <f t="shared" si="6"/>
        <v>103.20102432778489</v>
      </c>
    </row>
    <row r="16" spans="1:15">
      <c r="A16" s="353" t="s">
        <v>1180</v>
      </c>
      <c r="B16" s="354">
        <v>53400</v>
      </c>
      <c r="C16" s="354">
        <f t="shared" si="0"/>
        <v>98.8888888888889</v>
      </c>
      <c r="D16" s="354">
        <v>171200</v>
      </c>
      <c r="E16" s="354">
        <f t="shared" si="1"/>
        <v>100.46948356807515</v>
      </c>
      <c r="F16" s="356">
        <v>16410</v>
      </c>
      <c r="G16" s="354">
        <f t="shared" si="2"/>
        <v>104.38931297709925</v>
      </c>
      <c r="H16" s="356">
        <v>13330</v>
      </c>
      <c r="I16" s="354">
        <f t="shared" si="3"/>
        <v>103.89711613406077</v>
      </c>
      <c r="J16" s="356">
        <v>22800</v>
      </c>
      <c r="K16" s="354">
        <f t="shared" si="4"/>
        <v>100.44052863436123</v>
      </c>
      <c r="L16" s="356">
        <v>69900</v>
      </c>
      <c r="M16" s="354">
        <f t="shared" si="5"/>
        <v>103.40236686390531</v>
      </c>
      <c r="N16" s="356">
        <v>8100</v>
      </c>
      <c r="O16" s="354">
        <f t="shared" si="6"/>
        <v>103.71318822023048</v>
      </c>
    </row>
    <row r="17" spans="1:15">
      <c r="A17" s="353" t="s">
        <v>1179</v>
      </c>
      <c r="B17" s="354">
        <v>54400</v>
      </c>
      <c r="C17" s="354">
        <f t="shared" si="0"/>
        <v>100.74074074074076</v>
      </c>
      <c r="D17" s="354">
        <v>181900</v>
      </c>
      <c r="E17" s="354">
        <f t="shared" si="1"/>
        <v>106.74882629107985</v>
      </c>
      <c r="F17" s="356">
        <v>17080</v>
      </c>
      <c r="G17" s="354">
        <f t="shared" si="2"/>
        <v>108.65139949109417</v>
      </c>
      <c r="H17" s="356">
        <v>13530</v>
      </c>
      <c r="I17" s="354">
        <f t="shared" si="3"/>
        <v>105.45596258768509</v>
      </c>
      <c r="J17" s="356">
        <v>24200</v>
      </c>
      <c r="K17" s="354">
        <f t="shared" si="4"/>
        <v>106.60792951541849</v>
      </c>
      <c r="L17" s="356">
        <v>73000</v>
      </c>
      <c r="M17" s="354">
        <f t="shared" si="5"/>
        <v>107.98816568047336</v>
      </c>
      <c r="N17" s="356">
        <v>8590</v>
      </c>
      <c r="O17" s="354">
        <f t="shared" si="6"/>
        <v>109.98719590268887</v>
      </c>
    </row>
    <row r="18" spans="1:15">
      <c r="A18" s="353" t="s">
        <v>1178</v>
      </c>
      <c r="B18" s="354">
        <v>55900</v>
      </c>
      <c r="C18" s="354">
        <f t="shared" si="0"/>
        <v>103.51851851851855</v>
      </c>
      <c r="D18" s="354">
        <v>199800</v>
      </c>
      <c r="E18" s="354">
        <f t="shared" si="1"/>
        <v>117.2535211267606</v>
      </c>
      <c r="F18" s="356">
        <v>17720</v>
      </c>
      <c r="G18" s="354">
        <f t="shared" si="2"/>
        <v>112.72264631043259</v>
      </c>
      <c r="H18" s="356">
        <v>14570</v>
      </c>
      <c r="I18" s="354">
        <f t="shared" si="3"/>
        <v>113.56196414653155</v>
      </c>
      <c r="J18" s="356">
        <v>25850</v>
      </c>
      <c r="K18" s="354">
        <f t="shared" si="4"/>
        <v>113.87665198237883</v>
      </c>
      <c r="L18" s="356">
        <v>73900</v>
      </c>
      <c r="M18" s="354">
        <f t="shared" si="5"/>
        <v>109.31952662721892</v>
      </c>
      <c r="N18" s="356">
        <v>9060</v>
      </c>
      <c r="O18" s="354">
        <f t="shared" si="6"/>
        <v>116.00512163892446</v>
      </c>
    </row>
    <row r="19" spans="1:15">
      <c r="A19" s="353" t="s">
        <v>1177</v>
      </c>
      <c r="B19" s="354">
        <v>55400</v>
      </c>
      <c r="C19" s="354">
        <f t="shared" si="0"/>
        <v>102.59259259259262</v>
      </c>
      <c r="D19" s="354">
        <v>195000</v>
      </c>
      <c r="E19" s="354">
        <f t="shared" si="1"/>
        <v>114.4366197183099</v>
      </c>
      <c r="F19" s="356">
        <v>17170</v>
      </c>
      <c r="G19" s="354">
        <f t="shared" si="2"/>
        <v>109.22391857506364</v>
      </c>
      <c r="H19" s="356">
        <v>13920</v>
      </c>
      <c r="I19" s="354">
        <f t="shared" si="3"/>
        <v>108.49571317225252</v>
      </c>
      <c r="J19" s="356">
        <v>24950</v>
      </c>
      <c r="K19" s="354">
        <f t="shared" si="4"/>
        <v>109.91189427312773</v>
      </c>
      <c r="L19" s="356">
        <v>72400</v>
      </c>
      <c r="M19" s="354">
        <f t="shared" si="5"/>
        <v>107.10059171597631</v>
      </c>
      <c r="N19" s="356">
        <v>8880</v>
      </c>
      <c r="O19" s="354">
        <f t="shared" si="6"/>
        <v>113.70038412291935</v>
      </c>
    </row>
    <row r="20" spans="1:15">
      <c r="A20" s="353" t="s">
        <v>1176</v>
      </c>
      <c r="B20" s="354">
        <v>57300</v>
      </c>
      <c r="C20" s="354">
        <f t="shared" si="0"/>
        <v>106.11111111111114</v>
      </c>
      <c r="D20" s="354">
        <v>194700</v>
      </c>
      <c r="E20" s="354">
        <f t="shared" si="1"/>
        <v>114.26056338028174</v>
      </c>
      <c r="F20" s="356">
        <v>17650</v>
      </c>
      <c r="G20" s="354">
        <f t="shared" si="2"/>
        <v>112.27735368956745</v>
      </c>
      <c r="H20" s="356">
        <v>14580</v>
      </c>
      <c r="I20" s="354">
        <f t="shared" si="3"/>
        <v>113.63990646921276</v>
      </c>
      <c r="J20" s="356">
        <v>27200</v>
      </c>
      <c r="K20" s="354">
        <f t="shared" si="4"/>
        <v>119.82378854625547</v>
      </c>
      <c r="L20" s="356">
        <v>74500</v>
      </c>
      <c r="M20" s="354">
        <f t="shared" si="5"/>
        <v>110.20710059171594</v>
      </c>
      <c r="N20" s="356">
        <v>9190</v>
      </c>
      <c r="O20" s="354">
        <f t="shared" si="6"/>
        <v>117.66965428937262</v>
      </c>
    </row>
    <row r="21" spans="1:15">
      <c r="A21" s="353" t="s">
        <v>1175</v>
      </c>
      <c r="B21" s="354">
        <v>56100</v>
      </c>
      <c r="C21" s="354">
        <f t="shared" si="0"/>
        <v>103.88888888888891</v>
      </c>
      <c r="D21" s="354">
        <v>205000</v>
      </c>
      <c r="E21" s="354">
        <f t="shared" si="1"/>
        <v>120.30516431924887</v>
      </c>
      <c r="F21" s="356">
        <v>17150</v>
      </c>
      <c r="G21" s="354">
        <f t="shared" si="2"/>
        <v>109.09669211195931</v>
      </c>
      <c r="H21" s="356">
        <v>14120</v>
      </c>
      <c r="I21" s="354">
        <f t="shared" si="3"/>
        <v>110.05455962587683</v>
      </c>
      <c r="J21" s="356">
        <v>26250</v>
      </c>
      <c r="K21" s="354">
        <f t="shared" si="4"/>
        <v>115.63876651982376</v>
      </c>
      <c r="L21" s="356">
        <v>73100</v>
      </c>
      <c r="M21" s="354">
        <f t="shared" si="5"/>
        <v>108.13609467455618</v>
      </c>
      <c r="N21" s="356">
        <v>9100</v>
      </c>
      <c r="O21" s="354">
        <f t="shared" si="6"/>
        <v>116.51728553137005</v>
      </c>
    </row>
    <row r="22" spans="1:15">
      <c r="A22" s="353" t="s">
        <v>1174</v>
      </c>
      <c r="B22" s="354">
        <v>55300</v>
      </c>
      <c r="C22" s="354">
        <f t="shared" si="0"/>
        <v>102.40740740740743</v>
      </c>
      <c r="D22" s="354">
        <v>203500</v>
      </c>
      <c r="E22" s="354">
        <f t="shared" si="1"/>
        <v>119.42488262910803</v>
      </c>
      <c r="F22" s="356">
        <v>17140</v>
      </c>
      <c r="G22" s="354">
        <f t="shared" si="2"/>
        <v>109.03307888040716</v>
      </c>
      <c r="H22" s="356">
        <v>13880</v>
      </c>
      <c r="I22" s="354">
        <f t="shared" si="3"/>
        <v>108.18394388152765</v>
      </c>
      <c r="J22" s="356">
        <v>26300</v>
      </c>
      <c r="K22" s="354">
        <f t="shared" si="4"/>
        <v>115.85903083700437</v>
      </c>
      <c r="L22" s="356">
        <v>73000</v>
      </c>
      <c r="M22" s="354">
        <f t="shared" si="5"/>
        <v>107.98816568047333</v>
      </c>
      <c r="N22" s="356">
        <v>9060</v>
      </c>
      <c r="O22" s="354">
        <f t="shared" si="6"/>
        <v>116.00512163892446</v>
      </c>
    </row>
    <row r="23" spans="1:15">
      <c r="A23" s="353" t="s">
        <v>1173</v>
      </c>
      <c r="B23" s="354">
        <v>54100</v>
      </c>
      <c r="C23" s="354">
        <f t="shared" si="0"/>
        <v>100.1851851851852</v>
      </c>
      <c r="D23" s="354">
        <v>194300</v>
      </c>
      <c r="E23" s="354">
        <f t="shared" si="1"/>
        <v>114.02582159624419</v>
      </c>
      <c r="F23" s="356">
        <v>16820</v>
      </c>
      <c r="G23" s="354">
        <f t="shared" si="2"/>
        <v>106.99745547073795</v>
      </c>
      <c r="H23" s="356">
        <v>13400</v>
      </c>
      <c r="I23" s="354">
        <f t="shared" si="3"/>
        <v>104.44271239282928</v>
      </c>
      <c r="J23" s="356">
        <v>25650</v>
      </c>
      <c r="K23" s="354">
        <f t="shared" si="4"/>
        <v>112.99559471365635</v>
      </c>
      <c r="L23" s="356">
        <v>70700</v>
      </c>
      <c r="M23" s="354">
        <f t="shared" si="5"/>
        <v>104.585798816568</v>
      </c>
      <c r="N23" s="356">
        <v>8800</v>
      </c>
      <c r="O23" s="354">
        <f t="shared" si="6"/>
        <v>112.67605633802818</v>
      </c>
    </row>
    <row r="24" spans="1:15">
      <c r="A24" s="353" t="s">
        <v>1172</v>
      </c>
      <c r="B24" s="354">
        <v>53900</v>
      </c>
      <c r="C24" s="354">
        <f t="shared" si="0"/>
        <v>99.814814814814824</v>
      </c>
      <c r="D24" s="354">
        <v>195000</v>
      </c>
      <c r="E24" s="354">
        <f t="shared" si="1"/>
        <v>114.43661971830993</v>
      </c>
      <c r="F24" s="356">
        <v>17320</v>
      </c>
      <c r="G24" s="354">
        <f t="shared" si="2"/>
        <v>110.17811704834608</v>
      </c>
      <c r="H24" s="356">
        <v>13800</v>
      </c>
      <c r="I24" s="354">
        <f t="shared" si="3"/>
        <v>107.56040530007792</v>
      </c>
      <c r="J24" s="356">
        <v>26050</v>
      </c>
      <c r="K24" s="354">
        <f t="shared" si="4"/>
        <v>114.75770925110128</v>
      </c>
      <c r="L24" s="356">
        <v>71000</v>
      </c>
      <c r="M24" s="354">
        <f t="shared" si="5"/>
        <v>105.02958579881653</v>
      </c>
      <c r="N24" s="356">
        <v>8880</v>
      </c>
      <c r="O24" s="354">
        <f t="shared" si="6"/>
        <v>113.70038412291933</v>
      </c>
    </row>
    <row r="25" spans="1:15">
      <c r="A25" s="353" t="s">
        <v>1171</v>
      </c>
      <c r="B25" s="354">
        <v>53700</v>
      </c>
      <c r="C25" s="354">
        <f t="shared" si="0"/>
        <v>99.444444444444457</v>
      </c>
      <c r="D25" s="354">
        <v>198200</v>
      </c>
      <c r="E25" s="354">
        <f t="shared" si="1"/>
        <v>116.31455399061039</v>
      </c>
      <c r="F25" s="356">
        <v>17160</v>
      </c>
      <c r="G25" s="354">
        <f t="shared" si="2"/>
        <v>109.16030534351148</v>
      </c>
      <c r="H25" s="356">
        <v>13540</v>
      </c>
      <c r="I25" s="354">
        <f t="shared" si="3"/>
        <v>105.5339049103663</v>
      </c>
      <c r="J25" s="356">
        <v>26650</v>
      </c>
      <c r="K25" s="354">
        <f t="shared" si="4"/>
        <v>117.40088105726868</v>
      </c>
      <c r="L25" s="356">
        <v>69900</v>
      </c>
      <c r="M25" s="354">
        <f t="shared" si="5"/>
        <v>103.40236686390529</v>
      </c>
      <c r="N25" s="356">
        <v>8740</v>
      </c>
      <c r="O25" s="354">
        <f t="shared" si="6"/>
        <v>111.9078104993598</v>
      </c>
    </row>
    <row r="26" spans="1:15">
      <c r="A26" s="353" t="s">
        <v>1170</v>
      </c>
      <c r="B26" s="354">
        <v>54300</v>
      </c>
      <c r="C26" s="354">
        <f t="shared" si="0"/>
        <v>100.55555555555557</v>
      </c>
      <c r="D26" s="354">
        <v>210000</v>
      </c>
      <c r="E26" s="354">
        <f t="shared" si="1"/>
        <v>123.23943661971838</v>
      </c>
      <c r="F26" s="356">
        <v>17340</v>
      </c>
      <c r="G26" s="354">
        <f t="shared" si="2"/>
        <v>110.3053435114504</v>
      </c>
      <c r="H26" s="356">
        <v>13690</v>
      </c>
      <c r="I26" s="354">
        <f t="shared" si="3"/>
        <v>106.70303975058454</v>
      </c>
      <c r="J26" s="356">
        <v>27050</v>
      </c>
      <c r="K26" s="354">
        <f t="shared" si="4"/>
        <v>119.16299559471361</v>
      </c>
      <c r="L26" s="356">
        <v>70000</v>
      </c>
      <c r="M26" s="354">
        <f t="shared" si="5"/>
        <v>103.55029585798812</v>
      </c>
      <c r="N26" s="356">
        <v>8910</v>
      </c>
      <c r="O26" s="354">
        <f t="shared" si="6"/>
        <v>114.08450704225352</v>
      </c>
    </row>
    <row r="27" spans="1:15">
      <c r="A27" s="353" t="s">
        <v>1169</v>
      </c>
      <c r="B27" s="354">
        <v>53700</v>
      </c>
      <c r="C27" s="354">
        <f t="shared" si="0"/>
        <v>99.444444444444457</v>
      </c>
      <c r="D27" s="354">
        <v>214500</v>
      </c>
      <c r="E27" s="354">
        <f t="shared" si="1"/>
        <v>125.8802816901409</v>
      </c>
      <c r="F27" s="356">
        <v>17300</v>
      </c>
      <c r="G27" s="354">
        <f t="shared" si="2"/>
        <v>110.05089058524175</v>
      </c>
      <c r="H27" s="356">
        <v>14560</v>
      </c>
      <c r="I27" s="354">
        <f t="shared" si="3"/>
        <v>113.48402182385031</v>
      </c>
      <c r="J27" s="356">
        <v>27350</v>
      </c>
      <c r="K27" s="354">
        <f t="shared" si="4"/>
        <v>120.48458149779729</v>
      </c>
      <c r="L27" s="356">
        <v>71800</v>
      </c>
      <c r="M27" s="354">
        <f t="shared" si="5"/>
        <v>106.21301775147926</v>
      </c>
      <c r="N27" s="356">
        <v>9890</v>
      </c>
      <c r="O27" s="354">
        <f t="shared" si="6"/>
        <v>126.63252240717028</v>
      </c>
    </row>
    <row r="28" spans="1:15">
      <c r="A28" s="353" t="s">
        <v>1168</v>
      </c>
      <c r="B28" s="354">
        <v>53400</v>
      </c>
      <c r="C28" s="354">
        <f t="shared" si="0"/>
        <v>98.8888888888889</v>
      </c>
      <c r="D28" s="354">
        <v>212000</v>
      </c>
      <c r="E28" s="354">
        <f t="shared" si="1"/>
        <v>124.41314553990615</v>
      </c>
      <c r="F28" s="356">
        <v>17290</v>
      </c>
      <c r="G28" s="354">
        <f t="shared" si="2"/>
        <v>109.98727735368958</v>
      </c>
      <c r="H28" s="356">
        <v>14420</v>
      </c>
      <c r="I28" s="354">
        <f t="shared" si="3"/>
        <v>112.39282930631329</v>
      </c>
      <c r="J28" s="356">
        <v>26700</v>
      </c>
      <c r="K28" s="354">
        <f t="shared" si="4"/>
        <v>117.62114537444927</v>
      </c>
      <c r="L28" s="356">
        <v>72400</v>
      </c>
      <c r="M28" s="354">
        <f t="shared" si="5"/>
        <v>107.10059171597631</v>
      </c>
      <c r="N28" s="356">
        <v>10090</v>
      </c>
      <c r="O28" s="354">
        <f t="shared" si="6"/>
        <v>129.19334186939818</v>
      </c>
    </row>
    <row r="29" spans="1:15">
      <c r="A29" s="353" t="s">
        <v>1167</v>
      </c>
      <c r="B29" s="354">
        <v>53500</v>
      </c>
      <c r="C29" s="354">
        <f t="shared" si="0"/>
        <v>99.074074074074076</v>
      </c>
      <c r="D29" s="354">
        <v>218000</v>
      </c>
      <c r="E29" s="354">
        <f t="shared" si="1"/>
        <v>127.93427230046954</v>
      </c>
      <c r="F29" s="356">
        <v>17770</v>
      </c>
      <c r="G29" s="354">
        <f t="shared" si="2"/>
        <v>113.04071246819339</v>
      </c>
      <c r="H29" s="356">
        <v>14700</v>
      </c>
      <c r="I29" s="354">
        <f t="shared" si="3"/>
        <v>114.57521434138734</v>
      </c>
      <c r="J29" s="356">
        <v>26700</v>
      </c>
      <c r="K29" s="354">
        <f t="shared" si="4"/>
        <v>117.62114537444927</v>
      </c>
      <c r="L29" s="356">
        <v>73100</v>
      </c>
      <c r="M29" s="354">
        <f t="shared" si="5"/>
        <v>108.13609467455618</v>
      </c>
      <c r="N29" s="356">
        <v>10000</v>
      </c>
      <c r="O29" s="354">
        <f t="shared" si="6"/>
        <v>128.04097311139563</v>
      </c>
    </row>
    <row r="30" spans="1:15">
      <c r="A30" s="353" t="s">
        <v>1166</v>
      </c>
      <c r="B30" s="354">
        <v>54300</v>
      </c>
      <c r="C30" s="354">
        <f t="shared" si="0"/>
        <v>100.55555555555556</v>
      </c>
      <c r="D30" s="354">
        <v>225500</v>
      </c>
      <c r="E30" s="354">
        <f t="shared" si="1"/>
        <v>132.33568075117378</v>
      </c>
      <c r="F30" s="356">
        <v>18040</v>
      </c>
      <c r="G30" s="354">
        <f t="shared" si="2"/>
        <v>114.75826972010178</v>
      </c>
      <c r="H30" s="356">
        <v>14850</v>
      </c>
      <c r="I30" s="354">
        <f t="shared" si="3"/>
        <v>115.74434918160556</v>
      </c>
      <c r="J30" s="356">
        <v>26700</v>
      </c>
      <c r="K30" s="354">
        <f t="shared" si="4"/>
        <v>117.62114537444927</v>
      </c>
      <c r="L30" s="356">
        <v>74000</v>
      </c>
      <c r="M30" s="354">
        <f t="shared" si="5"/>
        <v>109.46745562130172</v>
      </c>
      <c r="N30" s="356">
        <v>10370</v>
      </c>
      <c r="O30" s="354">
        <f t="shared" si="6"/>
        <v>132.77848911651725</v>
      </c>
    </row>
    <row r="31" spans="1:15">
      <c r="A31" s="353" t="s">
        <v>1165</v>
      </c>
      <c r="B31" s="354">
        <v>53700</v>
      </c>
      <c r="C31" s="354">
        <f t="shared" si="0"/>
        <v>99.444444444444443</v>
      </c>
      <c r="D31" s="354">
        <v>219500</v>
      </c>
      <c r="E31" s="354">
        <f t="shared" si="1"/>
        <v>128.81455399061039</v>
      </c>
      <c r="F31" s="356">
        <v>17660</v>
      </c>
      <c r="G31" s="354">
        <f t="shared" si="2"/>
        <v>112.34096692111959</v>
      </c>
      <c r="H31" s="356">
        <v>14300</v>
      </c>
      <c r="I31" s="354">
        <f t="shared" si="3"/>
        <v>111.45752143413868</v>
      </c>
      <c r="J31" s="356">
        <v>25600</v>
      </c>
      <c r="K31" s="354">
        <f t="shared" si="4"/>
        <v>112.77533039647571</v>
      </c>
      <c r="L31" s="356">
        <v>72300</v>
      </c>
      <c r="M31" s="354">
        <f t="shared" si="5"/>
        <v>106.95266272189345</v>
      </c>
      <c r="N31" s="356">
        <v>10230</v>
      </c>
      <c r="O31" s="354">
        <f t="shared" si="6"/>
        <v>130.9859154929577</v>
      </c>
    </row>
    <row r="32" spans="1:15">
      <c r="A32" s="353" t="s">
        <v>1164</v>
      </c>
      <c r="B32" s="354">
        <v>53700</v>
      </c>
      <c r="C32" s="354">
        <f t="shared" si="0"/>
        <v>99.444444444444443</v>
      </c>
      <c r="D32" s="354">
        <v>221000</v>
      </c>
      <c r="E32" s="354">
        <f t="shared" si="1"/>
        <v>129.69483568075125</v>
      </c>
      <c r="F32" s="356">
        <v>17600</v>
      </c>
      <c r="G32" s="354">
        <f t="shared" si="2"/>
        <v>111.95928753180661</v>
      </c>
      <c r="H32" s="356">
        <v>14910</v>
      </c>
      <c r="I32" s="354">
        <f t="shared" si="3"/>
        <v>116.21200311769286</v>
      </c>
      <c r="J32" s="356">
        <v>26550</v>
      </c>
      <c r="K32" s="354">
        <f t="shared" si="4"/>
        <v>116.96035242290742</v>
      </c>
      <c r="L32" s="356">
        <v>73900</v>
      </c>
      <c r="M32" s="354">
        <f t="shared" si="5"/>
        <v>109.31952662721888</v>
      </c>
      <c r="N32" s="356">
        <v>10270</v>
      </c>
      <c r="O32" s="354">
        <f t="shared" si="6"/>
        <v>131.49807938540329</v>
      </c>
    </row>
    <row r="33" spans="1:15">
      <c r="A33" s="353" t="s">
        <v>1163</v>
      </c>
      <c r="B33" s="354">
        <v>52400</v>
      </c>
      <c r="C33" s="354">
        <f t="shared" si="0"/>
        <v>97.037037037037038</v>
      </c>
      <c r="D33" s="354">
        <v>199200</v>
      </c>
      <c r="E33" s="354">
        <f t="shared" si="1"/>
        <v>116.9014084507043</v>
      </c>
      <c r="F33" s="356">
        <v>16670</v>
      </c>
      <c r="G33" s="354">
        <f t="shared" si="2"/>
        <v>106.04325699745546</v>
      </c>
      <c r="H33" s="356">
        <v>13970</v>
      </c>
      <c r="I33" s="354">
        <f t="shared" si="3"/>
        <v>108.88542478565857</v>
      </c>
      <c r="J33" s="356">
        <v>24600</v>
      </c>
      <c r="K33" s="354">
        <f t="shared" si="4"/>
        <v>108.37004405286338</v>
      </c>
      <c r="L33" s="356">
        <v>73800</v>
      </c>
      <c r="M33" s="354">
        <f t="shared" si="5"/>
        <v>109.17159763313605</v>
      </c>
      <c r="N33" s="356">
        <v>9560</v>
      </c>
      <c r="O33" s="354">
        <f t="shared" si="6"/>
        <v>122.40717029449419</v>
      </c>
    </row>
    <row r="34" spans="1:15">
      <c r="A34" s="353" t="s">
        <v>1162</v>
      </c>
      <c r="B34" s="354">
        <v>51000</v>
      </c>
      <c r="C34" s="354">
        <f t="shared" si="0"/>
        <v>94.444444444444443</v>
      </c>
      <c r="D34" s="354">
        <v>190900</v>
      </c>
      <c r="E34" s="354">
        <f t="shared" si="1"/>
        <v>112.03051643192495</v>
      </c>
      <c r="F34" s="356">
        <v>15630</v>
      </c>
      <c r="G34" s="354">
        <f t="shared" si="2"/>
        <v>99.427480916030518</v>
      </c>
      <c r="H34" s="356">
        <v>13620</v>
      </c>
      <c r="I34" s="354">
        <f t="shared" si="3"/>
        <v>106.15744349181603</v>
      </c>
      <c r="J34" s="356">
        <v>23000</v>
      </c>
      <c r="K34" s="354">
        <f t="shared" si="4"/>
        <v>101.32158590308364</v>
      </c>
      <c r="L34" s="356">
        <v>70000</v>
      </c>
      <c r="M34" s="354">
        <f t="shared" si="5"/>
        <v>103.55029585798812</v>
      </c>
      <c r="N34" s="356">
        <v>8850</v>
      </c>
      <c r="O34" s="354">
        <f t="shared" si="6"/>
        <v>113.31626120358511</v>
      </c>
    </row>
    <row r="35" spans="1:15">
      <c r="A35" s="353" t="s">
        <v>1161</v>
      </c>
      <c r="B35" s="354">
        <v>52700</v>
      </c>
      <c r="C35" s="354">
        <f t="shared" si="0"/>
        <v>97.592592592592595</v>
      </c>
      <c r="D35" s="354">
        <v>191100</v>
      </c>
      <c r="E35" s="354">
        <f t="shared" si="1"/>
        <v>112.14788732394373</v>
      </c>
      <c r="F35" s="356">
        <v>15770</v>
      </c>
      <c r="G35" s="354">
        <f t="shared" si="2"/>
        <v>100.3180661577608</v>
      </c>
      <c r="H35" s="356">
        <v>14020</v>
      </c>
      <c r="I35" s="354">
        <f t="shared" si="3"/>
        <v>109.27513639906466</v>
      </c>
      <c r="J35" s="356">
        <v>23150</v>
      </c>
      <c r="K35" s="354">
        <f t="shared" si="4"/>
        <v>101.98237885462549</v>
      </c>
      <c r="L35" s="356">
        <v>72300</v>
      </c>
      <c r="M35" s="354">
        <f t="shared" si="5"/>
        <v>106.95266272189345</v>
      </c>
      <c r="N35" s="356">
        <v>9170</v>
      </c>
      <c r="O35" s="354">
        <f t="shared" si="6"/>
        <v>117.41357234314978</v>
      </c>
    </row>
    <row r="36" spans="1:15">
      <c r="A36" s="353" t="s">
        <v>1160</v>
      </c>
      <c r="B36" s="354">
        <v>52900</v>
      </c>
      <c r="C36" s="354">
        <f t="shared" si="0"/>
        <v>97.962962962962976</v>
      </c>
      <c r="D36" s="354">
        <v>198800</v>
      </c>
      <c r="E36" s="354">
        <f t="shared" si="1"/>
        <v>116.66666666666676</v>
      </c>
      <c r="F36" s="356">
        <v>16080</v>
      </c>
      <c r="G36" s="354">
        <f t="shared" si="2"/>
        <v>102.29007633587786</v>
      </c>
      <c r="H36" s="356">
        <v>14510</v>
      </c>
      <c r="I36" s="354">
        <f t="shared" si="3"/>
        <v>113.09431021044423</v>
      </c>
      <c r="J36" s="356">
        <v>23000</v>
      </c>
      <c r="K36" s="354">
        <f t="shared" si="4"/>
        <v>101.32158590308364</v>
      </c>
      <c r="L36" s="356">
        <v>72100</v>
      </c>
      <c r="M36" s="354">
        <f t="shared" si="5"/>
        <v>106.65680473372777</v>
      </c>
      <c r="N36" s="356">
        <v>9540</v>
      </c>
      <c r="O36" s="354">
        <f t="shared" si="6"/>
        <v>122.15108834827141</v>
      </c>
    </row>
    <row r="37" spans="1:15">
      <c r="A37" s="353" t="s">
        <v>1159</v>
      </c>
      <c r="B37" s="354">
        <v>54000</v>
      </c>
      <c r="C37" s="354">
        <f t="shared" si="0"/>
        <v>100.00000000000001</v>
      </c>
      <c r="D37" s="354">
        <v>203500</v>
      </c>
      <c r="E37" s="354">
        <f t="shared" si="1"/>
        <v>119.42488262910807</v>
      </c>
      <c r="F37" s="356">
        <v>16600</v>
      </c>
      <c r="G37" s="354">
        <f t="shared" si="2"/>
        <v>105.59796437659031</v>
      </c>
      <c r="H37" s="356">
        <v>15930</v>
      </c>
      <c r="I37" s="354">
        <f t="shared" si="3"/>
        <v>124.1621200311769</v>
      </c>
      <c r="J37" s="356">
        <v>23900</v>
      </c>
      <c r="K37" s="354">
        <f t="shared" si="4"/>
        <v>105.28634361233475</v>
      </c>
      <c r="L37" s="356">
        <v>81300</v>
      </c>
      <c r="M37" s="354">
        <f t="shared" si="5"/>
        <v>120.26627218934905</v>
      </c>
      <c r="N37" s="356">
        <v>10280</v>
      </c>
      <c r="O37" s="354">
        <f t="shared" si="6"/>
        <v>131.62612035851467</v>
      </c>
    </row>
    <row r="38" spans="1:15">
      <c r="A38" s="353" t="s">
        <v>1158</v>
      </c>
      <c r="B38" s="354">
        <v>53700</v>
      </c>
      <c r="C38" s="354">
        <f t="shared" si="0"/>
        <v>99.444444444444457</v>
      </c>
      <c r="D38" s="354">
        <v>203000</v>
      </c>
      <c r="E38" s="354">
        <f t="shared" si="1"/>
        <v>119.13145539906112</v>
      </c>
      <c r="F38" s="356">
        <v>17100</v>
      </c>
      <c r="G38" s="354">
        <f t="shared" si="2"/>
        <v>108.77862595419845</v>
      </c>
      <c r="H38" s="356">
        <v>14960</v>
      </c>
      <c r="I38" s="354">
        <f t="shared" si="3"/>
        <v>116.60171473109897</v>
      </c>
      <c r="J38" s="356">
        <v>24800</v>
      </c>
      <c r="K38" s="354">
        <f t="shared" si="4"/>
        <v>109.25110132158585</v>
      </c>
      <c r="L38" s="356">
        <v>85700</v>
      </c>
      <c r="M38" s="354">
        <f t="shared" si="5"/>
        <v>126.77514792899402</v>
      </c>
      <c r="N38" s="356">
        <v>10110</v>
      </c>
      <c r="O38" s="354">
        <f t="shared" si="6"/>
        <v>129.44942381562095</v>
      </c>
    </row>
    <row r="39" spans="1:15">
      <c r="A39" s="353" t="s">
        <v>1157</v>
      </c>
      <c r="B39" s="354">
        <v>55600</v>
      </c>
      <c r="C39" s="354">
        <f t="shared" si="0"/>
        <v>102.96296296296298</v>
      </c>
      <c r="D39" s="354">
        <v>198100</v>
      </c>
      <c r="E39" s="354">
        <f t="shared" si="1"/>
        <v>116.25586854460103</v>
      </c>
      <c r="F39" s="356">
        <v>17180</v>
      </c>
      <c r="G39" s="354">
        <f t="shared" si="2"/>
        <v>109.28753180661576</v>
      </c>
      <c r="H39" s="356">
        <v>15830</v>
      </c>
      <c r="I39" s="354">
        <f t="shared" si="3"/>
        <v>123.38269680436474</v>
      </c>
      <c r="J39" s="356">
        <v>29100</v>
      </c>
      <c r="K39" s="354">
        <f t="shared" si="4"/>
        <v>128.19383259911888</v>
      </c>
      <c r="L39" s="356">
        <v>85400</v>
      </c>
      <c r="M39" s="354">
        <f t="shared" si="5"/>
        <v>126.33136094674549</v>
      </c>
      <c r="N39" s="356">
        <v>10760</v>
      </c>
      <c r="O39" s="354">
        <f t="shared" si="6"/>
        <v>137.77208706786166</v>
      </c>
    </row>
    <row r="40" spans="1:15">
      <c r="A40" s="353" t="s">
        <v>1156</v>
      </c>
      <c r="B40" s="354">
        <v>55700</v>
      </c>
      <c r="C40" s="354">
        <f t="shared" si="0"/>
        <v>103.14814814814817</v>
      </c>
      <c r="D40" s="354">
        <v>199700</v>
      </c>
      <c r="E40" s="354">
        <f t="shared" si="1"/>
        <v>117.19483568075125</v>
      </c>
      <c r="F40" s="356">
        <v>17190</v>
      </c>
      <c r="G40" s="354">
        <f t="shared" si="2"/>
        <v>109.35114503816791</v>
      </c>
      <c r="H40" s="356">
        <v>15510</v>
      </c>
      <c r="I40" s="354">
        <f t="shared" si="3"/>
        <v>120.88854247856584</v>
      </c>
      <c r="J40" s="356">
        <v>29200</v>
      </c>
      <c r="K40" s="354">
        <f t="shared" si="4"/>
        <v>128.63436123348012</v>
      </c>
      <c r="L40" s="356">
        <v>84000</v>
      </c>
      <c r="M40" s="354">
        <f t="shared" si="5"/>
        <v>124.26035502958572</v>
      </c>
      <c r="N40" s="356">
        <v>10450</v>
      </c>
      <c r="O40" s="354">
        <f t="shared" si="6"/>
        <v>133.80281690140839</v>
      </c>
    </row>
    <row r="41" spans="1:15">
      <c r="A41" s="353" t="s">
        <v>1155</v>
      </c>
      <c r="B41" s="354">
        <v>55800</v>
      </c>
      <c r="C41" s="354">
        <f t="shared" si="0"/>
        <v>103.33333333333336</v>
      </c>
      <c r="D41" s="354">
        <v>198900</v>
      </c>
      <c r="E41" s="354">
        <f t="shared" si="1"/>
        <v>116.72535211267613</v>
      </c>
      <c r="F41" s="356">
        <v>17300</v>
      </c>
      <c r="G41" s="354">
        <f t="shared" si="2"/>
        <v>110.0508905852417</v>
      </c>
      <c r="H41" s="356">
        <v>15910</v>
      </c>
      <c r="I41" s="354">
        <f t="shared" si="3"/>
        <v>124.00623538581448</v>
      </c>
      <c r="J41" s="356">
        <v>28200</v>
      </c>
      <c r="K41" s="354">
        <f t="shared" si="4"/>
        <v>124.22907488986779</v>
      </c>
      <c r="L41" s="356">
        <v>83000</v>
      </c>
      <c r="M41" s="354">
        <f t="shared" si="5"/>
        <v>122.78106508875733</v>
      </c>
      <c r="N41" s="356">
        <v>10300</v>
      </c>
      <c r="O41" s="354">
        <f t="shared" si="6"/>
        <v>131.88220230473746</v>
      </c>
    </row>
    <row r="42" spans="1:15">
      <c r="A42" s="353" t="s">
        <v>1154</v>
      </c>
      <c r="B42" s="354">
        <v>55800</v>
      </c>
      <c r="C42" s="354">
        <f t="shared" si="0"/>
        <v>103.33333333333336</v>
      </c>
      <c r="D42" s="354">
        <v>208500</v>
      </c>
      <c r="E42" s="354">
        <f t="shared" si="1"/>
        <v>122.35915492957756</v>
      </c>
      <c r="F42" s="356">
        <v>17760</v>
      </c>
      <c r="G42" s="354">
        <f t="shared" si="2"/>
        <v>112.97709923664118</v>
      </c>
      <c r="H42" s="356">
        <v>16460</v>
      </c>
      <c r="I42" s="354">
        <f t="shared" si="3"/>
        <v>128.29306313328135</v>
      </c>
      <c r="J42" s="356">
        <v>29500</v>
      </c>
      <c r="K42" s="354">
        <f t="shared" si="4"/>
        <v>129.95594713656382</v>
      </c>
      <c r="L42" s="356">
        <v>88900</v>
      </c>
      <c r="M42" s="354">
        <f t="shared" si="5"/>
        <v>131.50887573964491</v>
      </c>
      <c r="N42" s="356">
        <v>10200</v>
      </c>
      <c r="O42" s="354">
        <f t="shared" si="6"/>
        <v>130.6017925736235</v>
      </c>
    </row>
    <row r="43" spans="1:15">
      <c r="A43" s="353" t="s">
        <v>1153</v>
      </c>
      <c r="B43" s="354">
        <v>56000</v>
      </c>
      <c r="C43" s="354">
        <f t="shared" si="0"/>
        <v>103.70370370370372</v>
      </c>
      <c r="D43" s="354">
        <v>210000</v>
      </c>
      <c r="E43" s="354">
        <f t="shared" si="1"/>
        <v>123.23943661971839</v>
      </c>
      <c r="F43" s="356">
        <v>17930</v>
      </c>
      <c r="G43" s="354">
        <f t="shared" si="2"/>
        <v>114.05852417302793</v>
      </c>
      <c r="H43" s="356">
        <v>16170</v>
      </c>
      <c r="I43" s="354">
        <f t="shared" si="3"/>
        <v>126.03273577552609</v>
      </c>
      <c r="J43" s="356">
        <v>29450</v>
      </c>
      <c r="K43" s="354">
        <f t="shared" si="4"/>
        <v>129.73568281938321</v>
      </c>
      <c r="L43" s="356">
        <v>88100</v>
      </c>
      <c r="M43" s="354">
        <f t="shared" si="5"/>
        <v>130.32544378698219</v>
      </c>
      <c r="N43" s="356">
        <v>10710</v>
      </c>
      <c r="O43" s="354">
        <f t="shared" si="6"/>
        <v>137.13188220230467</v>
      </c>
    </row>
    <row r="44" spans="1:15">
      <c r="A44" s="353" t="s">
        <v>1152</v>
      </c>
      <c r="B44" s="354">
        <v>56000</v>
      </c>
      <c r="C44" s="354">
        <f t="shared" si="0"/>
        <v>103.70370370370372</v>
      </c>
      <c r="D44" s="354">
        <v>212000</v>
      </c>
      <c r="E44" s="354">
        <f t="shared" si="1"/>
        <v>124.41314553990618</v>
      </c>
      <c r="F44" s="356">
        <v>18270</v>
      </c>
      <c r="G44" s="354">
        <f t="shared" si="2"/>
        <v>116.22137404580145</v>
      </c>
      <c r="H44" s="356">
        <v>17110</v>
      </c>
      <c r="I44" s="354">
        <f t="shared" si="3"/>
        <v>133.35931410756038</v>
      </c>
      <c r="J44" s="356">
        <v>31200</v>
      </c>
      <c r="K44" s="354">
        <f t="shared" si="4"/>
        <v>137.44493392070478</v>
      </c>
      <c r="L44" s="356">
        <v>87100</v>
      </c>
      <c r="M44" s="354">
        <f t="shared" si="5"/>
        <v>128.84615384615378</v>
      </c>
      <c r="N44" s="356">
        <v>10830</v>
      </c>
      <c r="O44" s="354">
        <f t="shared" si="6"/>
        <v>138.66837387964142</v>
      </c>
    </row>
    <row r="45" spans="1:15">
      <c r="A45" s="353" t="s">
        <v>1151</v>
      </c>
      <c r="B45" s="354">
        <v>56900</v>
      </c>
      <c r="C45" s="354">
        <f t="shared" si="0"/>
        <v>105.37037037037038</v>
      </c>
      <c r="D45" s="354">
        <v>210000</v>
      </c>
      <c r="E45" s="354">
        <f t="shared" si="1"/>
        <v>123.23943661971839</v>
      </c>
      <c r="F45" s="356">
        <v>18180</v>
      </c>
      <c r="G45" s="354">
        <f t="shared" si="2"/>
        <v>115.64885496183199</v>
      </c>
      <c r="H45" s="356">
        <v>16900</v>
      </c>
      <c r="I45" s="354">
        <f t="shared" si="3"/>
        <v>131.72252533125484</v>
      </c>
      <c r="J45" s="356">
        <v>33250</v>
      </c>
      <c r="K45" s="354">
        <f t="shared" si="4"/>
        <v>146.47577092511006</v>
      </c>
      <c r="L45" s="356">
        <v>87000</v>
      </c>
      <c r="M45" s="354">
        <f t="shared" si="5"/>
        <v>128.69822485207095</v>
      </c>
      <c r="N45" s="356">
        <v>10780</v>
      </c>
      <c r="O45" s="354">
        <f t="shared" si="6"/>
        <v>138.02816901408445</v>
      </c>
    </row>
    <row r="46" spans="1:15">
      <c r="A46" s="353" t="s">
        <v>1150</v>
      </c>
      <c r="B46" s="354">
        <v>58700</v>
      </c>
      <c r="C46" s="354">
        <f t="shared" si="0"/>
        <v>108.70370370370371</v>
      </c>
      <c r="D46" s="354">
        <v>218500</v>
      </c>
      <c r="E46" s="354">
        <f t="shared" si="1"/>
        <v>128.22769953051653</v>
      </c>
      <c r="F46" s="356">
        <v>18890</v>
      </c>
      <c r="G46" s="354">
        <f t="shared" si="2"/>
        <v>120.16539440203555</v>
      </c>
      <c r="H46" s="356">
        <v>17010</v>
      </c>
      <c r="I46" s="354">
        <f t="shared" si="3"/>
        <v>132.57989088074822</v>
      </c>
      <c r="J46" s="356">
        <v>34200</v>
      </c>
      <c r="K46" s="354">
        <f t="shared" si="4"/>
        <v>150.66079295154177</v>
      </c>
      <c r="L46" s="356">
        <v>87700</v>
      </c>
      <c r="M46" s="354">
        <f t="shared" si="5"/>
        <v>129.73372781065083</v>
      </c>
      <c r="N46" s="356">
        <v>12320</v>
      </c>
      <c r="O46" s="354">
        <f t="shared" si="6"/>
        <v>157.74647887323937</v>
      </c>
    </row>
    <row r="47" spans="1:15">
      <c r="A47" s="353" t="s">
        <v>1149</v>
      </c>
      <c r="B47" s="354">
        <v>58400</v>
      </c>
      <c r="C47" s="354">
        <f t="shared" si="0"/>
        <v>108.14814814814815</v>
      </c>
      <c r="D47" s="354">
        <v>212000</v>
      </c>
      <c r="E47" s="354">
        <f t="shared" si="1"/>
        <v>124.4131455399062</v>
      </c>
      <c r="F47" s="356">
        <v>18770</v>
      </c>
      <c r="G47" s="354">
        <f t="shared" si="2"/>
        <v>119.40203562340959</v>
      </c>
      <c r="H47" s="356">
        <v>16630</v>
      </c>
      <c r="I47" s="354">
        <f t="shared" si="3"/>
        <v>129.61808261886202</v>
      </c>
      <c r="J47" s="356">
        <v>33400</v>
      </c>
      <c r="K47" s="354">
        <f t="shared" si="4"/>
        <v>147.13656387665191</v>
      </c>
      <c r="L47" s="356">
        <v>87000</v>
      </c>
      <c r="M47" s="354">
        <f t="shared" si="5"/>
        <v>128.69822485207095</v>
      </c>
      <c r="N47" s="356">
        <v>11550</v>
      </c>
      <c r="O47" s="354">
        <f t="shared" si="6"/>
        <v>147.8873239436619</v>
      </c>
    </row>
    <row r="48" spans="1:15">
      <c r="A48" s="353" t="s">
        <v>1148</v>
      </c>
      <c r="B48" s="354">
        <v>58200</v>
      </c>
      <c r="C48" s="354">
        <f t="shared" si="0"/>
        <v>107.77777777777779</v>
      </c>
      <c r="D48" s="354">
        <v>209500</v>
      </c>
      <c r="E48" s="354">
        <f t="shared" si="1"/>
        <v>122.94600938967145</v>
      </c>
      <c r="F48" s="356">
        <v>18780</v>
      </c>
      <c r="G48" s="354">
        <f t="shared" si="2"/>
        <v>119.46564885496174</v>
      </c>
      <c r="H48" s="356">
        <v>16660</v>
      </c>
      <c r="I48" s="354">
        <f t="shared" si="3"/>
        <v>129.85190958690566</v>
      </c>
      <c r="J48" s="356">
        <v>34000</v>
      </c>
      <c r="K48" s="354">
        <f t="shared" si="4"/>
        <v>149.77973568281931</v>
      </c>
      <c r="L48" s="356">
        <v>85800</v>
      </c>
      <c r="M48" s="354">
        <f t="shared" si="5"/>
        <v>126.92307692307686</v>
      </c>
      <c r="N48" s="356">
        <v>11780</v>
      </c>
      <c r="O48" s="354">
        <f t="shared" si="6"/>
        <v>150.832266325224</v>
      </c>
    </row>
    <row r="49" spans="1:15">
      <c r="A49" s="353" t="s">
        <v>1147</v>
      </c>
      <c r="B49" s="354">
        <v>57300</v>
      </c>
      <c r="C49" s="354">
        <f t="shared" si="0"/>
        <v>106.11111111111113</v>
      </c>
      <c r="D49" s="354">
        <v>205000</v>
      </c>
      <c r="E49" s="354">
        <f t="shared" si="1"/>
        <v>120.3051643192489</v>
      </c>
      <c r="F49" s="356">
        <v>18700</v>
      </c>
      <c r="G49" s="354">
        <f t="shared" si="2"/>
        <v>118.95674300254444</v>
      </c>
      <c r="H49" s="356">
        <v>16560</v>
      </c>
      <c r="I49" s="354">
        <f t="shared" si="3"/>
        <v>129.07248636009351</v>
      </c>
      <c r="J49" s="356">
        <v>33000</v>
      </c>
      <c r="K49" s="354">
        <f t="shared" si="4"/>
        <v>145.37444933920696</v>
      </c>
      <c r="L49" s="356">
        <v>88500</v>
      </c>
      <c r="M49" s="354">
        <f t="shared" si="5"/>
        <v>130.91715976331355</v>
      </c>
      <c r="N49" s="356">
        <v>11680</v>
      </c>
      <c r="O49" s="354">
        <f t="shared" si="6"/>
        <v>149.55185659411003</v>
      </c>
    </row>
    <row r="50" spans="1:15">
      <c r="A50" s="353" t="s">
        <v>1146</v>
      </c>
      <c r="B50" s="354">
        <v>57200</v>
      </c>
      <c r="C50" s="354">
        <f t="shared" si="0"/>
        <v>105.92592592592594</v>
      </c>
      <c r="D50" s="354">
        <v>200500</v>
      </c>
      <c r="E50" s="354">
        <f t="shared" si="1"/>
        <v>117.66431924882636</v>
      </c>
      <c r="F50" s="356">
        <v>18080</v>
      </c>
      <c r="G50" s="354">
        <f t="shared" si="2"/>
        <v>115.01272264631034</v>
      </c>
      <c r="H50" s="356">
        <v>16390</v>
      </c>
      <c r="I50" s="354">
        <f t="shared" si="3"/>
        <v>127.74746687451282</v>
      </c>
      <c r="J50" s="356">
        <v>34750</v>
      </c>
      <c r="K50" s="354">
        <f t="shared" si="4"/>
        <v>153.08370044052853</v>
      </c>
      <c r="L50" s="356">
        <v>85100</v>
      </c>
      <c r="M50" s="354">
        <f t="shared" si="5"/>
        <v>125.88757396449698</v>
      </c>
      <c r="N50" s="356">
        <v>11390</v>
      </c>
      <c r="O50" s="354">
        <f t="shared" si="6"/>
        <v>145.83866837387956</v>
      </c>
    </row>
    <row r="51" spans="1:15">
      <c r="A51" s="353" t="s">
        <v>1145</v>
      </c>
      <c r="B51" s="354">
        <v>56600</v>
      </c>
      <c r="C51" s="354">
        <f t="shared" si="0"/>
        <v>104.81481481481482</v>
      </c>
      <c r="D51" s="354">
        <v>203000</v>
      </c>
      <c r="E51" s="354">
        <f t="shared" si="1"/>
        <v>119.1314553990611</v>
      </c>
      <c r="F51" s="356">
        <v>18190</v>
      </c>
      <c r="G51" s="354">
        <f t="shared" si="2"/>
        <v>115.71246819338414</v>
      </c>
      <c r="H51" s="356">
        <v>15960</v>
      </c>
      <c r="I51" s="354">
        <f t="shared" si="3"/>
        <v>124.39594699922054</v>
      </c>
      <c r="J51" s="356">
        <v>33150</v>
      </c>
      <c r="K51" s="354">
        <f t="shared" si="4"/>
        <v>146.03524229074881</v>
      </c>
      <c r="L51" s="356">
        <v>84600</v>
      </c>
      <c r="M51" s="354">
        <f t="shared" si="5"/>
        <v>125.14792899408278</v>
      </c>
      <c r="N51" s="356">
        <v>11100</v>
      </c>
      <c r="O51" s="354">
        <f t="shared" si="6"/>
        <v>142.12548015364908</v>
      </c>
    </row>
    <row r="52" spans="1:15">
      <c r="A52" s="353" t="s">
        <v>1144</v>
      </c>
      <c r="B52" s="354">
        <v>56300</v>
      </c>
      <c r="C52" s="354">
        <f t="shared" si="0"/>
        <v>104.25925925925927</v>
      </c>
      <c r="D52" s="354">
        <v>199200</v>
      </c>
      <c r="E52" s="354">
        <f t="shared" si="1"/>
        <v>116.90140845070428</v>
      </c>
      <c r="F52" s="356">
        <v>17670</v>
      </c>
      <c r="G52" s="354">
        <f t="shared" si="2"/>
        <v>112.40458015267167</v>
      </c>
      <c r="H52" s="356">
        <v>15220</v>
      </c>
      <c r="I52" s="354">
        <f t="shared" si="3"/>
        <v>118.62821512081057</v>
      </c>
      <c r="J52" s="356">
        <v>31600</v>
      </c>
      <c r="K52" s="354">
        <f t="shared" si="4"/>
        <v>139.2070484581497</v>
      </c>
      <c r="L52" s="356">
        <v>84200</v>
      </c>
      <c r="M52" s="354">
        <f t="shared" si="5"/>
        <v>124.55621301775142</v>
      </c>
      <c r="N52" s="356">
        <v>10770</v>
      </c>
      <c r="O52" s="354">
        <f t="shared" si="6"/>
        <v>137.90012804097302</v>
      </c>
    </row>
    <row r="53" spans="1:15">
      <c r="A53" s="353" t="s">
        <v>1143</v>
      </c>
      <c r="B53" s="354">
        <v>54500</v>
      </c>
      <c r="C53" s="354">
        <f t="shared" si="0"/>
        <v>100.92592592592592</v>
      </c>
      <c r="D53" s="354">
        <v>190200</v>
      </c>
      <c r="E53" s="354">
        <f t="shared" si="1"/>
        <v>111.61971830985921</v>
      </c>
      <c r="F53" s="356">
        <v>17050</v>
      </c>
      <c r="G53" s="354">
        <f t="shared" si="2"/>
        <v>108.46055979643758</v>
      </c>
      <c r="H53" s="356">
        <v>14570</v>
      </c>
      <c r="I53" s="354">
        <f t="shared" si="3"/>
        <v>113.56196414653154</v>
      </c>
      <c r="J53" s="356">
        <v>29550</v>
      </c>
      <c r="K53" s="354">
        <f t="shared" si="4"/>
        <v>130.17621145374443</v>
      </c>
      <c r="L53" s="356">
        <v>80200</v>
      </c>
      <c r="M53" s="354">
        <f t="shared" si="5"/>
        <v>118.63905325443781</v>
      </c>
      <c r="N53" s="356">
        <v>10350</v>
      </c>
      <c r="O53" s="354">
        <f t="shared" si="6"/>
        <v>132.5224071702944</v>
      </c>
    </row>
    <row r="54" spans="1:15">
      <c r="A54" s="353" t="s">
        <v>1142</v>
      </c>
      <c r="B54" s="354">
        <v>54500</v>
      </c>
      <c r="C54" s="354">
        <f t="shared" si="0"/>
        <v>100.92592592592592</v>
      </c>
      <c r="D54" s="354">
        <v>186100</v>
      </c>
      <c r="E54" s="354">
        <f t="shared" si="1"/>
        <v>109.21361502347423</v>
      </c>
      <c r="F54" s="356">
        <v>16540</v>
      </c>
      <c r="G54" s="354">
        <f t="shared" si="2"/>
        <v>105.21628498727728</v>
      </c>
      <c r="H54" s="356">
        <v>14650</v>
      </c>
      <c r="I54" s="354">
        <f t="shared" si="3"/>
        <v>114.18550272798126</v>
      </c>
      <c r="J54" s="356">
        <v>28050</v>
      </c>
      <c r="K54" s="354">
        <f t="shared" si="4"/>
        <v>123.56828193832592</v>
      </c>
      <c r="L54" s="356">
        <v>81500</v>
      </c>
      <c r="M54" s="354">
        <f t="shared" si="5"/>
        <v>120.56213017751473</v>
      </c>
      <c r="N54" s="356">
        <v>10010</v>
      </c>
      <c r="O54" s="354">
        <f t="shared" si="6"/>
        <v>128.16901408450695</v>
      </c>
    </row>
    <row r="55" spans="1:15">
      <c r="A55" s="353" t="s">
        <v>1141</v>
      </c>
      <c r="B55" s="354">
        <v>54000</v>
      </c>
      <c r="C55" s="354">
        <f t="shared" si="0"/>
        <v>100</v>
      </c>
      <c r="D55" s="354">
        <v>193100</v>
      </c>
      <c r="E55" s="354">
        <f t="shared" si="1"/>
        <v>113.32159624413151</v>
      </c>
      <c r="F55" s="356">
        <v>16750</v>
      </c>
      <c r="G55" s="354">
        <f t="shared" si="2"/>
        <v>106.55216284987269</v>
      </c>
      <c r="H55" s="356">
        <v>15140</v>
      </c>
      <c r="I55" s="354">
        <f t="shared" si="3"/>
        <v>118.00467653936084</v>
      </c>
      <c r="J55" s="356">
        <v>27900</v>
      </c>
      <c r="K55" s="354">
        <f t="shared" si="4"/>
        <v>122.90748898678407</v>
      </c>
      <c r="L55" s="356">
        <v>81600</v>
      </c>
      <c r="M55" s="354">
        <f t="shared" si="5"/>
        <v>120.71005917159756</v>
      </c>
      <c r="N55" s="356">
        <v>10070</v>
      </c>
      <c r="O55" s="354">
        <f t="shared" si="6"/>
        <v>128.93725992317533</v>
      </c>
    </row>
    <row r="56" spans="1:15">
      <c r="A56" s="353" t="s">
        <v>1140</v>
      </c>
      <c r="B56" s="354">
        <v>54300</v>
      </c>
      <c r="C56" s="354">
        <f t="shared" si="0"/>
        <v>100.55555555555556</v>
      </c>
      <c r="D56" s="354">
        <v>192400</v>
      </c>
      <c r="E56" s="354">
        <f t="shared" si="1"/>
        <v>112.91079812206578</v>
      </c>
      <c r="F56" s="356">
        <v>16210</v>
      </c>
      <c r="G56" s="354">
        <f t="shared" si="2"/>
        <v>103.1170483460559</v>
      </c>
      <c r="H56" s="356">
        <v>14410</v>
      </c>
      <c r="I56" s="354">
        <f t="shared" si="3"/>
        <v>112.31488698363209</v>
      </c>
      <c r="J56" s="356">
        <v>26250</v>
      </c>
      <c r="K56" s="354">
        <f t="shared" si="4"/>
        <v>115.63876651982373</v>
      </c>
      <c r="L56" s="356">
        <v>79700</v>
      </c>
      <c r="M56" s="354">
        <f t="shared" si="5"/>
        <v>117.89940828402359</v>
      </c>
      <c r="N56" s="356">
        <v>9940</v>
      </c>
      <c r="O56" s="354">
        <f t="shared" si="6"/>
        <v>127.27272727272718</v>
      </c>
    </row>
    <row r="57" spans="1:15">
      <c r="A57" s="353" t="s">
        <v>1139</v>
      </c>
      <c r="B57" s="354">
        <v>53700</v>
      </c>
      <c r="C57" s="354">
        <f t="shared" si="0"/>
        <v>99.444444444444443</v>
      </c>
      <c r="D57" s="354">
        <v>192400</v>
      </c>
      <c r="E57" s="354">
        <f t="shared" si="1"/>
        <v>112.91079812206578</v>
      </c>
      <c r="F57" s="356">
        <v>16690</v>
      </c>
      <c r="G57" s="354">
        <f t="shared" si="2"/>
        <v>106.17048346055971</v>
      </c>
      <c r="H57" s="356">
        <v>14620</v>
      </c>
      <c r="I57" s="354">
        <f t="shared" si="3"/>
        <v>113.95167575993763</v>
      </c>
      <c r="J57" s="356">
        <v>29500</v>
      </c>
      <c r="K57" s="354">
        <f t="shared" si="4"/>
        <v>129.95594713656382</v>
      </c>
      <c r="L57" s="356">
        <v>81200</v>
      </c>
      <c r="M57" s="354">
        <f t="shared" si="5"/>
        <v>120.11834319526619</v>
      </c>
      <c r="N57" s="356">
        <v>9950</v>
      </c>
      <c r="O57" s="354">
        <f t="shared" si="6"/>
        <v>127.40076824583859</v>
      </c>
    </row>
    <row r="58" spans="1:15">
      <c r="A58" s="353" t="s">
        <v>1138</v>
      </c>
      <c r="B58" s="354">
        <v>53700</v>
      </c>
      <c r="C58" s="354">
        <f t="shared" si="0"/>
        <v>99.444444444444443</v>
      </c>
      <c r="D58" s="354">
        <v>187900</v>
      </c>
      <c r="E58" s="354">
        <f t="shared" si="1"/>
        <v>110.26995305164324</v>
      </c>
      <c r="F58" s="356">
        <v>16870</v>
      </c>
      <c r="G58" s="354">
        <f t="shared" si="2"/>
        <v>107.31552162849864</v>
      </c>
      <c r="H58" s="356">
        <v>14240</v>
      </c>
      <c r="I58" s="354">
        <f t="shared" si="3"/>
        <v>110.98986749805142</v>
      </c>
      <c r="J58" s="356">
        <v>29150</v>
      </c>
      <c r="K58" s="354">
        <f t="shared" si="4"/>
        <v>128.41409691629951</v>
      </c>
      <c r="L58" s="356">
        <v>83200</v>
      </c>
      <c r="M58" s="354">
        <f t="shared" si="5"/>
        <v>123.07692307692301</v>
      </c>
      <c r="N58" s="356">
        <v>9950</v>
      </c>
      <c r="O58" s="354">
        <f t="shared" si="6"/>
        <v>127.40076824583859</v>
      </c>
    </row>
    <row r="59" spans="1:15">
      <c r="A59" s="353" t="s">
        <v>1137</v>
      </c>
      <c r="B59" s="354">
        <v>53600</v>
      </c>
      <c r="C59" s="354">
        <f t="shared" si="0"/>
        <v>99.259259259259252</v>
      </c>
      <c r="D59" s="354">
        <v>187800</v>
      </c>
      <c r="E59" s="354">
        <f t="shared" si="1"/>
        <v>110.21126760563385</v>
      </c>
      <c r="F59" s="356">
        <v>16670</v>
      </c>
      <c r="G59" s="354">
        <f t="shared" si="2"/>
        <v>106.04325699745539</v>
      </c>
      <c r="H59" s="356">
        <v>14640</v>
      </c>
      <c r="I59" s="354">
        <f t="shared" si="3"/>
        <v>114.10756040530005</v>
      </c>
      <c r="J59" s="356">
        <v>29450</v>
      </c>
      <c r="K59" s="354">
        <f t="shared" si="4"/>
        <v>129.73568281938321</v>
      </c>
      <c r="L59" s="356">
        <v>82000</v>
      </c>
      <c r="M59" s="354">
        <f t="shared" si="5"/>
        <v>121.30177514792894</v>
      </c>
      <c r="N59" s="356">
        <v>9830</v>
      </c>
      <c r="O59" s="354">
        <f t="shared" si="6"/>
        <v>125.86427656850185</v>
      </c>
    </row>
    <row r="60" spans="1:15">
      <c r="A60" s="353" t="s">
        <v>1136</v>
      </c>
      <c r="B60" s="354">
        <v>54900</v>
      </c>
      <c r="C60" s="354">
        <f t="shared" si="0"/>
        <v>101.66666666666666</v>
      </c>
      <c r="D60" s="354">
        <v>198900</v>
      </c>
      <c r="E60" s="354">
        <f t="shared" si="1"/>
        <v>116.72535211267611</v>
      </c>
      <c r="F60" s="356">
        <v>17340</v>
      </c>
      <c r="G60" s="354">
        <f t="shared" si="2"/>
        <v>110.30534351145029</v>
      </c>
      <c r="H60" s="356">
        <v>15230</v>
      </c>
      <c r="I60" s="354">
        <f t="shared" si="3"/>
        <v>118.70615744349179</v>
      </c>
      <c r="J60" s="356">
        <v>32950</v>
      </c>
      <c r="K60" s="354">
        <f t="shared" si="4"/>
        <v>145.15418502202638</v>
      </c>
      <c r="L60" s="356">
        <v>87900</v>
      </c>
      <c r="M60" s="354">
        <f t="shared" si="5"/>
        <v>130.02958579881653</v>
      </c>
      <c r="N60" s="356">
        <v>10450</v>
      </c>
      <c r="O60" s="354">
        <f t="shared" si="6"/>
        <v>133.80281690140839</v>
      </c>
    </row>
    <row r="61" spans="1:15">
      <c r="A61" s="353" t="s">
        <v>1135</v>
      </c>
      <c r="B61" s="354">
        <v>54700</v>
      </c>
      <c r="C61" s="354">
        <f t="shared" si="0"/>
        <v>101.29629629629629</v>
      </c>
      <c r="D61" s="354">
        <v>199700</v>
      </c>
      <c r="E61" s="354">
        <f t="shared" si="1"/>
        <v>117.19483568075123</v>
      </c>
      <c r="F61" s="356">
        <v>18030</v>
      </c>
      <c r="G61" s="354">
        <f t="shared" si="2"/>
        <v>114.69465648854953</v>
      </c>
      <c r="H61" s="356">
        <v>15710</v>
      </c>
      <c r="I61" s="354">
        <f t="shared" si="3"/>
        <v>122.44738893219017</v>
      </c>
      <c r="J61" s="356">
        <v>32950</v>
      </c>
      <c r="K61" s="354">
        <f t="shared" si="4"/>
        <v>145.15418502202638</v>
      </c>
      <c r="L61" s="356">
        <v>86800</v>
      </c>
      <c r="M61" s="354">
        <f t="shared" si="5"/>
        <v>128.40236686390529</v>
      </c>
      <c r="N61" s="356">
        <v>10150</v>
      </c>
      <c r="O61" s="354">
        <f t="shared" si="6"/>
        <v>129.96158770806653</v>
      </c>
    </row>
    <row r="62" spans="1:15">
      <c r="A62" s="353" t="s">
        <v>1134</v>
      </c>
      <c r="B62" s="354">
        <v>54700</v>
      </c>
      <c r="C62" s="354">
        <f t="shared" si="0"/>
        <v>101.29629629629629</v>
      </c>
      <c r="D62" s="354">
        <v>204500</v>
      </c>
      <c r="E62" s="354">
        <f t="shared" si="1"/>
        <v>120.01173708920194</v>
      </c>
      <c r="F62" s="356">
        <v>19220</v>
      </c>
      <c r="G62" s="354">
        <f t="shared" si="2"/>
        <v>122.2646310432569</v>
      </c>
      <c r="H62" s="356">
        <v>16140</v>
      </c>
      <c r="I62" s="354">
        <f t="shared" si="3"/>
        <v>125.79890880748243</v>
      </c>
      <c r="J62" s="356">
        <v>35150</v>
      </c>
      <c r="K62" s="354">
        <f t="shared" si="4"/>
        <v>154.8458149779735</v>
      </c>
      <c r="L62" s="356">
        <v>91200</v>
      </c>
      <c r="M62" s="354">
        <f t="shared" si="5"/>
        <v>134.91124260355025</v>
      </c>
      <c r="N62" s="356">
        <v>10510</v>
      </c>
      <c r="O62" s="354">
        <f t="shared" si="6"/>
        <v>134.57106274007677</v>
      </c>
    </row>
    <row r="63" spans="1:15">
      <c r="A63" s="353" t="s">
        <v>1133</v>
      </c>
      <c r="B63" s="354">
        <v>57600</v>
      </c>
      <c r="C63" s="354">
        <f t="shared" si="0"/>
        <v>106.66666666666666</v>
      </c>
      <c r="D63" s="354">
        <v>206000</v>
      </c>
      <c r="E63" s="354">
        <f t="shared" si="1"/>
        <v>120.89201877934279</v>
      </c>
      <c r="F63" s="356">
        <v>19350</v>
      </c>
      <c r="G63" s="354">
        <f t="shared" si="2"/>
        <v>123.09160305343501</v>
      </c>
      <c r="H63" s="356">
        <v>16700</v>
      </c>
      <c r="I63" s="354">
        <f t="shared" si="3"/>
        <v>130.16367887763053</v>
      </c>
      <c r="J63" s="356">
        <v>36650</v>
      </c>
      <c r="K63" s="354">
        <f t="shared" si="4"/>
        <v>161.45374449339201</v>
      </c>
      <c r="L63" s="356">
        <v>91400</v>
      </c>
      <c r="M63" s="354">
        <f t="shared" si="5"/>
        <v>135.20710059171594</v>
      </c>
      <c r="N63" s="356">
        <v>10580</v>
      </c>
      <c r="O63" s="354">
        <f t="shared" si="6"/>
        <v>135.46734955185656</v>
      </c>
    </row>
    <row r="64" spans="1:15">
      <c r="A64" s="353" t="s">
        <v>1132</v>
      </c>
      <c r="B64" s="354">
        <v>57600</v>
      </c>
      <c r="C64" s="354">
        <f t="shared" si="0"/>
        <v>106.66666666666666</v>
      </c>
      <c r="D64" s="354">
        <v>203000</v>
      </c>
      <c r="E64" s="354">
        <f t="shared" si="1"/>
        <v>119.1314553990611</v>
      </c>
      <c r="F64" s="356">
        <v>19030</v>
      </c>
      <c r="G64" s="354">
        <f t="shared" si="2"/>
        <v>121.0559796437658</v>
      </c>
      <c r="H64" s="356">
        <v>16160</v>
      </c>
      <c r="I64" s="354">
        <f t="shared" si="3"/>
        <v>125.95479345284488</v>
      </c>
      <c r="J64" s="356">
        <v>36800</v>
      </c>
      <c r="K64" s="354">
        <f t="shared" si="4"/>
        <v>162.11453744493389</v>
      </c>
      <c r="L64" s="356">
        <v>90500</v>
      </c>
      <c r="M64" s="354">
        <f t="shared" si="5"/>
        <v>133.87573964497039</v>
      </c>
      <c r="N64" s="356">
        <v>10250</v>
      </c>
      <c r="O64" s="354">
        <f t="shared" si="6"/>
        <v>131.24199743918049</v>
      </c>
    </row>
    <row r="65" spans="1:15">
      <c r="A65" s="353" t="s">
        <v>1131</v>
      </c>
      <c r="B65" s="354">
        <v>58500</v>
      </c>
      <c r="C65" s="354">
        <f t="shared" si="0"/>
        <v>108.33333333333333</v>
      </c>
      <c r="D65" s="354">
        <v>205500</v>
      </c>
      <c r="E65" s="354">
        <f t="shared" si="1"/>
        <v>120.59859154929585</v>
      </c>
      <c r="F65" s="356">
        <v>20200</v>
      </c>
      <c r="G65" s="354">
        <f t="shared" si="2"/>
        <v>128.49872773536885</v>
      </c>
      <c r="H65" s="356">
        <v>16340</v>
      </c>
      <c r="I65" s="354">
        <f t="shared" si="3"/>
        <v>127.35775526110676</v>
      </c>
      <c r="J65" s="356">
        <v>36950</v>
      </c>
      <c r="K65" s="354">
        <f t="shared" si="4"/>
        <v>162.77533039647574</v>
      </c>
      <c r="L65" s="356">
        <v>91500</v>
      </c>
      <c r="M65" s="354">
        <f t="shared" si="5"/>
        <v>135.3550295857988</v>
      </c>
      <c r="N65" s="356">
        <v>10400</v>
      </c>
      <c r="O65" s="354">
        <f t="shared" si="6"/>
        <v>133.16261203585142</v>
      </c>
    </row>
    <row r="66" spans="1:15">
      <c r="A66" s="353" t="s">
        <v>1130</v>
      </c>
      <c r="B66" s="354">
        <v>60200</v>
      </c>
      <c r="C66" s="354">
        <f t="shared" si="0"/>
        <v>111.48148148148147</v>
      </c>
      <c r="D66" s="354">
        <v>210000</v>
      </c>
      <c r="E66" s="354">
        <f t="shared" si="1"/>
        <v>123.23943661971839</v>
      </c>
      <c r="F66" s="356">
        <v>19970</v>
      </c>
      <c r="G66" s="354">
        <f t="shared" si="2"/>
        <v>127.0356234096691</v>
      </c>
      <c r="H66" s="356">
        <v>16400</v>
      </c>
      <c r="I66" s="354">
        <f t="shared" si="3"/>
        <v>127.82540919719405</v>
      </c>
      <c r="J66" s="356">
        <v>36850</v>
      </c>
      <c r="K66" s="354">
        <f t="shared" si="4"/>
        <v>162.33480176211452</v>
      </c>
      <c r="L66" s="356">
        <v>92000</v>
      </c>
      <c r="M66" s="354">
        <f t="shared" si="5"/>
        <v>136.09467455621299</v>
      </c>
      <c r="N66" s="356">
        <v>10440</v>
      </c>
      <c r="O66" s="354">
        <f t="shared" si="6"/>
        <v>133.67477592829701</v>
      </c>
    </row>
    <row r="67" spans="1:15">
      <c r="A67" s="353" t="s">
        <v>1129</v>
      </c>
      <c r="B67" s="354">
        <v>61700</v>
      </c>
      <c r="C67" s="354">
        <f t="shared" si="0"/>
        <v>114.25925925925925</v>
      </c>
      <c r="D67" s="354">
        <v>215500</v>
      </c>
      <c r="E67" s="354">
        <f t="shared" si="1"/>
        <v>126.46713615023481</v>
      </c>
      <c r="F67" s="356">
        <v>20250</v>
      </c>
      <c r="G67" s="354">
        <f t="shared" si="2"/>
        <v>128.81679389312967</v>
      </c>
      <c r="H67" s="356">
        <v>18050</v>
      </c>
      <c r="I67" s="354">
        <f t="shared" si="3"/>
        <v>140.68589243959465</v>
      </c>
      <c r="J67" s="356">
        <v>37400</v>
      </c>
      <c r="K67" s="354">
        <f t="shared" si="4"/>
        <v>164.75770925110132</v>
      </c>
      <c r="L67" s="356">
        <v>90700</v>
      </c>
      <c r="M67" s="354">
        <f t="shared" si="5"/>
        <v>134.17159763313609</v>
      </c>
      <c r="N67" s="356">
        <v>10650</v>
      </c>
      <c r="O67" s="354">
        <f t="shared" si="6"/>
        <v>136.36363636363632</v>
      </c>
    </row>
    <row r="68" spans="1:15">
      <c r="A68" s="353" t="s">
        <v>1128</v>
      </c>
      <c r="B68" s="354">
        <v>60500</v>
      </c>
      <c r="C68" s="354">
        <f t="shared" ref="C68:C131" si="7">+C67*(1+(B68/B67-1))</f>
        <v>112.03703703703702</v>
      </c>
      <c r="D68" s="354">
        <v>211500</v>
      </c>
      <c r="E68" s="354">
        <f t="shared" ref="E68:E131" si="8">+E67*(1+(D68/D67-1))</f>
        <v>124.11971830985922</v>
      </c>
      <c r="F68" s="356">
        <v>20250</v>
      </c>
      <c r="G68" s="354">
        <f t="shared" ref="G68:G131" si="9">+G67*(1+(F68/F67-1))</f>
        <v>128.81679389312967</v>
      </c>
      <c r="H68" s="356">
        <v>18050</v>
      </c>
      <c r="I68" s="354">
        <f t="shared" ref="I68:I131" si="10">+I67*(1+(H68/H67-1))</f>
        <v>140.68589243959465</v>
      </c>
      <c r="J68" s="356">
        <v>36450</v>
      </c>
      <c r="K68" s="354">
        <f t="shared" ref="K68:K131" si="11">+K67*(1+(J68/J67-1))</f>
        <v>160.57268722466961</v>
      </c>
      <c r="L68" s="356">
        <v>89100</v>
      </c>
      <c r="M68" s="354">
        <f t="shared" ref="M68:M131" si="12">+M67*(1+(L68/L67-1))</f>
        <v>131.80473372781063</v>
      </c>
      <c r="N68" s="356">
        <v>10290</v>
      </c>
      <c r="O68" s="354">
        <f t="shared" ref="O68:O131" si="13">+O67*(1+(N68/N67-1))</f>
        <v>131.75416133162608</v>
      </c>
    </row>
    <row r="69" spans="1:15">
      <c r="A69" s="353" t="s">
        <v>1127</v>
      </c>
      <c r="B69" s="354">
        <v>59800</v>
      </c>
      <c r="C69" s="354">
        <f t="shared" si="7"/>
        <v>110.74074074074073</v>
      </c>
      <c r="D69" s="354">
        <v>208000</v>
      </c>
      <c r="E69" s="354">
        <f t="shared" si="8"/>
        <v>122.06572769953058</v>
      </c>
      <c r="F69" s="356">
        <v>19570</v>
      </c>
      <c r="G69" s="354">
        <f t="shared" si="9"/>
        <v>124.4910941475826</v>
      </c>
      <c r="H69" s="356">
        <v>17470</v>
      </c>
      <c r="I69" s="354">
        <f t="shared" si="10"/>
        <v>136.16523772408414</v>
      </c>
      <c r="J69" s="356">
        <v>34000</v>
      </c>
      <c r="K69" s="354">
        <f t="shared" si="11"/>
        <v>149.77973568281939</v>
      </c>
      <c r="L69" s="356">
        <v>85700</v>
      </c>
      <c r="M69" s="354">
        <f t="shared" si="12"/>
        <v>126.77514792899406</v>
      </c>
      <c r="N69" s="356">
        <v>10020</v>
      </c>
      <c r="O69" s="354">
        <f t="shared" si="13"/>
        <v>128.29705505761839</v>
      </c>
    </row>
    <row r="70" spans="1:15">
      <c r="A70" s="353" t="s">
        <v>1126</v>
      </c>
      <c r="B70" s="354">
        <v>61400</v>
      </c>
      <c r="C70" s="354">
        <f t="shared" si="7"/>
        <v>113.7037037037037</v>
      </c>
      <c r="D70" s="354">
        <v>214000</v>
      </c>
      <c r="E70" s="354">
        <f t="shared" si="8"/>
        <v>125.58685446009396</v>
      </c>
      <c r="F70" s="356">
        <v>19780</v>
      </c>
      <c r="G70" s="354">
        <f t="shared" si="9"/>
        <v>125.82697201017803</v>
      </c>
      <c r="H70" s="356">
        <v>17590</v>
      </c>
      <c r="I70" s="354">
        <f t="shared" si="10"/>
        <v>137.10054559625871</v>
      </c>
      <c r="J70" s="356">
        <v>33950</v>
      </c>
      <c r="K70" s="354">
        <f t="shared" si="11"/>
        <v>149.55947136563879</v>
      </c>
      <c r="L70" s="356">
        <v>86000</v>
      </c>
      <c r="M70" s="354">
        <f t="shared" si="12"/>
        <v>127.21893491124257</v>
      </c>
      <c r="N70" s="356">
        <v>10010</v>
      </c>
      <c r="O70" s="354">
        <f t="shared" si="13"/>
        <v>128.16901408450698</v>
      </c>
    </row>
    <row r="71" spans="1:15">
      <c r="A71" s="353" t="s">
        <v>1125</v>
      </c>
      <c r="B71" s="354">
        <v>61800</v>
      </c>
      <c r="C71" s="354">
        <f t="shared" si="7"/>
        <v>114.44444444444444</v>
      </c>
      <c r="D71" s="354">
        <v>207000</v>
      </c>
      <c r="E71" s="354">
        <f t="shared" si="8"/>
        <v>121.47887323943669</v>
      </c>
      <c r="F71" s="356">
        <v>19200</v>
      </c>
      <c r="G71" s="354">
        <f t="shared" si="9"/>
        <v>122.13740458015258</v>
      </c>
      <c r="H71" s="356">
        <v>17140</v>
      </c>
      <c r="I71" s="354">
        <f t="shared" si="10"/>
        <v>133.593141075604</v>
      </c>
      <c r="J71" s="356">
        <v>33650</v>
      </c>
      <c r="K71" s="354">
        <f t="shared" si="11"/>
        <v>148.23788546255508</v>
      </c>
      <c r="L71" s="356">
        <v>84900</v>
      </c>
      <c r="M71" s="354">
        <f t="shared" si="12"/>
        <v>125.59171597633133</v>
      </c>
      <c r="N71" s="356">
        <v>9810</v>
      </c>
      <c r="O71" s="354">
        <f t="shared" si="13"/>
        <v>125.60819462227907</v>
      </c>
    </row>
    <row r="72" spans="1:15">
      <c r="A72" s="353" t="s">
        <v>1124</v>
      </c>
      <c r="B72" s="354">
        <v>60200</v>
      </c>
      <c r="C72" s="354">
        <f t="shared" si="7"/>
        <v>111.48148148148148</v>
      </c>
      <c r="D72" s="354">
        <v>199300</v>
      </c>
      <c r="E72" s="354">
        <f t="shared" si="8"/>
        <v>116.96009389671369</v>
      </c>
      <c r="F72" s="356">
        <v>18680</v>
      </c>
      <c r="G72" s="354">
        <f t="shared" si="9"/>
        <v>118.82951653944011</v>
      </c>
      <c r="H72" s="356">
        <v>16470</v>
      </c>
      <c r="I72" s="354">
        <f t="shared" si="10"/>
        <v>128.37100545596255</v>
      </c>
      <c r="J72" s="356">
        <v>32300</v>
      </c>
      <c r="K72" s="354">
        <f t="shared" si="11"/>
        <v>142.29074889867843</v>
      </c>
      <c r="L72" s="356">
        <v>83800</v>
      </c>
      <c r="M72" s="354">
        <f t="shared" si="12"/>
        <v>123.96449704142009</v>
      </c>
      <c r="N72" s="356">
        <v>9430</v>
      </c>
      <c r="O72" s="354">
        <f t="shared" si="13"/>
        <v>120.74263764404604</v>
      </c>
    </row>
    <row r="73" spans="1:15">
      <c r="A73" s="353" t="s">
        <v>1123</v>
      </c>
      <c r="B73" s="354">
        <v>57800</v>
      </c>
      <c r="C73" s="354">
        <f t="shared" si="7"/>
        <v>107.03703703703704</v>
      </c>
      <c r="D73" s="354">
        <v>190700</v>
      </c>
      <c r="E73" s="354">
        <f t="shared" si="8"/>
        <v>111.91314553990617</v>
      </c>
      <c r="F73" s="356">
        <v>17840</v>
      </c>
      <c r="G73" s="354">
        <f t="shared" si="9"/>
        <v>113.48600508905844</v>
      </c>
      <c r="H73" s="356">
        <v>15720</v>
      </c>
      <c r="I73" s="354">
        <f t="shared" si="10"/>
        <v>122.52533125487136</v>
      </c>
      <c r="J73" s="356">
        <v>30800</v>
      </c>
      <c r="K73" s="354">
        <f t="shared" si="11"/>
        <v>135.68281938325993</v>
      </c>
      <c r="L73" s="356">
        <v>79600</v>
      </c>
      <c r="M73" s="354">
        <f t="shared" si="12"/>
        <v>117.75147928994079</v>
      </c>
      <c r="N73" s="356">
        <v>8900</v>
      </c>
      <c r="O73" s="354">
        <f t="shared" si="13"/>
        <v>113.95646606914207</v>
      </c>
    </row>
    <row r="74" spans="1:15">
      <c r="A74" s="353" t="s">
        <v>1122</v>
      </c>
      <c r="B74" s="354">
        <v>58800</v>
      </c>
      <c r="C74" s="354">
        <f t="shared" si="7"/>
        <v>108.8888888888889</v>
      </c>
      <c r="D74" s="354">
        <v>197000</v>
      </c>
      <c r="E74" s="354">
        <f t="shared" si="8"/>
        <v>115.61032863849771</v>
      </c>
      <c r="F74" s="356">
        <v>18100</v>
      </c>
      <c r="G74" s="354">
        <f t="shared" si="9"/>
        <v>115.13994910941469</v>
      </c>
      <c r="H74" s="356">
        <v>16310</v>
      </c>
      <c r="I74" s="354">
        <f t="shared" si="10"/>
        <v>127.1239282930631</v>
      </c>
      <c r="J74" s="356">
        <v>32600</v>
      </c>
      <c r="K74" s="354">
        <f t="shared" si="11"/>
        <v>143.61233480176213</v>
      </c>
      <c r="L74" s="356">
        <v>84400</v>
      </c>
      <c r="M74" s="354">
        <f t="shared" si="12"/>
        <v>124.85207100591713</v>
      </c>
      <c r="N74" s="356">
        <v>9220</v>
      </c>
      <c r="O74" s="354">
        <f t="shared" si="13"/>
        <v>118.05377720870672</v>
      </c>
    </row>
    <row r="75" spans="1:15">
      <c r="A75" s="353" t="s">
        <v>1121</v>
      </c>
      <c r="B75" s="354">
        <v>58800</v>
      </c>
      <c r="C75" s="354">
        <f t="shared" si="7"/>
        <v>108.8888888888889</v>
      </c>
      <c r="D75" s="354">
        <v>197900</v>
      </c>
      <c r="E75" s="354">
        <f t="shared" si="8"/>
        <v>116.13849765258222</v>
      </c>
      <c r="F75" s="356">
        <v>18020</v>
      </c>
      <c r="G75" s="354">
        <f t="shared" si="9"/>
        <v>114.63104325699739</v>
      </c>
      <c r="H75" s="356">
        <v>16320</v>
      </c>
      <c r="I75" s="354">
        <f t="shared" si="10"/>
        <v>127.20187061574431</v>
      </c>
      <c r="J75" s="356">
        <v>31850</v>
      </c>
      <c r="K75" s="354">
        <f t="shared" si="11"/>
        <v>140.30837004405288</v>
      </c>
      <c r="L75" s="356">
        <v>89900</v>
      </c>
      <c r="M75" s="354">
        <f t="shared" si="12"/>
        <v>132.98816568047334</v>
      </c>
      <c r="N75" s="356">
        <v>9150</v>
      </c>
      <c r="O75" s="354">
        <f t="shared" si="13"/>
        <v>117.15749039692696</v>
      </c>
    </row>
    <row r="76" spans="1:15">
      <c r="A76" s="353" t="s">
        <v>1120</v>
      </c>
      <c r="B76" s="354">
        <v>57600</v>
      </c>
      <c r="C76" s="354">
        <f t="shared" si="7"/>
        <v>106.66666666666667</v>
      </c>
      <c r="D76" s="354">
        <v>194600</v>
      </c>
      <c r="E76" s="354">
        <f t="shared" si="8"/>
        <v>114.20187793427235</v>
      </c>
      <c r="F76" s="356">
        <v>17520</v>
      </c>
      <c r="G76" s="354">
        <f t="shared" si="9"/>
        <v>111.45038167938925</v>
      </c>
      <c r="H76" s="356">
        <v>15940</v>
      </c>
      <c r="I76" s="354">
        <f t="shared" si="10"/>
        <v>124.24006235385811</v>
      </c>
      <c r="J76" s="356">
        <v>31400</v>
      </c>
      <c r="K76" s="354">
        <f t="shared" si="11"/>
        <v>138.32599118942733</v>
      </c>
      <c r="L76" s="356">
        <v>87300</v>
      </c>
      <c r="M76" s="354">
        <f t="shared" si="12"/>
        <v>129.1420118343195</v>
      </c>
      <c r="N76" s="356">
        <v>8800</v>
      </c>
      <c r="O76" s="354">
        <f t="shared" si="13"/>
        <v>112.6760563380281</v>
      </c>
    </row>
    <row r="77" spans="1:15">
      <c r="A77" s="353" t="s">
        <v>1119</v>
      </c>
      <c r="B77" s="354">
        <v>56100</v>
      </c>
      <c r="C77" s="354">
        <f t="shared" si="7"/>
        <v>103.8888888888889</v>
      </c>
      <c r="D77" s="354">
        <v>182200</v>
      </c>
      <c r="E77" s="354">
        <f t="shared" si="8"/>
        <v>106.92488262910803</v>
      </c>
      <c r="F77" s="356">
        <v>17100</v>
      </c>
      <c r="G77" s="354">
        <f t="shared" si="9"/>
        <v>108.77862595419842</v>
      </c>
      <c r="H77" s="356">
        <v>15650</v>
      </c>
      <c r="I77" s="354">
        <f t="shared" si="10"/>
        <v>121.97973499610285</v>
      </c>
      <c r="J77" s="356">
        <v>28900</v>
      </c>
      <c r="K77" s="354">
        <f t="shared" si="11"/>
        <v>127.31277533039649</v>
      </c>
      <c r="L77" s="356">
        <v>84000</v>
      </c>
      <c r="M77" s="354">
        <f t="shared" si="12"/>
        <v>124.26035502958578</v>
      </c>
      <c r="N77" s="356">
        <v>8540</v>
      </c>
      <c r="O77" s="354">
        <f t="shared" si="13"/>
        <v>109.34699103713182</v>
      </c>
    </row>
    <row r="78" spans="1:15">
      <c r="A78" s="353" t="s">
        <v>1118</v>
      </c>
      <c r="B78" s="354">
        <v>53200</v>
      </c>
      <c r="C78" s="354">
        <f t="shared" si="7"/>
        <v>98.518518518518533</v>
      </c>
      <c r="D78" s="354">
        <v>164800</v>
      </c>
      <c r="E78" s="354">
        <f t="shared" si="8"/>
        <v>96.713615023474219</v>
      </c>
      <c r="F78" s="356">
        <v>16000</v>
      </c>
      <c r="G78" s="354">
        <f t="shared" si="9"/>
        <v>101.7811704834605</v>
      </c>
      <c r="H78" s="356">
        <v>14310</v>
      </c>
      <c r="I78" s="354">
        <f t="shared" si="10"/>
        <v>111.53546375681992</v>
      </c>
      <c r="J78" s="356">
        <v>26950</v>
      </c>
      <c r="K78" s="354">
        <f t="shared" si="11"/>
        <v>118.72246696035243</v>
      </c>
      <c r="L78" s="356">
        <v>80900</v>
      </c>
      <c r="M78" s="354">
        <f t="shared" si="12"/>
        <v>119.67455621301774</v>
      </c>
      <c r="N78" s="356">
        <v>7900</v>
      </c>
      <c r="O78" s="354">
        <f t="shared" si="13"/>
        <v>101.1523687580025</v>
      </c>
    </row>
    <row r="79" spans="1:15">
      <c r="A79" s="353" t="s">
        <v>1117</v>
      </c>
      <c r="B79" s="354">
        <v>53500</v>
      </c>
      <c r="C79" s="354">
        <f t="shared" si="7"/>
        <v>99.074074074074105</v>
      </c>
      <c r="D79" s="354">
        <v>169500</v>
      </c>
      <c r="E79" s="354">
        <f t="shared" si="8"/>
        <v>99.471830985915531</v>
      </c>
      <c r="F79" s="356">
        <v>16040</v>
      </c>
      <c r="G79" s="354">
        <f t="shared" si="9"/>
        <v>102.03562340966914</v>
      </c>
      <c r="H79" s="356">
        <v>14470</v>
      </c>
      <c r="I79" s="354">
        <f t="shared" si="10"/>
        <v>112.78254091971937</v>
      </c>
      <c r="J79" s="356">
        <v>26650</v>
      </c>
      <c r="K79" s="354">
        <f t="shared" si="11"/>
        <v>117.40088105726873</v>
      </c>
      <c r="L79" s="356">
        <v>79600</v>
      </c>
      <c r="M79" s="354">
        <f t="shared" si="12"/>
        <v>117.75147928994082</v>
      </c>
      <c r="N79" s="356">
        <v>7830</v>
      </c>
      <c r="O79" s="354">
        <f t="shared" si="13"/>
        <v>100.25608194622272</v>
      </c>
    </row>
    <row r="80" spans="1:15">
      <c r="A80" s="353" t="s">
        <v>1116</v>
      </c>
      <c r="B80" s="354">
        <v>53000</v>
      </c>
      <c r="C80" s="354">
        <f t="shared" si="7"/>
        <v>98.148148148148181</v>
      </c>
      <c r="D80" s="354">
        <v>165000</v>
      </c>
      <c r="E80" s="354">
        <f t="shared" si="8"/>
        <v>96.830985915492988</v>
      </c>
      <c r="F80" s="356">
        <v>15810</v>
      </c>
      <c r="G80" s="354">
        <f t="shared" si="9"/>
        <v>100.5725190839694</v>
      </c>
      <c r="H80" s="356">
        <v>14470</v>
      </c>
      <c r="I80" s="354">
        <f t="shared" si="10"/>
        <v>112.78254091971937</v>
      </c>
      <c r="J80" s="356">
        <v>26050</v>
      </c>
      <c r="K80" s="354">
        <f t="shared" si="11"/>
        <v>114.75770925110133</v>
      </c>
      <c r="L80" s="356">
        <v>78000</v>
      </c>
      <c r="M80" s="354">
        <f t="shared" si="12"/>
        <v>115.38461538461537</v>
      </c>
      <c r="N80" s="356">
        <v>7510</v>
      </c>
      <c r="O80" s="354">
        <f t="shared" si="13"/>
        <v>96.158770806658069</v>
      </c>
    </row>
    <row r="81" spans="1:15">
      <c r="A81" s="353" t="s">
        <v>1115</v>
      </c>
      <c r="B81" s="354">
        <v>56400</v>
      </c>
      <c r="C81" s="354">
        <f t="shared" si="7"/>
        <v>104.44444444444447</v>
      </c>
      <c r="D81" s="354">
        <v>183200</v>
      </c>
      <c r="E81" s="354">
        <f t="shared" si="8"/>
        <v>107.51173708920192</v>
      </c>
      <c r="F81" s="356">
        <v>16690</v>
      </c>
      <c r="G81" s="354">
        <f t="shared" si="9"/>
        <v>106.17048346055972</v>
      </c>
      <c r="H81" s="356">
        <v>15410</v>
      </c>
      <c r="I81" s="354">
        <f t="shared" si="10"/>
        <v>120.10911925175367</v>
      </c>
      <c r="J81" s="356">
        <v>27700</v>
      </c>
      <c r="K81" s="354">
        <f t="shared" si="11"/>
        <v>122.02643171806169</v>
      </c>
      <c r="L81" s="356">
        <v>85300</v>
      </c>
      <c r="M81" s="354">
        <f t="shared" si="12"/>
        <v>126.1834319526627</v>
      </c>
      <c r="N81" s="356">
        <v>8070</v>
      </c>
      <c r="O81" s="354">
        <f t="shared" si="13"/>
        <v>103.32906530089623</v>
      </c>
    </row>
    <row r="82" spans="1:15">
      <c r="A82" s="353" t="s">
        <v>1114</v>
      </c>
      <c r="B82" s="354">
        <v>55200</v>
      </c>
      <c r="C82" s="354">
        <f t="shared" si="7"/>
        <v>102.22222222222224</v>
      </c>
      <c r="D82" s="354">
        <v>180800</v>
      </c>
      <c r="E82" s="354">
        <f t="shared" si="8"/>
        <v>106.10328638497656</v>
      </c>
      <c r="F82" s="356">
        <v>16840</v>
      </c>
      <c r="G82" s="354">
        <f t="shared" si="9"/>
        <v>107.12468193384217</v>
      </c>
      <c r="H82" s="356">
        <v>15720</v>
      </c>
      <c r="I82" s="354">
        <f t="shared" si="10"/>
        <v>122.52533125487136</v>
      </c>
      <c r="J82" s="356">
        <v>27700</v>
      </c>
      <c r="K82" s="354">
        <f t="shared" si="11"/>
        <v>122.02643171806169</v>
      </c>
      <c r="L82" s="356">
        <v>82200</v>
      </c>
      <c r="M82" s="354">
        <f t="shared" si="12"/>
        <v>121.59763313609464</v>
      </c>
      <c r="N82" s="356">
        <v>8400</v>
      </c>
      <c r="O82" s="354">
        <f t="shared" si="13"/>
        <v>107.5544174135723</v>
      </c>
    </row>
    <row r="83" spans="1:15">
      <c r="A83" s="353" t="s">
        <v>1113</v>
      </c>
      <c r="B83" s="354">
        <v>56200</v>
      </c>
      <c r="C83" s="354">
        <f t="shared" si="7"/>
        <v>104.0740740740741</v>
      </c>
      <c r="D83" s="354">
        <v>180200</v>
      </c>
      <c r="E83" s="354">
        <f t="shared" si="8"/>
        <v>105.75117370892022</v>
      </c>
      <c r="F83" s="356">
        <v>16940</v>
      </c>
      <c r="G83" s="354">
        <f t="shared" si="9"/>
        <v>107.76081424936379</v>
      </c>
      <c r="H83" s="356">
        <v>16380</v>
      </c>
      <c r="I83" s="354">
        <f t="shared" si="10"/>
        <v>127.6695245518316</v>
      </c>
      <c r="J83" s="356">
        <v>28250</v>
      </c>
      <c r="K83" s="354">
        <f t="shared" si="11"/>
        <v>124.44933920704848</v>
      </c>
      <c r="L83" s="356">
        <v>84400</v>
      </c>
      <c r="M83" s="354">
        <f t="shared" si="12"/>
        <v>124.85207100591714</v>
      </c>
      <c r="N83" s="356">
        <v>8380</v>
      </c>
      <c r="O83" s="354">
        <f t="shared" si="13"/>
        <v>107.2983354673495</v>
      </c>
    </row>
    <row r="84" spans="1:15">
      <c r="A84" s="353" t="s">
        <v>1112</v>
      </c>
      <c r="B84" s="354">
        <v>56600</v>
      </c>
      <c r="C84" s="354">
        <f t="shared" si="7"/>
        <v>104.81481481481484</v>
      </c>
      <c r="D84" s="354">
        <v>180600</v>
      </c>
      <c r="E84" s="354">
        <f t="shared" si="8"/>
        <v>105.98591549295779</v>
      </c>
      <c r="F84" s="356">
        <v>17170</v>
      </c>
      <c r="G84" s="354">
        <f t="shared" si="9"/>
        <v>109.22391857506352</v>
      </c>
      <c r="H84" s="356">
        <v>16500</v>
      </c>
      <c r="I84" s="354">
        <f t="shared" si="10"/>
        <v>128.60483242400619</v>
      </c>
      <c r="J84" s="356">
        <v>28500</v>
      </c>
      <c r="K84" s="354">
        <f t="shared" si="11"/>
        <v>125.55066079295156</v>
      </c>
      <c r="L84" s="356">
        <v>85800</v>
      </c>
      <c r="M84" s="354">
        <f t="shared" si="12"/>
        <v>126.92307692307689</v>
      </c>
      <c r="N84" s="356">
        <v>8480</v>
      </c>
      <c r="O84" s="354">
        <f t="shared" si="13"/>
        <v>108.57874519846345</v>
      </c>
    </row>
    <row r="85" spans="1:15">
      <c r="A85" s="353" t="s">
        <v>1111</v>
      </c>
      <c r="B85" s="354">
        <v>54700</v>
      </c>
      <c r="C85" s="354">
        <f t="shared" si="7"/>
        <v>101.29629629629632</v>
      </c>
      <c r="D85" s="354">
        <v>174000</v>
      </c>
      <c r="E85" s="354">
        <f t="shared" si="8"/>
        <v>102.11267605633806</v>
      </c>
      <c r="F85" s="356">
        <v>16780</v>
      </c>
      <c r="G85" s="354">
        <f t="shared" si="9"/>
        <v>106.74300254452918</v>
      </c>
      <c r="H85" s="356">
        <v>16450</v>
      </c>
      <c r="I85" s="354">
        <f t="shared" si="10"/>
        <v>128.2151208106001</v>
      </c>
      <c r="J85" s="356">
        <v>26300</v>
      </c>
      <c r="K85" s="354">
        <f t="shared" si="11"/>
        <v>115.85903083700443</v>
      </c>
      <c r="L85" s="356">
        <v>82200</v>
      </c>
      <c r="M85" s="354">
        <f t="shared" si="12"/>
        <v>121.59763313609464</v>
      </c>
      <c r="N85" s="356">
        <v>8260</v>
      </c>
      <c r="O85" s="354">
        <f t="shared" si="13"/>
        <v>105.76184379001275</v>
      </c>
    </row>
    <row r="86" spans="1:15">
      <c r="A86" s="353" t="s">
        <v>1110</v>
      </c>
      <c r="B86" s="354">
        <v>55100</v>
      </c>
      <c r="C86" s="354">
        <f t="shared" si="7"/>
        <v>102.03703703703707</v>
      </c>
      <c r="D86" s="354">
        <v>175000</v>
      </c>
      <c r="E86" s="354">
        <f t="shared" si="8"/>
        <v>102.69953051643196</v>
      </c>
      <c r="F86" s="356">
        <v>17080</v>
      </c>
      <c r="G86" s="354">
        <f t="shared" si="9"/>
        <v>108.65139949109407</v>
      </c>
      <c r="H86" s="356">
        <v>16690</v>
      </c>
      <c r="I86" s="354">
        <f t="shared" si="10"/>
        <v>130.08573655494928</v>
      </c>
      <c r="J86" s="356">
        <v>27000</v>
      </c>
      <c r="K86" s="354">
        <f t="shared" si="11"/>
        <v>118.94273127753304</v>
      </c>
      <c r="L86" s="356">
        <v>83400</v>
      </c>
      <c r="M86" s="354">
        <f t="shared" si="12"/>
        <v>123.37278106508872</v>
      </c>
      <c r="N86" s="356">
        <v>8400</v>
      </c>
      <c r="O86" s="354">
        <f t="shared" si="13"/>
        <v>107.55441741357228</v>
      </c>
    </row>
    <row r="87" spans="1:15">
      <c r="A87" s="353" t="s">
        <v>1109</v>
      </c>
      <c r="B87" s="354">
        <v>55300</v>
      </c>
      <c r="C87" s="354">
        <f t="shared" si="7"/>
        <v>102.40740740740743</v>
      </c>
      <c r="D87" s="354">
        <v>175000</v>
      </c>
      <c r="E87" s="354">
        <f t="shared" si="8"/>
        <v>102.69953051643196</v>
      </c>
      <c r="F87" s="356">
        <v>17200</v>
      </c>
      <c r="G87" s="354">
        <f t="shared" si="9"/>
        <v>109.41475826972002</v>
      </c>
      <c r="H87" s="356">
        <v>16740</v>
      </c>
      <c r="I87" s="354">
        <f t="shared" si="10"/>
        <v>130.47544816835537</v>
      </c>
      <c r="J87" s="356">
        <v>26800</v>
      </c>
      <c r="K87" s="354">
        <f t="shared" si="11"/>
        <v>118.06167400881057</v>
      </c>
      <c r="L87" s="356">
        <v>83000</v>
      </c>
      <c r="M87" s="354">
        <f t="shared" si="12"/>
        <v>122.78106508875736</v>
      </c>
      <c r="N87" s="356">
        <v>8360</v>
      </c>
      <c r="O87" s="354">
        <f t="shared" si="13"/>
        <v>107.0422535211267</v>
      </c>
    </row>
    <row r="88" spans="1:15">
      <c r="A88" s="353" t="s">
        <v>1108</v>
      </c>
      <c r="B88" s="354">
        <v>55400</v>
      </c>
      <c r="C88" s="354">
        <f t="shared" si="7"/>
        <v>102.59259259259262</v>
      </c>
      <c r="D88" s="354">
        <v>176600</v>
      </c>
      <c r="E88" s="354">
        <f t="shared" si="8"/>
        <v>103.6384976525822</v>
      </c>
      <c r="F88" s="356">
        <v>17770</v>
      </c>
      <c r="G88" s="354">
        <f t="shared" si="9"/>
        <v>113.04071246819331</v>
      </c>
      <c r="H88" s="356">
        <v>16950</v>
      </c>
      <c r="I88" s="354">
        <f t="shared" si="10"/>
        <v>132.11223694466091</v>
      </c>
      <c r="J88" s="356">
        <v>26950</v>
      </c>
      <c r="K88" s="354">
        <f t="shared" si="11"/>
        <v>118.72246696035243</v>
      </c>
      <c r="L88" s="356">
        <v>84100</v>
      </c>
      <c r="M88" s="354">
        <f t="shared" si="12"/>
        <v>124.40828402366861</v>
      </c>
      <c r="N88" s="356">
        <v>8300</v>
      </c>
      <c r="O88" s="354">
        <f t="shared" si="13"/>
        <v>106.27400768245832</v>
      </c>
    </row>
    <row r="89" spans="1:15">
      <c r="A89" s="353" t="s">
        <v>1107</v>
      </c>
      <c r="B89" s="354">
        <v>55000</v>
      </c>
      <c r="C89" s="354">
        <f t="shared" si="7"/>
        <v>101.85185185185189</v>
      </c>
      <c r="D89" s="354">
        <v>173800</v>
      </c>
      <c r="E89" s="354">
        <f t="shared" si="8"/>
        <v>101.99530516431929</v>
      </c>
      <c r="F89" s="356">
        <v>17830</v>
      </c>
      <c r="G89" s="354">
        <f t="shared" si="9"/>
        <v>113.42239185750627</v>
      </c>
      <c r="H89" s="356">
        <v>16600</v>
      </c>
      <c r="I89" s="354">
        <f t="shared" si="10"/>
        <v>129.38425565081835</v>
      </c>
      <c r="J89" s="356">
        <v>26500</v>
      </c>
      <c r="K89" s="354">
        <f t="shared" si="11"/>
        <v>116.74008810572688</v>
      </c>
      <c r="L89" s="356">
        <v>82300</v>
      </c>
      <c r="M89" s="354">
        <f t="shared" si="12"/>
        <v>121.74556213017749</v>
      </c>
      <c r="N89" s="356">
        <v>8280</v>
      </c>
      <c r="O89" s="354">
        <f t="shared" si="13"/>
        <v>106.01792573623553</v>
      </c>
    </row>
    <row r="90" spans="1:15">
      <c r="A90" s="353" t="s">
        <v>1106</v>
      </c>
      <c r="B90" s="354">
        <v>55700</v>
      </c>
      <c r="C90" s="354">
        <f t="shared" si="7"/>
        <v>103.14814814814818</v>
      </c>
      <c r="D90" s="354">
        <v>181000</v>
      </c>
      <c r="E90" s="354">
        <f t="shared" si="8"/>
        <v>106.22065727699535</v>
      </c>
      <c r="F90" s="356">
        <v>18250</v>
      </c>
      <c r="G90" s="354">
        <f t="shared" si="9"/>
        <v>116.09414758269712</v>
      </c>
      <c r="H90" s="356">
        <v>16950</v>
      </c>
      <c r="I90" s="354">
        <f t="shared" si="10"/>
        <v>132.11223694466091</v>
      </c>
      <c r="J90" s="356">
        <v>28000</v>
      </c>
      <c r="K90" s="354">
        <f t="shared" si="11"/>
        <v>123.34801762114539</v>
      </c>
      <c r="L90" s="356">
        <v>88900</v>
      </c>
      <c r="M90" s="354">
        <f t="shared" si="12"/>
        <v>131.50887573964494</v>
      </c>
      <c r="N90" s="356">
        <v>8410</v>
      </c>
      <c r="O90" s="354">
        <f t="shared" si="13"/>
        <v>107.68245838668368</v>
      </c>
    </row>
    <row r="91" spans="1:15">
      <c r="A91" s="353" t="s">
        <v>1105</v>
      </c>
      <c r="B91" s="354">
        <v>55700</v>
      </c>
      <c r="C91" s="354">
        <f t="shared" si="7"/>
        <v>103.14814814814818</v>
      </c>
      <c r="D91" s="354">
        <v>178300</v>
      </c>
      <c r="E91" s="354">
        <f t="shared" si="8"/>
        <v>104.63615023474183</v>
      </c>
      <c r="F91" s="356">
        <v>18270</v>
      </c>
      <c r="G91" s="354">
        <f t="shared" si="9"/>
        <v>116.22137404580144</v>
      </c>
      <c r="H91" s="356">
        <v>17140</v>
      </c>
      <c r="I91" s="354">
        <f t="shared" si="10"/>
        <v>133.593141075604</v>
      </c>
      <c r="J91" s="356">
        <v>27900</v>
      </c>
      <c r="K91" s="354">
        <f t="shared" si="11"/>
        <v>122.90748898678416</v>
      </c>
      <c r="L91" s="356">
        <v>87300</v>
      </c>
      <c r="M91" s="354">
        <f t="shared" si="12"/>
        <v>129.1420118343195</v>
      </c>
      <c r="N91" s="356">
        <v>8480</v>
      </c>
      <c r="O91" s="354">
        <f t="shared" si="13"/>
        <v>108.57874519846345</v>
      </c>
    </row>
    <row r="92" spans="1:15">
      <c r="A92" s="353" t="s">
        <v>1104</v>
      </c>
      <c r="B92" s="354">
        <v>55700</v>
      </c>
      <c r="C92" s="354">
        <f t="shared" si="7"/>
        <v>103.14814814814818</v>
      </c>
      <c r="D92" s="354">
        <v>184400</v>
      </c>
      <c r="E92" s="354">
        <f t="shared" si="8"/>
        <v>108.21596244131462</v>
      </c>
      <c r="F92" s="356">
        <v>18240</v>
      </c>
      <c r="G92" s="354">
        <f t="shared" si="9"/>
        <v>116.03053435114495</v>
      </c>
      <c r="H92" s="356">
        <v>16830</v>
      </c>
      <c r="I92" s="354">
        <f t="shared" si="10"/>
        <v>131.1769290724863</v>
      </c>
      <c r="J92" s="356">
        <v>28550</v>
      </c>
      <c r="K92" s="354">
        <f t="shared" si="11"/>
        <v>125.77092511013218</v>
      </c>
      <c r="L92" s="356">
        <v>89300</v>
      </c>
      <c r="M92" s="354">
        <f t="shared" si="12"/>
        <v>132.10059171597629</v>
      </c>
      <c r="N92" s="356">
        <v>8710</v>
      </c>
      <c r="O92" s="354">
        <f t="shared" si="13"/>
        <v>111.52368758002554</v>
      </c>
    </row>
    <row r="93" spans="1:15">
      <c r="A93" s="353" t="s">
        <v>1103</v>
      </c>
      <c r="B93" s="354">
        <v>55800</v>
      </c>
      <c r="C93" s="354">
        <f t="shared" si="7"/>
        <v>103.33333333333337</v>
      </c>
      <c r="D93" s="354">
        <v>182000</v>
      </c>
      <c r="E93" s="354">
        <f t="shared" si="8"/>
        <v>106.80751173708927</v>
      </c>
      <c r="F93" s="356">
        <v>17710</v>
      </c>
      <c r="G93" s="354">
        <f t="shared" si="9"/>
        <v>112.65903307888031</v>
      </c>
      <c r="H93" s="356">
        <v>16100</v>
      </c>
      <c r="I93" s="354">
        <f t="shared" si="10"/>
        <v>125.48713951675754</v>
      </c>
      <c r="J93" s="356">
        <v>28050</v>
      </c>
      <c r="K93" s="354">
        <f t="shared" si="11"/>
        <v>123.56828193832601</v>
      </c>
      <c r="L93" s="356">
        <v>86900</v>
      </c>
      <c r="M93" s="354">
        <f t="shared" si="12"/>
        <v>128.55029585798812</v>
      </c>
      <c r="N93" s="356">
        <v>8470</v>
      </c>
      <c r="O93" s="354">
        <f t="shared" si="13"/>
        <v>108.45070422535204</v>
      </c>
    </row>
    <row r="94" spans="1:15">
      <c r="A94" s="353" t="s">
        <v>1102</v>
      </c>
      <c r="B94" s="354">
        <v>55800</v>
      </c>
      <c r="C94" s="354">
        <f t="shared" si="7"/>
        <v>103.33333333333337</v>
      </c>
      <c r="D94" s="354">
        <v>180800</v>
      </c>
      <c r="E94" s="354">
        <f t="shared" si="8"/>
        <v>106.1032863849766</v>
      </c>
      <c r="F94" s="356">
        <v>17910</v>
      </c>
      <c r="G94" s="354">
        <f t="shared" si="9"/>
        <v>113.93129770992357</v>
      </c>
      <c r="H94" s="356">
        <v>16000</v>
      </c>
      <c r="I94" s="354">
        <f t="shared" si="10"/>
        <v>124.70771628994538</v>
      </c>
      <c r="J94" s="356">
        <v>28300</v>
      </c>
      <c r="K94" s="354">
        <f t="shared" si="11"/>
        <v>124.6696035242291</v>
      </c>
      <c r="L94" s="356">
        <v>86300</v>
      </c>
      <c r="M94" s="354">
        <f t="shared" si="12"/>
        <v>127.66272189349108</v>
      </c>
      <c r="N94" s="356">
        <v>8410</v>
      </c>
      <c r="O94" s="354">
        <f t="shared" si="13"/>
        <v>107.68245838668366</v>
      </c>
    </row>
    <row r="95" spans="1:15">
      <c r="A95" s="353" t="s">
        <v>1101</v>
      </c>
      <c r="B95" s="354">
        <v>55500</v>
      </c>
      <c r="C95" s="354">
        <f t="shared" si="7"/>
        <v>102.77777777777781</v>
      </c>
      <c r="D95" s="354">
        <v>177500</v>
      </c>
      <c r="E95" s="354">
        <f t="shared" si="8"/>
        <v>104.16666666666673</v>
      </c>
      <c r="F95" s="356">
        <v>17460</v>
      </c>
      <c r="G95" s="354">
        <f t="shared" si="9"/>
        <v>111.06870229007625</v>
      </c>
      <c r="H95" s="356">
        <v>15790</v>
      </c>
      <c r="I95" s="354">
        <f t="shared" si="10"/>
        <v>123.07092751363984</v>
      </c>
      <c r="J95" s="356">
        <v>27800</v>
      </c>
      <c r="K95" s="354">
        <f t="shared" si="11"/>
        <v>122.46696035242293</v>
      </c>
      <c r="L95" s="356">
        <v>85700</v>
      </c>
      <c r="M95" s="354">
        <f t="shared" si="12"/>
        <v>126.77514792899403</v>
      </c>
      <c r="N95" s="356">
        <v>8250</v>
      </c>
      <c r="O95" s="354">
        <f t="shared" si="13"/>
        <v>105.63380281690134</v>
      </c>
    </row>
    <row r="96" spans="1:15">
      <c r="A96" s="353" t="s">
        <v>1100</v>
      </c>
      <c r="B96" s="354">
        <v>54300</v>
      </c>
      <c r="C96" s="354">
        <f t="shared" si="7"/>
        <v>100.55555555555559</v>
      </c>
      <c r="D96" s="354">
        <v>186000</v>
      </c>
      <c r="E96" s="354">
        <f t="shared" si="8"/>
        <v>109.15492957746484</v>
      </c>
      <c r="F96" s="356">
        <v>17450</v>
      </c>
      <c r="G96" s="354">
        <f t="shared" si="9"/>
        <v>111.00508905852408</v>
      </c>
      <c r="H96" s="356">
        <v>15690</v>
      </c>
      <c r="I96" s="354">
        <f t="shared" si="10"/>
        <v>122.29150428682769</v>
      </c>
      <c r="J96" s="356">
        <v>28600</v>
      </c>
      <c r="K96" s="354">
        <f t="shared" si="11"/>
        <v>125.9911894273128</v>
      </c>
      <c r="L96" s="356">
        <v>84800</v>
      </c>
      <c r="M96" s="354">
        <f t="shared" si="12"/>
        <v>125.44378698224847</v>
      </c>
      <c r="N96" s="356">
        <v>8280</v>
      </c>
      <c r="O96" s="354">
        <f t="shared" si="13"/>
        <v>106.01792573623553</v>
      </c>
    </row>
    <row r="97" spans="1:15">
      <c r="A97" s="353" t="s">
        <v>1099</v>
      </c>
      <c r="B97" s="354">
        <v>54600</v>
      </c>
      <c r="C97" s="354">
        <f t="shared" si="7"/>
        <v>101.11111111111116</v>
      </c>
      <c r="D97" s="354">
        <v>190800</v>
      </c>
      <c r="E97" s="354">
        <f t="shared" si="8"/>
        <v>111.97183098591556</v>
      </c>
      <c r="F97" s="356">
        <v>17490</v>
      </c>
      <c r="G97" s="354">
        <f t="shared" si="9"/>
        <v>111.25954198473272</v>
      </c>
      <c r="H97" s="356">
        <v>16670</v>
      </c>
      <c r="I97" s="354">
        <f t="shared" si="10"/>
        <v>129.92985190958683</v>
      </c>
      <c r="J97" s="356">
        <v>28700</v>
      </c>
      <c r="K97" s="354">
        <f t="shared" si="11"/>
        <v>126.43171806167405</v>
      </c>
      <c r="L97" s="356">
        <v>88100</v>
      </c>
      <c r="M97" s="354">
        <f t="shared" si="12"/>
        <v>130.32544378698219</v>
      </c>
      <c r="N97" s="356">
        <v>8200</v>
      </c>
      <c r="O97" s="354">
        <f t="shared" si="13"/>
        <v>104.99359795134436</v>
      </c>
    </row>
    <row r="98" spans="1:15">
      <c r="A98" s="353" t="s">
        <v>1098</v>
      </c>
      <c r="B98" s="354">
        <v>54600</v>
      </c>
      <c r="C98" s="354">
        <f t="shared" si="7"/>
        <v>101.11111111111116</v>
      </c>
      <c r="D98" s="354">
        <v>190300</v>
      </c>
      <c r="E98" s="354">
        <f t="shared" si="8"/>
        <v>111.67840375586862</v>
      </c>
      <c r="F98" s="356">
        <v>17560</v>
      </c>
      <c r="G98" s="354">
        <f t="shared" si="9"/>
        <v>111.70483460559785</v>
      </c>
      <c r="H98" s="356">
        <v>17010</v>
      </c>
      <c r="I98" s="354">
        <f t="shared" si="10"/>
        <v>132.57989088074817</v>
      </c>
      <c r="J98" s="356">
        <v>28200</v>
      </c>
      <c r="K98" s="354">
        <f t="shared" si="11"/>
        <v>124.22907488986789</v>
      </c>
      <c r="L98" s="356">
        <v>87000</v>
      </c>
      <c r="M98" s="354">
        <f t="shared" si="12"/>
        <v>128.69822485207095</v>
      </c>
      <c r="N98" s="356">
        <v>7930</v>
      </c>
      <c r="O98" s="354">
        <f t="shared" si="13"/>
        <v>101.53649167733667</v>
      </c>
    </row>
    <row r="99" spans="1:15">
      <c r="A99" s="353" t="s">
        <v>1097</v>
      </c>
      <c r="B99" s="354">
        <v>54800</v>
      </c>
      <c r="C99" s="354">
        <f t="shared" si="7"/>
        <v>101.48148148148152</v>
      </c>
      <c r="D99" s="354">
        <v>190100</v>
      </c>
      <c r="E99" s="354">
        <f t="shared" si="8"/>
        <v>111.56103286384985</v>
      </c>
      <c r="F99" s="356">
        <v>17680</v>
      </c>
      <c r="G99" s="354">
        <f t="shared" si="9"/>
        <v>112.46819338422382</v>
      </c>
      <c r="H99" s="356">
        <v>17260</v>
      </c>
      <c r="I99" s="354">
        <f t="shared" si="10"/>
        <v>134.52844894777857</v>
      </c>
      <c r="J99" s="356">
        <v>28400</v>
      </c>
      <c r="K99" s="354">
        <f t="shared" si="11"/>
        <v>125.11013215859035</v>
      </c>
      <c r="L99" s="356">
        <v>85800</v>
      </c>
      <c r="M99" s="354">
        <f t="shared" si="12"/>
        <v>126.92307692307686</v>
      </c>
      <c r="N99" s="356">
        <v>7900</v>
      </c>
      <c r="O99" s="354">
        <f t="shared" si="13"/>
        <v>101.15236875800248</v>
      </c>
    </row>
    <row r="100" spans="1:15">
      <c r="A100" s="353" t="s">
        <v>1096</v>
      </c>
      <c r="B100" s="354">
        <v>57600</v>
      </c>
      <c r="C100" s="354">
        <f t="shared" si="7"/>
        <v>106.66666666666671</v>
      </c>
      <c r="D100" s="354">
        <v>195000</v>
      </c>
      <c r="E100" s="354">
        <f t="shared" si="8"/>
        <v>114.43661971830994</v>
      </c>
      <c r="F100" s="356">
        <v>18720</v>
      </c>
      <c r="G100" s="354">
        <f t="shared" si="9"/>
        <v>119.08396946564875</v>
      </c>
      <c r="H100" s="356">
        <v>18000</v>
      </c>
      <c r="I100" s="354">
        <f t="shared" si="10"/>
        <v>140.29618082618856</v>
      </c>
      <c r="J100" s="356">
        <v>30750</v>
      </c>
      <c r="K100" s="354">
        <f t="shared" si="11"/>
        <v>135.46255506607935</v>
      </c>
      <c r="L100" s="356">
        <v>94200</v>
      </c>
      <c r="M100" s="354">
        <f t="shared" si="12"/>
        <v>139.34911242603545</v>
      </c>
      <c r="N100" s="356">
        <v>8290</v>
      </c>
      <c r="O100" s="354">
        <f t="shared" si="13"/>
        <v>106.14596670934691</v>
      </c>
    </row>
    <row r="101" spans="1:15">
      <c r="A101" s="353" t="s">
        <v>1095</v>
      </c>
      <c r="B101" s="354">
        <v>56900</v>
      </c>
      <c r="C101" s="354">
        <f t="shared" si="7"/>
        <v>105.37037037037041</v>
      </c>
      <c r="D101" s="354">
        <v>198500</v>
      </c>
      <c r="E101" s="354">
        <f t="shared" si="8"/>
        <v>116.49061032863857</v>
      </c>
      <c r="F101" s="356">
        <v>18770</v>
      </c>
      <c r="G101" s="354">
        <f t="shared" si="9"/>
        <v>119.40203562340956</v>
      </c>
      <c r="H101" s="356">
        <v>18150</v>
      </c>
      <c r="I101" s="354">
        <f t="shared" si="10"/>
        <v>141.46531566640678</v>
      </c>
      <c r="J101" s="356">
        <v>30800</v>
      </c>
      <c r="K101" s="354">
        <f t="shared" si="11"/>
        <v>135.68281938325998</v>
      </c>
      <c r="L101" s="356">
        <v>94000</v>
      </c>
      <c r="M101" s="354">
        <f t="shared" si="12"/>
        <v>139.05325443786975</v>
      </c>
      <c r="N101" s="356">
        <v>8250</v>
      </c>
      <c r="O101" s="354">
        <f t="shared" si="13"/>
        <v>105.63380281690132</v>
      </c>
    </row>
    <row r="102" spans="1:15">
      <c r="A102" s="353" t="s">
        <v>1094</v>
      </c>
      <c r="B102" s="354">
        <v>57400</v>
      </c>
      <c r="C102" s="354">
        <f t="shared" si="7"/>
        <v>106.29629629629635</v>
      </c>
      <c r="D102" s="354">
        <v>206000</v>
      </c>
      <c r="E102" s="354">
        <f t="shared" si="8"/>
        <v>120.89201877934281</v>
      </c>
      <c r="F102" s="356">
        <v>19290</v>
      </c>
      <c r="G102" s="354">
        <f t="shared" si="9"/>
        <v>122.70992366412203</v>
      </c>
      <c r="H102" s="356">
        <v>18290</v>
      </c>
      <c r="I102" s="354">
        <f t="shared" si="10"/>
        <v>142.55650818394381</v>
      </c>
      <c r="J102" s="356">
        <v>32150</v>
      </c>
      <c r="K102" s="354">
        <f t="shared" si="11"/>
        <v>141.62995594713664</v>
      </c>
      <c r="L102" s="356">
        <v>97100</v>
      </c>
      <c r="M102" s="354">
        <f t="shared" si="12"/>
        <v>143.63905325443781</v>
      </c>
      <c r="N102" s="356">
        <v>8420</v>
      </c>
      <c r="O102" s="354">
        <f t="shared" si="13"/>
        <v>107.81049935979503</v>
      </c>
    </row>
    <row r="103" spans="1:15">
      <c r="A103" s="353" t="s">
        <v>1093</v>
      </c>
      <c r="B103" s="354">
        <v>57300</v>
      </c>
      <c r="C103" s="354">
        <f t="shared" si="7"/>
        <v>106.11111111111116</v>
      </c>
      <c r="D103" s="354">
        <v>200500</v>
      </c>
      <c r="E103" s="354">
        <f t="shared" si="8"/>
        <v>117.66431924882637</v>
      </c>
      <c r="F103" s="356">
        <v>18070</v>
      </c>
      <c r="G103" s="354">
        <f t="shared" si="9"/>
        <v>114.94910941475817</v>
      </c>
      <c r="H103" s="356">
        <v>17750</v>
      </c>
      <c r="I103" s="354">
        <f t="shared" si="10"/>
        <v>138.34762275915816</v>
      </c>
      <c r="J103" s="356">
        <v>31250</v>
      </c>
      <c r="K103" s="354">
        <f t="shared" si="11"/>
        <v>137.66519823788553</v>
      </c>
      <c r="L103" s="356">
        <v>95400</v>
      </c>
      <c r="M103" s="354">
        <f t="shared" si="12"/>
        <v>141.12426035502952</v>
      </c>
      <c r="N103" s="356">
        <v>9200</v>
      </c>
      <c r="O103" s="354">
        <f t="shared" si="13"/>
        <v>117.79769526248388</v>
      </c>
    </row>
    <row r="104" spans="1:15">
      <c r="A104" s="353" t="s">
        <v>1092</v>
      </c>
      <c r="B104" s="354">
        <v>56800</v>
      </c>
      <c r="C104" s="354">
        <f t="shared" si="7"/>
        <v>105.18518518518523</v>
      </c>
      <c r="D104" s="354">
        <v>204500</v>
      </c>
      <c r="E104" s="354">
        <f t="shared" si="8"/>
        <v>120.01173708920197</v>
      </c>
      <c r="F104" s="356">
        <v>18420</v>
      </c>
      <c r="G104" s="354">
        <f t="shared" si="9"/>
        <v>117.17557251908387</v>
      </c>
      <c r="H104" s="356">
        <v>18000</v>
      </c>
      <c r="I104" s="354">
        <f t="shared" si="10"/>
        <v>140.29618082618856</v>
      </c>
      <c r="J104" s="356">
        <v>30250</v>
      </c>
      <c r="K104" s="354">
        <f t="shared" si="11"/>
        <v>133.25991189427319</v>
      </c>
      <c r="L104" s="356">
        <v>91300</v>
      </c>
      <c r="M104" s="354">
        <f t="shared" si="12"/>
        <v>135.05917159763308</v>
      </c>
      <c r="N104" s="356">
        <v>9950</v>
      </c>
      <c r="O104" s="354">
        <f t="shared" si="13"/>
        <v>127.40076824583855</v>
      </c>
    </row>
    <row r="105" spans="1:15">
      <c r="A105" s="353" t="s">
        <v>1091</v>
      </c>
      <c r="B105" s="354">
        <v>55800</v>
      </c>
      <c r="C105" s="354">
        <f t="shared" si="7"/>
        <v>103.33333333333339</v>
      </c>
      <c r="D105" s="354">
        <v>199400</v>
      </c>
      <c r="E105" s="354">
        <f t="shared" si="8"/>
        <v>117.01877934272311</v>
      </c>
      <c r="F105" s="356">
        <v>17880</v>
      </c>
      <c r="G105" s="354">
        <f t="shared" si="9"/>
        <v>113.74045801526708</v>
      </c>
      <c r="H105" s="356">
        <v>18020</v>
      </c>
      <c r="I105" s="354">
        <f t="shared" si="10"/>
        <v>140.45206547155098</v>
      </c>
      <c r="J105" s="356">
        <v>29700</v>
      </c>
      <c r="K105" s="354">
        <f t="shared" si="11"/>
        <v>130.83700440528639</v>
      </c>
      <c r="L105" s="356">
        <v>90300</v>
      </c>
      <c r="M105" s="354">
        <f t="shared" si="12"/>
        <v>133.57988165680467</v>
      </c>
      <c r="N105" s="356">
        <v>9580</v>
      </c>
      <c r="O105" s="354">
        <f t="shared" si="13"/>
        <v>122.66325224071691</v>
      </c>
    </row>
    <row r="106" spans="1:15">
      <c r="A106" s="353" t="s">
        <v>1090</v>
      </c>
      <c r="B106" s="354">
        <v>55900</v>
      </c>
      <c r="C106" s="354">
        <f t="shared" si="7"/>
        <v>103.51851851851858</v>
      </c>
      <c r="D106" s="354">
        <v>202000</v>
      </c>
      <c r="E106" s="354">
        <f t="shared" si="8"/>
        <v>118.54460093896724</v>
      </c>
      <c r="F106" s="356">
        <v>18360</v>
      </c>
      <c r="G106" s="354">
        <f t="shared" si="9"/>
        <v>116.79389312977089</v>
      </c>
      <c r="H106" s="356">
        <v>17720</v>
      </c>
      <c r="I106" s="354">
        <f t="shared" si="10"/>
        <v>138.11379579111451</v>
      </c>
      <c r="J106" s="356">
        <v>29350</v>
      </c>
      <c r="K106" s="354">
        <f t="shared" si="11"/>
        <v>129.29515418502208</v>
      </c>
      <c r="L106" s="356">
        <v>89900</v>
      </c>
      <c r="M106" s="354">
        <f t="shared" si="12"/>
        <v>132.98816568047332</v>
      </c>
      <c r="N106" s="356">
        <v>9270</v>
      </c>
      <c r="O106" s="354">
        <f t="shared" si="13"/>
        <v>118.69398207426366</v>
      </c>
    </row>
    <row r="107" spans="1:15">
      <c r="A107" s="353" t="s">
        <v>1089</v>
      </c>
      <c r="B107" s="354">
        <v>55700</v>
      </c>
      <c r="C107" s="354">
        <f t="shared" si="7"/>
        <v>103.14814814814821</v>
      </c>
      <c r="D107" s="354">
        <v>200500</v>
      </c>
      <c r="E107" s="354">
        <f t="shared" si="8"/>
        <v>117.66431924882639</v>
      </c>
      <c r="F107" s="356">
        <v>18650</v>
      </c>
      <c r="G107" s="354">
        <f t="shared" si="9"/>
        <v>118.63867684478362</v>
      </c>
      <c r="H107" s="356">
        <v>17130</v>
      </c>
      <c r="I107" s="354">
        <f t="shared" si="10"/>
        <v>133.51519875292277</v>
      </c>
      <c r="J107" s="356">
        <v>25900</v>
      </c>
      <c r="K107" s="354">
        <f t="shared" si="11"/>
        <v>114.09691629955952</v>
      </c>
      <c r="L107" s="356">
        <v>89800</v>
      </c>
      <c r="M107" s="354">
        <f t="shared" si="12"/>
        <v>132.84023668639045</v>
      </c>
      <c r="N107" s="356">
        <v>9190</v>
      </c>
      <c r="O107" s="354">
        <f t="shared" si="13"/>
        <v>117.6696542893725</v>
      </c>
    </row>
    <row r="108" spans="1:15">
      <c r="A108" s="353" t="s">
        <v>1088</v>
      </c>
      <c r="B108" s="354">
        <v>54700</v>
      </c>
      <c r="C108" s="354">
        <f t="shared" si="7"/>
        <v>101.29629629629636</v>
      </c>
      <c r="D108" s="354">
        <v>196900</v>
      </c>
      <c r="E108" s="354">
        <f t="shared" si="8"/>
        <v>115.55164319248836</v>
      </c>
      <c r="F108" s="356">
        <v>18260</v>
      </c>
      <c r="G108" s="354">
        <f t="shared" si="9"/>
        <v>116.15776081424926</v>
      </c>
      <c r="H108" s="356">
        <v>16780</v>
      </c>
      <c r="I108" s="354">
        <f t="shared" si="10"/>
        <v>130.78721745908021</v>
      </c>
      <c r="J108" s="356">
        <v>24700</v>
      </c>
      <c r="K108" s="354">
        <f t="shared" si="11"/>
        <v>108.81057268722472</v>
      </c>
      <c r="L108" s="356">
        <v>85000</v>
      </c>
      <c r="M108" s="354">
        <f t="shared" si="12"/>
        <v>125.73964497041412</v>
      </c>
      <c r="N108" s="356">
        <v>8820</v>
      </c>
      <c r="O108" s="354">
        <f t="shared" si="13"/>
        <v>112.93213828425087</v>
      </c>
    </row>
    <row r="109" spans="1:15">
      <c r="A109" s="353" t="s">
        <v>1087</v>
      </c>
      <c r="B109" s="354">
        <v>54200</v>
      </c>
      <c r="C109" s="354">
        <f t="shared" si="7"/>
        <v>100.37037037037044</v>
      </c>
      <c r="D109" s="354">
        <v>200000</v>
      </c>
      <c r="E109" s="354">
        <f t="shared" si="8"/>
        <v>117.37089201877943</v>
      </c>
      <c r="F109" s="356">
        <v>18150</v>
      </c>
      <c r="G109" s="354">
        <f t="shared" si="9"/>
        <v>115.45801526717547</v>
      </c>
      <c r="H109" s="356">
        <v>16530</v>
      </c>
      <c r="I109" s="354">
        <f t="shared" si="10"/>
        <v>128.83865939204981</v>
      </c>
      <c r="J109" s="356">
        <v>24000</v>
      </c>
      <c r="K109" s="354">
        <f t="shared" si="11"/>
        <v>105.72687224669608</v>
      </c>
      <c r="L109" s="356">
        <v>85300</v>
      </c>
      <c r="M109" s="354">
        <f t="shared" si="12"/>
        <v>126.18343195266263</v>
      </c>
      <c r="N109" s="356">
        <v>8860</v>
      </c>
      <c r="O109" s="354">
        <f t="shared" si="13"/>
        <v>113.44430217669645</v>
      </c>
    </row>
    <row r="110" spans="1:15">
      <c r="A110" s="353" t="s">
        <v>1086</v>
      </c>
      <c r="B110" s="354">
        <v>54700</v>
      </c>
      <c r="C110" s="354">
        <f t="shared" si="7"/>
        <v>101.29629629629636</v>
      </c>
      <c r="D110" s="354">
        <v>203000</v>
      </c>
      <c r="E110" s="354">
        <f t="shared" si="8"/>
        <v>119.13145539906111</v>
      </c>
      <c r="F110" s="356">
        <v>18710</v>
      </c>
      <c r="G110" s="354">
        <f t="shared" si="9"/>
        <v>119.02035623409658</v>
      </c>
      <c r="H110" s="356">
        <v>16550</v>
      </c>
      <c r="I110" s="354">
        <f t="shared" si="10"/>
        <v>128.99454403741225</v>
      </c>
      <c r="J110" s="356">
        <v>24400</v>
      </c>
      <c r="K110" s="354">
        <f t="shared" si="11"/>
        <v>107.48898678414101</v>
      </c>
      <c r="L110" s="356">
        <v>86300</v>
      </c>
      <c r="M110" s="354">
        <f t="shared" si="12"/>
        <v>127.66272189349102</v>
      </c>
      <c r="N110" s="356">
        <v>9210</v>
      </c>
      <c r="O110" s="354">
        <f t="shared" si="13"/>
        <v>117.92573623559529</v>
      </c>
    </row>
    <row r="111" spans="1:15">
      <c r="A111" s="353" t="s">
        <v>1085</v>
      </c>
      <c r="B111" s="354">
        <v>53900</v>
      </c>
      <c r="C111" s="354">
        <f t="shared" si="7"/>
        <v>99.814814814814881</v>
      </c>
      <c r="D111" s="354">
        <v>202500</v>
      </c>
      <c r="E111" s="354">
        <f t="shared" si="8"/>
        <v>118.83802816901415</v>
      </c>
      <c r="F111" s="356">
        <v>18980</v>
      </c>
      <c r="G111" s="354">
        <f t="shared" si="9"/>
        <v>120.73791348600497</v>
      </c>
      <c r="H111" s="356">
        <v>16830</v>
      </c>
      <c r="I111" s="354">
        <f t="shared" si="10"/>
        <v>131.1769290724863</v>
      </c>
      <c r="J111" s="356">
        <v>24700</v>
      </c>
      <c r="K111" s="354">
        <f t="shared" si="11"/>
        <v>108.81057268722472</v>
      </c>
      <c r="L111" s="356">
        <v>87100</v>
      </c>
      <c r="M111" s="354">
        <f t="shared" si="12"/>
        <v>128.84615384615375</v>
      </c>
      <c r="N111" s="356">
        <v>9080</v>
      </c>
      <c r="O111" s="354">
        <f t="shared" si="13"/>
        <v>116.26120358514716</v>
      </c>
    </row>
    <row r="112" spans="1:15">
      <c r="A112" s="353" t="s">
        <v>1084</v>
      </c>
      <c r="B112" s="354">
        <v>55900</v>
      </c>
      <c r="C112" s="354">
        <f t="shared" si="7"/>
        <v>103.51851851851859</v>
      </c>
      <c r="D112" s="354">
        <v>208000</v>
      </c>
      <c r="E112" s="354">
        <f t="shared" si="8"/>
        <v>122.0657276995306</v>
      </c>
      <c r="F112" s="356">
        <v>19010</v>
      </c>
      <c r="G112" s="354">
        <f t="shared" si="9"/>
        <v>120.92875318066147</v>
      </c>
      <c r="H112" s="356">
        <v>16720</v>
      </c>
      <c r="I112" s="354">
        <f t="shared" si="10"/>
        <v>130.31956352299292</v>
      </c>
      <c r="J112" s="356">
        <v>25750</v>
      </c>
      <c r="K112" s="354">
        <f t="shared" si="11"/>
        <v>113.43612334801767</v>
      </c>
      <c r="L112" s="356">
        <v>87300</v>
      </c>
      <c r="M112" s="354">
        <f t="shared" si="12"/>
        <v>129.14201183431942</v>
      </c>
      <c r="N112" s="356">
        <v>8970</v>
      </c>
      <c r="O112" s="354">
        <f t="shared" si="13"/>
        <v>114.8527528809218</v>
      </c>
    </row>
    <row r="113" spans="1:15">
      <c r="A113" s="353" t="s">
        <v>1083</v>
      </c>
      <c r="B113" s="354">
        <v>56100</v>
      </c>
      <c r="C113" s="354">
        <f t="shared" si="7"/>
        <v>103.88888888888896</v>
      </c>
      <c r="D113" s="354">
        <v>212000</v>
      </c>
      <c r="E113" s="354">
        <f t="shared" si="8"/>
        <v>124.41314553990618</v>
      </c>
      <c r="F113" s="356">
        <v>19010</v>
      </c>
      <c r="G113" s="354">
        <f t="shared" si="9"/>
        <v>120.92875318066147</v>
      </c>
      <c r="H113" s="356">
        <v>16560</v>
      </c>
      <c r="I113" s="354">
        <f t="shared" si="10"/>
        <v>129.07248636009345</v>
      </c>
      <c r="J113" s="356">
        <v>25650</v>
      </c>
      <c r="K113" s="354">
        <f t="shared" si="11"/>
        <v>112.99559471365644</v>
      </c>
      <c r="L113" s="356">
        <v>91500</v>
      </c>
      <c r="M113" s="354">
        <f t="shared" si="12"/>
        <v>135.35502958579872</v>
      </c>
      <c r="N113" s="356">
        <v>9000</v>
      </c>
      <c r="O113" s="354">
        <f t="shared" si="13"/>
        <v>115.23687580025599</v>
      </c>
    </row>
    <row r="114" spans="1:15">
      <c r="A114" s="353" t="s">
        <v>1082</v>
      </c>
      <c r="B114" s="354">
        <v>56200</v>
      </c>
      <c r="C114" s="354">
        <f t="shared" si="7"/>
        <v>104.07407407407413</v>
      </c>
      <c r="D114" s="354">
        <v>204500</v>
      </c>
      <c r="E114" s="354">
        <f t="shared" si="8"/>
        <v>120.01173708920196</v>
      </c>
      <c r="F114" s="356">
        <v>18670</v>
      </c>
      <c r="G114" s="354">
        <f t="shared" si="9"/>
        <v>118.76590330788794</v>
      </c>
      <c r="H114" s="356">
        <v>16320</v>
      </c>
      <c r="I114" s="354">
        <f t="shared" si="10"/>
        <v>127.20187061574427</v>
      </c>
      <c r="J114" s="356">
        <v>25400</v>
      </c>
      <c r="K114" s="354">
        <f t="shared" si="11"/>
        <v>111.89427312775335</v>
      </c>
      <c r="L114" s="356">
        <v>87600</v>
      </c>
      <c r="M114" s="354">
        <f t="shared" si="12"/>
        <v>129.58579881656794</v>
      </c>
      <c r="N114" s="356">
        <v>9030</v>
      </c>
      <c r="O114" s="354">
        <f t="shared" si="13"/>
        <v>115.62099871959018</v>
      </c>
    </row>
    <row r="115" spans="1:15">
      <c r="A115" s="353" t="s">
        <v>1081</v>
      </c>
      <c r="B115" s="354">
        <v>56800</v>
      </c>
      <c r="C115" s="354">
        <f t="shared" si="7"/>
        <v>105.18518518518525</v>
      </c>
      <c r="D115" s="354">
        <v>207500</v>
      </c>
      <c r="E115" s="354">
        <f t="shared" si="8"/>
        <v>121.77230046948364</v>
      </c>
      <c r="F115" s="356">
        <v>18670</v>
      </c>
      <c r="G115" s="354">
        <f t="shared" si="9"/>
        <v>118.76590330788794</v>
      </c>
      <c r="H115" s="356">
        <v>16350</v>
      </c>
      <c r="I115" s="354">
        <f t="shared" si="10"/>
        <v>127.43569758378793</v>
      </c>
      <c r="J115" s="356">
        <v>25400</v>
      </c>
      <c r="K115" s="354">
        <f t="shared" si="11"/>
        <v>111.89427312775335</v>
      </c>
      <c r="L115" s="356">
        <v>89200</v>
      </c>
      <c r="M115" s="354">
        <f t="shared" si="12"/>
        <v>131.95266272189338</v>
      </c>
      <c r="N115" s="356">
        <v>9110</v>
      </c>
      <c r="O115" s="354">
        <f t="shared" si="13"/>
        <v>116.64532650448133</v>
      </c>
    </row>
    <row r="116" spans="1:15">
      <c r="A116" s="353" t="s">
        <v>1080</v>
      </c>
      <c r="B116" s="354">
        <v>57800</v>
      </c>
      <c r="C116" s="354">
        <f t="shared" si="7"/>
        <v>107.03703703703711</v>
      </c>
      <c r="D116" s="354">
        <v>217500</v>
      </c>
      <c r="E116" s="354">
        <f t="shared" si="8"/>
        <v>127.6408450704226</v>
      </c>
      <c r="F116" s="356">
        <v>18910</v>
      </c>
      <c r="G116" s="354">
        <f t="shared" si="9"/>
        <v>120.29262086513985</v>
      </c>
      <c r="H116" s="356">
        <v>17080</v>
      </c>
      <c r="I116" s="354">
        <f t="shared" si="10"/>
        <v>133.12548713951668</v>
      </c>
      <c r="J116" s="356">
        <v>25350</v>
      </c>
      <c r="K116" s="354">
        <f t="shared" si="11"/>
        <v>111.67400881057273</v>
      </c>
      <c r="L116" s="356">
        <v>94500</v>
      </c>
      <c r="M116" s="354">
        <f t="shared" si="12"/>
        <v>139.79289940828392</v>
      </c>
      <c r="N116" s="356">
        <v>9090</v>
      </c>
      <c r="O116" s="354">
        <f t="shared" si="13"/>
        <v>116.38924455825854</v>
      </c>
    </row>
    <row r="117" spans="1:15">
      <c r="A117" s="353" t="s">
        <v>1079</v>
      </c>
      <c r="B117" s="354">
        <v>59100</v>
      </c>
      <c r="C117" s="354">
        <f t="shared" si="7"/>
        <v>109.44444444444451</v>
      </c>
      <c r="D117" s="354">
        <v>224500</v>
      </c>
      <c r="E117" s="354">
        <f t="shared" si="8"/>
        <v>131.74882629107987</v>
      </c>
      <c r="F117" s="356">
        <v>19400</v>
      </c>
      <c r="G117" s="354">
        <f t="shared" si="9"/>
        <v>123.40966921119583</v>
      </c>
      <c r="H117" s="356">
        <v>17370</v>
      </c>
      <c r="I117" s="354">
        <f t="shared" si="10"/>
        <v>135.38581449727195</v>
      </c>
      <c r="J117" s="356">
        <v>25700</v>
      </c>
      <c r="K117" s="354">
        <f t="shared" si="11"/>
        <v>113.21585903083705</v>
      </c>
      <c r="L117" s="356">
        <v>95500</v>
      </c>
      <c r="M117" s="354">
        <f t="shared" si="12"/>
        <v>141.27218934911232</v>
      </c>
      <c r="N117" s="356">
        <v>9270</v>
      </c>
      <c r="O117" s="354">
        <f t="shared" si="13"/>
        <v>118.69398207426366</v>
      </c>
    </row>
    <row r="118" spans="1:15">
      <c r="A118" s="353" t="s">
        <v>1078</v>
      </c>
      <c r="B118" s="354">
        <v>59800</v>
      </c>
      <c r="C118" s="354">
        <f t="shared" si="7"/>
        <v>110.7407407407408</v>
      </c>
      <c r="D118" s="354">
        <v>229000</v>
      </c>
      <c r="E118" s="354">
        <f t="shared" si="8"/>
        <v>134.38967136150242</v>
      </c>
      <c r="F118" s="356">
        <v>19730</v>
      </c>
      <c r="G118" s="354">
        <f t="shared" si="9"/>
        <v>125.5089058524172</v>
      </c>
      <c r="H118" s="356">
        <v>17400</v>
      </c>
      <c r="I118" s="354">
        <f t="shared" si="10"/>
        <v>135.61964146531562</v>
      </c>
      <c r="J118" s="356">
        <v>25450</v>
      </c>
      <c r="K118" s="354">
        <f t="shared" si="11"/>
        <v>112.11453744493397</v>
      </c>
      <c r="L118" s="356">
        <v>94400</v>
      </c>
      <c r="M118" s="354">
        <f t="shared" si="12"/>
        <v>139.64497041420108</v>
      </c>
      <c r="N118" s="356">
        <v>9330</v>
      </c>
      <c r="O118" s="354">
        <f t="shared" si="13"/>
        <v>119.46222791293202</v>
      </c>
    </row>
    <row r="119" spans="1:15">
      <c r="A119" s="353" t="s">
        <v>1077</v>
      </c>
      <c r="B119" s="354">
        <v>59200</v>
      </c>
      <c r="C119" s="354">
        <f t="shared" si="7"/>
        <v>109.62962962962969</v>
      </c>
      <c r="D119" s="354">
        <v>230500</v>
      </c>
      <c r="E119" s="354">
        <f t="shared" si="8"/>
        <v>135.26995305164328</v>
      </c>
      <c r="F119" s="356">
        <v>19490</v>
      </c>
      <c r="G119" s="354">
        <f t="shared" si="9"/>
        <v>123.9821882951653</v>
      </c>
      <c r="H119" s="356">
        <v>17380</v>
      </c>
      <c r="I119" s="354">
        <f t="shared" si="10"/>
        <v>135.4637568199532</v>
      </c>
      <c r="J119" s="356">
        <v>25350</v>
      </c>
      <c r="K119" s="354">
        <f t="shared" si="11"/>
        <v>111.67400881057274</v>
      </c>
      <c r="L119" s="356">
        <v>94500</v>
      </c>
      <c r="M119" s="354">
        <f t="shared" si="12"/>
        <v>139.79289940828394</v>
      </c>
      <c r="N119" s="356">
        <v>9230</v>
      </c>
      <c r="O119" s="354">
        <f t="shared" si="13"/>
        <v>118.18181818181807</v>
      </c>
    </row>
    <row r="120" spans="1:15">
      <c r="A120" s="353" t="s">
        <v>1076</v>
      </c>
      <c r="B120" s="354">
        <v>59900</v>
      </c>
      <c r="C120" s="354">
        <f t="shared" si="7"/>
        <v>110.92592592592599</v>
      </c>
      <c r="D120" s="354">
        <v>240000</v>
      </c>
      <c r="E120" s="354">
        <f t="shared" si="8"/>
        <v>140.84507042253529</v>
      </c>
      <c r="F120" s="356">
        <v>20900</v>
      </c>
      <c r="G120" s="354">
        <f t="shared" si="9"/>
        <v>132.95165394402028</v>
      </c>
      <c r="H120" s="356">
        <v>17900</v>
      </c>
      <c r="I120" s="354">
        <f t="shared" si="10"/>
        <v>139.5167575993764</v>
      </c>
      <c r="J120" s="356">
        <v>26650</v>
      </c>
      <c r="K120" s="354">
        <f t="shared" si="11"/>
        <v>117.40088105726879</v>
      </c>
      <c r="L120" s="356">
        <v>101900</v>
      </c>
      <c r="M120" s="354">
        <f t="shared" si="12"/>
        <v>150.7396449704141</v>
      </c>
      <c r="N120" s="356">
        <v>9600</v>
      </c>
      <c r="O120" s="354">
        <f t="shared" si="13"/>
        <v>122.91933418693969</v>
      </c>
    </row>
    <row r="121" spans="1:15">
      <c r="A121" s="353" t="s">
        <v>1075</v>
      </c>
      <c r="B121" s="354">
        <v>59500</v>
      </c>
      <c r="C121" s="354">
        <f t="shared" si="7"/>
        <v>110.18518518518526</v>
      </c>
      <c r="D121" s="354">
        <v>235500</v>
      </c>
      <c r="E121" s="354">
        <f t="shared" si="8"/>
        <v>138.20422535211276</v>
      </c>
      <c r="F121" s="356">
        <v>20550</v>
      </c>
      <c r="G121" s="354">
        <f t="shared" si="9"/>
        <v>130.72519083969456</v>
      </c>
      <c r="H121" s="356">
        <v>17720</v>
      </c>
      <c r="I121" s="354">
        <f t="shared" si="10"/>
        <v>138.11379579111451</v>
      </c>
      <c r="J121" s="356">
        <v>25950</v>
      </c>
      <c r="K121" s="354">
        <f t="shared" si="11"/>
        <v>114.31718061674016</v>
      </c>
      <c r="L121" s="356">
        <v>98800</v>
      </c>
      <c r="M121" s="354">
        <f t="shared" si="12"/>
        <v>146.15384615384605</v>
      </c>
      <c r="N121" s="356">
        <v>9450</v>
      </c>
      <c r="O121" s="354">
        <f t="shared" si="13"/>
        <v>120.99871959026876</v>
      </c>
    </row>
    <row r="122" spans="1:15">
      <c r="A122" s="353" t="s">
        <v>1074</v>
      </c>
      <c r="B122" s="354">
        <v>58300</v>
      </c>
      <c r="C122" s="354">
        <f t="shared" si="7"/>
        <v>107.96296296296303</v>
      </c>
      <c r="D122" s="354">
        <v>235500</v>
      </c>
      <c r="E122" s="354">
        <f t="shared" si="8"/>
        <v>138.20422535211276</v>
      </c>
      <c r="F122" s="356">
        <v>19760</v>
      </c>
      <c r="G122" s="354">
        <f t="shared" si="9"/>
        <v>125.6997455470737</v>
      </c>
      <c r="H122" s="356">
        <v>17290</v>
      </c>
      <c r="I122" s="354">
        <f t="shared" si="10"/>
        <v>134.76227591582222</v>
      </c>
      <c r="J122" s="356">
        <v>24950</v>
      </c>
      <c r="K122" s="354">
        <f t="shared" si="11"/>
        <v>109.91189427312781</v>
      </c>
      <c r="L122" s="356">
        <v>99900</v>
      </c>
      <c r="M122" s="354">
        <f t="shared" si="12"/>
        <v>147.78106508875729</v>
      </c>
      <c r="N122" s="356">
        <v>9080</v>
      </c>
      <c r="O122" s="354">
        <f t="shared" si="13"/>
        <v>116.26120358514713</v>
      </c>
    </row>
    <row r="123" spans="1:15">
      <c r="A123" s="353" t="s">
        <v>1073</v>
      </c>
      <c r="B123" s="354">
        <v>57200</v>
      </c>
      <c r="C123" s="354">
        <f t="shared" si="7"/>
        <v>105.92592592592599</v>
      </c>
      <c r="D123" s="354">
        <v>248000</v>
      </c>
      <c r="E123" s="354">
        <f t="shared" si="8"/>
        <v>145.53990610328646</v>
      </c>
      <c r="F123" s="356">
        <v>19930</v>
      </c>
      <c r="G123" s="354">
        <f t="shared" si="9"/>
        <v>126.78117048346047</v>
      </c>
      <c r="H123" s="356">
        <v>17030</v>
      </c>
      <c r="I123" s="354">
        <f t="shared" si="10"/>
        <v>132.73577552611061</v>
      </c>
      <c r="J123" s="356">
        <v>25050</v>
      </c>
      <c r="K123" s="354">
        <f t="shared" si="11"/>
        <v>110.35242290748904</v>
      </c>
      <c r="L123" s="356">
        <v>101100</v>
      </c>
      <c r="M123" s="354">
        <f t="shared" si="12"/>
        <v>149.55621301775136</v>
      </c>
      <c r="N123" s="356">
        <v>8820</v>
      </c>
      <c r="O123" s="354">
        <f t="shared" si="13"/>
        <v>112.93213828425084</v>
      </c>
    </row>
    <row r="124" spans="1:15">
      <c r="A124" s="353" t="s">
        <v>1072</v>
      </c>
      <c r="B124" s="354">
        <v>58100</v>
      </c>
      <c r="C124" s="354">
        <f t="shared" si="7"/>
        <v>107.59259259259268</v>
      </c>
      <c r="D124" s="354">
        <v>249000</v>
      </c>
      <c r="E124" s="354">
        <f t="shared" si="8"/>
        <v>146.12676056338037</v>
      </c>
      <c r="F124" s="356">
        <v>20750</v>
      </c>
      <c r="G124" s="354">
        <f t="shared" si="9"/>
        <v>131.99745547073783</v>
      </c>
      <c r="H124" s="356">
        <v>17630</v>
      </c>
      <c r="I124" s="354">
        <f t="shared" si="10"/>
        <v>137.41231488698355</v>
      </c>
      <c r="J124" s="356">
        <v>25400</v>
      </c>
      <c r="K124" s="354">
        <f t="shared" si="11"/>
        <v>111.89427312775335</v>
      </c>
      <c r="L124" s="356">
        <v>99000</v>
      </c>
      <c r="M124" s="354">
        <f t="shared" si="12"/>
        <v>146.44970414201171</v>
      </c>
      <c r="N124" s="356">
        <v>8710</v>
      </c>
      <c r="O124" s="354">
        <f t="shared" si="13"/>
        <v>111.52368758002548</v>
      </c>
    </row>
    <row r="125" spans="1:15">
      <c r="A125" s="353" t="s">
        <v>1071</v>
      </c>
      <c r="B125" s="354">
        <v>59800</v>
      </c>
      <c r="C125" s="354">
        <f t="shared" si="7"/>
        <v>110.74074074074085</v>
      </c>
      <c r="D125" s="354">
        <v>246500</v>
      </c>
      <c r="E125" s="354">
        <f t="shared" si="8"/>
        <v>144.65962441314562</v>
      </c>
      <c r="F125" s="356">
        <v>20800</v>
      </c>
      <c r="G125" s="354">
        <f t="shared" si="9"/>
        <v>132.31552162849866</v>
      </c>
      <c r="H125" s="356">
        <v>17810</v>
      </c>
      <c r="I125" s="354">
        <f t="shared" si="10"/>
        <v>138.81527669524544</v>
      </c>
      <c r="J125" s="356">
        <v>25550</v>
      </c>
      <c r="K125" s="354">
        <f t="shared" si="11"/>
        <v>112.5550660792952</v>
      </c>
      <c r="L125" s="356">
        <v>100900</v>
      </c>
      <c r="M125" s="354">
        <f t="shared" si="12"/>
        <v>149.26035502958567</v>
      </c>
      <c r="N125" s="356">
        <v>8790</v>
      </c>
      <c r="O125" s="354">
        <f t="shared" si="13"/>
        <v>112.54801536491665</v>
      </c>
    </row>
    <row r="126" spans="1:15">
      <c r="A126" s="353" t="s">
        <v>1070</v>
      </c>
      <c r="B126" s="354">
        <v>59200</v>
      </c>
      <c r="C126" s="354">
        <f t="shared" si="7"/>
        <v>109.62962962962973</v>
      </c>
      <c r="D126" s="354">
        <v>246000</v>
      </c>
      <c r="E126" s="354">
        <f t="shared" si="8"/>
        <v>144.36619718309868</v>
      </c>
      <c r="F126" s="356">
        <v>21350</v>
      </c>
      <c r="G126" s="354">
        <f t="shared" si="9"/>
        <v>135.81424936386762</v>
      </c>
      <c r="H126" s="356">
        <v>17870</v>
      </c>
      <c r="I126" s="354">
        <f t="shared" si="10"/>
        <v>139.28293063133276</v>
      </c>
      <c r="J126" s="356">
        <v>25500</v>
      </c>
      <c r="K126" s="354">
        <f t="shared" si="11"/>
        <v>112.33480176211458</v>
      </c>
      <c r="L126" s="356">
        <v>100200</v>
      </c>
      <c r="M126" s="354">
        <f t="shared" si="12"/>
        <v>148.22485207100578</v>
      </c>
      <c r="N126" s="356">
        <v>8830</v>
      </c>
      <c r="O126" s="354">
        <f t="shared" si="13"/>
        <v>113.06017925736224</v>
      </c>
    </row>
    <row r="127" spans="1:15">
      <c r="A127" s="353" t="s">
        <v>1069</v>
      </c>
      <c r="B127" s="354">
        <v>59500</v>
      </c>
      <c r="C127" s="354">
        <f t="shared" si="7"/>
        <v>110.18518518518529</v>
      </c>
      <c r="D127" s="354">
        <v>257000</v>
      </c>
      <c r="E127" s="354">
        <f t="shared" si="8"/>
        <v>150.82159624413154</v>
      </c>
      <c r="F127" s="356">
        <v>21700</v>
      </c>
      <c r="G127" s="354">
        <f t="shared" si="9"/>
        <v>138.04071246819331</v>
      </c>
      <c r="H127" s="356">
        <v>17820</v>
      </c>
      <c r="I127" s="354">
        <f t="shared" si="10"/>
        <v>138.8932190179267</v>
      </c>
      <c r="J127" s="356">
        <v>25650</v>
      </c>
      <c r="K127" s="354">
        <f t="shared" si="11"/>
        <v>112.99559471365643</v>
      </c>
      <c r="L127" s="356">
        <v>101800</v>
      </c>
      <c r="M127" s="354">
        <f t="shared" si="12"/>
        <v>150.59171597633122</v>
      </c>
      <c r="N127" s="356">
        <v>8940</v>
      </c>
      <c r="O127" s="354">
        <f t="shared" si="13"/>
        <v>114.46862996158758</v>
      </c>
    </row>
    <row r="128" spans="1:15">
      <c r="A128" s="353" t="s">
        <v>1068</v>
      </c>
      <c r="B128" s="354">
        <v>58000</v>
      </c>
      <c r="C128" s="354">
        <f t="shared" si="7"/>
        <v>107.4074074074075</v>
      </c>
      <c r="D128" s="354">
        <v>259500</v>
      </c>
      <c r="E128" s="354">
        <f t="shared" si="8"/>
        <v>152.28873239436629</v>
      </c>
      <c r="F128" s="356">
        <v>21100</v>
      </c>
      <c r="G128" s="354">
        <f t="shared" si="9"/>
        <v>134.22391857506355</v>
      </c>
      <c r="H128" s="356">
        <v>17530</v>
      </c>
      <c r="I128" s="354">
        <f t="shared" si="10"/>
        <v>136.63289166017145</v>
      </c>
      <c r="J128" s="356">
        <v>24650</v>
      </c>
      <c r="K128" s="354">
        <f t="shared" si="11"/>
        <v>108.5903083700441</v>
      </c>
      <c r="L128" s="356">
        <v>99500</v>
      </c>
      <c r="M128" s="354">
        <f t="shared" si="12"/>
        <v>147.1893491124259</v>
      </c>
      <c r="N128" s="356">
        <v>8620</v>
      </c>
      <c r="O128" s="354">
        <f t="shared" si="13"/>
        <v>110.37131882202293</v>
      </c>
    </row>
    <row r="129" spans="1:15">
      <c r="A129" s="353" t="s">
        <v>1067</v>
      </c>
      <c r="B129" s="354">
        <v>60500</v>
      </c>
      <c r="C129" s="354">
        <f t="shared" si="7"/>
        <v>112.03703703703714</v>
      </c>
      <c r="D129" s="354">
        <v>278500</v>
      </c>
      <c r="E129" s="354">
        <f t="shared" si="8"/>
        <v>163.43896713615032</v>
      </c>
      <c r="F129" s="356">
        <v>21600</v>
      </c>
      <c r="G129" s="354">
        <f t="shared" si="9"/>
        <v>137.40458015267168</v>
      </c>
      <c r="H129" s="356">
        <v>18130</v>
      </c>
      <c r="I129" s="354">
        <f t="shared" si="10"/>
        <v>141.30943102104442</v>
      </c>
      <c r="J129" s="356">
        <v>25550</v>
      </c>
      <c r="K129" s="354">
        <f t="shared" si="11"/>
        <v>112.55506607929519</v>
      </c>
      <c r="L129" s="356">
        <v>102000</v>
      </c>
      <c r="M129" s="354">
        <f t="shared" si="12"/>
        <v>150.88757396449691</v>
      </c>
      <c r="N129" s="356">
        <v>8920</v>
      </c>
      <c r="O129" s="354">
        <f t="shared" si="13"/>
        <v>114.2125480153648</v>
      </c>
    </row>
    <row r="130" spans="1:15">
      <c r="A130" s="353" t="s">
        <v>1066</v>
      </c>
      <c r="B130" s="354">
        <v>61300</v>
      </c>
      <c r="C130" s="354">
        <f t="shared" si="7"/>
        <v>113.51851851851862</v>
      </c>
      <c r="D130" s="354">
        <v>286000</v>
      </c>
      <c r="E130" s="354">
        <f t="shared" si="8"/>
        <v>167.84037558685455</v>
      </c>
      <c r="F130" s="356">
        <v>21500</v>
      </c>
      <c r="G130" s="354">
        <f t="shared" si="9"/>
        <v>136.76844783715006</v>
      </c>
      <c r="H130" s="356">
        <v>18370</v>
      </c>
      <c r="I130" s="354">
        <f t="shared" si="10"/>
        <v>143.1800467653936</v>
      </c>
      <c r="J130" s="356">
        <v>26350</v>
      </c>
      <c r="K130" s="354">
        <f t="shared" si="11"/>
        <v>116.07929515418506</v>
      </c>
      <c r="L130" s="356">
        <v>106800</v>
      </c>
      <c r="M130" s="354">
        <f t="shared" si="12"/>
        <v>157.98816568047323</v>
      </c>
      <c r="N130" s="356">
        <v>9200</v>
      </c>
      <c r="O130" s="354">
        <f t="shared" si="13"/>
        <v>117.79769526248388</v>
      </c>
    </row>
    <row r="131" spans="1:15">
      <c r="A131" s="353" t="s">
        <v>1065</v>
      </c>
      <c r="B131" s="354">
        <v>60200</v>
      </c>
      <c r="C131" s="354">
        <f t="shared" si="7"/>
        <v>111.48148148148158</v>
      </c>
      <c r="D131" s="354">
        <v>293000</v>
      </c>
      <c r="E131" s="354">
        <f t="shared" si="8"/>
        <v>171.9483568075118</v>
      </c>
      <c r="F131" s="356">
        <v>21100</v>
      </c>
      <c r="G131" s="354">
        <f t="shared" si="9"/>
        <v>134.22391857506355</v>
      </c>
      <c r="H131" s="356">
        <v>18150</v>
      </c>
      <c r="I131" s="354">
        <f t="shared" si="10"/>
        <v>141.46531566640684</v>
      </c>
      <c r="J131" s="356">
        <v>25800</v>
      </c>
      <c r="K131" s="354">
        <f t="shared" si="11"/>
        <v>113.65638766519828</v>
      </c>
      <c r="L131" s="356">
        <v>105800</v>
      </c>
      <c r="M131" s="354">
        <f t="shared" si="12"/>
        <v>156.50887573964482</v>
      </c>
      <c r="N131" s="356">
        <v>9190</v>
      </c>
      <c r="O131" s="354">
        <f t="shared" si="13"/>
        <v>117.66965428937249</v>
      </c>
    </row>
    <row r="132" spans="1:15">
      <c r="A132" s="353" t="s">
        <v>1064</v>
      </c>
      <c r="B132" s="354">
        <v>60800</v>
      </c>
      <c r="C132" s="354">
        <f t="shared" ref="C132:C195" si="14">+C131*(1+(B132/B131-1))</f>
        <v>112.59259259259268</v>
      </c>
      <c r="D132" s="354">
        <v>284000</v>
      </c>
      <c r="E132" s="354">
        <f t="shared" ref="E132:E195" si="15">+E131*(1+(D132/D131-1))</f>
        <v>166.66666666666671</v>
      </c>
      <c r="F132" s="356">
        <v>21650</v>
      </c>
      <c r="G132" s="354">
        <f t="shared" ref="G132:G195" si="16">+G131*(1+(F132/F131-1))</f>
        <v>137.72264631043251</v>
      </c>
      <c r="H132" s="356">
        <v>18190</v>
      </c>
      <c r="I132" s="354">
        <f t="shared" ref="I132:I195" si="17">+I131*(1+(H132/H131-1))</f>
        <v>141.77708495713171</v>
      </c>
      <c r="J132" s="356">
        <v>26150</v>
      </c>
      <c r="K132" s="354">
        <f t="shared" ref="K132:K195" si="18">+K131*(1+(J132/J131-1))</f>
        <v>115.1982378854626</v>
      </c>
      <c r="L132" s="356">
        <v>103700</v>
      </c>
      <c r="M132" s="354">
        <f t="shared" ref="M132:M195" si="19">+M131*(1+(L132/L131-1))</f>
        <v>153.40236686390517</v>
      </c>
      <c r="N132" s="356">
        <v>9030</v>
      </c>
      <c r="O132" s="354">
        <f t="shared" ref="O132:O195" si="20">+O131*(1+(N132/N131-1))</f>
        <v>115.62099871959016</v>
      </c>
    </row>
    <row r="133" spans="1:15">
      <c r="A133" s="353" t="s">
        <v>1063</v>
      </c>
      <c r="B133" s="354">
        <v>59800</v>
      </c>
      <c r="C133" s="354">
        <f t="shared" si="14"/>
        <v>110.74074074074082</v>
      </c>
      <c r="D133" s="354">
        <v>292000</v>
      </c>
      <c r="E133" s="354">
        <f t="shared" si="15"/>
        <v>171.36150234741788</v>
      </c>
      <c r="F133" s="356">
        <v>21650</v>
      </c>
      <c r="G133" s="354">
        <f t="shared" si="16"/>
        <v>137.72264631043251</v>
      </c>
      <c r="H133" s="356">
        <v>18400</v>
      </c>
      <c r="I133" s="354">
        <f t="shared" si="17"/>
        <v>143.41387373343724</v>
      </c>
      <c r="J133" s="356">
        <v>25650</v>
      </c>
      <c r="K133" s="354">
        <f t="shared" si="18"/>
        <v>112.99559471365643</v>
      </c>
      <c r="L133" s="356">
        <v>107400</v>
      </c>
      <c r="M133" s="354">
        <f t="shared" si="19"/>
        <v>158.87573964497025</v>
      </c>
      <c r="N133" s="356">
        <v>8890</v>
      </c>
      <c r="O133" s="354">
        <f t="shared" si="20"/>
        <v>113.82842509603063</v>
      </c>
    </row>
    <row r="134" spans="1:15">
      <c r="A134" s="353" t="s">
        <v>1062</v>
      </c>
      <c r="B134" s="354">
        <v>60200</v>
      </c>
      <c r="C134" s="354">
        <f t="shared" si="14"/>
        <v>111.48148148148157</v>
      </c>
      <c r="D134" s="354">
        <v>285500</v>
      </c>
      <c r="E134" s="354">
        <f t="shared" si="15"/>
        <v>167.54694835680755</v>
      </c>
      <c r="F134" s="356">
        <v>21700</v>
      </c>
      <c r="G134" s="354">
        <f t="shared" si="16"/>
        <v>138.04071246819333</v>
      </c>
      <c r="H134" s="356">
        <v>17870</v>
      </c>
      <c r="I134" s="354">
        <f t="shared" si="17"/>
        <v>139.28293063133279</v>
      </c>
      <c r="J134" s="356">
        <v>25700</v>
      </c>
      <c r="K134" s="354">
        <f t="shared" si="18"/>
        <v>113.21585903083705</v>
      </c>
      <c r="L134" s="356">
        <v>105700</v>
      </c>
      <c r="M134" s="354">
        <f t="shared" si="19"/>
        <v>156.36094674556199</v>
      </c>
      <c r="N134" s="356">
        <v>8800</v>
      </c>
      <c r="O134" s="354">
        <f t="shared" si="20"/>
        <v>112.67605633802806</v>
      </c>
    </row>
    <row r="135" spans="1:15">
      <c r="A135" s="353" t="s">
        <v>1061</v>
      </c>
      <c r="B135" s="354">
        <v>60800</v>
      </c>
      <c r="C135" s="354">
        <f t="shared" si="14"/>
        <v>112.59259259259267</v>
      </c>
      <c r="D135" s="354">
        <v>279000</v>
      </c>
      <c r="E135" s="354">
        <f t="shared" si="15"/>
        <v>163.73239436619721</v>
      </c>
      <c r="F135" s="356">
        <v>21250</v>
      </c>
      <c r="G135" s="354">
        <f t="shared" si="16"/>
        <v>135.17811704834602</v>
      </c>
      <c r="H135" s="356">
        <v>17270</v>
      </c>
      <c r="I135" s="354">
        <f t="shared" si="17"/>
        <v>134.60639127045982</v>
      </c>
      <c r="J135" s="356">
        <v>25200</v>
      </c>
      <c r="K135" s="354">
        <f t="shared" si="18"/>
        <v>111.01321585903088</v>
      </c>
      <c r="L135" s="356">
        <v>103400</v>
      </c>
      <c r="M135" s="354">
        <f t="shared" si="19"/>
        <v>152.95857988165665</v>
      </c>
      <c r="N135" s="356">
        <v>8630</v>
      </c>
      <c r="O135" s="354">
        <f t="shared" si="20"/>
        <v>110.49935979513434</v>
      </c>
    </row>
    <row r="136" spans="1:15">
      <c r="A136" s="353" t="s">
        <v>1060</v>
      </c>
      <c r="B136" s="354">
        <v>63800</v>
      </c>
      <c r="C136" s="354">
        <f t="shared" si="14"/>
        <v>118.14814814814824</v>
      </c>
      <c r="D136" s="354">
        <v>278500</v>
      </c>
      <c r="E136" s="354">
        <f t="shared" si="15"/>
        <v>163.43896713615027</v>
      </c>
      <c r="F136" s="356">
        <v>23300</v>
      </c>
      <c r="G136" s="354">
        <f t="shared" si="16"/>
        <v>148.21882951653942</v>
      </c>
      <c r="H136" s="356">
        <v>17420</v>
      </c>
      <c r="I136" s="354">
        <f t="shared" si="17"/>
        <v>135.77552611067804</v>
      </c>
      <c r="J136" s="356">
        <v>26500</v>
      </c>
      <c r="K136" s="354">
        <f t="shared" si="18"/>
        <v>116.74008810572693</v>
      </c>
      <c r="L136" s="356">
        <v>107000</v>
      </c>
      <c r="M136" s="354">
        <f t="shared" si="19"/>
        <v>158.28402366863889</v>
      </c>
      <c r="N136" s="356">
        <v>9090</v>
      </c>
      <c r="O136" s="354">
        <f t="shared" si="20"/>
        <v>116.38924455825854</v>
      </c>
    </row>
    <row r="137" spans="1:15">
      <c r="A137" s="353" t="s">
        <v>1059</v>
      </c>
      <c r="B137" s="354">
        <v>63300</v>
      </c>
      <c r="C137" s="354">
        <f t="shared" si="14"/>
        <v>117.22222222222231</v>
      </c>
      <c r="D137" s="354">
        <v>270500</v>
      </c>
      <c r="E137" s="354">
        <f t="shared" si="15"/>
        <v>158.7441314553991</v>
      </c>
      <c r="F137" s="356">
        <v>22950</v>
      </c>
      <c r="G137" s="354">
        <f t="shared" si="16"/>
        <v>145.99236641221373</v>
      </c>
      <c r="H137" s="356">
        <v>18260</v>
      </c>
      <c r="I137" s="354">
        <f t="shared" si="17"/>
        <v>142.32268121590016</v>
      </c>
      <c r="J137" s="356">
        <v>25900</v>
      </c>
      <c r="K137" s="354">
        <f t="shared" si="18"/>
        <v>114.09691629955952</v>
      </c>
      <c r="L137" s="356">
        <v>106300</v>
      </c>
      <c r="M137" s="354">
        <f t="shared" si="19"/>
        <v>157.24852071005901</v>
      </c>
      <c r="N137" s="356">
        <v>8900</v>
      </c>
      <c r="O137" s="354">
        <f t="shared" si="20"/>
        <v>113.95646606914202</v>
      </c>
    </row>
    <row r="138" spans="1:15">
      <c r="A138" s="353" t="s">
        <v>1058</v>
      </c>
      <c r="B138" s="354">
        <v>61700</v>
      </c>
      <c r="C138" s="354">
        <f t="shared" si="14"/>
        <v>114.25925925925935</v>
      </c>
      <c r="D138" s="354">
        <v>271000</v>
      </c>
      <c r="E138" s="354">
        <f t="shared" si="15"/>
        <v>159.03755868544604</v>
      </c>
      <c r="F138" s="356">
        <v>22950</v>
      </c>
      <c r="G138" s="354">
        <f t="shared" si="16"/>
        <v>145.99236641221373</v>
      </c>
      <c r="H138" s="356">
        <v>19180</v>
      </c>
      <c r="I138" s="354">
        <f t="shared" si="17"/>
        <v>149.49337490257201</v>
      </c>
      <c r="J138" s="356">
        <v>25450</v>
      </c>
      <c r="K138" s="354">
        <f t="shared" si="18"/>
        <v>112.11453744493397</v>
      </c>
      <c r="L138" s="356">
        <v>106400</v>
      </c>
      <c r="M138" s="354">
        <f t="shared" si="19"/>
        <v>157.39644970414184</v>
      </c>
      <c r="N138" s="356">
        <v>8790</v>
      </c>
      <c r="O138" s="354">
        <f t="shared" si="20"/>
        <v>112.54801536491668</v>
      </c>
    </row>
    <row r="139" spans="1:15">
      <c r="A139" s="353" t="s">
        <v>1057</v>
      </c>
      <c r="B139" s="354">
        <v>61400</v>
      </c>
      <c r="C139" s="354">
        <f t="shared" si="14"/>
        <v>113.70370370370379</v>
      </c>
      <c r="D139" s="354">
        <v>282000</v>
      </c>
      <c r="E139" s="354">
        <f t="shared" si="15"/>
        <v>165.49295774647888</v>
      </c>
      <c r="F139" s="356">
        <v>23000</v>
      </c>
      <c r="G139" s="354">
        <f t="shared" si="16"/>
        <v>146.31043256997452</v>
      </c>
      <c r="H139" s="356">
        <v>18910</v>
      </c>
      <c r="I139" s="354">
        <f t="shared" si="17"/>
        <v>147.38893219017919</v>
      </c>
      <c r="J139" s="356">
        <v>25200</v>
      </c>
      <c r="K139" s="354">
        <f t="shared" si="18"/>
        <v>111.01321585903089</v>
      </c>
      <c r="L139" s="356">
        <v>103900</v>
      </c>
      <c r="M139" s="354">
        <f t="shared" si="19"/>
        <v>153.69822485207084</v>
      </c>
      <c r="N139" s="356">
        <v>8740</v>
      </c>
      <c r="O139" s="354">
        <f t="shared" si="20"/>
        <v>111.9078104993597</v>
      </c>
    </row>
    <row r="140" spans="1:15">
      <c r="A140" s="353" t="s">
        <v>1056</v>
      </c>
      <c r="B140" s="354">
        <v>60400</v>
      </c>
      <c r="C140" s="354">
        <f t="shared" si="14"/>
        <v>111.85185185185195</v>
      </c>
      <c r="D140" s="354">
        <v>281000</v>
      </c>
      <c r="E140" s="354">
        <f t="shared" si="15"/>
        <v>164.90610328638499</v>
      </c>
      <c r="F140" s="356">
        <v>23400</v>
      </c>
      <c r="G140" s="354">
        <f t="shared" si="16"/>
        <v>148.85496183206101</v>
      </c>
      <c r="H140" s="356">
        <v>19170</v>
      </c>
      <c r="I140" s="354">
        <f t="shared" si="17"/>
        <v>149.41543257989079</v>
      </c>
      <c r="J140" s="356">
        <v>24700</v>
      </c>
      <c r="K140" s="354">
        <f t="shared" si="18"/>
        <v>108.81057268722472</v>
      </c>
      <c r="L140" s="356">
        <v>102100</v>
      </c>
      <c r="M140" s="354">
        <f t="shared" si="19"/>
        <v>151.03550295857971</v>
      </c>
      <c r="N140" s="356">
        <v>8880</v>
      </c>
      <c r="O140" s="354">
        <f t="shared" si="20"/>
        <v>113.70038412291925</v>
      </c>
    </row>
    <row r="141" spans="1:15">
      <c r="A141" s="353" t="s">
        <v>1055</v>
      </c>
      <c r="B141" s="354">
        <v>61000</v>
      </c>
      <c r="C141" s="354">
        <f t="shared" si="14"/>
        <v>112.96296296296305</v>
      </c>
      <c r="D141" s="354">
        <v>297000</v>
      </c>
      <c r="E141" s="354">
        <f t="shared" si="15"/>
        <v>174.29577464788736</v>
      </c>
      <c r="F141" s="356">
        <v>24600</v>
      </c>
      <c r="G141" s="354">
        <f t="shared" si="16"/>
        <v>156.48854961832055</v>
      </c>
      <c r="H141" s="356">
        <v>18810</v>
      </c>
      <c r="I141" s="354">
        <f t="shared" si="17"/>
        <v>146.60950896336701</v>
      </c>
      <c r="J141" s="356">
        <v>24500</v>
      </c>
      <c r="K141" s="354">
        <f t="shared" si="18"/>
        <v>107.92951541850226</v>
      </c>
      <c r="L141" s="356">
        <v>104500</v>
      </c>
      <c r="M141" s="354">
        <f t="shared" si="19"/>
        <v>154.58579881656789</v>
      </c>
      <c r="N141" s="356">
        <v>8910</v>
      </c>
      <c r="O141" s="354">
        <f t="shared" si="20"/>
        <v>114.08450704225342</v>
      </c>
    </row>
    <row r="142" spans="1:15">
      <c r="A142" s="353" t="s">
        <v>1054</v>
      </c>
      <c r="B142" s="354">
        <v>62600</v>
      </c>
      <c r="C142" s="354">
        <f t="shared" si="14"/>
        <v>115.92592592592599</v>
      </c>
      <c r="D142" s="354">
        <v>294500</v>
      </c>
      <c r="E142" s="354">
        <f t="shared" si="15"/>
        <v>172.82863849765261</v>
      </c>
      <c r="F142" s="356">
        <v>25000</v>
      </c>
      <c r="G142" s="354">
        <f t="shared" si="16"/>
        <v>159.03307888040706</v>
      </c>
      <c r="H142" s="356">
        <v>18380</v>
      </c>
      <c r="I142" s="354">
        <f t="shared" si="17"/>
        <v>143.25798908807474</v>
      </c>
      <c r="J142" s="356">
        <v>25050</v>
      </c>
      <c r="K142" s="354">
        <f t="shared" si="18"/>
        <v>110.35242290748906</v>
      </c>
      <c r="L142" s="356">
        <v>100900</v>
      </c>
      <c r="M142" s="354">
        <f t="shared" si="19"/>
        <v>149.26035502958564</v>
      </c>
      <c r="N142" s="356">
        <v>9100</v>
      </c>
      <c r="O142" s="354">
        <f t="shared" si="20"/>
        <v>116.51728553136994</v>
      </c>
    </row>
    <row r="143" spans="1:15">
      <c r="A143" s="353" t="s">
        <v>1053</v>
      </c>
      <c r="B143" s="354">
        <v>62500</v>
      </c>
      <c r="C143" s="354">
        <f t="shared" si="14"/>
        <v>115.74074074074082</v>
      </c>
      <c r="D143" s="354">
        <v>300000</v>
      </c>
      <c r="E143" s="354">
        <f t="shared" si="15"/>
        <v>176.05633802816905</v>
      </c>
      <c r="F143" s="356">
        <v>25000</v>
      </c>
      <c r="G143" s="354">
        <f t="shared" si="16"/>
        <v>159.03307888040706</v>
      </c>
      <c r="H143" s="356">
        <v>18300</v>
      </c>
      <c r="I143" s="354">
        <f t="shared" si="17"/>
        <v>142.634450506625</v>
      </c>
      <c r="J143" s="356">
        <v>24900</v>
      </c>
      <c r="K143" s="354">
        <f t="shared" si="18"/>
        <v>109.69162995594721</v>
      </c>
      <c r="L143" s="356">
        <v>100000</v>
      </c>
      <c r="M143" s="354">
        <f t="shared" si="19"/>
        <v>147.92899408284009</v>
      </c>
      <c r="N143" s="356">
        <v>8910</v>
      </c>
      <c r="O143" s="354">
        <f t="shared" si="20"/>
        <v>114.08450704225342</v>
      </c>
    </row>
    <row r="144" spans="1:15">
      <c r="A144" s="353" t="s">
        <v>1052</v>
      </c>
      <c r="B144" s="354">
        <v>63700</v>
      </c>
      <c r="C144" s="354">
        <f t="shared" si="14"/>
        <v>117.96296296296306</v>
      </c>
      <c r="D144" s="354">
        <v>298500</v>
      </c>
      <c r="E144" s="354">
        <f t="shared" si="15"/>
        <v>175.17605633802822</v>
      </c>
      <c r="F144" s="356">
        <v>25350</v>
      </c>
      <c r="G144" s="354">
        <f t="shared" si="16"/>
        <v>161.25954198473275</v>
      </c>
      <c r="H144" s="356">
        <v>18350</v>
      </c>
      <c r="I144" s="354">
        <f t="shared" si="17"/>
        <v>143.02416212003106</v>
      </c>
      <c r="J144" s="356">
        <v>25450</v>
      </c>
      <c r="K144" s="354">
        <f t="shared" si="18"/>
        <v>112.114537444934</v>
      </c>
      <c r="L144" s="356">
        <v>100100</v>
      </c>
      <c r="M144" s="354">
        <f t="shared" si="19"/>
        <v>148.07692307692292</v>
      </c>
      <c r="N144" s="356">
        <v>9600</v>
      </c>
      <c r="O144" s="354">
        <f t="shared" si="20"/>
        <v>122.91933418693971</v>
      </c>
    </row>
    <row r="145" spans="1:15">
      <c r="A145" s="353" t="s">
        <v>1051</v>
      </c>
      <c r="B145" s="354">
        <v>64700</v>
      </c>
      <c r="C145" s="354">
        <f t="shared" si="14"/>
        <v>119.81481481481492</v>
      </c>
      <c r="D145" s="354">
        <v>296000</v>
      </c>
      <c r="E145" s="354">
        <f t="shared" si="15"/>
        <v>173.70892018779347</v>
      </c>
      <c r="F145" s="356">
        <v>25150</v>
      </c>
      <c r="G145" s="354">
        <f t="shared" si="16"/>
        <v>159.98727735368948</v>
      </c>
      <c r="H145" s="356">
        <v>19000</v>
      </c>
      <c r="I145" s="354">
        <f t="shared" si="17"/>
        <v>148.09041309431009</v>
      </c>
      <c r="J145" s="356">
        <v>25400</v>
      </c>
      <c r="K145" s="354">
        <f t="shared" si="18"/>
        <v>111.89427312775339</v>
      </c>
      <c r="L145" s="356">
        <v>100300</v>
      </c>
      <c r="M145" s="354">
        <f t="shared" si="19"/>
        <v>148.37278106508859</v>
      </c>
      <c r="N145" s="356">
        <v>9800</v>
      </c>
      <c r="O145" s="354">
        <f t="shared" si="20"/>
        <v>125.4801536491676</v>
      </c>
    </row>
    <row r="146" spans="1:15">
      <c r="A146" s="353" t="s">
        <v>1050</v>
      </c>
      <c r="B146" s="354">
        <v>66700</v>
      </c>
      <c r="C146" s="354">
        <f t="shared" si="14"/>
        <v>123.51851851851863</v>
      </c>
      <c r="D146" s="354">
        <v>269500</v>
      </c>
      <c r="E146" s="354">
        <f t="shared" si="15"/>
        <v>158.15727699530521</v>
      </c>
      <c r="F146" s="356">
        <v>25100</v>
      </c>
      <c r="G146" s="354">
        <f t="shared" si="16"/>
        <v>159.66921119592865</v>
      </c>
      <c r="H146" s="356">
        <v>18670</v>
      </c>
      <c r="I146" s="354">
        <f t="shared" si="17"/>
        <v>145.51831644582998</v>
      </c>
      <c r="J146" s="356">
        <v>25450</v>
      </c>
      <c r="K146" s="354">
        <f t="shared" si="18"/>
        <v>112.11453744493402</v>
      </c>
      <c r="L146" s="356">
        <v>99200</v>
      </c>
      <c r="M146" s="354">
        <f t="shared" si="19"/>
        <v>146.74556213017735</v>
      </c>
      <c r="N146" s="356">
        <v>9730</v>
      </c>
      <c r="O146" s="354">
        <f t="shared" si="20"/>
        <v>124.58386683738784</v>
      </c>
    </row>
    <row r="147" spans="1:15">
      <c r="A147" s="353" t="s">
        <v>1049</v>
      </c>
      <c r="B147" s="354">
        <v>67100</v>
      </c>
      <c r="C147" s="354">
        <f t="shared" si="14"/>
        <v>124.25925925925937</v>
      </c>
      <c r="D147" s="354">
        <v>269000</v>
      </c>
      <c r="E147" s="354">
        <f t="shared" si="15"/>
        <v>157.86384976525827</v>
      </c>
      <c r="F147" s="356">
        <v>24300</v>
      </c>
      <c r="G147" s="354">
        <f t="shared" si="16"/>
        <v>154.58015267175563</v>
      </c>
      <c r="H147" s="356">
        <v>18050</v>
      </c>
      <c r="I147" s="354">
        <f t="shared" si="17"/>
        <v>140.6858924395946</v>
      </c>
      <c r="J147" s="356">
        <v>25150</v>
      </c>
      <c r="K147" s="354">
        <f t="shared" si="18"/>
        <v>110.79295154185031</v>
      </c>
      <c r="L147" s="356">
        <v>99200</v>
      </c>
      <c r="M147" s="354">
        <f t="shared" si="19"/>
        <v>146.74556213017735</v>
      </c>
      <c r="N147" s="356">
        <v>9470</v>
      </c>
      <c r="O147" s="354">
        <f t="shared" si="20"/>
        <v>121.25480153649156</v>
      </c>
    </row>
    <row r="148" spans="1:15">
      <c r="A148" s="353" t="s">
        <v>1048</v>
      </c>
      <c r="B148" s="354">
        <v>67800</v>
      </c>
      <c r="C148" s="354">
        <f t="shared" si="14"/>
        <v>125.55555555555566</v>
      </c>
      <c r="D148" s="354">
        <v>272500</v>
      </c>
      <c r="E148" s="354">
        <f t="shared" si="15"/>
        <v>159.91784037558693</v>
      </c>
      <c r="F148" s="356">
        <v>24300</v>
      </c>
      <c r="G148" s="354">
        <f t="shared" si="16"/>
        <v>154.58015267175563</v>
      </c>
      <c r="H148" s="356">
        <v>18450</v>
      </c>
      <c r="I148" s="354">
        <f t="shared" si="17"/>
        <v>143.80358534684322</v>
      </c>
      <c r="J148" s="356">
        <v>25300</v>
      </c>
      <c r="K148" s="354">
        <f t="shared" si="18"/>
        <v>111.45374449339216</v>
      </c>
      <c r="L148" s="356">
        <v>97000</v>
      </c>
      <c r="M148" s="354">
        <f t="shared" si="19"/>
        <v>143.49112426035487</v>
      </c>
      <c r="N148" s="356">
        <v>9460</v>
      </c>
      <c r="O148" s="354">
        <f t="shared" si="20"/>
        <v>121.12676056338016</v>
      </c>
    </row>
    <row r="149" spans="1:15">
      <c r="A149" s="353" t="s">
        <v>1047</v>
      </c>
      <c r="B149" s="354">
        <v>66000</v>
      </c>
      <c r="C149" s="354">
        <f t="shared" si="14"/>
        <v>122.22222222222231</v>
      </c>
      <c r="D149" s="354">
        <v>268500</v>
      </c>
      <c r="E149" s="354">
        <f t="shared" si="15"/>
        <v>157.57042253521135</v>
      </c>
      <c r="F149" s="356">
        <v>23750</v>
      </c>
      <c r="G149" s="354">
        <f t="shared" si="16"/>
        <v>151.08142493638667</v>
      </c>
      <c r="H149" s="356">
        <v>17830</v>
      </c>
      <c r="I149" s="354">
        <f t="shared" si="17"/>
        <v>138.97116134060784</v>
      </c>
      <c r="J149" s="356">
        <v>25000</v>
      </c>
      <c r="K149" s="354">
        <f t="shared" si="18"/>
        <v>110.13215859030846</v>
      </c>
      <c r="L149" s="356">
        <v>94400</v>
      </c>
      <c r="M149" s="354">
        <f t="shared" si="19"/>
        <v>139.64497041420103</v>
      </c>
      <c r="N149" s="356">
        <v>9310</v>
      </c>
      <c r="O149" s="354">
        <f t="shared" si="20"/>
        <v>119.20614596670923</v>
      </c>
    </row>
    <row r="150" spans="1:15">
      <c r="A150" s="353" t="s">
        <v>1046</v>
      </c>
      <c r="B150" s="354">
        <v>66400</v>
      </c>
      <c r="C150" s="354">
        <f t="shared" si="14"/>
        <v>122.96296296296306</v>
      </c>
      <c r="D150" s="354">
        <v>269000</v>
      </c>
      <c r="E150" s="354">
        <f t="shared" si="15"/>
        <v>157.86384976525829</v>
      </c>
      <c r="F150" s="356">
        <v>24600</v>
      </c>
      <c r="G150" s="354">
        <f t="shared" si="16"/>
        <v>156.48854961832052</v>
      </c>
      <c r="H150" s="356">
        <v>18160</v>
      </c>
      <c r="I150" s="354">
        <f t="shared" si="17"/>
        <v>141.54325798908798</v>
      </c>
      <c r="J150" s="356">
        <v>24750</v>
      </c>
      <c r="K150" s="354">
        <f t="shared" si="18"/>
        <v>109.03083700440538</v>
      </c>
      <c r="L150" s="356">
        <v>93700</v>
      </c>
      <c r="M150" s="354">
        <f t="shared" si="19"/>
        <v>138.60946745562114</v>
      </c>
      <c r="N150" s="356">
        <v>9400</v>
      </c>
      <c r="O150" s="354">
        <f t="shared" si="20"/>
        <v>120.35851472471178</v>
      </c>
    </row>
    <row r="151" spans="1:15">
      <c r="A151" s="353" t="s">
        <v>1045</v>
      </c>
      <c r="B151" s="354">
        <v>66000</v>
      </c>
      <c r="C151" s="354">
        <f t="shared" si="14"/>
        <v>122.22222222222233</v>
      </c>
      <c r="D151" s="354">
        <v>269500</v>
      </c>
      <c r="E151" s="354">
        <f t="shared" si="15"/>
        <v>158.15727699530524</v>
      </c>
      <c r="F151" s="356">
        <v>24550</v>
      </c>
      <c r="G151" s="354">
        <f t="shared" si="16"/>
        <v>156.17048346055969</v>
      </c>
      <c r="H151" s="356">
        <v>17550</v>
      </c>
      <c r="I151" s="354">
        <f t="shared" si="17"/>
        <v>136.78877630553382</v>
      </c>
      <c r="J151" s="356">
        <v>24600</v>
      </c>
      <c r="K151" s="354">
        <f t="shared" si="18"/>
        <v>108.37004405286353</v>
      </c>
      <c r="L151" s="356">
        <v>92400</v>
      </c>
      <c r="M151" s="354">
        <f t="shared" si="19"/>
        <v>136.68639053254421</v>
      </c>
      <c r="N151" s="356">
        <v>9270</v>
      </c>
      <c r="O151" s="354">
        <f t="shared" si="20"/>
        <v>118.69398207426363</v>
      </c>
    </row>
    <row r="152" spans="1:15">
      <c r="A152" s="353" t="s">
        <v>1044</v>
      </c>
      <c r="B152" s="354">
        <v>65900</v>
      </c>
      <c r="C152" s="354">
        <f t="shared" si="14"/>
        <v>122.03703703703715</v>
      </c>
      <c r="D152" s="354">
        <v>266000</v>
      </c>
      <c r="E152" s="354">
        <f t="shared" si="15"/>
        <v>156.1032863849766</v>
      </c>
      <c r="F152" s="356">
        <v>24150</v>
      </c>
      <c r="G152" s="354">
        <f t="shared" si="16"/>
        <v>153.62595419847318</v>
      </c>
      <c r="H152" s="356">
        <v>17700</v>
      </c>
      <c r="I152" s="354">
        <f t="shared" si="17"/>
        <v>137.95791114575204</v>
      </c>
      <c r="J152" s="356">
        <v>24550</v>
      </c>
      <c r="K152" s="354">
        <f t="shared" si="18"/>
        <v>108.14977973568291</v>
      </c>
      <c r="L152" s="356">
        <v>92000</v>
      </c>
      <c r="M152" s="354">
        <f t="shared" si="19"/>
        <v>136.09467455621285</v>
      </c>
      <c r="N152" s="356">
        <v>9220</v>
      </c>
      <c r="O152" s="354">
        <f t="shared" si="20"/>
        <v>118.05377720870665</v>
      </c>
    </row>
    <row r="153" spans="1:15">
      <c r="A153" s="353" t="s">
        <v>1043</v>
      </c>
      <c r="B153" s="354">
        <v>70400</v>
      </c>
      <c r="C153" s="354">
        <f t="shared" si="14"/>
        <v>130.37037037037049</v>
      </c>
      <c r="D153" s="354">
        <v>262000</v>
      </c>
      <c r="E153" s="354">
        <f t="shared" si="15"/>
        <v>153.75586854460101</v>
      </c>
      <c r="F153" s="356">
        <v>24800</v>
      </c>
      <c r="G153" s="354">
        <f t="shared" si="16"/>
        <v>157.76081424936379</v>
      </c>
      <c r="H153" s="356">
        <v>17860</v>
      </c>
      <c r="I153" s="354">
        <f t="shared" si="17"/>
        <v>139.20498830865148</v>
      </c>
      <c r="J153" s="356">
        <v>25600</v>
      </c>
      <c r="K153" s="354">
        <f t="shared" si="18"/>
        <v>112.77533039647585</v>
      </c>
      <c r="L153" s="356">
        <v>94600</v>
      </c>
      <c r="M153" s="354">
        <f t="shared" si="19"/>
        <v>139.94082840236669</v>
      </c>
      <c r="N153" s="356">
        <v>9620</v>
      </c>
      <c r="O153" s="354">
        <f t="shared" si="20"/>
        <v>123.17541613316246</v>
      </c>
    </row>
    <row r="154" spans="1:15">
      <c r="A154" s="353" t="s">
        <v>1042</v>
      </c>
      <c r="B154" s="354">
        <v>70600</v>
      </c>
      <c r="C154" s="354">
        <f t="shared" si="14"/>
        <v>130.74074074074088</v>
      </c>
      <c r="D154" s="354">
        <v>262500</v>
      </c>
      <c r="E154" s="354">
        <f t="shared" si="15"/>
        <v>154.04929577464799</v>
      </c>
      <c r="F154" s="356">
        <v>25000</v>
      </c>
      <c r="G154" s="354">
        <f t="shared" si="16"/>
        <v>159.03307888040703</v>
      </c>
      <c r="H154" s="356">
        <v>18070</v>
      </c>
      <c r="I154" s="354">
        <f t="shared" si="17"/>
        <v>140.84177708495702</v>
      </c>
      <c r="J154" s="356">
        <v>25300</v>
      </c>
      <c r="K154" s="354">
        <f t="shared" si="18"/>
        <v>111.45374449339215</v>
      </c>
      <c r="L154" s="356">
        <v>107100</v>
      </c>
      <c r="M154" s="354">
        <f t="shared" si="19"/>
        <v>158.4319526627217</v>
      </c>
      <c r="N154" s="356">
        <v>9820</v>
      </c>
      <c r="O154" s="354">
        <f t="shared" si="20"/>
        <v>125.73623559539035</v>
      </c>
    </row>
    <row r="155" spans="1:15">
      <c r="A155" s="353" t="s">
        <v>1041</v>
      </c>
      <c r="B155" s="354">
        <v>72600</v>
      </c>
      <c r="C155" s="354">
        <f t="shared" si="14"/>
        <v>134.4444444444446</v>
      </c>
      <c r="D155" s="354">
        <v>263500</v>
      </c>
      <c r="E155" s="354">
        <f t="shared" si="15"/>
        <v>154.63615023474188</v>
      </c>
      <c r="F155" s="356">
        <v>24900</v>
      </c>
      <c r="G155" s="354">
        <f t="shared" si="16"/>
        <v>158.39694656488541</v>
      </c>
      <c r="H155" s="356">
        <v>18070</v>
      </c>
      <c r="I155" s="354">
        <f t="shared" si="17"/>
        <v>140.84177708495702</v>
      </c>
      <c r="J155" s="356">
        <v>26650</v>
      </c>
      <c r="K155" s="354">
        <f t="shared" si="18"/>
        <v>117.40088105726879</v>
      </c>
      <c r="L155" s="356">
        <v>111800</v>
      </c>
      <c r="M155" s="354">
        <f t="shared" si="19"/>
        <v>165.38461538461519</v>
      </c>
      <c r="N155" s="356">
        <v>10100</v>
      </c>
      <c r="O155" s="354">
        <f t="shared" si="20"/>
        <v>129.32138284250942</v>
      </c>
    </row>
    <row r="156" spans="1:15">
      <c r="A156" s="353" t="s">
        <v>1040</v>
      </c>
      <c r="B156" s="354">
        <v>71400</v>
      </c>
      <c r="C156" s="354">
        <f t="shared" si="14"/>
        <v>132.22222222222237</v>
      </c>
      <c r="D156" s="354">
        <v>273500</v>
      </c>
      <c r="E156" s="354">
        <f t="shared" si="15"/>
        <v>160.50469483568082</v>
      </c>
      <c r="F156" s="356">
        <v>24350</v>
      </c>
      <c r="G156" s="354">
        <f t="shared" si="16"/>
        <v>154.89821882951645</v>
      </c>
      <c r="H156" s="356">
        <v>17800</v>
      </c>
      <c r="I156" s="354">
        <f t="shared" si="17"/>
        <v>138.73733437256419</v>
      </c>
      <c r="J156" s="356">
        <v>26100</v>
      </c>
      <c r="K156" s="354">
        <f t="shared" si="18"/>
        <v>114.977973568282</v>
      </c>
      <c r="L156" s="356">
        <v>107000</v>
      </c>
      <c r="M156" s="354">
        <f t="shared" si="19"/>
        <v>158.28402366863887</v>
      </c>
      <c r="N156" s="356">
        <v>9960</v>
      </c>
      <c r="O156" s="354">
        <f t="shared" si="20"/>
        <v>127.52880921894989</v>
      </c>
    </row>
    <row r="157" spans="1:15">
      <c r="A157" s="353" t="s">
        <v>1039</v>
      </c>
      <c r="B157" s="354">
        <v>68900</v>
      </c>
      <c r="C157" s="354">
        <f t="shared" si="14"/>
        <v>127.59259259259274</v>
      </c>
      <c r="D157" s="354">
        <v>258000</v>
      </c>
      <c r="E157" s="354">
        <f t="shared" si="15"/>
        <v>151.40845070422543</v>
      </c>
      <c r="F157" s="356">
        <v>23250</v>
      </c>
      <c r="G157" s="354">
        <f t="shared" si="16"/>
        <v>147.90076335877853</v>
      </c>
      <c r="H157" s="356">
        <v>16750</v>
      </c>
      <c r="I157" s="354">
        <f t="shared" si="17"/>
        <v>130.55339049103654</v>
      </c>
      <c r="J157" s="356">
        <v>24400</v>
      </c>
      <c r="K157" s="354">
        <f t="shared" si="18"/>
        <v>107.48898678414102</v>
      </c>
      <c r="L157" s="356">
        <v>101600</v>
      </c>
      <c r="M157" s="354">
        <f t="shared" si="19"/>
        <v>150.29585798816549</v>
      </c>
      <c r="N157" s="356">
        <v>10000</v>
      </c>
      <c r="O157" s="354">
        <f t="shared" si="20"/>
        <v>128.04097311139549</v>
      </c>
    </row>
    <row r="158" spans="1:15">
      <c r="A158" s="353" t="s">
        <v>1038</v>
      </c>
      <c r="B158" s="354">
        <v>69700</v>
      </c>
      <c r="C158" s="354">
        <f t="shared" si="14"/>
        <v>129.07407407407422</v>
      </c>
      <c r="D158" s="354">
        <v>258000</v>
      </c>
      <c r="E158" s="354">
        <f t="shared" si="15"/>
        <v>151.40845070422543</v>
      </c>
      <c r="F158" s="356">
        <v>23650</v>
      </c>
      <c r="G158" s="354">
        <f t="shared" si="16"/>
        <v>150.44529262086502</v>
      </c>
      <c r="H158" s="356">
        <v>17250</v>
      </c>
      <c r="I158" s="354">
        <f t="shared" si="17"/>
        <v>134.45050662509735</v>
      </c>
      <c r="J158" s="356">
        <v>24300</v>
      </c>
      <c r="K158" s="354">
        <f t="shared" si="18"/>
        <v>107.04845814977979</v>
      </c>
      <c r="L158" s="356">
        <v>103300</v>
      </c>
      <c r="M158" s="354">
        <f t="shared" si="19"/>
        <v>152.81065088757376</v>
      </c>
      <c r="N158" s="356">
        <v>9970</v>
      </c>
      <c r="O158" s="354">
        <f t="shared" si="20"/>
        <v>127.6568501920613</v>
      </c>
    </row>
    <row r="159" spans="1:15">
      <c r="A159" s="353" t="s">
        <v>1037</v>
      </c>
      <c r="B159" s="354">
        <v>69900</v>
      </c>
      <c r="C159" s="354">
        <f t="shared" si="14"/>
        <v>129.4444444444446</v>
      </c>
      <c r="D159" s="354">
        <v>263500</v>
      </c>
      <c r="E159" s="354">
        <f t="shared" si="15"/>
        <v>154.63615023474188</v>
      </c>
      <c r="F159" s="356">
        <v>23750</v>
      </c>
      <c r="G159" s="354">
        <f t="shared" si="16"/>
        <v>151.08142493638664</v>
      </c>
      <c r="H159" s="356">
        <v>17500</v>
      </c>
      <c r="I159" s="354">
        <f t="shared" si="17"/>
        <v>136.39906469212775</v>
      </c>
      <c r="J159" s="356">
        <v>24800</v>
      </c>
      <c r="K159" s="354">
        <f t="shared" si="18"/>
        <v>109.25110132158596</v>
      </c>
      <c r="L159" s="356">
        <v>102100</v>
      </c>
      <c r="M159" s="354">
        <f t="shared" si="19"/>
        <v>151.03550295857968</v>
      </c>
      <c r="N159" s="356">
        <v>10350</v>
      </c>
      <c r="O159" s="354">
        <f t="shared" si="20"/>
        <v>132.52240717029434</v>
      </c>
    </row>
    <row r="160" spans="1:15">
      <c r="A160" s="353" t="s">
        <v>1036</v>
      </c>
      <c r="B160" s="354">
        <v>68800</v>
      </c>
      <c r="C160" s="354">
        <f t="shared" si="14"/>
        <v>127.40740740740756</v>
      </c>
      <c r="D160" s="354">
        <v>258500</v>
      </c>
      <c r="E160" s="354">
        <f t="shared" si="15"/>
        <v>151.7018779342724</v>
      </c>
      <c r="F160" s="356">
        <v>24500</v>
      </c>
      <c r="G160" s="354">
        <f t="shared" si="16"/>
        <v>155.85241730279887</v>
      </c>
      <c r="H160" s="356">
        <v>17510</v>
      </c>
      <c r="I160" s="354">
        <f t="shared" si="17"/>
        <v>136.47700701480898</v>
      </c>
      <c r="J160" s="356">
        <v>24800</v>
      </c>
      <c r="K160" s="354">
        <f t="shared" si="18"/>
        <v>109.25110132158596</v>
      </c>
      <c r="L160" s="356">
        <v>101700</v>
      </c>
      <c r="M160" s="354">
        <f t="shared" si="19"/>
        <v>150.44378698224833</v>
      </c>
      <c r="N160" s="356">
        <v>10230</v>
      </c>
      <c r="O160" s="354">
        <f t="shared" si="20"/>
        <v>130.98591549295759</v>
      </c>
    </row>
    <row r="161" spans="1:15">
      <c r="A161" s="353" t="s">
        <v>1035</v>
      </c>
      <c r="B161" s="354">
        <v>70500</v>
      </c>
      <c r="C161" s="354">
        <f t="shared" si="14"/>
        <v>130.55555555555571</v>
      </c>
      <c r="D161" s="354">
        <v>262000</v>
      </c>
      <c r="E161" s="354">
        <f t="shared" si="15"/>
        <v>153.75586854460104</v>
      </c>
      <c r="F161" s="356">
        <v>24300</v>
      </c>
      <c r="G161" s="354">
        <f t="shared" si="16"/>
        <v>154.58015267175563</v>
      </c>
      <c r="H161" s="356">
        <v>18270</v>
      </c>
      <c r="I161" s="354">
        <f t="shared" si="17"/>
        <v>142.40062353858139</v>
      </c>
      <c r="J161" s="356">
        <v>25050</v>
      </c>
      <c r="K161" s="354">
        <f t="shared" si="18"/>
        <v>110.35242290748904</v>
      </c>
      <c r="L161" s="356">
        <v>104700</v>
      </c>
      <c r="M161" s="354">
        <f t="shared" si="19"/>
        <v>154.88165680473352</v>
      </c>
      <c r="N161" s="356">
        <v>10230</v>
      </c>
      <c r="O161" s="354">
        <f t="shared" si="20"/>
        <v>130.98591549295759</v>
      </c>
    </row>
    <row r="162" spans="1:15">
      <c r="A162" s="353" t="s">
        <v>1034</v>
      </c>
      <c r="B162" s="354">
        <v>71800</v>
      </c>
      <c r="C162" s="354">
        <f t="shared" si="14"/>
        <v>132.9629629629631</v>
      </c>
      <c r="D162" s="354">
        <v>256500</v>
      </c>
      <c r="E162" s="354">
        <f t="shared" si="15"/>
        <v>150.52816901408463</v>
      </c>
      <c r="F162" s="356">
        <v>24600</v>
      </c>
      <c r="G162" s="354">
        <f t="shared" si="16"/>
        <v>156.48854961832052</v>
      </c>
      <c r="H162" s="356">
        <v>18350</v>
      </c>
      <c r="I162" s="354">
        <f t="shared" si="17"/>
        <v>143.02416212003112</v>
      </c>
      <c r="J162" s="356">
        <v>25400</v>
      </c>
      <c r="K162" s="354">
        <f t="shared" si="18"/>
        <v>111.89427312775335</v>
      </c>
      <c r="L162" s="356">
        <v>107100</v>
      </c>
      <c r="M162" s="354">
        <f t="shared" si="19"/>
        <v>158.43195266272167</v>
      </c>
      <c r="N162" s="356">
        <v>10290</v>
      </c>
      <c r="O162" s="354">
        <f t="shared" si="20"/>
        <v>131.75416133162597</v>
      </c>
    </row>
    <row r="163" spans="1:15">
      <c r="A163" s="353" t="s">
        <v>1033</v>
      </c>
      <c r="B163" s="354">
        <v>71000</v>
      </c>
      <c r="C163" s="354">
        <f t="shared" si="14"/>
        <v>131.48148148148161</v>
      </c>
      <c r="D163" s="354">
        <v>267000</v>
      </c>
      <c r="E163" s="354">
        <f t="shared" si="15"/>
        <v>156.69014084507054</v>
      </c>
      <c r="F163" s="356">
        <v>24400</v>
      </c>
      <c r="G163" s="354">
        <f t="shared" si="16"/>
        <v>155.21628498727725</v>
      </c>
      <c r="H163" s="356">
        <v>18940</v>
      </c>
      <c r="I163" s="354">
        <f t="shared" si="17"/>
        <v>147.62275915822283</v>
      </c>
      <c r="J163" s="356">
        <v>25900</v>
      </c>
      <c r="K163" s="354">
        <f t="shared" si="18"/>
        <v>114.09691629955951</v>
      </c>
      <c r="L163" s="356">
        <v>106400</v>
      </c>
      <c r="M163" s="354">
        <f t="shared" si="19"/>
        <v>157.39644970414179</v>
      </c>
      <c r="N163" s="356">
        <v>10600</v>
      </c>
      <c r="O163" s="354">
        <f t="shared" si="20"/>
        <v>135.72343149807921</v>
      </c>
    </row>
    <row r="164" spans="1:15">
      <c r="A164" s="353" t="s">
        <v>1032</v>
      </c>
      <c r="B164" s="354">
        <v>71100</v>
      </c>
      <c r="C164" s="354">
        <f t="shared" si="14"/>
        <v>131.6666666666668</v>
      </c>
      <c r="D164" s="354">
        <v>269000</v>
      </c>
      <c r="E164" s="354">
        <f t="shared" si="15"/>
        <v>157.86384976525835</v>
      </c>
      <c r="F164" s="356">
        <v>24000</v>
      </c>
      <c r="G164" s="354">
        <f t="shared" si="16"/>
        <v>152.67175572519074</v>
      </c>
      <c r="H164" s="356">
        <v>18510</v>
      </c>
      <c r="I164" s="354">
        <f t="shared" si="17"/>
        <v>144.27123928293057</v>
      </c>
      <c r="J164" s="356">
        <v>25900</v>
      </c>
      <c r="K164" s="354">
        <f t="shared" si="18"/>
        <v>114.09691629955951</v>
      </c>
      <c r="L164" s="356">
        <v>106400</v>
      </c>
      <c r="M164" s="354">
        <f t="shared" si="19"/>
        <v>157.39644970414179</v>
      </c>
      <c r="N164" s="356">
        <v>10540</v>
      </c>
      <c r="O164" s="354">
        <f t="shared" si="20"/>
        <v>134.95518565941083</v>
      </c>
    </row>
    <row r="165" spans="1:15">
      <c r="A165" s="353" t="s">
        <v>1031</v>
      </c>
      <c r="B165" s="354">
        <v>71900</v>
      </c>
      <c r="C165" s="354">
        <f t="shared" si="14"/>
        <v>133.14814814814829</v>
      </c>
      <c r="D165" s="354">
        <v>278000</v>
      </c>
      <c r="E165" s="354">
        <f t="shared" si="15"/>
        <v>163.14553990610344</v>
      </c>
      <c r="F165" s="356">
        <v>24100</v>
      </c>
      <c r="G165" s="354">
        <f t="shared" si="16"/>
        <v>153.30788804071236</v>
      </c>
      <c r="H165" s="356">
        <v>18820</v>
      </c>
      <c r="I165" s="354">
        <f t="shared" si="17"/>
        <v>146.68745128604826</v>
      </c>
      <c r="J165" s="356">
        <v>26350</v>
      </c>
      <c r="K165" s="354">
        <f t="shared" si="18"/>
        <v>116.07929515418508</v>
      </c>
      <c r="L165" s="356">
        <v>115200</v>
      </c>
      <c r="M165" s="354">
        <f t="shared" si="19"/>
        <v>170.41420118343169</v>
      </c>
      <c r="N165" s="356">
        <v>10700</v>
      </c>
      <c r="O165" s="354">
        <f t="shared" si="20"/>
        <v>137.00384122919314</v>
      </c>
    </row>
    <row r="166" spans="1:15">
      <c r="A166" s="353" t="s">
        <v>1030</v>
      </c>
      <c r="B166" s="354">
        <v>71600</v>
      </c>
      <c r="C166" s="354">
        <f t="shared" si="14"/>
        <v>132.59259259259275</v>
      </c>
      <c r="D166" s="354">
        <v>276500</v>
      </c>
      <c r="E166" s="354">
        <f t="shared" si="15"/>
        <v>162.2652582159626</v>
      </c>
      <c r="F166" s="356">
        <v>21050</v>
      </c>
      <c r="G166" s="354">
        <f t="shared" si="16"/>
        <v>133.9058524173027</v>
      </c>
      <c r="H166" s="356">
        <v>17980</v>
      </c>
      <c r="I166" s="354">
        <f t="shared" si="17"/>
        <v>140.14029618082611</v>
      </c>
      <c r="J166" s="356">
        <v>26100</v>
      </c>
      <c r="K166" s="354">
        <f t="shared" si="18"/>
        <v>114.97797356828198</v>
      </c>
      <c r="L166" s="356">
        <v>113000</v>
      </c>
      <c r="M166" s="354">
        <f t="shared" si="19"/>
        <v>167.1597633136092</v>
      </c>
      <c r="N166" s="356">
        <v>10550</v>
      </c>
      <c r="O166" s="354">
        <f t="shared" si="20"/>
        <v>135.08322663252221</v>
      </c>
    </row>
    <row r="167" spans="1:15">
      <c r="A167" s="353" t="s">
        <v>1029</v>
      </c>
      <c r="B167" s="354">
        <v>70000</v>
      </c>
      <c r="C167" s="354">
        <f t="shared" si="14"/>
        <v>129.62962962962979</v>
      </c>
      <c r="D167" s="354">
        <v>267500</v>
      </c>
      <c r="E167" s="354">
        <f t="shared" si="15"/>
        <v>156.98356807511755</v>
      </c>
      <c r="F167" s="356">
        <v>21200</v>
      </c>
      <c r="G167" s="354">
        <f t="shared" si="16"/>
        <v>134.86005089058514</v>
      </c>
      <c r="H167" s="356">
        <v>17400</v>
      </c>
      <c r="I167" s="354">
        <f t="shared" si="17"/>
        <v>135.6196414653156</v>
      </c>
      <c r="J167" s="356">
        <v>24950</v>
      </c>
      <c r="K167" s="354">
        <f t="shared" si="18"/>
        <v>109.91189427312779</v>
      </c>
      <c r="L167" s="356">
        <v>114200</v>
      </c>
      <c r="M167" s="354">
        <f t="shared" si="19"/>
        <v>168.93491124260328</v>
      </c>
      <c r="N167" s="356">
        <v>10280</v>
      </c>
      <c r="O167" s="354">
        <f t="shared" si="20"/>
        <v>131.62612035851453</v>
      </c>
    </row>
    <row r="168" spans="1:15">
      <c r="A168" s="353" t="s">
        <v>1028</v>
      </c>
      <c r="B168" s="354">
        <v>70000</v>
      </c>
      <c r="C168" s="354">
        <f t="shared" si="14"/>
        <v>129.62962962962979</v>
      </c>
      <c r="D168" s="354">
        <v>263000</v>
      </c>
      <c r="E168" s="354">
        <f t="shared" si="15"/>
        <v>154.34272300469502</v>
      </c>
      <c r="F168" s="356">
        <v>21050</v>
      </c>
      <c r="G168" s="354">
        <f t="shared" si="16"/>
        <v>133.9058524173027</v>
      </c>
      <c r="H168" s="356">
        <v>17140</v>
      </c>
      <c r="I168" s="354">
        <f t="shared" si="17"/>
        <v>133.593141075604</v>
      </c>
      <c r="J168" s="356">
        <v>24450</v>
      </c>
      <c r="K168" s="354">
        <f t="shared" si="18"/>
        <v>107.70925110132161</v>
      </c>
      <c r="L168" s="356">
        <v>112200</v>
      </c>
      <c r="M168" s="354">
        <f t="shared" si="19"/>
        <v>165.97633136094649</v>
      </c>
      <c r="N168" s="356">
        <v>10230</v>
      </c>
      <c r="O168" s="354">
        <f t="shared" si="20"/>
        <v>130.98591549295756</v>
      </c>
    </row>
    <row r="169" spans="1:15">
      <c r="A169" s="353" t="s">
        <v>1027</v>
      </c>
      <c r="B169" s="354">
        <v>70500</v>
      </c>
      <c r="C169" s="354">
        <f t="shared" si="14"/>
        <v>130.55555555555571</v>
      </c>
      <c r="D169" s="354">
        <v>255500</v>
      </c>
      <c r="E169" s="354">
        <f t="shared" si="15"/>
        <v>149.94131455399079</v>
      </c>
      <c r="F169" s="356">
        <v>21250</v>
      </c>
      <c r="G169" s="354">
        <f t="shared" si="16"/>
        <v>135.17811704834597</v>
      </c>
      <c r="H169" s="356">
        <v>16690</v>
      </c>
      <c r="I169" s="354">
        <f t="shared" si="17"/>
        <v>130.08573655494928</v>
      </c>
      <c r="J169" s="356">
        <v>23750</v>
      </c>
      <c r="K169" s="354">
        <f t="shared" si="18"/>
        <v>104.62555066079298</v>
      </c>
      <c r="L169" s="356">
        <v>110700</v>
      </c>
      <c r="M169" s="354">
        <f t="shared" si="19"/>
        <v>163.75739644970389</v>
      </c>
      <c r="N169" s="356">
        <v>10220</v>
      </c>
      <c r="O169" s="354">
        <f t="shared" si="20"/>
        <v>130.85787451984618</v>
      </c>
    </row>
    <row r="170" spans="1:15">
      <c r="A170" s="353" t="s">
        <v>1026</v>
      </c>
      <c r="B170" s="354">
        <v>70600</v>
      </c>
      <c r="C170" s="354">
        <f t="shared" si="14"/>
        <v>130.74074074074088</v>
      </c>
      <c r="D170" s="354">
        <v>245000</v>
      </c>
      <c r="E170" s="354">
        <f t="shared" si="15"/>
        <v>143.77934272300487</v>
      </c>
      <c r="F170" s="356">
        <v>21000</v>
      </c>
      <c r="G170" s="354">
        <f t="shared" si="16"/>
        <v>133.5877862595419</v>
      </c>
      <c r="H170" s="356">
        <v>16990</v>
      </c>
      <c r="I170" s="354">
        <f t="shared" si="17"/>
        <v>132.42400623538575</v>
      </c>
      <c r="J170" s="356">
        <v>23850</v>
      </c>
      <c r="K170" s="354">
        <f t="shared" si="18"/>
        <v>105.06607929515421</v>
      </c>
      <c r="L170" s="356">
        <v>109700</v>
      </c>
      <c r="M170" s="354">
        <f t="shared" si="19"/>
        <v>162.27810650887548</v>
      </c>
      <c r="N170" s="356">
        <v>10070</v>
      </c>
      <c r="O170" s="354">
        <f t="shared" si="20"/>
        <v>128.93725992317525</v>
      </c>
    </row>
    <row r="171" spans="1:15">
      <c r="A171" s="353" t="s">
        <v>1025</v>
      </c>
      <c r="B171" s="354">
        <v>71400</v>
      </c>
      <c r="C171" s="354">
        <f t="shared" si="14"/>
        <v>132.22222222222234</v>
      </c>
      <c r="D171" s="354">
        <v>251000</v>
      </c>
      <c r="E171" s="354">
        <f t="shared" si="15"/>
        <v>147.30046948356826</v>
      </c>
      <c r="F171" s="356">
        <v>22150</v>
      </c>
      <c r="G171" s="354">
        <f t="shared" si="16"/>
        <v>140.90330788804062</v>
      </c>
      <c r="H171" s="356">
        <v>16730</v>
      </c>
      <c r="I171" s="354">
        <f t="shared" si="17"/>
        <v>130.39750584567415</v>
      </c>
      <c r="J171" s="356">
        <v>23600</v>
      </c>
      <c r="K171" s="354">
        <f t="shared" si="18"/>
        <v>103.96475770925113</v>
      </c>
      <c r="L171" s="356">
        <v>108300</v>
      </c>
      <c r="M171" s="354">
        <f t="shared" si="19"/>
        <v>160.20710059171574</v>
      </c>
      <c r="N171" s="356">
        <v>10260</v>
      </c>
      <c r="O171" s="354">
        <f t="shared" si="20"/>
        <v>131.37003841229176</v>
      </c>
    </row>
    <row r="172" spans="1:15">
      <c r="A172" s="353" t="s">
        <v>1024</v>
      </c>
      <c r="B172" s="354">
        <v>71500</v>
      </c>
      <c r="C172" s="354">
        <f t="shared" si="14"/>
        <v>132.40740740740753</v>
      </c>
      <c r="D172" s="354">
        <v>259500</v>
      </c>
      <c r="E172" s="354">
        <f t="shared" si="15"/>
        <v>152.28873239436638</v>
      </c>
      <c r="F172" s="356">
        <v>22200</v>
      </c>
      <c r="G172" s="354">
        <f t="shared" si="16"/>
        <v>141.22137404580141</v>
      </c>
      <c r="H172" s="356">
        <v>17490</v>
      </c>
      <c r="I172" s="354">
        <f t="shared" si="17"/>
        <v>136.32112236944656</v>
      </c>
      <c r="J172" s="356">
        <v>24250</v>
      </c>
      <c r="K172" s="354">
        <f t="shared" si="18"/>
        <v>106.82819383259915</v>
      </c>
      <c r="L172" s="356">
        <v>109200</v>
      </c>
      <c r="M172" s="354">
        <f t="shared" si="19"/>
        <v>161.53846153846129</v>
      </c>
      <c r="N172" s="356">
        <v>10440</v>
      </c>
      <c r="O172" s="354">
        <f t="shared" si="20"/>
        <v>133.6747759282969</v>
      </c>
    </row>
    <row r="173" spans="1:15">
      <c r="A173" s="353" t="s">
        <v>1023</v>
      </c>
      <c r="B173" s="354">
        <v>70300</v>
      </c>
      <c r="C173" s="354">
        <f t="shared" si="14"/>
        <v>130.1851851851853</v>
      </c>
      <c r="D173" s="354">
        <v>261500</v>
      </c>
      <c r="E173" s="354">
        <f t="shared" si="15"/>
        <v>153.46244131455418</v>
      </c>
      <c r="F173" s="356">
        <v>22150</v>
      </c>
      <c r="G173" s="354">
        <f t="shared" si="16"/>
        <v>140.90330788804059</v>
      </c>
      <c r="H173" s="356">
        <v>17500</v>
      </c>
      <c r="I173" s="354">
        <f t="shared" si="17"/>
        <v>136.39906469212775</v>
      </c>
      <c r="J173" s="356">
        <v>24450</v>
      </c>
      <c r="K173" s="354">
        <f t="shared" si="18"/>
        <v>107.70925110132161</v>
      </c>
      <c r="L173" s="356">
        <v>110700</v>
      </c>
      <c r="M173" s="354">
        <f t="shared" si="19"/>
        <v>163.75739644970389</v>
      </c>
      <c r="N173" s="356">
        <v>11070</v>
      </c>
      <c r="O173" s="354">
        <f t="shared" si="20"/>
        <v>141.74135723431482</v>
      </c>
    </row>
    <row r="174" spans="1:15">
      <c r="A174" s="353" t="s">
        <v>1022</v>
      </c>
      <c r="B174" s="354">
        <v>70600</v>
      </c>
      <c r="C174" s="354">
        <f t="shared" si="14"/>
        <v>130.74074074074088</v>
      </c>
      <c r="D174" s="354">
        <v>260000</v>
      </c>
      <c r="E174" s="354">
        <f t="shared" si="15"/>
        <v>152.58215962441335</v>
      </c>
      <c r="F174" s="356">
        <v>22400</v>
      </c>
      <c r="G174" s="354">
        <f t="shared" si="16"/>
        <v>142.49363867684465</v>
      </c>
      <c r="H174" s="356">
        <v>17190</v>
      </c>
      <c r="I174" s="354">
        <f t="shared" si="17"/>
        <v>133.98285268901006</v>
      </c>
      <c r="J174" s="356">
        <v>25300</v>
      </c>
      <c r="K174" s="354">
        <f t="shared" si="18"/>
        <v>111.45374449339209</v>
      </c>
      <c r="L174" s="356">
        <v>110900</v>
      </c>
      <c r="M174" s="354">
        <f t="shared" si="19"/>
        <v>164.05325443786958</v>
      </c>
      <c r="N174" s="356">
        <v>10950</v>
      </c>
      <c r="O174" s="354">
        <f t="shared" si="20"/>
        <v>140.20486555697809</v>
      </c>
    </row>
    <row r="175" spans="1:15">
      <c r="A175" s="353" t="s">
        <v>1021</v>
      </c>
      <c r="B175" s="354">
        <v>69600</v>
      </c>
      <c r="C175" s="354">
        <f t="shared" si="14"/>
        <v>128.88888888888903</v>
      </c>
      <c r="D175" s="354">
        <v>268500</v>
      </c>
      <c r="E175" s="354">
        <f t="shared" si="15"/>
        <v>157.57042253521149</v>
      </c>
      <c r="F175" s="356">
        <v>22000</v>
      </c>
      <c r="G175" s="354">
        <f t="shared" si="16"/>
        <v>139.94910941475814</v>
      </c>
      <c r="H175" s="356">
        <v>16550</v>
      </c>
      <c r="I175" s="354">
        <f t="shared" si="17"/>
        <v>128.99454403741225</v>
      </c>
      <c r="J175" s="356">
        <v>26550</v>
      </c>
      <c r="K175" s="354">
        <f t="shared" si="18"/>
        <v>116.9603524229075</v>
      </c>
      <c r="L175" s="356">
        <v>110400</v>
      </c>
      <c r="M175" s="354">
        <f t="shared" si="19"/>
        <v>163.31360946745539</v>
      </c>
      <c r="N175" s="356">
        <v>11070</v>
      </c>
      <c r="O175" s="354">
        <f t="shared" si="20"/>
        <v>141.74135723431482</v>
      </c>
    </row>
    <row r="176" spans="1:15">
      <c r="A176" s="353" t="s">
        <v>1020</v>
      </c>
      <c r="B176" s="354">
        <v>69700</v>
      </c>
      <c r="C176" s="354">
        <f t="shared" si="14"/>
        <v>129.07407407407422</v>
      </c>
      <c r="D176" s="354">
        <v>269000</v>
      </c>
      <c r="E176" s="354">
        <f t="shared" si="15"/>
        <v>157.86384976525844</v>
      </c>
      <c r="F176" s="356">
        <v>21850</v>
      </c>
      <c r="G176" s="354">
        <f t="shared" si="16"/>
        <v>138.99491094147569</v>
      </c>
      <c r="H176" s="356">
        <v>16530</v>
      </c>
      <c r="I176" s="354">
        <f t="shared" si="17"/>
        <v>128.83865939204983</v>
      </c>
      <c r="J176" s="356">
        <v>26950</v>
      </c>
      <c r="K176" s="354">
        <f t="shared" si="18"/>
        <v>118.72246696035243</v>
      </c>
      <c r="L176" s="356">
        <v>109500</v>
      </c>
      <c r="M176" s="354">
        <f t="shared" si="19"/>
        <v>161.98224852070985</v>
      </c>
      <c r="N176" s="356">
        <v>11300</v>
      </c>
      <c r="O176" s="354">
        <f t="shared" si="20"/>
        <v>144.68629961587692</v>
      </c>
    </row>
    <row r="177" spans="1:15">
      <c r="A177" s="353" t="s">
        <v>1019</v>
      </c>
      <c r="B177" s="354">
        <v>67600</v>
      </c>
      <c r="C177" s="354">
        <f t="shared" si="14"/>
        <v>125.18518518518532</v>
      </c>
      <c r="D177" s="354">
        <v>256000</v>
      </c>
      <c r="E177" s="354">
        <f t="shared" si="15"/>
        <v>150.23474178403777</v>
      </c>
      <c r="F177" s="356">
        <v>21100</v>
      </c>
      <c r="G177" s="354">
        <f t="shared" si="16"/>
        <v>134.22391857506349</v>
      </c>
      <c r="H177" s="356">
        <v>15930</v>
      </c>
      <c r="I177" s="354">
        <f t="shared" si="17"/>
        <v>124.16212003117688</v>
      </c>
      <c r="J177" s="356">
        <v>27000</v>
      </c>
      <c r="K177" s="354">
        <f t="shared" si="18"/>
        <v>118.94273127753304</v>
      </c>
      <c r="L177" s="356">
        <v>102900</v>
      </c>
      <c r="M177" s="354">
        <f t="shared" si="19"/>
        <v>152.2189349112424</v>
      </c>
      <c r="N177" s="356">
        <v>10570</v>
      </c>
      <c r="O177" s="354">
        <f t="shared" si="20"/>
        <v>135.33930857874503</v>
      </c>
    </row>
    <row r="178" spans="1:15">
      <c r="A178" s="353" t="s">
        <v>1018</v>
      </c>
      <c r="B178" s="354">
        <v>69100</v>
      </c>
      <c r="C178" s="354">
        <f t="shared" si="14"/>
        <v>127.9629629629631</v>
      </c>
      <c r="D178" s="354">
        <v>260500</v>
      </c>
      <c r="E178" s="354">
        <f t="shared" si="15"/>
        <v>152.87558685446029</v>
      </c>
      <c r="F178" s="356">
        <v>21200</v>
      </c>
      <c r="G178" s="354">
        <f t="shared" si="16"/>
        <v>134.86005089058511</v>
      </c>
      <c r="H178" s="356">
        <v>15710</v>
      </c>
      <c r="I178" s="354">
        <f t="shared" si="17"/>
        <v>122.44738893219014</v>
      </c>
      <c r="J178" s="356">
        <v>26350</v>
      </c>
      <c r="K178" s="354">
        <f t="shared" si="18"/>
        <v>116.07929515418503</v>
      </c>
      <c r="L178" s="356">
        <v>102200</v>
      </c>
      <c r="M178" s="354">
        <f t="shared" si="19"/>
        <v>151.18343195266252</v>
      </c>
      <c r="N178" s="356">
        <v>10520</v>
      </c>
      <c r="O178" s="354">
        <f t="shared" si="20"/>
        <v>134.69910371318807</v>
      </c>
    </row>
    <row r="179" spans="1:15">
      <c r="A179" s="353" t="s">
        <v>1017</v>
      </c>
      <c r="B179" s="354">
        <v>69800</v>
      </c>
      <c r="C179" s="354">
        <f t="shared" si="14"/>
        <v>129.25925925925941</v>
      </c>
      <c r="D179" s="354">
        <v>262500</v>
      </c>
      <c r="E179" s="354">
        <f t="shared" si="15"/>
        <v>154.0492957746481</v>
      </c>
      <c r="F179" s="356">
        <v>21800</v>
      </c>
      <c r="G179" s="354">
        <f t="shared" si="16"/>
        <v>138.6768447837149</v>
      </c>
      <c r="H179" s="356">
        <v>16180</v>
      </c>
      <c r="I179" s="354">
        <f t="shared" si="17"/>
        <v>126.11067809820727</v>
      </c>
      <c r="J179" s="356">
        <v>26400</v>
      </c>
      <c r="K179" s="354">
        <f t="shared" si="18"/>
        <v>116.29955947136565</v>
      </c>
      <c r="L179" s="356">
        <v>105900</v>
      </c>
      <c r="M179" s="354">
        <f t="shared" si="19"/>
        <v>156.6568047337276</v>
      </c>
      <c r="N179" s="356">
        <v>10900</v>
      </c>
      <c r="O179" s="354">
        <f t="shared" si="20"/>
        <v>139.5646606914211</v>
      </c>
    </row>
    <row r="180" spans="1:15">
      <c r="A180" s="353" t="s">
        <v>1016</v>
      </c>
      <c r="B180" s="354">
        <v>70100</v>
      </c>
      <c r="C180" s="354">
        <f t="shared" si="14"/>
        <v>129.81481481481498</v>
      </c>
      <c r="D180" s="354">
        <v>265500</v>
      </c>
      <c r="E180" s="354">
        <f t="shared" si="15"/>
        <v>155.80985915492977</v>
      </c>
      <c r="F180" s="356">
        <v>21700</v>
      </c>
      <c r="G180" s="354">
        <f t="shared" si="16"/>
        <v>138.04071246819328</v>
      </c>
      <c r="H180" s="356">
        <v>16230</v>
      </c>
      <c r="I180" s="354">
        <f t="shared" si="17"/>
        <v>126.50038971161335</v>
      </c>
      <c r="J180" s="356">
        <v>26850</v>
      </c>
      <c r="K180" s="354">
        <f t="shared" si="18"/>
        <v>118.28193832599121</v>
      </c>
      <c r="L180" s="356">
        <v>107300</v>
      </c>
      <c r="M180" s="354">
        <f t="shared" si="19"/>
        <v>158.72781065088733</v>
      </c>
      <c r="N180" s="356">
        <v>10970</v>
      </c>
      <c r="O180" s="354">
        <f t="shared" si="20"/>
        <v>140.46094750320086</v>
      </c>
    </row>
    <row r="181" spans="1:15">
      <c r="A181" s="353" t="s">
        <v>1015</v>
      </c>
      <c r="B181" s="354">
        <v>69500</v>
      </c>
      <c r="C181" s="354">
        <f t="shared" si="14"/>
        <v>128.70370370370387</v>
      </c>
      <c r="D181" s="354">
        <v>273500</v>
      </c>
      <c r="E181" s="354">
        <f t="shared" si="15"/>
        <v>160.50469483568097</v>
      </c>
      <c r="F181" s="356">
        <v>21950</v>
      </c>
      <c r="G181" s="354">
        <f t="shared" si="16"/>
        <v>139.63104325699734</v>
      </c>
      <c r="H181" s="356">
        <v>16250</v>
      </c>
      <c r="I181" s="354">
        <f t="shared" si="17"/>
        <v>126.6562743569758</v>
      </c>
      <c r="J181" s="356">
        <v>28150</v>
      </c>
      <c r="K181" s="354">
        <f t="shared" si="18"/>
        <v>124.00881057268725</v>
      </c>
      <c r="L181" s="356">
        <v>108400</v>
      </c>
      <c r="M181" s="354">
        <f t="shared" si="19"/>
        <v>160.35502958579858</v>
      </c>
      <c r="N181" s="356">
        <v>11550</v>
      </c>
      <c r="O181" s="354">
        <f t="shared" si="20"/>
        <v>147.88732394366178</v>
      </c>
    </row>
    <row r="182" spans="1:15">
      <c r="A182" s="353" t="s">
        <v>1014</v>
      </c>
      <c r="B182" s="354">
        <v>70100</v>
      </c>
      <c r="C182" s="354">
        <f t="shared" si="14"/>
        <v>129.81481481481498</v>
      </c>
      <c r="D182" s="354">
        <v>277000</v>
      </c>
      <c r="E182" s="354">
        <f t="shared" si="15"/>
        <v>162.55868544600958</v>
      </c>
      <c r="F182" s="356">
        <v>22250</v>
      </c>
      <c r="G182" s="354">
        <f t="shared" si="16"/>
        <v>141.53944020356224</v>
      </c>
      <c r="H182" s="356">
        <v>16240</v>
      </c>
      <c r="I182" s="354">
        <f t="shared" si="17"/>
        <v>126.57833203429459</v>
      </c>
      <c r="J182" s="356">
        <v>28900</v>
      </c>
      <c r="K182" s="354">
        <f t="shared" si="18"/>
        <v>127.31277533039649</v>
      </c>
      <c r="L182" s="356">
        <v>109500</v>
      </c>
      <c r="M182" s="354">
        <f t="shared" si="19"/>
        <v>161.98224852070982</v>
      </c>
      <c r="N182" s="356">
        <v>11930</v>
      </c>
      <c r="O182" s="354">
        <f t="shared" si="20"/>
        <v>152.75288092189481</v>
      </c>
    </row>
    <row r="183" spans="1:15">
      <c r="A183" s="353" t="s">
        <v>1013</v>
      </c>
      <c r="B183" s="354">
        <v>71500</v>
      </c>
      <c r="C183" s="354">
        <f t="shared" si="14"/>
        <v>132.40740740740756</v>
      </c>
      <c r="D183" s="354">
        <v>288000</v>
      </c>
      <c r="E183" s="354">
        <f t="shared" si="15"/>
        <v>169.01408450704244</v>
      </c>
      <c r="F183" s="356">
        <v>22800</v>
      </c>
      <c r="G183" s="354">
        <f t="shared" si="16"/>
        <v>145.03816793893117</v>
      </c>
      <c r="H183" s="356">
        <v>17180</v>
      </c>
      <c r="I183" s="354">
        <f t="shared" si="17"/>
        <v>133.90491036632886</v>
      </c>
      <c r="J183" s="356">
        <v>29850</v>
      </c>
      <c r="K183" s="354">
        <f t="shared" si="18"/>
        <v>131.49779735682822</v>
      </c>
      <c r="L183" s="356">
        <v>112200</v>
      </c>
      <c r="M183" s="354">
        <f t="shared" si="19"/>
        <v>165.97633136094649</v>
      </c>
      <c r="N183" s="356">
        <v>11910</v>
      </c>
      <c r="O183" s="354">
        <f t="shared" si="20"/>
        <v>152.49679897567202</v>
      </c>
    </row>
    <row r="184" spans="1:15">
      <c r="A184" s="353" t="s">
        <v>1012</v>
      </c>
      <c r="B184" s="354">
        <v>72600</v>
      </c>
      <c r="C184" s="354">
        <f t="shared" si="14"/>
        <v>134.4444444444446</v>
      </c>
      <c r="D184" s="354">
        <v>304000</v>
      </c>
      <c r="E184" s="354">
        <f t="shared" si="15"/>
        <v>178.40375586854481</v>
      </c>
      <c r="F184" s="356">
        <v>22850</v>
      </c>
      <c r="G184" s="354">
        <f t="shared" si="16"/>
        <v>145.35623409669199</v>
      </c>
      <c r="H184" s="356">
        <v>17660</v>
      </c>
      <c r="I184" s="354">
        <f t="shared" si="17"/>
        <v>137.64614185502722</v>
      </c>
      <c r="J184" s="356">
        <v>29600</v>
      </c>
      <c r="K184" s="354">
        <f t="shared" si="18"/>
        <v>130.39647577092512</v>
      </c>
      <c r="L184" s="356">
        <v>116100</v>
      </c>
      <c r="M184" s="354">
        <f t="shared" si="19"/>
        <v>171.74556213017723</v>
      </c>
      <c r="N184" s="356">
        <v>12100</v>
      </c>
      <c r="O184" s="354">
        <f t="shared" si="20"/>
        <v>154.92957746478854</v>
      </c>
    </row>
    <row r="185" spans="1:15">
      <c r="A185" s="353" t="s">
        <v>1011</v>
      </c>
      <c r="B185" s="354">
        <v>73400</v>
      </c>
      <c r="C185" s="354">
        <f t="shared" si="14"/>
        <v>135.92592592592607</v>
      </c>
      <c r="D185" s="354">
        <v>307000</v>
      </c>
      <c r="E185" s="354">
        <f t="shared" si="15"/>
        <v>180.1643192488265</v>
      </c>
      <c r="F185" s="356">
        <v>22550</v>
      </c>
      <c r="G185" s="354">
        <f t="shared" si="16"/>
        <v>143.4478371501271</v>
      </c>
      <c r="H185" s="356">
        <v>17930</v>
      </c>
      <c r="I185" s="354">
        <f t="shared" si="17"/>
        <v>139.75058456742005</v>
      </c>
      <c r="J185" s="356">
        <v>30450</v>
      </c>
      <c r="K185" s="354">
        <f t="shared" si="18"/>
        <v>134.14096916299562</v>
      </c>
      <c r="L185" s="356">
        <v>120000</v>
      </c>
      <c r="M185" s="354">
        <f t="shared" si="19"/>
        <v>177.51479289940798</v>
      </c>
      <c r="N185" s="356">
        <v>11940</v>
      </c>
      <c r="O185" s="354">
        <f t="shared" si="20"/>
        <v>152.8809218950062</v>
      </c>
    </row>
    <row r="186" spans="1:15">
      <c r="A186" s="353" t="s">
        <v>1010</v>
      </c>
      <c r="B186" s="354">
        <v>75400</v>
      </c>
      <c r="C186" s="354">
        <f t="shared" si="14"/>
        <v>139.62962962962976</v>
      </c>
      <c r="D186" s="354">
        <v>328500</v>
      </c>
      <c r="E186" s="354">
        <f t="shared" si="15"/>
        <v>192.78169014084531</v>
      </c>
      <c r="F186" s="356">
        <v>23250</v>
      </c>
      <c r="G186" s="354">
        <f t="shared" si="16"/>
        <v>147.90076335877848</v>
      </c>
      <c r="H186" s="356">
        <v>20850</v>
      </c>
      <c r="I186" s="354">
        <f t="shared" si="17"/>
        <v>162.50974279033508</v>
      </c>
      <c r="J186" s="356">
        <v>37100</v>
      </c>
      <c r="K186" s="354">
        <f t="shared" si="18"/>
        <v>163.43612334801765</v>
      </c>
      <c r="L186" s="356">
        <v>137100</v>
      </c>
      <c r="M186" s="354">
        <f t="shared" si="19"/>
        <v>202.81065088757362</v>
      </c>
      <c r="N186" s="356">
        <v>12140</v>
      </c>
      <c r="O186" s="354">
        <f t="shared" si="20"/>
        <v>155.44174135723409</v>
      </c>
    </row>
    <row r="187" spans="1:15">
      <c r="A187" s="353" t="s">
        <v>1009</v>
      </c>
      <c r="B187" s="354">
        <v>76500</v>
      </c>
      <c r="C187" s="354">
        <f t="shared" si="14"/>
        <v>141.6666666666668</v>
      </c>
      <c r="D187" s="354">
        <v>331000</v>
      </c>
      <c r="E187" s="354">
        <f t="shared" si="15"/>
        <v>194.24882629108006</v>
      </c>
      <c r="F187" s="356">
        <v>24500</v>
      </c>
      <c r="G187" s="354">
        <f t="shared" si="16"/>
        <v>155.85241730279881</v>
      </c>
      <c r="H187" s="356">
        <v>21850</v>
      </c>
      <c r="I187" s="354">
        <f t="shared" si="17"/>
        <v>170.30397505845664</v>
      </c>
      <c r="J187" s="356">
        <v>36850</v>
      </c>
      <c r="K187" s="354">
        <f t="shared" si="18"/>
        <v>162.33480176211458</v>
      </c>
      <c r="L187" s="356">
        <v>140900</v>
      </c>
      <c r="M187" s="354">
        <f t="shared" si="19"/>
        <v>208.43195266272153</v>
      </c>
      <c r="N187" s="356">
        <v>12170</v>
      </c>
      <c r="O187" s="354">
        <f t="shared" si="20"/>
        <v>155.8258642765683</v>
      </c>
    </row>
    <row r="188" spans="1:15">
      <c r="A188" s="353" t="s">
        <v>1008</v>
      </c>
      <c r="B188" s="354">
        <v>79400</v>
      </c>
      <c r="C188" s="354">
        <f t="shared" si="14"/>
        <v>147.03703703703718</v>
      </c>
      <c r="D188" s="354">
        <v>348000</v>
      </c>
      <c r="E188" s="354">
        <f t="shared" si="15"/>
        <v>204.22535211267629</v>
      </c>
      <c r="F188" s="356">
        <v>24750</v>
      </c>
      <c r="G188" s="354">
        <f t="shared" si="16"/>
        <v>157.44274809160288</v>
      </c>
      <c r="H188" s="356">
        <v>21700</v>
      </c>
      <c r="I188" s="354">
        <f t="shared" si="17"/>
        <v>169.13484021823842</v>
      </c>
      <c r="J188" s="356">
        <v>38750</v>
      </c>
      <c r="K188" s="354">
        <f t="shared" si="18"/>
        <v>170.70484581497803</v>
      </c>
      <c r="L188" s="356">
        <v>145800</v>
      </c>
      <c r="M188" s="354">
        <f t="shared" si="19"/>
        <v>215.68047337278068</v>
      </c>
      <c r="N188" s="356">
        <v>12300</v>
      </c>
      <c r="O188" s="354">
        <f t="shared" si="20"/>
        <v>157.49039692701643</v>
      </c>
    </row>
    <row r="189" spans="1:15">
      <c r="A189" s="353" t="s">
        <v>1007</v>
      </c>
      <c r="B189" s="354">
        <v>78200</v>
      </c>
      <c r="C189" s="354">
        <f t="shared" si="14"/>
        <v>144.81481481481495</v>
      </c>
      <c r="D189" s="354">
        <v>333500</v>
      </c>
      <c r="E189" s="354">
        <f t="shared" si="15"/>
        <v>195.71596244131479</v>
      </c>
      <c r="F189" s="356">
        <v>24300</v>
      </c>
      <c r="G189" s="354">
        <f t="shared" si="16"/>
        <v>154.58015267175554</v>
      </c>
      <c r="H189" s="356">
        <v>22150</v>
      </c>
      <c r="I189" s="354">
        <f t="shared" si="17"/>
        <v>172.64224473889314</v>
      </c>
      <c r="J189" s="356">
        <v>37950</v>
      </c>
      <c r="K189" s="354">
        <f t="shared" si="18"/>
        <v>167.18061674008817</v>
      </c>
      <c r="L189" s="356">
        <v>149000</v>
      </c>
      <c r="M189" s="354">
        <f t="shared" si="19"/>
        <v>220.41420118343154</v>
      </c>
      <c r="N189" s="356">
        <v>12200</v>
      </c>
      <c r="O189" s="354">
        <f t="shared" si="20"/>
        <v>156.20998719590247</v>
      </c>
    </row>
    <row r="190" spans="1:15">
      <c r="A190" s="353" t="s">
        <v>1006</v>
      </c>
      <c r="B190" s="354">
        <v>80500</v>
      </c>
      <c r="C190" s="354">
        <f t="shared" si="14"/>
        <v>149.07407407407419</v>
      </c>
      <c r="D190" s="354">
        <v>353000</v>
      </c>
      <c r="E190" s="354">
        <f t="shared" si="15"/>
        <v>207.15962441314579</v>
      </c>
      <c r="F190" s="356">
        <v>24500</v>
      </c>
      <c r="G190" s="354">
        <f t="shared" si="16"/>
        <v>155.85241730279878</v>
      </c>
      <c r="H190" s="356">
        <v>23750</v>
      </c>
      <c r="I190" s="354">
        <f t="shared" si="17"/>
        <v>185.1130163678877</v>
      </c>
      <c r="J190" s="356">
        <v>38400</v>
      </c>
      <c r="K190" s="354">
        <f t="shared" si="18"/>
        <v>169.16299559471372</v>
      </c>
      <c r="L190" s="356">
        <v>158100</v>
      </c>
      <c r="M190" s="354">
        <f t="shared" si="19"/>
        <v>233.87573964496997</v>
      </c>
      <c r="N190" s="356">
        <v>12770</v>
      </c>
      <c r="O190" s="354">
        <f t="shared" si="20"/>
        <v>163.50832266325202</v>
      </c>
    </row>
    <row r="191" spans="1:15">
      <c r="A191" s="353" t="s">
        <v>1005</v>
      </c>
      <c r="B191" s="354">
        <v>79700</v>
      </c>
      <c r="C191" s="354">
        <f t="shared" si="14"/>
        <v>147.59259259259272</v>
      </c>
      <c r="D191" s="354">
        <v>353000</v>
      </c>
      <c r="E191" s="354">
        <f t="shared" si="15"/>
        <v>207.15962441314579</v>
      </c>
      <c r="F191" s="356">
        <v>24350</v>
      </c>
      <c r="G191" s="354">
        <f t="shared" si="16"/>
        <v>154.89821882951634</v>
      </c>
      <c r="H191" s="356">
        <v>23500</v>
      </c>
      <c r="I191" s="354">
        <f t="shared" si="17"/>
        <v>183.16445830085729</v>
      </c>
      <c r="J191" s="356">
        <v>39350</v>
      </c>
      <c r="K191" s="354">
        <f t="shared" si="18"/>
        <v>173.34801762114543</v>
      </c>
      <c r="L191" s="356">
        <v>159300</v>
      </c>
      <c r="M191" s="354">
        <f t="shared" si="19"/>
        <v>235.65088757396404</v>
      </c>
      <c r="N191" s="356">
        <v>13700</v>
      </c>
      <c r="O191" s="354">
        <f t="shared" si="20"/>
        <v>175.4161331626118</v>
      </c>
    </row>
    <row r="192" spans="1:15">
      <c r="A192" s="353" t="s">
        <v>1004</v>
      </c>
      <c r="B192" s="354">
        <v>83500</v>
      </c>
      <c r="C192" s="354">
        <f t="shared" si="14"/>
        <v>154.62962962962976</v>
      </c>
      <c r="D192" s="354">
        <v>351000</v>
      </c>
      <c r="E192" s="354">
        <f t="shared" si="15"/>
        <v>205.98591549295799</v>
      </c>
      <c r="F192" s="356">
        <v>24400</v>
      </c>
      <c r="G192" s="354">
        <f t="shared" si="16"/>
        <v>155.21628498727713</v>
      </c>
      <c r="H192" s="356">
        <v>24200</v>
      </c>
      <c r="I192" s="354">
        <f t="shared" si="17"/>
        <v>188.62042088854238</v>
      </c>
      <c r="J192" s="356">
        <v>40050</v>
      </c>
      <c r="K192" s="354">
        <f t="shared" si="18"/>
        <v>176.43171806167408</v>
      </c>
      <c r="L192" s="356">
        <v>161700</v>
      </c>
      <c r="M192" s="354">
        <f t="shared" si="19"/>
        <v>239.20118343195219</v>
      </c>
      <c r="N192" s="356">
        <v>13460</v>
      </c>
      <c r="O192" s="354">
        <f t="shared" si="20"/>
        <v>172.34314980793832</v>
      </c>
    </row>
    <row r="193" spans="1:15">
      <c r="A193" s="353" t="s">
        <v>1003</v>
      </c>
      <c r="B193" s="354">
        <v>84700</v>
      </c>
      <c r="C193" s="354">
        <f t="shared" si="14"/>
        <v>156.85185185185196</v>
      </c>
      <c r="D193" s="354">
        <v>361000</v>
      </c>
      <c r="E193" s="354">
        <f t="shared" si="15"/>
        <v>211.85446009389696</v>
      </c>
      <c r="F193" s="356">
        <v>24750</v>
      </c>
      <c r="G193" s="354">
        <f t="shared" si="16"/>
        <v>157.44274809160285</v>
      </c>
      <c r="H193" s="356">
        <v>24650</v>
      </c>
      <c r="I193" s="354">
        <f t="shared" si="17"/>
        <v>192.12782540919713</v>
      </c>
      <c r="J193" s="356">
        <v>39850</v>
      </c>
      <c r="K193" s="354">
        <f t="shared" si="18"/>
        <v>175.55066079295162</v>
      </c>
      <c r="L193" s="356">
        <v>160800</v>
      </c>
      <c r="M193" s="354">
        <f t="shared" si="19"/>
        <v>237.86982248520664</v>
      </c>
      <c r="N193" s="356">
        <v>13350</v>
      </c>
      <c r="O193" s="354">
        <f t="shared" si="20"/>
        <v>170.93469910371297</v>
      </c>
    </row>
    <row r="194" spans="1:15">
      <c r="A194" s="353" t="s">
        <v>1002</v>
      </c>
      <c r="B194" s="354">
        <v>85400</v>
      </c>
      <c r="C194" s="354">
        <f t="shared" si="14"/>
        <v>158.14814814814827</v>
      </c>
      <c r="D194" s="354">
        <v>357500</v>
      </c>
      <c r="E194" s="354">
        <f t="shared" si="15"/>
        <v>209.80046948356832</v>
      </c>
      <c r="F194" s="356">
        <v>24500</v>
      </c>
      <c r="G194" s="354">
        <f t="shared" si="16"/>
        <v>155.85241730279878</v>
      </c>
      <c r="H194" s="356">
        <v>26600</v>
      </c>
      <c r="I194" s="354">
        <f t="shared" si="17"/>
        <v>207.32657833203425</v>
      </c>
      <c r="J194" s="356">
        <v>42150</v>
      </c>
      <c r="K194" s="354">
        <f t="shared" si="18"/>
        <v>185.68281938325998</v>
      </c>
      <c r="L194" s="356">
        <v>165500</v>
      </c>
      <c r="M194" s="354">
        <f t="shared" si="19"/>
        <v>244.82248520710013</v>
      </c>
      <c r="N194" s="356">
        <v>14340</v>
      </c>
      <c r="O194" s="354">
        <f t="shared" si="20"/>
        <v>183.61075544174113</v>
      </c>
    </row>
    <row r="195" spans="1:15">
      <c r="A195" s="353" t="s">
        <v>1001</v>
      </c>
      <c r="B195" s="354">
        <v>86100</v>
      </c>
      <c r="C195" s="354">
        <f t="shared" si="14"/>
        <v>159.44444444444454</v>
      </c>
      <c r="D195" s="354">
        <v>356500</v>
      </c>
      <c r="E195" s="354">
        <f t="shared" si="15"/>
        <v>209.21361502347443</v>
      </c>
      <c r="F195" s="356">
        <v>23950</v>
      </c>
      <c r="G195" s="354">
        <f t="shared" si="16"/>
        <v>152.35368956742983</v>
      </c>
      <c r="H195" s="356">
        <v>28950</v>
      </c>
      <c r="I195" s="354">
        <f t="shared" si="17"/>
        <v>225.64302416211999</v>
      </c>
      <c r="J195" s="356">
        <v>41150</v>
      </c>
      <c r="K195" s="354">
        <f t="shared" si="18"/>
        <v>181.27753303964764</v>
      </c>
      <c r="L195" s="356">
        <v>161700</v>
      </c>
      <c r="M195" s="354">
        <f t="shared" si="19"/>
        <v>239.20118343195222</v>
      </c>
      <c r="N195" s="356">
        <v>14420</v>
      </c>
      <c r="O195" s="354">
        <f t="shared" si="20"/>
        <v>184.6350832266323</v>
      </c>
    </row>
    <row r="196" spans="1:15">
      <c r="A196" s="353" t="s">
        <v>1000</v>
      </c>
      <c r="B196" s="354">
        <v>83300</v>
      </c>
      <c r="C196" s="354">
        <f t="shared" ref="C196:C244" si="21">+C195*(1+(B196/B195-1))</f>
        <v>154.25925925925935</v>
      </c>
      <c r="D196" s="354">
        <v>336500</v>
      </c>
      <c r="E196" s="354">
        <f t="shared" ref="E196:E244" si="22">+E195*(1+(D196/D195-1))</f>
        <v>197.47652582159648</v>
      </c>
      <c r="F196" s="356">
        <v>23100</v>
      </c>
      <c r="G196" s="354">
        <f t="shared" ref="G196:G244" si="23">+G195*(1+(F196/F195-1))</f>
        <v>146.94656488549597</v>
      </c>
      <c r="H196" s="356">
        <v>27700</v>
      </c>
      <c r="I196" s="354">
        <f t="shared" ref="I196:I244" si="24">+I195*(1+(H196/H195-1))</f>
        <v>215.90023382696799</v>
      </c>
      <c r="J196" s="356">
        <v>39500</v>
      </c>
      <c r="K196" s="354">
        <f t="shared" ref="K196:K244" si="25">+K195*(1+(J196/J195-1))</f>
        <v>174.00881057268728</v>
      </c>
      <c r="L196" s="356">
        <v>156900</v>
      </c>
      <c r="M196" s="354">
        <f t="shared" ref="M196:M244" si="26">+M195*(1+(L196/L195-1))</f>
        <v>232.1005917159759</v>
      </c>
      <c r="N196" s="356">
        <v>13850</v>
      </c>
      <c r="O196" s="354">
        <f t="shared" ref="O196:O244" si="27">+O195*(1+(N196/N195-1))</f>
        <v>177.33674775928276</v>
      </c>
    </row>
    <row r="197" spans="1:15">
      <c r="A197" s="353" t="s">
        <v>999</v>
      </c>
      <c r="B197" s="354">
        <v>84200</v>
      </c>
      <c r="C197" s="354">
        <f t="shared" si="21"/>
        <v>155.92592592592604</v>
      </c>
      <c r="D197" s="354">
        <v>349000</v>
      </c>
      <c r="E197" s="354">
        <f t="shared" si="22"/>
        <v>204.81220657277021</v>
      </c>
      <c r="F197" s="356">
        <v>23150</v>
      </c>
      <c r="G197" s="354">
        <f t="shared" si="23"/>
        <v>147.2646310432568</v>
      </c>
      <c r="H197" s="356">
        <v>28600</v>
      </c>
      <c r="I197" s="354">
        <f t="shared" si="24"/>
        <v>222.91504286827742</v>
      </c>
      <c r="J197" s="356">
        <v>39900</v>
      </c>
      <c r="K197" s="354">
        <f t="shared" si="25"/>
        <v>175.77092511013223</v>
      </c>
      <c r="L197" s="356">
        <v>166400</v>
      </c>
      <c r="M197" s="354">
        <f t="shared" si="26"/>
        <v>246.15384615384568</v>
      </c>
      <c r="N197" s="356">
        <v>14890</v>
      </c>
      <c r="O197" s="354">
        <f t="shared" si="27"/>
        <v>190.65300896286789</v>
      </c>
    </row>
    <row r="198" spans="1:15">
      <c r="A198" s="353" t="s">
        <v>998</v>
      </c>
      <c r="B198" s="354">
        <v>83900</v>
      </c>
      <c r="C198" s="354">
        <f t="shared" si="21"/>
        <v>155.37037037037047</v>
      </c>
      <c r="D198" s="354">
        <v>347500</v>
      </c>
      <c r="E198" s="354">
        <f t="shared" si="22"/>
        <v>203.93192488262937</v>
      </c>
      <c r="F198" s="356">
        <v>23100</v>
      </c>
      <c r="G198" s="354">
        <f t="shared" si="23"/>
        <v>146.94656488549597</v>
      </c>
      <c r="H198" s="356">
        <v>27700</v>
      </c>
      <c r="I198" s="354">
        <f t="shared" si="24"/>
        <v>215.90023382696799</v>
      </c>
      <c r="J198" s="356">
        <v>40150</v>
      </c>
      <c r="K198" s="354">
        <f t="shared" si="25"/>
        <v>176.87224669603532</v>
      </c>
      <c r="L198" s="356">
        <v>175000</v>
      </c>
      <c r="M198" s="354">
        <f t="shared" si="26"/>
        <v>258.87573964496988</v>
      </c>
      <c r="N198" s="356">
        <v>13880</v>
      </c>
      <c r="O198" s="354">
        <f t="shared" si="27"/>
        <v>177.72087067861693</v>
      </c>
    </row>
    <row r="199" spans="1:15">
      <c r="A199" s="353" t="s">
        <v>997</v>
      </c>
      <c r="B199" s="354">
        <v>86000</v>
      </c>
      <c r="C199" s="354">
        <f t="shared" si="21"/>
        <v>159.25925925925938</v>
      </c>
      <c r="D199" s="354">
        <v>360000</v>
      </c>
      <c r="E199" s="354">
        <f t="shared" si="22"/>
        <v>211.2676056338031</v>
      </c>
      <c r="F199" s="356">
        <v>23650</v>
      </c>
      <c r="G199" s="354">
        <f t="shared" si="23"/>
        <v>150.4452926208649</v>
      </c>
      <c r="H199" s="356">
        <v>28200</v>
      </c>
      <c r="I199" s="354">
        <f t="shared" si="24"/>
        <v>219.7973499610288</v>
      </c>
      <c r="J199" s="356">
        <v>41850</v>
      </c>
      <c r="K199" s="354">
        <f t="shared" si="25"/>
        <v>184.36123348017628</v>
      </c>
      <c r="L199" s="356">
        <v>179400</v>
      </c>
      <c r="M199" s="354">
        <f t="shared" si="26"/>
        <v>265.38461538461485</v>
      </c>
      <c r="N199" s="356">
        <v>14000</v>
      </c>
      <c r="O199" s="354">
        <f t="shared" si="27"/>
        <v>179.25736235595366</v>
      </c>
    </row>
    <row r="200" spans="1:15">
      <c r="A200" s="353" t="s">
        <v>996</v>
      </c>
      <c r="B200" s="354">
        <v>89000</v>
      </c>
      <c r="C200" s="354">
        <f t="shared" si="21"/>
        <v>164.81481481481495</v>
      </c>
      <c r="D200" s="354">
        <v>395500</v>
      </c>
      <c r="E200" s="354">
        <f t="shared" si="22"/>
        <v>232.10093896713647</v>
      </c>
      <c r="F200" s="356">
        <v>24600</v>
      </c>
      <c r="G200" s="354">
        <f t="shared" si="23"/>
        <v>156.48854961832038</v>
      </c>
      <c r="H200" s="356">
        <v>28800</v>
      </c>
      <c r="I200" s="354">
        <f t="shared" si="24"/>
        <v>224.47388932190174</v>
      </c>
      <c r="J200" s="356">
        <v>42400</v>
      </c>
      <c r="K200" s="354">
        <f t="shared" si="25"/>
        <v>186.78414096916308</v>
      </c>
      <c r="L200" s="356">
        <v>189500</v>
      </c>
      <c r="M200" s="354">
        <f t="shared" si="26"/>
        <v>280.32544378698168</v>
      </c>
      <c r="N200" s="356">
        <v>14060</v>
      </c>
      <c r="O200" s="354">
        <f t="shared" si="27"/>
        <v>180.02560819462201</v>
      </c>
    </row>
    <row r="201" spans="1:15">
      <c r="A201" s="353" t="s">
        <v>995</v>
      </c>
      <c r="B201" s="354">
        <v>94400</v>
      </c>
      <c r="C201" s="354">
        <f t="shared" si="21"/>
        <v>174.81481481481498</v>
      </c>
      <c r="D201" s="354">
        <v>428000</v>
      </c>
      <c r="E201" s="354">
        <f t="shared" si="22"/>
        <v>251.17370892018815</v>
      </c>
      <c r="F201" s="356">
        <v>26100</v>
      </c>
      <c r="G201" s="354">
        <f t="shared" si="23"/>
        <v>166.03053435114481</v>
      </c>
      <c r="H201" s="356">
        <v>29450</v>
      </c>
      <c r="I201" s="354">
        <f t="shared" si="24"/>
        <v>229.54014029618077</v>
      </c>
      <c r="J201" s="356">
        <v>43150</v>
      </c>
      <c r="K201" s="354">
        <f t="shared" si="25"/>
        <v>190.08810572687233</v>
      </c>
      <c r="L201" s="356">
        <v>186600</v>
      </c>
      <c r="M201" s="354">
        <f t="shared" si="26"/>
        <v>276.03550295857934</v>
      </c>
      <c r="N201" s="356">
        <v>14100</v>
      </c>
      <c r="O201" s="354">
        <f t="shared" si="27"/>
        <v>180.53777208706757</v>
      </c>
    </row>
    <row r="202" spans="1:15">
      <c r="A202" s="353" t="s">
        <v>994</v>
      </c>
      <c r="B202" s="354">
        <v>93300</v>
      </c>
      <c r="C202" s="354">
        <f t="shared" si="21"/>
        <v>172.77777777777794</v>
      </c>
      <c r="D202" s="354">
        <v>415000</v>
      </c>
      <c r="E202" s="354">
        <f t="shared" si="22"/>
        <v>243.54460093896748</v>
      </c>
      <c r="F202" s="356">
        <v>26200</v>
      </c>
      <c r="G202" s="354">
        <f t="shared" si="23"/>
        <v>166.66666666666643</v>
      </c>
      <c r="H202" s="356">
        <v>28050</v>
      </c>
      <c r="I202" s="354">
        <f t="shared" si="24"/>
        <v>218.62821512081055</v>
      </c>
      <c r="J202" s="356">
        <v>42250</v>
      </c>
      <c r="K202" s="354">
        <f t="shared" si="25"/>
        <v>186.12334801762123</v>
      </c>
      <c r="L202" s="356">
        <v>183700</v>
      </c>
      <c r="M202" s="354">
        <f t="shared" si="26"/>
        <v>271.74556213017695</v>
      </c>
      <c r="N202" s="356">
        <v>13800</v>
      </c>
      <c r="O202" s="354">
        <f t="shared" si="27"/>
        <v>176.69654289372571</v>
      </c>
    </row>
    <row r="203" spans="1:15">
      <c r="A203" s="353" t="s">
        <v>993</v>
      </c>
      <c r="B203" s="354">
        <v>91600</v>
      </c>
      <c r="C203" s="354">
        <f t="shared" si="21"/>
        <v>169.62962962962979</v>
      </c>
      <c r="D203" s="354">
        <v>411500</v>
      </c>
      <c r="E203" s="354">
        <f t="shared" si="22"/>
        <v>241.49061032863884</v>
      </c>
      <c r="F203" s="356">
        <v>25250</v>
      </c>
      <c r="G203" s="354">
        <f t="shared" si="23"/>
        <v>160.62340966921096</v>
      </c>
      <c r="H203" s="356">
        <v>27300</v>
      </c>
      <c r="I203" s="354">
        <f t="shared" si="24"/>
        <v>212.78254091971937</v>
      </c>
      <c r="J203" s="356">
        <v>40000</v>
      </c>
      <c r="K203" s="354">
        <f t="shared" si="25"/>
        <v>176.21145374449347</v>
      </c>
      <c r="L203" s="356">
        <v>182000</v>
      </c>
      <c r="M203" s="354">
        <f t="shared" si="26"/>
        <v>269.23076923076866</v>
      </c>
      <c r="N203" s="356">
        <v>13190</v>
      </c>
      <c r="O203" s="354">
        <f t="shared" si="27"/>
        <v>168.88604353393058</v>
      </c>
    </row>
    <row r="204" spans="1:15">
      <c r="A204" s="353" t="s">
        <v>992</v>
      </c>
      <c r="B204" s="354">
        <v>95000</v>
      </c>
      <c r="C204" s="354">
        <f t="shared" si="21"/>
        <v>175.92592592592609</v>
      </c>
      <c r="D204" s="354">
        <v>422500</v>
      </c>
      <c r="E204" s="354">
        <f t="shared" si="22"/>
        <v>247.94600938967173</v>
      </c>
      <c r="F204" s="356">
        <v>25900</v>
      </c>
      <c r="G204" s="354">
        <f t="shared" si="23"/>
        <v>164.75826972010154</v>
      </c>
      <c r="H204" s="356">
        <v>27950</v>
      </c>
      <c r="I204" s="354">
        <f t="shared" si="24"/>
        <v>217.84879189399837</v>
      </c>
      <c r="J204" s="356">
        <v>42100</v>
      </c>
      <c r="K204" s="354">
        <f t="shared" si="25"/>
        <v>185.46255506607937</v>
      </c>
      <c r="L204" s="356">
        <v>180500</v>
      </c>
      <c r="M204" s="354">
        <f t="shared" si="26"/>
        <v>267.01183431952609</v>
      </c>
      <c r="N204" s="356">
        <v>13440</v>
      </c>
      <c r="O204" s="354">
        <f t="shared" si="27"/>
        <v>172.08706786171547</v>
      </c>
    </row>
    <row r="205" spans="1:15">
      <c r="A205" s="353" t="s">
        <v>991</v>
      </c>
      <c r="B205" s="354">
        <v>97700</v>
      </c>
      <c r="C205" s="354">
        <f t="shared" si="21"/>
        <v>180.92592592592609</v>
      </c>
      <c r="D205" s="354">
        <v>452500</v>
      </c>
      <c r="E205" s="354">
        <f t="shared" si="22"/>
        <v>265.55164319248865</v>
      </c>
      <c r="F205" s="356">
        <v>25800</v>
      </c>
      <c r="G205" s="354">
        <f t="shared" si="23"/>
        <v>164.12213740457992</v>
      </c>
      <c r="H205" s="356">
        <v>26850</v>
      </c>
      <c r="I205" s="354">
        <f t="shared" si="24"/>
        <v>209.27513639906462</v>
      </c>
      <c r="J205" s="356">
        <v>42400</v>
      </c>
      <c r="K205" s="354">
        <f t="shared" si="25"/>
        <v>186.78414096916308</v>
      </c>
      <c r="L205" s="356">
        <v>182800</v>
      </c>
      <c r="M205" s="354">
        <f t="shared" si="26"/>
        <v>270.41420118343137</v>
      </c>
      <c r="N205" s="356">
        <v>13280</v>
      </c>
      <c r="O205" s="354">
        <f t="shared" si="27"/>
        <v>170.03841229193316</v>
      </c>
    </row>
    <row r="206" spans="1:15">
      <c r="A206" s="353" t="s">
        <v>990</v>
      </c>
      <c r="B206" s="354">
        <v>97900</v>
      </c>
      <c r="C206" s="354">
        <f t="shared" si="21"/>
        <v>181.29629629629648</v>
      </c>
      <c r="D206" s="354">
        <v>465500</v>
      </c>
      <c r="E206" s="354">
        <f t="shared" si="22"/>
        <v>273.18075117370933</v>
      </c>
      <c r="F206" s="356">
        <v>25200</v>
      </c>
      <c r="G206" s="354">
        <f t="shared" si="23"/>
        <v>160.30534351145013</v>
      </c>
      <c r="H206" s="356">
        <v>27200</v>
      </c>
      <c r="I206" s="354">
        <f t="shared" si="24"/>
        <v>212.00311769290718</v>
      </c>
      <c r="J206" s="356">
        <v>45900</v>
      </c>
      <c r="K206" s="354">
        <f t="shared" si="25"/>
        <v>202.20264317180624</v>
      </c>
      <c r="L206" s="356">
        <v>180000</v>
      </c>
      <c r="M206" s="354">
        <f t="shared" si="26"/>
        <v>266.27218934911184</v>
      </c>
      <c r="N206" s="356">
        <v>13370</v>
      </c>
      <c r="O206" s="354">
        <f t="shared" si="27"/>
        <v>171.19078104993571</v>
      </c>
    </row>
    <row r="207" spans="1:15">
      <c r="A207" s="353" t="s">
        <v>989</v>
      </c>
      <c r="B207" s="354">
        <v>98100</v>
      </c>
      <c r="C207" s="354">
        <f t="shared" si="21"/>
        <v>181.66666666666686</v>
      </c>
      <c r="D207" s="354">
        <v>485500</v>
      </c>
      <c r="E207" s="354">
        <f t="shared" si="22"/>
        <v>284.91784037558728</v>
      </c>
      <c r="F207" s="356">
        <v>25350</v>
      </c>
      <c r="G207" s="354">
        <f t="shared" si="23"/>
        <v>161.25954198473258</v>
      </c>
      <c r="H207" s="356">
        <v>26850</v>
      </c>
      <c r="I207" s="354">
        <f t="shared" si="24"/>
        <v>209.27513639906465</v>
      </c>
      <c r="J207" s="356">
        <v>44500</v>
      </c>
      <c r="K207" s="354">
        <f t="shared" si="25"/>
        <v>196.03524229074898</v>
      </c>
      <c r="L207" s="356">
        <v>178600</v>
      </c>
      <c r="M207" s="354">
        <f t="shared" si="26"/>
        <v>264.20118343195207</v>
      </c>
      <c r="N207" s="356">
        <v>14390</v>
      </c>
      <c r="O207" s="354">
        <f t="shared" si="27"/>
        <v>184.25096030729807</v>
      </c>
    </row>
    <row r="208" spans="1:15">
      <c r="A208" s="353" t="s">
        <v>988</v>
      </c>
      <c r="B208" s="354">
        <v>97500</v>
      </c>
      <c r="C208" s="354">
        <f t="shared" si="21"/>
        <v>180.55555555555574</v>
      </c>
      <c r="D208" s="354">
        <v>479000</v>
      </c>
      <c r="E208" s="354">
        <f t="shared" si="22"/>
        <v>281.10328638497697</v>
      </c>
      <c r="F208" s="356">
        <v>24750</v>
      </c>
      <c r="G208" s="354">
        <f t="shared" si="23"/>
        <v>157.44274809160282</v>
      </c>
      <c r="H208" s="356">
        <v>25250</v>
      </c>
      <c r="I208" s="354">
        <f t="shared" si="24"/>
        <v>196.80436477007009</v>
      </c>
      <c r="J208" s="356">
        <v>42450</v>
      </c>
      <c r="K208" s="354">
        <f t="shared" si="25"/>
        <v>187.00440528634368</v>
      </c>
      <c r="L208" s="356">
        <v>174800</v>
      </c>
      <c r="M208" s="354">
        <f t="shared" si="26"/>
        <v>258.57988165680416</v>
      </c>
      <c r="N208" s="356">
        <v>14980</v>
      </c>
      <c r="O208" s="354">
        <f t="shared" si="27"/>
        <v>191.80537772087041</v>
      </c>
    </row>
    <row r="209" spans="1:15">
      <c r="A209" s="353" t="s">
        <v>987</v>
      </c>
      <c r="B209" s="354">
        <v>98600</v>
      </c>
      <c r="C209" s="354">
        <f t="shared" si="21"/>
        <v>182.59259259259278</v>
      </c>
      <c r="D209" s="354">
        <v>481500</v>
      </c>
      <c r="E209" s="354">
        <f t="shared" si="22"/>
        <v>282.57042253521172</v>
      </c>
      <c r="F209" s="356">
        <v>25050</v>
      </c>
      <c r="G209" s="354">
        <f t="shared" si="23"/>
        <v>159.35114503816772</v>
      </c>
      <c r="H209" s="356">
        <v>24950</v>
      </c>
      <c r="I209" s="354">
        <f t="shared" si="24"/>
        <v>194.46609508963363</v>
      </c>
      <c r="J209" s="356">
        <v>41500</v>
      </c>
      <c r="K209" s="354">
        <f t="shared" si="25"/>
        <v>182.81938325991194</v>
      </c>
      <c r="L209" s="356">
        <v>175200</v>
      </c>
      <c r="M209" s="354">
        <f t="shared" si="26"/>
        <v>259.17159763313555</v>
      </c>
      <c r="N209" s="356">
        <v>15600</v>
      </c>
      <c r="O209" s="354">
        <f t="shared" si="27"/>
        <v>199.74391805377695</v>
      </c>
    </row>
    <row r="210" spans="1:15">
      <c r="A210" s="353" t="s">
        <v>986</v>
      </c>
      <c r="B210" s="354">
        <v>96500</v>
      </c>
      <c r="C210" s="354">
        <f t="shared" si="21"/>
        <v>178.70370370370389</v>
      </c>
      <c r="D210" s="354">
        <v>478500</v>
      </c>
      <c r="E210" s="354">
        <f t="shared" si="22"/>
        <v>280.80985915493005</v>
      </c>
      <c r="F210" s="356">
        <v>25450</v>
      </c>
      <c r="G210" s="354">
        <f t="shared" si="23"/>
        <v>161.89567430025423</v>
      </c>
      <c r="H210" s="356">
        <v>25950</v>
      </c>
      <c r="I210" s="354">
        <f t="shared" si="24"/>
        <v>202.26032735775522</v>
      </c>
      <c r="J210" s="356">
        <v>40600</v>
      </c>
      <c r="K210" s="354">
        <f t="shared" si="25"/>
        <v>178.85462555066084</v>
      </c>
      <c r="L210" s="356">
        <v>170000</v>
      </c>
      <c r="M210" s="354">
        <f t="shared" si="26"/>
        <v>251.47928994082787</v>
      </c>
      <c r="N210" s="356">
        <v>15200</v>
      </c>
      <c r="O210" s="354">
        <f t="shared" si="27"/>
        <v>194.62227912932113</v>
      </c>
    </row>
    <row r="211" spans="1:15">
      <c r="A211" s="353" t="s">
        <v>985</v>
      </c>
      <c r="B211" s="354">
        <v>98800</v>
      </c>
      <c r="C211" s="354">
        <f t="shared" si="21"/>
        <v>182.96296296296316</v>
      </c>
      <c r="D211" s="354">
        <v>510000</v>
      </c>
      <c r="E211" s="354">
        <f t="shared" si="22"/>
        <v>299.29577464788781</v>
      </c>
      <c r="F211" s="356">
        <v>26050</v>
      </c>
      <c r="G211" s="354">
        <f t="shared" si="23"/>
        <v>165.71246819338398</v>
      </c>
      <c r="H211" s="356">
        <v>25850</v>
      </c>
      <c r="I211" s="354">
        <f t="shared" si="24"/>
        <v>201.48090413094306</v>
      </c>
      <c r="J211" s="356">
        <v>41900</v>
      </c>
      <c r="K211" s="354">
        <f t="shared" si="25"/>
        <v>184.58149779735689</v>
      </c>
      <c r="L211" s="356">
        <v>174100</v>
      </c>
      <c r="M211" s="354">
        <f t="shared" si="26"/>
        <v>257.54437869822431</v>
      </c>
      <c r="N211" s="356">
        <v>14970</v>
      </c>
      <c r="O211" s="354">
        <f t="shared" si="27"/>
        <v>191.67733674775903</v>
      </c>
    </row>
    <row r="212" spans="1:15">
      <c r="A212" s="353" t="s">
        <v>984</v>
      </c>
      <c r="B212" s="354">
        <v>102000</v>
      </c>
      <c r="C212" s="354">
        <f t="shared" si="21"/>
        <v>188.88888888888911</v>
      </c>
      <c r="D212" s="354">
        <v>535000</v>
      </c>
      <c r="E212" s="354">
        <f t="shared" si="22"/>
        <v>313.96713615023526</v>
      </c>
      <c r="F212" s="356">
        <v>26400</v>
      </c>
      <c r="G212" s="354">
        <f t="shared" si="23"/>
        <v>167.93893129770967</v>
      </c>
      <c r="H212" s="356">
        <v>26100</v>
      </c>
      <c r="I212" s="354">
        <f t="shared" si="24"/>
        <v>203.42946219797346</v>
      </c>
      <c r="J212" s="356">
        <v>41750</v>
      </c>
      <c r="K212" s="354">
        <f t="shared" si="25"/>
        <v>183.92070484581504</v>
      </c>
      <c r="L212" s="356">
        <v>172900</v>
      </c>
      <c r="M212" s="354">
        <f t="shared" si="26"/>
        <v>255.76923076923023</v>
      </c>
      <c r="N212" s="356">
        <v>16040</v>
      </c>
      <c r="O212" s="354">
        <f t="shared" si="27"/>
        <v>205.37772087067836</v>
      </c>
    </row>
    <row r="213" spans="1:15">
      <c r="A213" s="353" t="s">
        <v>983</v>
      </c>
      <c r="B213" s="354">
        <v>99500</v>
      </c>
      <c r="C213" s="354">
        <f t="shared" si="21"/>
        <v>184.25925925925947</v>
      </c>
      <c r="D213" s="354">
        <v>521000</v>
      </c>
      <c r="E213" s="354">
        <f t="shared" si="22"/>
        <v>305.7511737089207</v>
      </c>
      <c r="F213" s="356">
        <v>25650</v>
      </c>
      <c r="G213" s="354">
        <f t="shared" si="23"/>
        <v>163.16793893129747</v>
      </c>
      <c r="H213" s="356">
        <v>25150</v>
      </c>
      <c r="I213" s="354">
        <f t="shared" si="24"/>
        <v>196.02494154325797</v>
      </c>
      <c r="J213" s="356">
        <v>41200</v>
      </c>
      <c r="K213" s="354">
        <f t="shared" si="25"/>
        <v>181.49779735682824</v>
      </c>
      <c r="L213" s="356">
        <v>169800</v>
      </c>
      <c r="M213" s="354">
        <f t="shared" si="26"/>
        <v>251.1834319526622</v>
      </c>
      <c r="N213" s="356">
        <v>15180</v>
      </c>
      <c r="O213" s="354">
        <f t="shared" si="27"/>
        <v>194.36619718309834</v>
      </c>
    </row>
    <row r="214" spans="1:15">
      <c r="A214" s="353" t="s">
        <v>982</v>
      </c>
      <c r="B214" s="354">
        <v>100500</v>
      </c>
      <c r="C214" s="354">
        <f t="shared" si="21"/>
        <v>186.11111111111134</v>
      </c>
      <c r="D214" s="354">
        <v>558000</v>
      </c>
      <c r="E214" s="354">
        <f t="shared" si="22"/>
        <v>327.46478873239494</v>
      </c>
      <c r="F214" s="356">
        <v>25650</v>
      </c>
      <c r="G214" s="354">
        <f t="shared" si="23"/>
        <v>163.16793893129747</v>
      </c>
      <c r="H214" s="356">
        <v>26050</v>
      </c>
      <c r="I214" s="354">
        <f t="shared" si="24"/>
        <v>203.0397505845674</v>
      </c>
      <c r="J214" s="356">
        <v>41600</v>
      </c>
      <c r="K214" s="354">
        <f t="shared" si="25"/>
        <v>183.25991189427319</v>
      </c>
      <c r="L214" s="356">
        <v>168900</v>
      </c>
      <c r="M214" s="354">
        <f t="shared" si="26"/>
        <v>249.85207100591663</v>
      </c>
      <c r="N214" s="356">
        <v>15200</v>
      </c>
      <c r="O214" s="354">
        <f t="shared" si="27"/>
        <v>194.62227912932113</v>
      </c>
    </row>
    <row r="215" spans="1:15">
      <c r="A215" s="353" t="s">
        <v>981</v>
      </c>
      <c r="B215" s="354">
        <v>104100</v>
      </c>
      <c r="C215" s="354">
        <f t="shared" si="21"/>
        <v>192.777777777778</v>
      </c>
      <c r="D215" s="354">
        <v>568000</v>
      </c>
      <c r="E215" s="354">
        <f t="shared" si="22"/>
        <v>333.33333333333394</v>
      </c>
      <c r="F215" s="356">
        <v>25900</v>
      </c>
      <c r="G215" s="354">
        <f t="shared" si="23"/>
        <v>164.75826972010154</v>
      </c>
      <c r="H215" s="356">
        <v>26000</v>
      </c>
      <c r="I215" s="354">
        <f t="shared" si="24"/>
        <v>202.65003897116131</v>
      </c>
      <c r="J215" s="356">
        <v>41150</v>
      </c>
      <c r="K215" s="354">
        <f t="shared" si="25"/>
        <v>181.27753303964764</v>
      </c>
      <c r="L215" s="356">
        <v>168500</v>
      </c>
      <c r="M215" s="354">
        <f t="shared" si="26"/>
        <v>249.26035502958527</v>
      </c>
      <c r="N215" s="356">
        <v>15030</v>
      </c>
      <c r="O215" s="354">
        <f t="shared" si="27"/>
        <v>192.44558258642741</v>
      </c>
    </row>
    <row r="216" spans="1:15">
      <c r="A216" s="353" t="s">
        <v>980</v>
      </c>
      <c r="B216" s="354">
        <v>107500</v>
      </c>
      <c r="C216" s="354">
        <f t="shared" si="21"/>
        <v>199.0740740740743</v>
      </c>
      <c r="D216" s="354">
        <v>559000</v>
      </c>
      <c r="E216" s="354">
        <f t="shared" si="22"/>
        <v>328.05164319248883</v>
      </c>
      <c r="F216" s="356">
        <v>25200</v>
      </c>
      <c r="G216" s="354">
        <f t="shared" si="23"/>
        <v>160.30534351145016</v>
      </c>
      <c r="H216" s="356">
        <v>26050</v>
      </c>
      <c r="I216" s="354">
        <f t="shared" si="24"/>
        <v>203.03975058456737</v>
      </c>
      <c r="J216" s="356">
        <v>41150</v>
      </c>
      <c r="K216" s="354">
        <f t="shared" si="25"/>
        <v>181.27753303964764</v>
      </c>
      <c r="L216" s="356">
        <v>166000</v>
      </c>
      <c r="M216" s="354">
        <f t="shared" si="26"/>
        <v>245.56213017751429</v>
      </c>
      <c r="N216" s="356">
        <v>14890</v>
      </c>
      <c r="O216" s="354">
        <f t="shared" si="27"/>
        <v>190.65300896286786</v>
      </c>
    </row>
    <row r="217" spans="1:15">
      <c r="A217" s="353" t="s">
        <v>979</v>
      </c>
      <c r="B217" s="354">
        <v>111100</v>
      </c>
      <c r="C217" s="354">
        <f t="shared" si="21"/>
        <v>205.74074074074099</v>
      </c>
      <c r="D217" s="354">
        <v>620000</v>
      </c>
      <c r="E217" s="354">
        <f t="shared" si="22"/>
        <v>363.84976525821656</v>
      </c>
      <c r="F217" s="356">
        <v>25400</v>
      </c>
      <c r="G217" s="354">
        <f t="shared" si="23"/>
        <v>161.5776081424934</v>
      </c>
      <c r="H217" s="356">
        <v>26750</v>
      </c>
      <c r="I217" s="354">
        <f t="shared" si="24"/>
        <v>208.49571317225249</v>
      </c>
      <c r="J217" s="356">
        <v>40350</v>
      </c>
      <c r="K217" s="354">
        <f t="shared" si="25"/>
        <v>177.75330396475775</v>
      </c>
      <c r="L217" s="356">
        <v>161500</v>
      </c>
      <c r="M217" s="354">
        <f t="shared" si="26"/>
        <v>238.9053254437865</v>
      </c>
      <c r="N217" s="356">
        <v>14750</v>
      </c>
      <c r="O217" s="354">
        <f t="shared" si="27"/>
        <v>188.86043533930831</v>
      </c>
    </row>
    <row r="218" spans="1:15">
      <c r="A218" s="353" t="s">
        <v>978</v>
      </c>
      <c r="B218" s="354">
        <v>104900</v>
      </c>
      <c r="C218" s="354">
        <f t="shared" si="21"/>
        <v>194.25925925925949</v>
      </c>
      <c r="D218" s="354">
        <v>586000</v>
      </c>
      <c r="E218" s="354">
        <f t="shared" si="22"/>
        <v>343.89671361502405</v>
      </c>
      <c r="F218" s="356">
        <v>25500</v>
      </c>
      <c r="G218" s="354">
        <f t="shared" si="23"/>
        <v>162.21374045801502</v>
      </c>
      <c r="H218" s="356">
        <v>27200</v>
      </c>
      <c r="I218" s="354">
        <f t="shared" si="24"/>
        <v>212.00311769290721</v>
      </c>
      <c r="J218" s="356">
        <v>41000</v>
      </c>
      <c r="K218" s="354">
        <f t="shared" si="25"/>
        <v>180.61674008810579</v>
      </c>
      <c r="L218" s="356">
        <v>166400</v>
      </c>
      <c r="M218" s="354">
        <f t="shared" si="26"/>
        <v>246.15384615384565</v>
      </c>
      <c r="N218" s="356">
        <v>14420</v>
      </c>
      <c r="O218" s="354">
        <f t="shared" si="27"/>
        <v>184.63508322663228</v>
      </c>
    </row>
    <row r="219" spans="1:15">
      <c r="A219" s="353" t="s">
        <v>977</v>
      </c>
      <c r="B219" s="354">
        <v>100600</v>
      </c>
      <c r="C219" s="354">
        <f t="shared" si="21"/>
        <v>186.29629629629653</v>
      </c>
      <c r="D219" s="354">
        <v>579000</v>
      </c>
      <c r="E219" s="354">
        <f t="shared" si="22"/>
        <v>339.78873239436678</v>
      </c>
      <c r="F219" s="356">
        <v>25000</v>
      </c>
      <c r="G219" s="354">
        <f t="shared" si="23"/>
        <v>159.03307888040689</v>
      </c>
      <c r="H219" s="356">
        <v>26150</v>
      </c>
      <c r="I219" s="354">
        <f t="shared" si="24"/>
        <v>203.81917381137956</v>
      </c>
      <c r="J219" s="356">
        <v>38600</v>
      </c>
      <c r="K219" s="354">
        <f t="shared" si="25"/>
        <v>170.04405286343618</v>
      </c>
      <c r="L219" s="356">
        <v>158400</v>
      </c>
      <c r="M219" s="354">
        <f t="shared" si="26"/>
        <v>234.31952662721844</v>
      </c>
      <c r="N219" s="356">
        <v>14120</v>
      </c>
      <c r="O219" s="354">
        <f t="shared" si="27"/>
        <v>180.79385403329042</v>
      </c>
    </row>
    <row r="220" spans="1:15">
      <c r="A220" s="353" t="s">
        <v>976</v>
      </c>
      <c r="B220" s="354">
        <v>99200</v>
      </c>
      <c r="C220" s="354">
        <f t="shared" si="21"/>
        <v>183.70370370370395</v>
      </c>
      <c r="D220" s="354">
        <v>593000</v>
      </c>
      <c r="E220" s="354">
        <f t="shared" si="22"/>
        <v>348.00469483568133</v>
      </c>
      <c r="F220" s="356">
        <v>24650</v>
      </c>
      <c r="G220" s="354">
        <f t="shared" si="23"/>
        <v>156.8066157760812</v>
      </c>
      <c r="H220" s="356">
        <v>27750</v>
      </c>
      <c r="I220" s="354">
        <f t="shared" si="24"/>
        <v>216.28994544037408</v>
      </c>
      <c r="J220" s="356">
        <v>38800</v>
      </c>
      <c r="K220" s="354">
        <f t="shared" si="25"/>
        <v>170.92511013215864</v>
      </c>
      <c r="L220" s="356">
        <v>159600</v>
      </c>
      <c r="M220" s="354">
        <f t="shared" si="26"/>
        <v>236.09467455621251</v>
      </c>
      <c r="N220" s="356">
        <v>15020</v>
      </c>
      <c r="O220" s="354">
        <f t="shared" si="27"/>
        <v>192.31754161331602</v>
      </c>
    </row>
    <row r="221" spans="1:15">
      <c r="A221" s="353" t="s">
        <v>975</v>
      </c>
      <c r="B221" s="354">
        <v>97900</v>
      </c>
      <c r="C221" s="354">
        <f t="shared" si="21"/>
        <v>181.29629629629656</v>
      </c>
      <c r="D221" s="354">
        <v>580000</v>
      </c>
      <c r="E221" s="354">
        <f t="shared" si="22"/>
        <v>340.37558685446066</v>
      </c>
      <c r="F221" s="356">
        <v>23750</v>
      </c>
      <c r="G221" s="354">
        <f t="shared" si="23"/>
        <v>151.08142493638655</v>
      </c>
      <c r="H221" s="356">
        <v>26650</v>
      </c>
      <c r="I221" s="354">
        <f t="shared" si="24"/>
        <v>207.71628994544034</v>
      </c>
      <c r="J221" s="356">
        <v>37250</v>
      </c>
      <c r="K221" s="354">
        <f t="shared" si="25"/>
        <v>164.09691629955952</v>
      </c>
      <c r="L221" s="356">
        <v>152700</v>
      </c>
      <c r="M221" s="354">
        <f t="shared" si="26"/>
        <v>225.88757396449654</v>
      </c>
      <c r="N221" s="356">
        <v>14250</v>
      </c>
      <c r="O221" s="354">
        <f t="shared" si="27"/>
        <v>182.45838668373858</v>
      </c>
    </row>
    <row r="222" spans="1:15">
      <c r="A222" s="353" t="s">
        <v>974</v>
      </c>
      <c r="B222" s="354">
        <v>100600</v>
      </c>
      <c r="C222" s="354">
        <f t="shared" si="21"/>
        <v>186.29629629629659</v>
      </c>
      <c r="D222" s="354">
        <v>606000</v>
      </c>
      <c r="E222" s="354">
        <f t="shared" si="22"/>
        <v>355.633802816902</v>
      </c>
      <c r="F222" s="356">
        <v>24750</v>
      </c>
      <c r="G222" s="354">
        <f t="shared" si="23"/>
        <v>157.44274809160282</v>
      </c>
      <c r="H222" s="356">
        <v>27950</v>
      </c>
      <c r="I222" s="354">
        <f t="shared" si="24"/>
        <v>217.84879189399842</v>
      </c>
      <c r="J222" s="356">
        <v>37600</v>
      </c>
      <c r="K222" s="354">
        <f t="shared" si="25"/>
        <v>165.63876651982386</v>
      </c>
      <c r="L222" s="356">
        <v>166300</v>
      </c>
      <c r="M222" s="354">
        <f t="shared" si="26"/>
        <v>246.00591715976276</v>
      </c>
      <c r="N222" s="356">
        <v>14190</v>
      </c>
      <c r="O222" s="354">
        <f t="shared" si="27"/>
        <v>181.6901408450702</v>
      </c>
    </row>
    <row r="223" spans="1:15">
      <c r="A223" s="353" t="s">
        <v>973</v>
      </c>
      <c r="B223" s="354">
        <v>103500</v>
      </c>
      <c r="C223" s="354">
        <f t="shared" si="21"/>
        <v>191.666666666667</v>
      </c>
      <c r="D223" s="354">
        <v>619000</v>
      </c>
      <c r="E223" s="354">
        <f t="shared" si="22"/>
        <v>363.26291079812273</v>
      </c>
      <c r="F223" s="356">
        <v>26550</v>
      </c>
      <c r="G223" s="354">
        <f t="shared" si="23"/>
        <v>168.89312977099212</v>
      </c>
      <c r="H223" s="356">
        <v>28700</v>
      </c>
      <c r="I223" s="354">
        <f t="shared" si="24"/>
        <v>223.69446609508964</v>
      </c>
      <c r="J223" s="356">
        <v>39000</v>
      </c>
      <c r="K223" s="354">
        <f t="shared" si="25"/>
        <v>171.80616740088112</v>
      </c>
      <c r="L223" s="356">
        <v>171600</v>
      </c>
      <c r="M223" s="354">
        <f t="shared" si="26"/>
        <v>253.84615384615324</v>
      </c>
      <c r="N223" s="356">
        <v>13930</v>
      </c>
      <c r="O223" s="354">
        <f t="shared" si="27"/>
        <v>178.36107554417393</v>
      </c>
    </row>
    <row r="224" spans="1:15">
      <c r="A224" s="353" t="s">
        <v>972</v>
      </c>
      <c r="B224" s="354">
        <v>103100</v>
      </c>
      <c r="C224" s="354">
        <f t="shared" si="21"/>
        <v>190.92592592592624</v>
      </c>
      <c r="D224" s="354">
        <v>617000</v>
      </c>
      <c r="E224" s="354">
        <f t="shared" si="22"/>
        <v>362.08920187793495</v>
      </c>
      <c r="F224" s="356">
        <v>26250</v>
      </c>
      <c r="G224" s="354">
        <f t="shared" si="23"/>
        <v>166.98473282442723</v>
      </c>
      <c r="H224" s="356">
        <v>28750</v>
      </c>
      <c r="I224" s="354">
        <f t="shared" si="24"/>
        <v>224.08417770849573</v>
      </c>
      <c r="J224" s="356">
        <v>37950</v>
      </c>
      <c r="K224" s="354">
        <f t="shared" si="25"/>
        <v>167.18061674008817</v>
      </c>
      <c r="L224" s="356">
        <v>163400</v>
      </c>
      <c r="M224" s="354">
        <f t="shared" si="26"/>
        <v>241.71597633136037</v>
      </c>
      <c r="N224" s="356">
        <v>13480</v>
      </c>
      <c r="O224" s="354">
        <f t="shared" si="27"/>
        <v>172.59923175416114</v>
      </c>
    </row>
    <row r="225" spans="1:15">
      <c r="A225" s="353" t="s">
        <v>971</v>
      </c>
      <c r="B225" s="354">
        <v>102800</v>
      </c>
      <c r="C225" s="354">
        <f t="shared" si="21"/>
        <v>190.37037037037067</v>
      </c>
      <c r="D225" s="354">
        <v>612000</v>
      </c>
      <c r="E225" s="354">
        <f t="shared" si="22"/>
        <v>359.15492957746545</v>
      </c>
      <c r="F225" s="356">
        <v>26200</v>
      </c>
      <c r="G225" s="354">
        <f t="shared" si="23"/>
        <v>166.66666666666643</v>
      </c>
      <c r="H225" s="356">
        <v>29950</v>
      </c>
      <c r="I225" s="354">
        <f t="shared" si="24"/>
        <v>233.4372564302416</v>
      </c>
      <c r="J225" s="356">
        <v>46500</v>
      </c>
      <c r="K225" s="354">
        <f t="shared" si="25"/>
        <v>204.84581497797365</v>
      </c>
      <c r="L225" s="356">
        <v>170000</v>
      </c>
      <c r="M225" s="354">
        <f t="shared" si="26"/>
        <v>251.47928994082781</v>
      </c>
      <c r="N225" s="356">
        <v>14100</v>
      </c>
      <c r="O225" s="354">
        <f t="shared" si="27"/>
        <v>180.53777208706765</v>
      </c>
    </row>
    <row r="226" spans="1:15">
      <c r="A226" s="353" t="s">
        <v>970</v>
      </c>
      <c r="B226" s="354">
        <v>97200</v>
      </c>
      <c r="C226" s="354">
        <f t="shared" si="21"/>
        <v>180.00000000000028</v>
      </c>
      <c r="D226" s="354">
        <v>560000</v>
      </c>
      <c r="E226" s="354">
        <f t="shared" si="22"/>
        <v>328.63849765258277</v>
      </c>
      <c r="F226" s="356">
        <v>23250</v>
      </c>
      <c r="G226" s="354">
        <f t="shared" si="23"/>
        <v>147.90076335877842</v>
      </c>
      <c r="H226" s="356">
        <v>27300</v>
      </c>
      <c r="I226" s="354">
        <f t="shared" si="24"/>
        <v>212.78254091971939</v>
      </c>
      <c r="J226" s="356">
        <v>42700</v>
      </c>
      <c r="K226" s="354">
        <f t="shared" si="25"/>
        <v>188.10572687224678</v>
      </c>
      <c r="L226" s="356">
        <v>158900</v>
      </c>
      <c r="M226" s="354">
        <f t="shared" si="26"/>
        <v>235.05917159763257</v>
      </c>
      <c r="N226" s="356">
        <v>12960</v>
      </c>
      <c r="O226" s="354">
        <f t="shared" si="27"/>
        <v>165.94110115236856</v>
      </c>
    </row>
    <row r="227" spans="1:15">
      <c r="A227" s="353" t="s">
        <v>969</v>
      </c>
      <c r="B227" s="354">
        <v>100600</v>
      </c>
      <c r="C227" s="354">
        <f t="shared" si="21"/>
        <v>186.29629629629659</v>
      </c>
      <c r="D227" s="354">
        <v>606000</v>
      </c>
      <c r="E227" s="354">
        <f t="shared" si="22"/>
        <v>355.63380281690206</v>
      </c>
      <c r="F227" s="356">
        <v>23250</v>
      </c>
      <c r="G227" s="354">
        <f t="shared" si="23"/>
        <v>147.90076335877842</v>
      </c>
      <c r="H227" s="356">
        <v>29250</v>
      </c>
      <c r="I227" s="354">
        <f t="shared" si="24"/>
        <v>227.98129384255648</v>
      </c>
      <c r="J227" s="356">
        <v>43350</v>
      </c>
      <c r="K227" s="354">
        <f t="shared" si="25"/>
        <v>190.96916299559479</v>
      </c>
      <c r="L227" s="356">
        <v>162300</v>
      </c>
      <c r="M227" s="354">
        <f t="shared" si="26"/>
        <v>240.08875739644913</v>
      </c>
      <c r="N227" s="356">
        <v>12870</v>
      </c>
      <c r="O227" s="354">
        <f t="shared" si="27"/>
        <v>164.78873239436601</v>
      </c>
    </row>
    <row r="228" spans="1:15">
      <c r="A228" s="353" t="s">
        <v>968</v>
      </c>
      <c r="B228" s="354">
        <v>97800</v>
      </c>
      <c r="C228" s="354">
        <f t="shared" si="21"/>
        <v>181.1111111111114</v>
      </c>
      <c r="D228" s="354">
        <v>570000</v>
      </c>
      <c r="E228" s="354">
        <f t="shared" si="22"/>
        <v>334.50704225352172</v>
      </c>
      <c r="F228" s="356">
        <v>22100</v>
      </c>
      <c r="G228" s="354">
        <f t="shared" si="23"/>
        <v>140.58524173027971</v>
      </c>
      <c r="H228" s="356">
        <v>29100</v>
      </c>
      <c r="I228" s="354">
        <f t="shared" si="24"/>
        <v>226.81215900233826</v>
      </c>
      <c r="J228" s="356">
        <v>41050</v>
      </c>
      <c r="K228" s="354">
        <f t="shared" si="25"/>
        <v>180.83700440528642</v>
      </c>
      <c r="L228" s="356">
        <v>154300</v>
      </c>
      <c r="M228" s="354">
        <f t="shared" si="26"/>
        <v>228.25443786982191</v>
      </c>
      <c r="N228" s="356">
        <v>12140</v>
      </c>
      <c r="O228" s="354">
        <f t="shared" si="27"/>
        <v>155.44174135723412</v>
      </c>
    </row>
    <row r="229" spans="1:15">
      <c r="A229" s="353" t="s">
        <v>967</v>
      </c>
      <c r="B229" s="354">
        <v>96500</v>
      </c>
      <c r="C229" s="354">
        <f t="shared" si="21"/>
        <v>178.70370370370401</v>
      </c>
      <c r="D229" s="354">
        <v>562000</v>
      </c>
      <c r="E229" s="354">
        <f t="shared" si="22"/>
        <v>329.81220657277055</v>
      </c>
      <c r="F229" s="356">
        <v>21750</v>
      </c>
      <c r="G229" s="354">
        <f t="shared" si="23"/>
        <v>138.35877862595399</v>
      </c>
      <c r="H229" s="356">
        <v>27950</v>
      </c>
      <c r="I229" s="354">
        <f t="shared" si="24"/>
        <v>217.84879189399845</v>
      </c>
      <c r="J229" s="356">
        <v>41800</v>
      </c>
      <c r="K229" s="354">
        <f t="shared" si="25"/>
        <v>184.14096916299567</v>
      </c>
      <c r="L229" s="356">
        <v>156400</v>
      </c>
      <c r="M229" s="354">
        <f t="shared" si="26"/>
        <v>231.36094674556153</v>
      </c>
      <c r="N229" s="356">
        <v>12060</v>
      </c>
      <c r="O229" s="354">
        <f t="shared" si="27"/>
        <v>154.41741357234295</v>
      </c>
    </row>
    <row r="230" spans="1:15">
      <c r="A230" s="353" t="s">
        <v>966</v>
      </c>
      <c r="B230" s="354">
        <v>100600</v>
      </c>
      <c r="C230" s="354">
        <f t="shared" si="21"/>
        <v>186.29629629629662</v>
      </c>
      <c r="D230" s="354">
        <v>571000</v>
      </c>
      <c r="E230" s="354">
        <f t="shared" si="22"/>
        <v>335.09389671361561</v>
      </c>
      <c r="F230" s="356">
        <v>21850</v>
      </c>
      <c r="G230" s="354">
        <f t="shared" si="23"/>
        <v>138.99491094147564</v>
      </c>
      <c r="H230" s="356">
        <v>26250</v>
      </c>
      <c r="I230" s="354">
        <f t="shared" si="24"/>
        <v>204.59859703819177</v>
      </c>
      <c r="J230" s="356">
        <v>41200</v>
      </c>
      <c r="K230" s="354">
        <f t="shared" si="25"/>
        <v>181.49779735682827</v>
      </c>
      <c r="L230" s="356">
        <v>155200</v>
      </c>
      <c r="M230" s="354">
        <f t="shared" si="26"/>
        <v>229.58579881656746</v>
      </c>
      <c r="N230" s="356">
        <v>12340</v>
      </c>
      <c r="O230" s="354">
        <f t="shared" si="27"/>
        <v>158.00256081946202</v>
      </c>
    </row>
    <row r="231" spans="1:15">
      <c r="A231" s="353" t="s">
        <v>965</v>
      </c>
      <c r="B231" s="354">
        <v>94800</v>
      </c>
      <c r="C231" s="354">
        <f t="shared" si="21"/>
        <v>175.55555555555586</v>
      </c>
      <c r="D231" s="354">
        <v>521000</v>
      </c>
      <c r="E231" s="354">
        <f t="shared" si="22"/>
        <v>305.75117370892076</v>
      </c>
      <c r="F231" s="356">
        <v>21200</v>
      </c>
      <c r="G231" s="354">
        <f t="shared" si="23"/>
        <v>134.86005089058506</v>
      </c>
      <c r="H231" s="356">
        <v>23550</v>
      </c>
      <c r="I231" s="354">
        <f t="shared" si="24"/>
        <v>183.55416991426347</v>
      </c>
      <c r="J231" s="356">
        <v>37700</v>
      </c>
      <c r="K231" s="354">
        <f t="shared" si="25"/>
        <v>166.0792951541851</v>
      </c>
      <c r="L231" s="356">
        <v>141700</v>
      </c>
      <c r="M231" s="354">
        <f t="shared" si="26"/>
        <v>209.61538461538407</v>
      </c>
      <c r="N231" s="356">
        <v>11860</v>
      </c>
      <c r="O231" s="354">
        <f t="shared" si="27"/>
        <v>151.85659411011503</v>
      </c>
    </row>
    <row r="232" spans="1:15">
      <c r="A232" s="353" t="s">
        <v>964</v>
      </c>
      <c r="B232" s="354">
        <v>96700</v>
      </c>
      <c r="C232" s="354">
        <f t="shared" si="21"/>
        <v>179.07407407407439</v>
      </c>
      <c r="D232" s="354">
        <v>520000</v>
      </c>
      <c r="E232" s="354">
        <f t="shared" si="22"/>
        <v>305.16431924882687</v>
      </c>
      <c r="F232" s="356">
        <v>21250</v>
      </c>
      <c r="G232" s="354">
        <f t="shared" si="23"/>
        <v>135.17811704834585</v>
      </c>
      <c r="H232" s="356">
        <v>23300</v>
      </c>
      <c r="I232" s="354">
        <f t="shared" si="24"/>
        <v>181.60561184723306</v>
      </c>
      <c r="J232" s="356">
        <v>40600</v>
      </c>
      <c r="K232" s="354">
        <f t="shared" si="25"/>
        <v>178.85462555066087</v>
      </c>
      <c r="L232" s="356">
        <v>145100</v>
      </c>
      <c r="M232" s="354">
        <f t="shared" si="26"/>
        <v>214.6449704142006</v>
      </c>
      <c r="N232" s="356">
        <v>11480</v>
      </c>
      <c r="O232" s="354">
        <f t="shared" si="27"/>
        <v>146.991037131882</v>
      </c>
    </row>
    <row r="233" spans="1:15">
      <c r="A233" s="353" t="s">
        <v>963</v>
      </c>
      <c r="B233" s="354">
        <v>99300</v>
      </c>
      <c r="C233" s="354">
        <f t="shared" si="21"/>
        <v>183.88888888888923</v>
      </c>
      <c r="D233" s="354">
        <v>519000</v>
      </c>
      <c r="E233" s="354">
        <f t="shared" si="22"/>
        <v>304.57746478873298</v>
      </c>
      <c r="F233" s="356">
        <v>21350</v>
      </c>
      <c r="G233" s="354">
        <f t="shared" si="23"/>
        <v>135.81424936386748</v>
      </c>
      <c r="H233" s="356">
        <v>23400</v>
      </c>
      <c r="I233" s="354">
        <f t="shared" si="24"/>
        <v>182.38503507404525</v>
      </c>
      <c r="J233" s="356">
        <v>43100</v>
      </c>
      <c r="K233" s="354">
        <f t="shared" si="25"/>
        <v>189.86784140969172</v>
      </c>
      <c r="L233" s="356">
        <v>144700</v>
      </c>
      <c r="M233" s="354">
        <f t="shared" si="26"/>
        <v>214.05325443786924</v>
      </c>
      <c r="N233" s="356">
        <v>12200</v>
      </c>
      <c r="O233" s="354">
        <f t="shared" si="27"/>
        <v>156.20998719590247</v>
      </c>
    </row>
    <row r="234" spans="1:15">
      <c r="A234" s="353" t="s">
        <v>962</v>
      </c>
      <c r="B234" s="354">
        <v>102800</v>
      </c>
      <c r="C234" s="354">
        <f t="shared" si="21"/>
        <v>190.37037037037069</v>
      </c>
      <c r="D234" s="354">
        <v>524000</v>
      </c>
      <c r="E234" s="354">
        <f t="shared" si="22"/>
        <v>307.51173708920248</v>
      </c>
      <c r="F234" s="356">
        <v>21700</v>
      </c>
      <c r="G234" s="354">
        <f t="shared" si="23"/>
        <v>138.04071246819316</v>
      </c>
      <c r="H234" s="356">
        <v>22900</v>
      </c>
      <c r="I234" s="354">
        <f t="shared" si="24"/>
        <v>178.48791893998444</v>
      </c>
      <c r="J234" s="356">
        <v>43600</v>
      </c>
      <c r="K234" s="354">
        <f t="shared" si="25"/>
        <v>192.07048458149788</v>
      </c>
      <c r="L234" s="356">
        <v>143200</v>
      </c>
      <c r="M234" s="354">
        <f t="shared" si="26"/>
        <v>211.83431952662664</v>
      </c>
      <c r="N234" s="356">
        <v>12300</v>
      </c>
      <c r="O234" s="354">
        <f t="shared" si="27"/>
        <v>157.49039692701641</v>
      </c>
    </row>
    <row r="235" spans="1:15">
      <c r="A235" s="353" t="s">
        <v>961</v>
      </c>
      <c r="B235" s="354">
        <v>103500</v>
      </c>
      <c r="C235" s="354">
        <f t="shared" si="21"/>
        <v>191.666666666667</v>
      </c>
      <c r="D235" s="354">
        <v>544000</v>
      </c>
      <c r="E235" s="354">
        <f t="shared" si="22"/>
        <v>319.24882629108043</v>
      </c>
      <c r="F235" s="356">
        <v>21500</v>
      </c>
      <c r="G235" s="354">
        <f t="shared" si="23"/>
        <v>136.76844783714992</v>
      </c>
      <c r="H235" s="356">
        <v>22350</v>
      </c>
      <c r="I235" s="354">
        <f t="shared" si="24"/>
        <v>174.20109119251757</v>
      </c>
      <c r="J235" s="356">
        <v>43600</v>
      </c>
      <c r="K235" s="354">
        <f t="shared" si="25"/>
        <v>192.07048458149788</v>
      </c>
      <c r="L235" s="356">
        <v>144200</v>
      </c>
      <c r="M235" s="354">
        <f t="shared" si="26"/>
        <v>213.31360946745505</v>
      </c>
      <c r="N235" s="356">
        <v>13100</v>
      </c>
      <c r="O235" s="354">
        <f t="shared" si="27"/>
        <v>167.73367477592802</v>
      </c>
    </row>
    <row r="236" spans="1:15">
      <c r="A236" s="353" t="s">
        <v>960</v>
      </c>
      <c r="B236" s="354">
        <v>100500</v>
      </c>
      <c r="C236" s="354">
        <f t="shared" si="21"/>
        <v>186.11111111111143</v>
      </c>
      <c r="D236" s="354">
        <v>530000</v>
      </c>
      <c r="E236" s="354">
        <f t="shared" si="22"/>
        <v>311.03286384976587</v>
      </c>
      <c r="F236" s="356">
        <v>22300</v>
      </c>
      <c r="G236" s="354">
        <f t="shared" si="23"/>
        <v>141.85750636132295</v>
      </c>
      <c r="H236" s="356">
        <v>22400</v>
      </c>
      <c r="I236" s="354">
        <f t="shared" si="24"/>
        <v>174.59080280592366</v>
      </c>
      <c r="J236" s="356">
        <v>45250</v>
      </c>
      <c r="K236" s="354">
        <f t="shared" si="25"/>
        <v>199.33920704845823</v>
      </c>
      <c r="L236" s="356">
        <v>144500</v>
      </c>
      <c r="M236" s="354">
        <f t="shared" si="26"/>
        <v>213.75739644970358</v>
      </c>
      <c r="N236" s="356">
        <v>12840</v>
      </c>
      <c r="O236" s="354">
        <f t="shared" si="27"/>
        <v>164.40460947503175</v>
      </c>
    </row>
    <row r="237" spans="1:15">
      <c r="A237" s="353" t="s">
        <v>959</v>
      </c>
      <c r="B237" s="354">
        <v>100800</v>
      </c>
      <c r="C237" s="354">
        <f t="shared" si="21"/>
        <v>186.66666666666697</v>
      </c>
      <c r="D237" s="354">
        <v>538000</v>
      </c>
      <c r="E237" s="354">
        <f t="shared" si="22"/>
        <v>315.72769953051704</v>
      </c>
      <c r="F237" s="356">
        <v>22550</v>
      </c>
      <c r="G237" s="354">
        <f t="shared" si="23"/>
        <v>143.44783715012701</v>
      </c>
      <c r="H237" s="356">
        <v>23700</v>
      </c>
      <c r="I237" s="354">
        <f t="shared" si="24"/>
        <v>184.72330475448172</v>
      </c>
      <c r="J237" s="356">
        <v>45700</v>
      </c>
      <c r="K237" s="354">
        <f t="shared" si="25"/>
        <v>201.32158590308379</v>
      </c>
      <c r="L237" s="356">
        <v>147100</v>
      </c>
      <c r="M237" s="354">
        <f t="shared" si="26"/>
        <v>217.60355029585742</v>
      </c>
      <c r="N237" s="356">
        <v>13110</v>
      </c>
      <c r="O237" s="354">
        <f t="shared" si="27"/>
        <v>167.8617157490394</v>
      </c>
    </row>
    <row r="238" spans="1:15">
      <c r="A238" s="353" t="s">
        <v>958</v>
      </c>
      <c r="B238" s="354">
        <v>103400</v>
      </c>
      <c r="C238" s="354">
        <f t="shared" si="21"/>
        <v>191.48148148148178</v>
      </c>
      <c r="D238" s="354">
        <v>558000</v>
      </c>
      <c r="E238" s="354">
        <f t="shared" si="22"/>
        <v>327.46478873239499</v>
      </c>
      <c r="F238" s="356">
        <v>22450</v>
      </c>
      <c r="G238" s="354">
        <f t="shared" si="23"/>
        <v>142.81170483460539</v>
      </c>
      <c r="H238" s="356">
        <v>23150</v>
      </c>
      <c r="I238" s="354">
        <f t="shared" si="24"/>
        <v>180.43647700701484</v>
      </c>
      <c r="J238" s="356">
        <v>46650</v>
      </c>
      <c r="K238" s="354">
        <f t="shared" si="25"/>
        <v>205.5066079295155</v>
      </c>
      <c r="L238" s="356">
        <v>149700</v>
      </c>
      <c r="M238" s="354">
        <f t="shared" si="26"/>
        <v>221.44970414201126</v>
      </c>
      <c r="N238" s="356">
        <v>13070</v>
      </c>
      <c r="O238" s="354">
        <f t="shared" si="27"/>
        <v>167.34955185659382</v>
      </c>
    </row>
    <row r="239" spans="1:15">
      <c r="A239" s="353" t="s">
        <v>957</v>
      </c>
      <c r="B239" s="354">
        <v>104500</v>
      </c>
      <c r="C239" s="354">
        <f t="shared" si="21"/>
        <v>193.51851851851885</v>
      </c>
      <c r="D239" s="354">
        <v>552000</v>
      </c>
      <c r="E239" s="354">
        <f t="shared" si="22"/>
        <v>323.9436619718316</v>
      </c>
      <c r="F239" s="356">
        <v>22600</v>
      </c>
      <c r="G239" s="354">
        <f t="shared" si="23"/>
        <v>143.76590330788784</v>
      </c>
      <c r="H239" s="356">
        <v>24100</v>
      </c>
      <c r="I239" s="354">
        <f t="shared" si="24"/>
        <v>187.84099766173034</v>
      </c>
      <c r="J239" s="356">
        <v>46200</v>
      </c>
      <c r="K239" s="354">
        <f t="shared" si="25"/>
        <v>203.52422907488994</v>
      </c>
      <c r="L239" s="356">
        <v>149400</v>
      </c>
      <c r="M239" s="354">
        <f t="shared" si="26"/>
        <v>221.00591715976273</v>
      </c>
      <c r="N239" s="356">
        <v>13110</v>
      </c>
      <c r="O239" s="354">
        <f t="shared" si="27"/>
        <v>167.8617157490394</v>
      </c>
    </row>
    <row r="240" spans="1:15">
      <c r="A240" s="353" t="s">
        <v>956</v>
      </c>
      <c r="B240" s="354">
        <v>105100</v>
      </c>
      <c r="C240" s="354">
        <f t="shared" si="21"/>
        <v>194.62962962962993</v>
      </c>
      <c r="D240" s="354">
        <v>542000</v>
      </c>
      <c r="E240" s="354">
        <f t="shared" si="22"/>
        <v>318.07511737089266</v>
      </c>
      <c r="F240" s="356">
        <v>22250</v>
      </c>
      <c r="G240" s="354">
        <f t="shared" si="23"/>
        <v>141.53944020356215</v>
      </c>
      <c r="H240" s="356">
        <v>23000</v>
      </c>
      <c r="I240" s="354">
        <f t="shared" si="24"/>
        <v>179.2673421667966</v>
      </c>
      <c r="J240" s="356">
        <v>43400</v>
      </c>
      <c r="K240" s="354">
        <f t="shared" si="25"/>
        <v>191.18942731277542</v>
      </c>
      <c r="L240" s="356">
        <v>144400</v>
      </c>
      <c r="M240" s="354">
        <f t="shared" si="26"/>
        <v>213.60946745562075</v>
      </c>
      <c r="N240" s="356">
        <v>12770</v>
      </c>
      <c r="O240" s="354">
        <f t="shared" si="27"/>
        <v>163.50832266325196</v>
      </c>
    </row>
    <row r="241" spans="1:15">
      <c r="A241" s="353" t="s">
        <v>955</v>
      </c>
      <c r="B241" s="354">
        <v>108400</v>
      </c>
      <c r="C241" s="354">
        <f t="shared" si="21"/>
        <v>200.74074074074107</v>
      </c>
      <c r="D241" s="354">
        <v>544000</v>
      </c>
      <c r="E241" s="354">
        <f t="shared" si="22"/>
        <v>319.24882629108043</v>
      </c>
      <c r="F241" s="356">
        <v>22500</v>
      </c>
      <c r="G241" s="354">
        <f t="shared" si="23"/>
        <v>143.12977099236622</v>
      </c>
      <c r="H241" s="356">
        <v>23900</v>
      </c>
      <c r="I241" s="354">
        <f t="shared" si="24"/>
        <v>186.28215120810603</v>
      </c>
      <c r="J241" s="356">
        <v>44950</v>
      </c>
      <c r="K241" s="354">
        <f t="shared" si="25"/>
        <v>198.01762114537456</v>
      </c>
      <c r="L241" s="356">
        <v>147000</v>
      </c>
      <c r="M241" s="354">
        <f t="shared" si="26"/>
        <v>217.45562130177456</v>
      </c>
      <c r="N241" s="356">
        <v>13120</v>
      </c>
      <c r="O241" s="354">
        <f t="shared" si="27"/>
        <v>167.98975672215082</v>
      </c>
    </row>
    <row r="242" spans="1:15">
      <c r="A242" s="353" t="s">
        <v>954</v>
      </c>
      <c r="B242" s="354">
        <v>109500</v>
      </c>
      <c r="C242" s="354">
        <f t="shared" si="21"/>
        <v>202.77777777777811</v>
      </c>
      <c r="D242" s="354">
        <v>577000</v>
      </c>
      <c r="E242" s="354">
        <f t="shared" si="22"/>
        <v>338.61502347417905</v>
      </c>
      <c r="F242" s="356">
        <v>22500</v>
      </c>
      <c r="G242" s="354">
        <f t="shared" si="23"/>
        <v>143.12977099236622</v>
      </c>
      <c r="H242" s="356">
        <v>24150</v>
      </c>
      <c r="I242" s="354">
        <f t="shared" si="24"/>
        <v>188.23070927513643</v>
      </c>
      <c r="J242" s="356">
        <v>44800</v>
      </c>
      <c r="K242" s="354">
        <f t="shared" si="25"/>
        <v>197.35682819383271</v>
      </c>
      <c r="L242" s="356">
        <v>148200</v>
      </c>
      <c r="M242" s="354">
        <f t="shared" si="26"/>
        <v>219.23076923076866</v>
      </c>
      <c r="N242" s="356">
        <v>13250</v>
      </c>
      <c r="O242" s="354">
        <f t="shared" si="27"/>
        <v>169.65428937259898</v>
      </c>
    </row>
    <row r="243" spans="1:15">
      <c r="A243" s="353" t="s">
        <v>953</v>
      </c>
      <c r="B243" s="354">
        <v>108400</v>
      </c>
      <c r="C243" s="354">
        <f t="shared" si="21"/>
        <v>200.74074074074107</v>
      </c>
      <c r="D243" s="354">
        <v>566000</v>
      </c>
      <c r="E243" s="354">
        <f t="shared" si="22"/>
        <v>332.15962441314622</v>
      </c>
      <c r="F243" s="356">
        <v>22300</v>
      </c>
      <c r="G243" s="354">
        <f t="shared" si="23"/>
        <v>141.85750636132298</v>
      </c>
      <c r="H243" s="356">
        <v>23800</v>
      </c>
      <c r="I243" s="354">
        <f t="shared" si="24"/>
        <v>185.50272798129387</v>
      </c>
      <c r="J243" s="356">
        <v>44250</v>
      </c>
      <c r="K243" s="354">
        <f t="shared" si="25"/>
        <v>194.93392070484592</v>
      </c>
      <c r="L243" s="356">
        <v>147000</v>
      </c>
      <c r="M243" s="354">
        <f t="shared" si="26"/>
        <v>217.45562130177458</v>
      </c>
      <c r="N243" s="356">
        <v>13450</v>
      </c>
      <c r="O243" s="354">
        <f t="shared" si="27"/>
        <v>172.21510883482688</v>
      </c>
    </row>
    <row r="244" spans="1:15">
      <c r="A244" s="353" t="s">
        <v>952</v>
      </c>
      <c r="B244" s="354">
        <v>108000</v>
      </c>
      <c r="C244" s="354">
        <f t="shared" si="21"/>
        <v>200.00000000000034</v>
      </c>
      <c r="D244" s="354">
        <v>587000</v>
      </c>
      <c r="E244" s="354">
        <f t="shared" si="22"/>
        <v>344.48356807511811</v>
      </c>
      <c r="F244" s="356">
        <v>22450</v>
      </c>
      <c r="G244" s="354">
        <f t="shared" si="23"/>
        <v>142.81170483460539</v>
      </c>
      <c r="H244" s="356">
        <v>23850</v>
      </c>
      <c r="I244" s="354">
        <f t="shared" si="24"/>
        <v>185.89243959469997</v>
      </c>
      <c r="J244" s="356">
        <v>43650</v>
      </c>
      <c r="K244" s="354">
        <f t="shared" si="25"/>
        <v>192.29074889867852</v>
      </c>
      <c r="L244" s="356">
        <v>147100</v>
      </c>
      <c r="M244" s="354">
        <f t="shared" si="26"/>
        <v>217.60355029585742</v>
      </c>
      <c r="N244" s="356">
        <v>13650</v>
      </c>
      <c r="O244" s="354">
        <f t="shared" si="27"/>
        <v>174.7759282970548</v>
      </c>
    </row>
    <row r="245" spans="1:15">
      <c r="A245" s="372" t="s">
        <v>1329</v>
      </c>
    </row>
    <row r="246" spans="1:15">
      <c r="A246" s="372" t="s">
        <v>1330</v>
      </c>
    </row>
  </sheetData>
  <autoFilter ref="A1:E1" xr:uid="{2BA8C905-B1C3-4AE2-9CFE-AB868FBE9C5C}">
    <sortState xmlns:xlrd2="http://schemas.microsoft.com/office/spreadsheetml/2017/richdata2" ref="A2:E244">
      <sortCondition ref="A1"/>
    </sortState>
  </autoFilter>
  <phoneticPr fontId="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E6932-2499-4BB1-A6EC-B652D4C9FCB1}">
  <dimension ref="A1:C17"/>
  <sheetViews>
    <sheetView workbookViewId="0">
      <selection activeCellId="1" sqref="C1:C17 A1:A17"/>
    </sheetView>
  </sheetViews>
  <sheetFormatPr defaultRowHeight="17"/>
  <cols>
    <col min="1" max="1" width="10.75" bestFit="1" customWidth="1"/>
  </cols>
  <sheetData>
    <row r="1" spans="1:3">
      <c r="A1" s="380">
        <v>45981</v>
      </c>
      <c r="B1" s="381">
        <v>131600</v>
      </c>
      <c r="C1">
        <v>100</v>
      </c>
    </row>
    <row r="2" spans="1:3">
      <c r="A2" s="380">
        <v>45982</v>
      </c>
      <c r="B2" s="381">
        <v>103800</v>
      </c>
      <c r="C2">
        <f>+C1*(1+B2/B1-1)</f>
        <v>78.875379939209722</v>
      </c>
    </row>
    <row r="3" spans="1:3">
      <c r="A3" s="380">
        <v>45985</v>
      </c>
      <c r="B3" s="381">
        <v>98300</v>
      </c>
      <c r="C3">
        <f t="shared" ref="C3:C17" si="0">+C2*(1+B3/B2-1)</f>
        <v>74.696048632218847</v>
      </c>
    </row>
    <row r="4" spans="1:3">
      <c r="A4" s="380">
        <v>45986</v>
      </c>
      <c r="B4" s="381">
        <v>92100</v>
      </c>
      <c r="C4">
        <f t="shared" si="0"/>
        <v>69.984802431610944</v>
      </c>
    </row>
    <row r="5" spans="1:3">
      <c r="A5" s="380">
        <v>45987</v>
      </c>
      <c r="B5" s="381">
        <v>92300</v>
      </c>
      <c r="C5">
        <f t="shared" si="0"/>
        <v>70.136778115501528</v>
      </c>
    </row>
    <row r="6" spans="1:3">
      <c r="A6" s="380">
        <v>45988</v>
      </c>
      <c r="B6" s="381">
        <v>95400</v>
      </c>
      <c r="C6">
        <f t="shared" si="0"/>
        <v>72.492401215805501</v>
      </c>
    </row>
    <row r="7" spans="1:3">
      <c r="A7" s="380">
        <v>45989</v>
      </c>
      <c r="B7" s="381">
        <v>91200</v>
      </c>
      <c r="C7">
        <f t="shared" si="0"/>
        <v>69.300911854103376</v>
      </c>
    </row>
    <row r="8" spans="1:3">
      <c r="A8" s="380">
        <v>45992</v>
      </c>
      <c r="B8" s="381">
        <v>94100</v>
      </c>
      <c r="C8">
        <f t="shared" si="0"/>
        <v>71.504559270516751</v>
      </c>
    </row>
    <row r="9" spans="1:3">
      <c r="A9" s="380">
        <v>45993</v>
      </c>
      <c r="B9" s="381">
        <v>91900</v>
      </c>
      <c r="C9">
        <f t="shared" si="0"/>
        <v>69.832826747720389</v>
      </c>
    </row>
    <row r="10" spans="1:3">
      <c r="A10" s="380">
        <v>45994</v>
      </c>
      <c r="B10" s="381">
        <v>87600</v>
      </c>
      <c r="C10">
        <f t="shared" si="0"/>
        <v>66.565349544072973</v>
      </c>
    </row>
    <row r="11" spans="1:3">
      <c r="A11" s="380">
        <v>45995</v>
      </c>
      <c r="B11" s="381">
        <v>88600</v>
      </c>
      <c r="C11">
        <f t="shared" si="0"/>
        <v>67.325227963525862</v>
      </c>
    </row>
    <row r="12" spans="1:3">
      <c r="A12" s="380">
        <v>45996</v>
      </c>
      <c r="B12" s="381">
        <v>83500</v>
      </c>
      <c r="C12">
        <f t="shared" si="0"/>
        <v>63.44984802431614</v>
      </c>
    </row>
    <row r="13" spans="1:3">
      <c r="A13" s="380">
        <v>45999</v>
      </c>
      <c r="B13" s="381">
        <v>84200</v>
      </c>
      <c r="C13">
        <f t="shared" si="0"/>
        <v>63.98176291793316</v>
      </c>
    </row>
    <row r="14" spans="1:3">
      <c r="A14" s="380">
        <v>46000</v>
      </c>
      <c r="B14" s="381">
        <v>79600</v>
      </c>
      <c r="C14">
        <f t="shared" si="0"/>
        <v>60.486322188449876</v>
      </c>
    </row>
    <row r="15" spans="1:3">
      <c r="A15" s="380">
        <v>46001</v>
      </c>
      <c r="B15" s="381">
        <v>77900</v>
      </c>
      <c r="C15">
        <f t="shared" si="0"/>
        <v>59.194528875379959</v>
      </c>
    </row>
    <row r="16" spans="1:3">
      <c r="A16" s="380">
        <v>46002</v>
      </c>
      <c r="B16" s="381">
        <v>74300</v>
      </c>
      <c r="C16">
        <f t="shared" si="0"/>
        <v>56.458966565349556</v>
      </c>
    </row>
    <row r="17" spans="1:3">
      <c r="A17" s="380">
        <v>46003</v>
      </c>
      <c r="B17" s="381">
        <v>75900</v>
      </c>
      <c r="C17">
        <f t="shared" si="0"/>
        <v>57.674772036474174</v>
      </c>
    </row>
  </sheetData>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13</vt:i4>
      </vt:variant>
    </vt:vector>
  </HeadingPairs>
  <TitlesOfParts>
    <vt:vector size="13" baseType="lpstr">
      <vt:lpstr>DCF</vt:lpstr>
      <vt:lpstr>Trading</vt:lpstr>
      <vt:lpstr>Model</vt:lpstr>
      <vt:lpstr>EBIT</vt:lpstr>
      <vt:lpstr>-&gt; Back Data</vt:lpstr>
      <vt:lpstr>Chart pack</vt:lpstr>
      <vt:lpstr>3s</vt:lpstr>
      <vt:lpstr>RAW</vt:lpstr>
      <vt:lpstr>자료 스크랩</vt:lpstr>
      <vt:lpstr>주담 문의</vt:lpstr>
      <vt:lpstr>peer</vt:lpstr>
      <vt:lpstr>PRICE</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강지현</dc:creator>
  <cp:lastModifiedBy>강지현</cp:lastModifiedBy>
  <dcterms:created xsi:type="dcterms:W3CDTF">2025-11-26T13:21:44Z</dcterms:created>
  <dcterms:modified xsi:type="dcterms:W3CDTF">2026-05-18T01:01:53Z</dcterms:modified>
</cp:coreProperties>
</file>