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C51" i="1" l="1"/>
  <c r="C54" i="1" s="1"/>
  <c r="C17" i="1"/>
  <c r="C26" i="1" s="1"/>
  <c r="C15" i="1"/>
  <c r="C21" i="1" s="1"/>
  <c r="C9" i="1"/>
  <c r="C11" i="1" l="1"/>
  <c r="C12" i="1" s="1"/>
  <c r="C27" i="1" s="1"/>
  <c r="E9" i="1"/>
  <c r="C52" i="1"/>
  <c r="C56" i="1" s="1"/>
  <c r="C58" i="1"/>
  <c r="C63" i="1" s="1"/>
  <c r="C41" i="1"/>
  <c r="C42" i="1" s="1"/>
  <c r="C47" i="1" s="1"/>
  <c r="C44" i="1"/>
  <c r="C45" i="1" s="1"/>
  <c r="C22" i="1" l="1"/>
  <c r="C29" i="1" s="1"/>
  <c r="E63" i="1"/>
  <c r="C60" i="1"/>
  <c r="C61" i="1"/>
  <c r="C31" i="1" l="1"/>
  <c r="C35" i="1"/>
  <c r="C65" i="1"/>
</calcChain>
</file>

<file path=xl/sharedStrings.xml><?xml version="1.0" encoding="utf-8"?>
<sst xmlns="http://schemas.openxmlformats.org/spreadsheetml/2006/main" count="139" uniqueCount="105">
  <si>
    <t>额定功率</t>
    <phoneticPr fontId="1" type="noConversion"/>
  </si>
  <si>
    <t>额定转速</t>
    <phoneticPr fontId="1" type="noConversion"/>
  </si>
  <si>
    <t>最大转矩倍数</t>
    <phoneticPr fontId="1" type="noConversion"/>
  </si>
  <si>
    <t>kW</t>
    <phoneticPr fontId="1" type="noConversion"/>
  </si>
  <si>
    <t>r/min</t>
    <phoneticPr fontId="1" type="noConversion"/>
  </si>
  <si>
    <t>n</t>
    <phoneticPr fontId="1" type="noConversion"/>
  </si>
  <si>
    <t>P</t>
    <phoneticPr fontId="1" type="noConversion"/>
  </si>
  <si>
    <t>Tm/Tn</t>
    <phoneticPr fontId="1" type="noConversion"/>
  </si>
  <si>
    <t>Tmax</t>
    <phoneticPr fontId="1" type="noConversion"/>
  </si>
  <si>
    <t>传递最大转矩</t>
    <phoneticPr fontId="1" type="noConversion"/>
  </si>
  <si>
    <t>承受轴向力</t>
    <phoneticPr fontId="1" type="noConversion"/>
  </si>
  <si>
    <t>Fx</t>
    <phoneticPr fontId="1" type="noConversion"/>
  </si>
  <si>
    <t>N</t>
    <phoneticPr fontId="1" type="noConversion"/>
  </si>
  <si>
    <t>传递力</t>
    <phoneticPr fontId="1" type="noConversion"/>
  </si>
  <si>
    <t>Ft</t>
    <phoneticPr fontId="1" type="noConversion"/>
  </si>
  <si>
    <t>配合直径</t>
    <phoneticPr fontId="1" type="noConversion"/>
  </si>
  <si>
    <t>df</t>
    <phoneticPr fontId="1" type="noConversion"/>
  </si>
  <si>
    <t>mm</t>
    <phoneticPr fontId="1" type="noConversion"/>
  </si>
  <si>
    <t>Pfmin</t>
    <phoneticPr fontId="1" type="noConversion"/>
  </si>
  <si>
    <t>最小结合压强</t>
    <phoneticPr fontId="1" type="noConversion"/>
  </si>
  <si>
    <t>配合长度</t>
    <phoneticPr fontId="1" type="noConversion"/>
  </si>
  <si>
    <t>lf</t>
    <phoneticPr fontId="1" type="noConversion"/>
  </si>
  <si>
    <t>配合面积</t>
    <phoneticPr fontId="1" type="noConversion"/>
  </si>
  <si>
    <t>Sf</t>
    <phoneticPr fontId="1" type="noConversion"/>
  </si>
  <si>
    <t>mm2</t>
    <phoneticPr fontId="1" type="noConversion"/>
  </si>
  <si>
    <t>如有需要，根据实际情况更改</t>
    <phoneticPr fontId="1" type="noConversion"/>
  </si>
  <si>
    <t>摩擦副系数</t>
    <phoneticPr fontId="1" type="noConversion"/>
  </si>
  <si>
    <t>u</t>
    <phoneticPr fontId="1" type="noConversion"/>
  </si>
  <si>
    <t>N.mm</t>
    <phoneticPr fontId="1" type="noConversion"/>
  </si>
  <si>
    <t>包容件外径</t>
    <phoneticPr fontId="1" type="noConversion"/>
  </si>
  <si>
    <t>da</t>
    <phoneticPr fontId="1" type="noConversion"/>
  </si>
  <si>
    <t>N</t>
    <phoneticPr fontId="1" type="noConversion"/>
  </si>
  <si>
    <t>MPa</t>
    <phoneticPr fontId="1" type="noConversion"/>
  </si>
  <si>
    <t>qa</t>
    <phoneticPr fontId="1" type="noConversion"/>
  </si>
  <si>
    <t>被包容件内径</t>
    <phoneticPr fontId="1" type="noConversion"/>
  </si>
  <si>
    <t>qi</t>
    <phoneticPr fontId="1" type="noConversion"/>
  </si>
  <si>
    <t>实心轴取0</t>
    <phoneticPr fontId="1" type="noConversion"/>
  </si>
  <si>
    <t>di</t>
    <phoneticPr fontId="1" type="noConversion"/>
  </si>
  <si>
    <t>最小直径变化量-包容件</t>
    <phoneticPr fontId="1" type="noConversion"/>
  </si>
  <si>
    <t>包容件弹性模量</t>
    <phoneticPr fontId="1" type="noConversion"/>
  </si>
  <si>
    <t>Ea</t>
    <phoneticPr fontId="1" type="noConversion"/>
  </si>
  <si>
    <t>MPa</t>
    <phoneticPr fontId="1" type="noConversion"/>
  </si>
  <si>
    <t>包容件泊松比</t>
    <phoneticPr fontId="1" type="noConversion"/>
  </si>
  <si>
    <t>va</t>
    <phoneticPr fontId="1" type="noConversion"/>
  </si>
  <si>
    <t>Ca</t>
    <phoneticPr fontId="1" type="noConversion"/>
  </si>
  <si>
    <t>eamin</t>
    <phoneticPr fontId="1" type="noConversion"/>
  </si>
  <si>
    <t>被包容件弹性模量</t>
    <phoneticPr fontId="1" type="noConversion"/>
  </si>
  <si>
    <t>被包容件泊松比</t>
    <phoneticPr fontId="1" type="noConversion"/>
  </si>
  <si>
    <t>Ci</t>
    <phoneticPr fontId="1" type="noConversion"/>
  </si>
  <si>
    <t>eimin</t>
    <phoneticPr fontId="1" type="noConversion"/>
  </si>
  <si>
    <t>所需最小有效过盈量</t>
    <phoneticPr fontId="1" type="noConversion"/>
  </si>
  <si>
    <t>mm</t>
    <phoneticPr fontId="1" type="noConversion"/>
  </si>
  <si>
    <t>传递载荷需要的最小过盈量</t>
    <phoneticPr fontId="1" type="noConversion"/>
  </si>
  <si>
    <t>σmin</t>
    <phoneticPr fontId="1" type="noConversion"/>
  </si>
  <si>
    <t>用胀缩法装配</t>
    <phoneticPr fontId="1" type="noConversion"/>
  </si>
  <si>
    <t>用压入法装配</t>
    <phoneticPr fontId="1" type="noConversion"/>
  </si>
  <si>
    <t>Raa</t>
    <phoneticPr fontId="1" type="noConversion"/>
  </si>
  <si>
    <t>Rai</t>
    <phoneticPr fontId="1" type="noConversion"/>
  </si>
  <si>
    <t>算术平均偏差-包容件</t>
    <phoneticPr fontId="1" type="noConversion"/>
  </si>
  <si>
    <t>算术平均偏差-被包容件</t>
    <phoneticPr fontId="1" type="noConversion"/>
  </si>
  <si>
    <t>不产生塑性变形所允许的最大有效过盈量</t>
    <phoneticPr fontId="1" type="noConversion"/>
  </si>
  <si>
    <t>系数</t>
    <phoneticPr fontId="1" type="noConversion"/>
  </si>
  <si>
    <t>a</t>
    <phoneticPr fontId="1" type="noConversion"/>
  </si>
  <si>
    <t>最大结合压强-塑性材料</t>
    <phoneticPr fontId="1" type="noConversion"/>
  </si>
  <si>
    <t>pfmax</t>
    <phoneticPr fontId="1" type="noConversion"/>
  </si>
  <si>
    <t>包容件</t>
    <phoneticPr fontId="1" type="noConversion"/>
  </si>
  <si>
    <t>包容件屈服强度</t>
    <phoneticPr fontId="1" type="noConversion"/>
  </si>
  <si>
    <t>σmin</t>
    <phoneticPr fontId="1" type="noConversion"/>
  </si>
  <si>
    <t>pfamax</t>
    <phoneticPr fontId="1" type="noConversion"/>
  </si>
  <si>
    <t>系数b</t>
    <phoneticPr fontId="1" type="noConversion"/>
  </si>
  <si>
    <t>最大结合压强-脆性材料</t>
    <phoneticPr fontId="1" type="noConversion"/>
  </si>
  <si>
    <t>包容件的抗拉强度</t>
    <phoneticPr fontId="1" type="noConversion"/>
  </si>
  <si>
    <t>被除的系数取2-3，此处取2.5</t>
    <phoneticPr fontId="1" type="noConversion"/>
  </si>
  <si>
    <t>材料是否为塑性材料</t>
    <phoneticPr fontId="1" type="noConversion"/>
  </si>
  <si>
    <t>包容件最大结合强度</t>
    <phoneticPr fontId="1" type="noConversion"/>
  </si>
  <si>
    <t>Y</t>
    <phoneticPr fontId="1" type="noConversion"/>
  </si>
  <si>
    <t>被包容件</t>
    <phoneticPr fontId="1" type="noConversion"/>
  </si>
  <si>
    <t>被包容件屈服强度</t>
    <phoneticPr fontId="1" type="noConversion"/>
  </si>
  <si>
    <t>σsa</t>
    <phoneticPr fontId="1" type="noConversion"/>
  </si>
  <si>
    <t>σsi</t>
    <phoneticPr fontId="1" type="noConversion"/>
  </si>
  <si>
    <t>填N或Y</t>
    <phoneticPr fontId="1" type="noConversion"/>
  </si>
  <si>
    <t>c</t>
    <phoneticPr fontId="1" type="noConversion"/>
  </si>
  <si>
    <t>pfimax</t>
    <phoneticPr fontId="1" type="noConversion"/>
  </si>
  <si>
    <t>pfimax</t>
    <phoneticPr fontId="1" type="noConversion"/>
  </si>
  <si>
    <t>被包容件抗拉强度</t>
    <phoneticPr fontId="1" type="noConversion"/>
  </si>
  <si>
    <t>σba</t>
    <phoneticPr fontId="1" type="noConversion"/>
  </si>
  <si>
    <t>σbi</t>
    <phoneticPr fontId="1" type="noConversion"/>
  </si>
  <si>
    <t>pfimax</t>
    <phoneticPr fontId="1" type="noConversion"/>
  </si>
  <si>
    <t>Pfamax</t>
    <phoneticPr fontId="1" type="noConversion"/>
  </si>
  <si>
    <t>被连接件最大结合压强</t>
    <phoneticPr fontId="1" type="noConversion"/>
  </si>
  <si>
    <t>最小直径变化量-被包容件</t>
    <phoneticPr fontId="1" type="noConversion"/>
  </si>
  <si>
    <t>最大直径变化量-包容件</t>
    <phoneticPr fontId="1" type="noConversion"/>
  </si>
  <si>
    <t>最大直径变化量-被包容件</t>
    <phoneticPr fontId="1" type="noConversion"/>
  </si>
  <si>
    <t>eamax</t>
    <phoneticPr fontId="1" type="noConversion"/>
  </si>
  <si>
    <t>eimax</t>
    <phoneticPr fontId="1" type="noConversion"/>
  </si>
  <si>
    <t>Ei</t>
    <phoneticPr fontId="1" type="noConversion"/>
  </si>
  <si>
    <t>所允许的最大有效过盈量</t>
    <phoneticPr fontId="1" type="noConversion"/>
  </si>
  <si>
    <t>σemin</t>
    <phoneticPr fontId="1" type="noConversion"/>
  </si>
  <si>
    <t>最大传递力</t>
    <phoneticPr fontId="1" type="noConversion"/>
  </si>
  <si>
    <t>Ftmax</t>
    <phoneticPr fontId="1" type="noConversion"/>
  </si>
  <si>
    <t>基本过盈量初选</t>
    <phoneticPr fontId="1" type="noConversion"/>
  </si>
  <si>
    <t>一般取平均值</t>
    <phoneticPr fontId="1" type="noConversion"/>
  </si>
  <si>
    <t>σemax</t>
    <phoneticPr fontId="1" type="noConversion"/>
  </si>
  <si>
    <t>如连接强度需要一定富余量，在平均值-最大值之间取值</t>
    <phoneticPr fontId="1" type="noConversion"/>
  </si>
  <si>
    <t>如材料强度需要有富余，则在最小值-平均值间取值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</si>
</sst>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3" fillId="0" borderId="0" xfId="0" applyFont="1"/>
    <xf numFmtId="0" fontId="0" fillId="4" borderId="0" xfId="0" applyFill="1"/>
    <xf numFmtId="0" fontId="4" fillId="0" borderId="0" xfId="0" applyFon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14</xdr:col>
      <xdr:colOff>226782</xdr:colOff>
      <xdr:row>12</xdr:row>
      <xdr:rowOff>24762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9781" y="172641"/>
          <a:ext cx="5019048" cy="19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10</xdr:col>
      <xdr:colOff>290012</xdr:colOff>
      <xdr:row>50</xdr:row>
      <xdr:rowOff>65164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8935" y="7015370"/>
          <a:ext cx="2352381" cy="2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20</xdr:col>
      <xdr:colOff>365272</xdr:colOff>
      <xdr:row>56</xdr:row>
      <xdr:rowOff>119299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38761" y="7015370"/>
          <a:ext cx="6552381" cy="30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16</xdr:col>
      <xdr:colOff>508130</xdr:colOff>
      <xdr:row>25</xdr:row>
      <xdr:rowOff>112783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88935" y="2377109"/>
          <a:ext cx="6695238" cy="2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6" zoomScaleNormal="100" workbookViewId="0">
      <selection activeCell="H33" sqref="H33"/>
    </sheetView>
  </sheetViews>
  <sheetFormatPr defaultRowHeight="13.5" x14ac:dyDescent="0.15"/>
  <cols>
    <col min="1" max="1" width="22.5" bestFit="1" customWidth="1"/>
    <col min="2" max="2" width="8.125" customWidth="1"/>
    <col min="3" max="3" width="10.5" bestFit="1" customWidth="1"/>
  </cols>
  <sheetData>
    <row r="1" spans="1:5" ht="22.5" x14ac:dyDescent="0.25">
      <c r="A1" s="6" t="s">
        <v>52</v>
      </c>
    </row>
    <row r="2" spans="1:5" x14ac:dyDescent="0.15">
      <c r="A2" t="s">
        <v>15</v>
      </c>
      <c r="B2" t="s">
        <v>16</v>
      </c>
      <c r="C2" s="1">
        <v>280</v>
      </c>
      <c r="D2" t="s">
        <v>17</v>
      </c>
    </row>
    <row r="3" spans="1:5" x14ac:dyDescent="0.15">
      <c r="A3" t="s">
        <v>20</v>
      </c>
      <c r="B3" t="s">
        <v>21</v>
      </c>
      <c r="C3" s="1">
        <v>200</v>
      </c>
      <c r="D3" t="s">
        <v>17</v>
      </c>
    </row>
    <row r="4" spans="1:5" x14ac:dyDescent="0.15">
      <c r="A4" t="s">
        <v>22</v>
      </c>
      <c r="B4" t="s">
        <v>23</v>
      </c>
      <c r="C4" s="2">
        <f>PI()*C2*C3*0+196922</f>
        <v>196922</v>
      </c>
      <c r="D4" t="s">
        <v>24</v>
      </c>
      <c r="E4" t="s">
        <v>25</v>
      </c>
    </row>
    <row r="5" spans="1:5" x14ac:dyDescent="0.15">
      <c r="A5" t="s">
        <v>26</v>
      </c>
      <c r="B5" t="s">
        <v>27</v>
      </c>
      <c r="C5" s="3">
        <v>0.15</v>
      </c>
    </row>
    <row r="6" spans="1:5" x14ac:dyDescent="0.15">
      <c r="A6" t="s">
        <v>0</v>
      </c>
      <c r="B6" t="s">
        <v>6</v>
      </c>
      <c r="C6" s="1">
        <v>40000</v>
      </c>
      <c r="D6" t="s">
        <v>3</v>
      </c>
    </row>
    <row r="7" spans="1:5" x14ac:dyDescent="0.15">
      <c r="A7" t="s">
        <v>1</v>
      </c>
      <c r="B7" t="s">
        <v>5</v>
      </c>
      <c r="C7" s="1">
        <v>1500</v>
      </c>
      <c r="D7" t="s">
        <v>4</v>
      </c>
    </row>
    <row r="8" spans="1:5" x14ac:dyDescent="0.15">
      <c r="A8" t="s">
        <v>2</v>
      </c>
      <c r="B8" t="s">
        <v>7</v>
      </c>
      <c r="C8" s="1">
        <v>1</v>
      </c>
    </row>
    <row r="9" spans="1:5" x14ac:dyDescent="0.15">
      <c r="A9" t="s">
        <v>9</v>
      </c>
      <c r="B9" t="s">
        <v>8</v>
      </c>
      <c r="C9">
        <f>10^3*C8*9550*C6/C7</f>
        <v>254666666.66666666</v>
      </c>
      <c r="D9" t="s">
        <v>28</v>
      </c>
      <c r="E9">
        <f>C9/1000</f>
        <v>254666.66666666666</v>
      </c>
    </row>
    <row r="10" spans="1:5" x14ac:dyDescent="0.15">
      <c r="A10" t="s">
        <v>10</v>
      </c>
      <c r="B10" t="s">
        <v>11</v>
      </c>
      <c r="C10" s="1">
        <v>0</v>
      </c>
      <c r="D10" t="s">
        <v>12</v>
      </c>
    </row>
    <row r="11" spans="1:5" x14ac:dyDescent="0.15">
      <c r="A11" t="s">
        <v>13</v>
      </c>
      <c r="B11" t="s">
        <v>14</v>
      </c>
      <c r="C11" s="2">
        <f>SQRT(C10^2+(2*C9/C2)^2)</f>
        <v>1819047.6190476189</v>
      </c>
      <c r="D11" t="s">
        <v>31</v>
      </c>
    </row>
    <row r="12" spans="1:5" x14ac:dyDescent="0.15">
      <c r="A12" t="s">
        <v>19</v>
      </c>
      <c r="B12" t="s">
        <v>18</v>
      </c>
      <c r="C12" s="2">
        <f>C11/(C4*C5)</f>
        <v>61.582678050111852</v>
      </c>
      <c r="D12" t="s">
        <v>32</v>
      </c>
    </row>
    <row r="14" spans="1:5" x14ac:dyDescent="0.15">
      <c r="A14" t="s">
        <v>29</v>
      </c>
      <c r="B14" t="s">
        <v>30</v>
      </c>
      <c r="C14" s="1">
        <v>375</v>
      </c>
      <c r="D14" t="s">
        <v>17</v>
      </c>
    </row>
    <row r="15" spans="1:5" x14ac:dyDescent="0.15">
      <c r="B15" t="s">
        <v>33</v>
      </c>
      <c r="C15">
        <f>C2/C14</f>
        <v>0.7466666666666667</v>
      </c>
    </row>
    <row r="16" spans="1:5" x14ac:dyDescent="0.15">
      <c r="A16" t="s">
        <v>34</v>
      </c>
      <c r="B16" t="s">
        <v>37</v>
      </c>
      <c r="C16" s="1">
        <v>0</v>
      </c>
      <c r="D16" t="s">
        <v>17</v>
      </c>
      <c r="E16" t="s">
        <v>36</v>
      </c>
    </row>
    <row r="17" spans="1:4" x14ac:dyDescent="0.15">
      <c r="B17" t="s">
        <v>35</v>
      </c>
      <c r="C17">
        <f>C16/C2</f>
        <v>0</v>
      </c>
    </row>
    <row r="19" spans="1:4" x14ac:dyDescent="0.15">
      <c r="A19" t="s">
        <v>39</v>
      </c>
      <c r="B19" t="s">
        <v>40</v>
      </c>
      <c r="C19" s="1">
        <v>206000</v>
      </c>
      <c r="D19" t="s">
        <v>41</v>
      </c>
    </row>
    <row r="20" spans="1:4" x14ac:dyDescent="0.15">
      <c r="A20" t="s">
        <v>42</v>
      </c>
      <c r="B20" t="s">
        <v>43</v>
      </c>
      <c r="C20" s="1">
        <v>0.3</v>
      </c>
    </row>
    <row r="21" spans="1:4" x14ac:dyDescent="0.15">
      <c r="B21" t="s">
        <v>44</v>
      </c>
      <c r="C21">
        <f>(1+C15^2)/(1-C15^2)+C20</f>
        <v>3.819887505022098</v>
      </c>
    </row>
    <row r="22" spans="1:4" x14ac:dyDescent="0.15">
      <c r="A22" t="s">
        <v>38</v>
      </c>
      <c r="B22" t="s">
        <v>45</v>
      </c>
      <c r="C22" s="2">
        <f>C12*C2*C21/C19</f>
        <v>0.31974219744969828</v>
      </c>
      <c r="D22" t="s">
        <v>51</v>
      </c>
    </row>
    <row r="24" spans="1:4" x14ac:dyDescent="0.15">
      <c r="A24" t="s">
        <v>46</v>
      </c>
      <c r="B24" t="s">
        <v>95</v>
      </c>
      <c r="C24" s="1">
        <v>206000</v>
      </c>
      <c r="D24" t="s">
        <v>41</v>
      </c>
    </row>
    <row r="25" spans="1:4" x14ac:dyDescent="0.15">
      <c r="A25" t="s">
        <v>47</v>
      </c>
      <c r="B25" t="s">
        <v>43</v>
      </c>
      <c r="C25" s="1">
        <v>0.3</v>
      </c>
    </row>
    <row r="26" spans="1:4" x14ac:dyDescent="0.15">
      <c r="B26" t="s">
        <v>48</v>
      </c>
      <c r="C26">
        <f>(1+C17^2)/(1-C17^2)-C25</f>
        <v>0.7</v>
      </c>
    </row>
    <row r="27" spans="1:4" x14ac:dyDescent="0.15">
      <c r="A27" t="s">
        <v>90</v>
      </c>
      <c r="B27" t="s">
        <v>49</v>
      </c>
      <c r="C27" s="2">
        <f>C12*C2*C26/C24</f>
        <v>5.859322765932972E-2</v>
      </c>
      <c r="D27" t="s">
        <v>51</v>
      </c>
    </row>
    <row r="29" spans="1:4" x14ac:dyDescent="0.15">
      <c r="A29" t="s">
        <v>50</v>
      </c>
      <c r="B29" s="4" t="s">
        <v>97</v>
      </c>
      <c r="C29" s="5">
        <f>C22+C27</f>
        <v>0.37833542510902801</v>
      </c>
      <c r="D29" t="s">
        <v>51</v>
      </c>
    </row>
    <row r="31" spans="1:4" x14ac:dyDescent="0.15">
      <c r="A31" t="s">
        <v>54</v>
      </c>
      <c r="B31" t="s">
        <v>53</v>
      </c>
      <c r="C31" s="5">
        <f>C29</f>
        <v>0.37833542510902801</v>
      </c>
      <c r="D31" t="s">
        <v>17</v>
      </c>
    </row>
    <row r="33" spans="1:5" x14ac:dyDescent="0.15">
      <c r="A33" t="s">
        <v>58</v>
      </c>
      <c r="B33" t="s">
        <v>56</v>
      </c>
      <c r="C33">
        <v>8.0000000000000004E-4</v>
      </c>
      <c r="D33" t="s">
        <v>17</v>
      </c>
    </row>
    <row r="34" spans="1:5" x14ac:dyDescent="0.15">
      <c r="A34" t="s">
        <v>59</v>
      </c>
      <c r="B34" t="s">
        <v>57</v>
      </c>
      <c r="C34">
        <v>8.0000000000000004E-4</v>
      </c>
      <c r="D34" t="s">
        <v>17</v>
      </c>
    </row>
    <row r="35" spans="1:5" x14ac:dyDescent="0.15">
      <c r="A35" t="s">
        <v>55</v>
      </c>
      <c r="B35" t="s">
        <v>67</v>
      </c>
      <c r="C35" s="5">
        <f>C29+2*(C33*1.6+C34*1.6)</f>
        <v>0.38345542510902803</v>
      </c>
      <c r="D35" t="s">
        <v>17</v>
      </c>
    </row>
    <row r="38" spans="1:5" ht="22.5" x14ac:dyDescent="0.25">
      <c r="A38" s="6" t="s">
        <v>60</v>
      </c>
    </row>
    <row r="39" spans="1:5" x14ac:dyDescent="0.15">
      <c r="A39" t="s">
        <v>65</v>
      </c>
    </row>
    <row r="40" spans="1:5" x14ac:dyDescent="0.15">
      <c r="A40" t="s">
        <v>66</v>
      </c>
      <c r="B40" t="s">
        <v>78</v>
      </c>
      <c r="C40" s="1">
        <v>835</v>
      </c>
      <c r="D40" t="s">
        <v>41</v>
      </c>
    </row>
    <row r="41" spans="1:5" x14ac:dyDescent="0.15">
      <c r="A41" t="s">
        <v>61</v>
      </c>
      <c r="B41" t="s">
        <v>62</v>
      </c>
      <c r="C41">
        <f>(1-C15^2)/SQRT(3+C15^4)</f>
        <v>0.24318381881240686</v>
      </c>
    </row>
    <row r="42" spans="1:5" x14ac:dyDescent="0.15">
      <c r="A42" t="s">
        <v>63</v>
      </c>
      <c r="B42" t="s">
        <v>68</v>
      </c>
      <c r="C42">
        <f>C41*C40</f>
        <v>203.05848870835973</v>
      </c>
      <c r="D42" t="s">
        <v>41</v>
      </c>
    </row>
    <row r="43" spans="1:5" x14ac:dyDescent="0.15">
      <c r="A43" t="s">
        <v>71</v>
      </c>
      <c r="B43" t="s">
        <v>85</v>
      </c>
      <c r="C43" s="1">
        <v>980</v>
      </c>
      <c r="D43" t="s">
        <v>32</v>
      </c>
    </row>
    <row r="44" spans="1:5" x14ac:dyDescent="0.15">
      <c r="A44" t="s">
        <v>69</v>
      </c>
      <c r="C44">
        <f>(1-C15^2)/(1+C15^2)</f>
        <v>0.28409998858577779</v>
      </c>
    </row>
    <row r="45" spans="1:5" x14ac:dyDescent="0.15">
      <c r="A45" t="s">
        <v>70</v>
      </c>
      <c r="B45" t="s">
        <v>88</v>
      </c>
      <c r="C45">
        <f>C44*C43/2.5</f>
        <v>111.36719552562491</v>
      </c>
      <c r="D45" t="s">
        <v>41</v>
      </c>
      <c r="E45" s="7" t="s">
        <v>72</v>
      </c>
    </row>
    <row r="46" spans="1:5" x14ac:dyDescent="0.15">
      <c r="A46" t="s">
        <v>73</v>
      </c>
      <c r="C46" s="1" t="s">
        <v>75</v>
      </c>
      <c r="E46" t="s">
        <v>80</v>
      </c>
    </row>
    <row r="47" spans="1:5" x14ac:dyDescent="0.15">
      <c r="A47" t="s">
        <v>74</v>
      </c>
      <c r="B47" t="s">
        <v>68</v>
      </c>
      <c r="C47" s="2">
        <f>IF(C46="Y",C42,C45)</f>
        <v>203.05848870835973</v>
      </c>
    </row>
    <row r="49" spans="1:5" x14ac:dyDescent="0.15">
      <c r="A49" t="s">
        <v>76</v>
      </c>
    </row>
    <row r="50" spans="1:5" x14ac:dyDescent="0.15">
      <c r="A50" t="s">
        <v>77</v>
      </c>
      <c r="B50" t="s">
        <v>79</v>
      </c>
      <c r="C50" s="1">
        <v>835</v>
      </c>
      <c r="D50" t="s">
        <v>41</v>
      </c>
    </row>
    <row r="51" spans="1:5" x14ac:dyDescent="0.15">
      <c r="A51" t="s">
        <v>61</v>
      </c>
      <c r="B51" t="s">
        <v>81</v>
      </c>
      <c r="C51">
        <f>(1-C17^2)/2</f>
        <v>0.5</v>
      </c>
    </row>
    <row r="52" spans="1:5" x14ac:dyDescent="0.15">
      <c r="A52" t="s">
        <v>63</v>
      </c>
      <c r="B52" t="s">
        <v>82</v>
      </c>
      <c r="C52">
        <f>C51*C50</f>
        <v>417.5</v>
      </c>
      <c r="D52" t="s">
        <v>32</v>
      </c>
    </row>
    <row r="53" spans="1:5" x14ac:dyDescent="0.15">
      <c r="A53" t="s">
        <v>84</v>
      </c>
      <c r="B53" t="s">
        <v>86</v>
      </c>
      <c r="C53" s="1">
        <v>980</v>
      </c>
      <c r="D53" t="s">
        <v>32</v>
      </c>
    </row>
    <row r="54" spans="1:5" x14ac:dyDescent="0.15">
      <c r="A54" t="s">
        <v>70</v>
      </c>
      <c r="B54" t="s">
        <v>83</v>
      </c>
      <c r="C54">
        <f>C51*C53/2.5</f>
        <v>196</v>
      </c>
      <c r="D54" t="s">
        <v>32</v>
      </c>
      <c r="E54" s="7" t="s">
        <v>72</v>
      </c>
    </row>
    <row r="55" spans="1:5" x14ac:dyDescent="0.15">
      <c r="A55" t="s">
        <v>73</v>
      </c>
      <c r="C55" s="1" t="s">
        <v>75</v>
      </c>
      <c r="E55" t="s">
        <v>80</v>
      </c>
    </row>
    <row r="56" spans="1:5" x14ac:dyDescent="0.15">
      <c r="A56" t="s">
        <v>74</v>
      </c>
      <c r="B56" t="s">
        <v>87</v>
      </c>
      <c r="C56" s="2">
        <f>IF(C55="Y",C52,C54)</f>
        <v>417.5</v>
      </c>
      <c r="D56" t="s">
        <v>32</v>
      </c>
    </row>
    <row r="58" spans="1:5" x14ac:dyDescent="0.15">
      <c r="A58" t="s">
        <v>89</v>
      </c>
      <c r="B58" t="s">
        <v>64</v>
      </c>
      <c r="C58" s="2">
        <f>MIN(C47,C56)</f>
        <v>203.05848870835973</v>
      </c>
      <c r="D58" t="s">
        <v>32</v>
      </c>
    </row>
    <row r="60" spans="1:5" x14ac:dyDescent="0.15">
      <c r="A60" t="s">
        <v>91</v>
      </c>
      <c r="B60" t="s">
        <v>93</v>
      </c>
      <c r="C60">
        <f>C58*C2*C21/C19</f>
        <v>1.054295939153425</v>
      </c>
      <c r="D60" t="s">
        <v>17</v>
      </c>
    </row>
    <row r="61" spans="1:5" x14ac:dyDescent="0.15">
      <c r="A61" t="s">
        <v>92</v>
      </c>
      <c r="B61" t="s">
        <v>94</v>
      </c>
      <c r="C61">
        <f>C58*C2*C26/C24</f>
        <v>0.1932012805186335</v>
      </c>
      <c r="D61" t="s">
        <v>17</v>
      </c>
    </row>
    <row r="63" spans="1:5" x14ac:dyDescent="0.15">
      <c r="A63" t="s">
        <v>98</v>
      </c>
      <c r="B63" t="s">
        <v>99</v>
      </c>
      <c r="C63">
        <f>C58*C4*C5</f>
        <v>5998002.5570141422</v>
      </c>
      <c r="D63" t="s">
        <v>31</v>
      </c>
      <c r="E63" s="5" t="str">
        <f>IF(C63&lt;C11,"材料强度不够","材料强度够")</f>
        <v>材料强度够</v>
      </c>
    </row>
    <row r="65" spans="1:4" x14ac:dyDescent="0.15">
      <c r="A65" t="s">
        <v>96</v>
      </c>
      <c r="B65" t="s">
        <v>102</v>
      </c>
      <c r="C65" s="5">
        <f>C61+C60</f>
        <v>1.2474972196720584</v>
      </c>
      <c r="D65" t="s">
        <v>17</v>
      </c>
    </row>
    <row r="68" spans="1:4" ht="22.5" x14ac:dyDescent="0.25">
      <c r="A68" s="6" t="s">
        <v>100</v>
      </c>
    </row>
    <row r="69" spans="1:4" x14ac:dyDescent="0.15">
      <c r="A69" t="s">
        <v>101</v>
      </c>
    </row>
    <row r="70" spans="1:4" x14ac:dyDescent="0.15">
      <c r="A70" t="s">
        <v>103</v>
      </c>
    </row>
    <row r="71" spans="1:4" x14ac:dyDescent="0.15">
      <c r="A71" t="s">
        <v>104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2022-11-18T09:28:30Z</dcterms:modified>
</cp:coreProperties>
</file>