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igorman\Documents\Oracle\"/>
    </mc:Choice>
  </mc:AlternateContent>
  <xr:revisionPtr revIDLastSave="0" documentId="13_ncr:1_{24772BCD-DF83-4CB6-8D94-8A2F19B27875}" xr6:coauthVersionLast="45" xr6:coauthVersionMax="45" xr10:uidLastSave="{00000000-0000-0000-0000-000000000000}"/>
  <bookViews>
    <workbookView xWindow="915" yWindow="0" windowWidth="23115" windowHeight="15158" xr2:uid="{B5A66F4D-52B7-4754-9584-EB2C94538BF5}"/>
  </bookViews>
  <sheets>
    <sheet name="AWR" sheetId="2" r:id="rId1"/>
    <sheet name="Calculations" sheetId="1" r:id="rId2"/>
  </sheets>
  <definedNames>
    <definedName name="BusyCPUfactor">AWR!$E$26</definedName>
    <definedName name="BusyCPUmultiplier">AWR!$E$27</definedName>
    <definedName name="HighCpuThreshold">AWR!$E$26</definedName>
    <definedName name="IoMetricsFactor">AWR!$E$28</definedName>
    <definedName name="PeakCPUfactor" localSheetId="0">AWR!$E$23</definedName>
    <definedName name="PeakCpuFactor">AWR!$E$23</definedName>
    <definedName name="PeakRAMfactor" localSheetId="0">AWR!$E$24</definedName>
    <definedName name="PeakRAMfactor">AWR!$E$24</definedName>
    <definedName name="vCPUHTFactor">AWR!$E$25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4" i="1" l="1"/>
  <c r="K35" i="1"/>
  <c r="K36" i="1"/>
  <c r="K37" i="1"/>
  <c r="K38" i="1"/>
  <c r="I34" i="1" l="1"/>
  <c r="I35" i="1"/>
  <c r="I36" i="1"/>
  <c r="I37" i="1"/>
  <c r="I38" i="1"/>
  <c r="H34" i="1"/>
  <c r="H35" i="1"/>
  <c r="H36" i="1"/>
  <c r="H37" i="1"/>
  <c r="H38" i="1"/>
  <c r="D34" i="1"/>
  <c r="D35" i="1"/>
  <c r="D36" i="1"/>
  <c r="D37" i="1"/>
  <c r="D38" i="1"/>
  <c r="F34" i="1"/>
  <c r="F35" i="1"/>
  <c r="F36" i="1"/>
  <c r="F37" i="1"/>
  <c r="F38" i="1"/>
  <c r="G31" i="1"/>
  <c r="G34" i="1"/>
  <c r="G35" i="1"/>
  <c r="G36" i="1"/>
  <c r="G37" i="1"/>
  <c r="G38" i="1"/>
  <c r="H19" i="1"/>
  <c r="G22" i="1"/>
  <c r="G23" i="1"/>
  <c r="G24" i="1"/>
  <c r="G25" i="1"/>
  <c r="G26" i="1"/>
  <c r="I22" i="1"/>
  <c r="I23" i="1"/>
  <c r="I24" i="1"/>
  <c r="I25" i="1"/>
  <c r="I26" i="1"/>
  <c r="H22" i="1"/>
  <c r="H23" i="1"/>
  <c r="H24" i="1"/>
  <c r="H25" i="1"/>
  <c r="H26" i="1"/>
  <c r="H7" i="1"/>
  <c r="E22" i="1"/>
  <c r="E23" i="1"/>
  <c r="E24" i="1"/>
  <c r="E25" i="1"/>
  <c r="E26" i="1"/>
  <c r="H8" i="1"/>
  <c r="H10" i="1"/>
  <c r="H11" i="1"/>
  <c r="H12" i="1"/>
  <c r="H13" i="1"/>
  <c r="H14" i="1"/>
  <c r="R5" i="2"/>
  <c r="R6" i="2"/>
  <c r="G32" i="1" s="1"/>
  <c r="I32" i="1" s="1"/>
  <c r="R7" i="2"/>
  <c r="G33" i="1" s="1"/>
  <c r="I33" i="1" s="1"/>
  <c r="R13" i="2"/>
  <c r="R14" i="2"/>
  <c r="R15" i="2"/>
  <c r="R16" i="2"/>
  <c r="R17" i="2"/>
  <c r="R18" i="2"/>
  <c r="R19" i="2"/>
  <c r="R20" i="2"/>
  <c r="R21" i="2"/>
  <c r="H21" i="1" l="1"/>
  <c r="H9" i="1"/>
  <c r="H15" i="1" s="1"/>
  <c r="H20" i="1"/>
  <c r="G39" i="1"/>
  <c r="I31" i="1"/>
  <c r="I39" i="1" s="1"/>
  <c r="V6" i="2"/>
  <c r="V7" i="2"/>
  <c r="V13" i="2"/>
  <c r="V14" i="2"/>
  <c r="V15" i="2"/>
  <c r="V16" i="2"/>
  <c r="V17" i="2"/>
  <c r="V18" i="2"/>
  <c r="V19" i="2"/>
  <c r="V20" i="2"/>
  <c r="V21" i="2"/>
  <c r="U6" i="2"/>
  <c r="D32" i="1" s="1"/>
  <c r="U7" i="2"/>
  <c r="D33" i="1" s="1"/>
  <c r="U13" i="2"/>
  <c r="U14" i="2"/>
  <c r="U15" i="2"/>
  <c r="U16" i="2"/>
  <c r="U17" i="2"/>
  <c r="U18" i="2"/>
  <c r="U19" i="2"/>
  <c r="U20" i="2"/>
  <c r="U21" i="2"/>
  <c r="T6" i="2"/>
  <c r="E20" i="1" s="1"/>
  <c r="T7" i="2"/>
  <c r="E21" i="1" s="1"/>
  <c r="T13" i="2"/>
  <c r="T14" i="2"/>
  <c r="T15" i="2"/>
  <c r="T16" i="2"/>
  <c r="T17" i="2"/>
  <c r="T18" i="2"/>
  <c r="T19" i="2"/>
  <c r="T20" i="2"/>
  <c r="T21" i="2"/>
  <c r="S6" i="2"/>
  <c r="S7" i="2"/>
  <c r="S13" i="2"/>
  <c r="S14" i="2"/>
  <c r="S15" i="2"/>
  <c r="S16" i="2"/>
  <c r="S17" i="2"/>
  <c r="S18" i="2"/>
  <c r="S19" i="2"/>
  <c r="S20" i="2"/>
  <c r="S21" i="2"/>
  <c r="H27" i="1" l="1"/>
  <c r="F33" i="1"/>
  <c r="H33" i="1" s="1"/>
  <c r="G21" i="1"/>
  <c r="F32" i="1"/>
  <c r="H32" i="1" s="1"/>
  <c r="G20" i="1"/>
  <c r="D8" i="1"/>
  <c r="I8" i="1" s="1"/>
  <c r="E8" i="1"/>
  <c r="F8" i="1"/>
  <c r="G8" i="1"/>
  <c r="D9" i="1"/>
  <c r="I9" i="1" s="1"/>
  <c r="E9" i="1"/>
  <c r="F9" i="1"/>
  <c r="G9" i="1"/>
  <c r="J38" i="1" l="1"/>
  <c r="G10" i="1"/>
  <c r="G11" i="1"/>
  <c r="G12" i="1"/>
  <c r="G13" i="1"/>
  <c r="G14" i="1"/>
  <c r="F10" i="1"/>
  <c r="F11" i="1"/>
  <c r="F12" i="1"/>
  <c r="F13" i="1"/>
  <c r="F14" i="1"/>
  <c r="E10" i="1"/>
  <c r="E11" i="1"/>
  <c r="E12" i="1"/>
  <c r="E13" i="1"/>
  <c r="E14" i="1"/>
  <c r="D10" i="1"/>
  <c r="I10" i="1" s="1"/>
  <c r="J34" i="1" s="1"/>
  <c r="D11" i="1"/>
  <c r="I11" i="1" s="1"/>
  <c r="J35" i="1" s="1"/>
  <c r="D12" i="1"/>
  <c r="D13" i="1"/>
  <c r="I13" i="1" s="1"/>
  <c r="J37" i="1" s="1"/>
  <c r="D14" i="1"/>
  <c r="I14" i="1" s="1"/>
  <c r="E34" i="1"/>
  <c r="E35" i="1"/>
  <c r="E36" i="1"/>
  <c r="C31" i="1"/>
  <c r="C32" i="1"/>
  <c r="C33" i="1"/>
  <c r="C34" i="1"/>
  <c r="C35" i="1"/>
  <c r="C36" i="1"/>
  <c r="C37" i="1"/>
  <c r="C38" i="1"/>
  <c r="F20" i="1"/>
  <c r="F21" i="1"/>
  <c r="F22" i="1"/>
  <c r="F23" i="1"/>
  <c r="F24" i="1"/>
  <c r="F25" i="1"/>
  <c r="F26" i="1"/>
  <c r="D19" i="1"/>
  <c r="D20" i="1"/>
  <c r="I20" i="1" s="1"/>
  <c r="D21" i="1"/>
  <c r="I21" i="1" s="1"/>
  <c r="D22" i="1"/>
  <c r="D23" i="1"/>
  <c r="D24" i="1"/>
  <c r="D25" i="1"/>
  <c r="D26" i="1"/>
  <c r="D7" i="1"/>
  <c r="V5" i="2"/>
  <c r="U5" i="2"/>
  <c r="T5" i="2"/>
  <c r="S5" i="2"/>
  <c r="E38" i="1"/>
  <c r="I19" i="1" l="1"/>
  <c r="I27" i="1" s="1"/>
  <c r="I7" i="1"/>
  <c r="J31" i="1" s="1"/>
  <c r="K31" i="1" s="1"/>
  <c r="F31" i="1"/>
  <c r="H31" i="1" s="1"/>
  <c r="H39" i="1" s="1"/>
  <c r="G7" i="1"/>
  <c r="G19" i="1"/>
  <c r="G27" i="1" s="1"/>
  <c r="F7" i="1"/>
  <c r="F19" i="1"/>
  <c r="D31" i="1"/>
  <c r="D39" i="1" s="1"/>
  <c r="E7" i="1"/>
  <c r="E19" i="1"/>
  <c r="E37" i="1"/>
  <c r="I12" i="1"/>
  <c r="E33" i="1"/>
  <c r="J32" i="1"/>
  <c r="K32" i="1" s="1"/>
  <c r="E32" i="1"/>
  <c r="J36" i="1" l="1"/>
  <c r="J33" i="1"/>
  <c r="K33" i="1" s="1"/>
  <c r="E31" i="1"/>
  <c r="E15" i="1"/>
  <c r="G15" i="1" l="1"/>
  <c r="D15" i="1" l="1"/>
  <c r="F15" i="1"/>
  <c r="I15" i="1" l="1"/>
  <c r="E39" i="1" l="1"/>
  <c r="K39" i="1"/>
  <c r="D27" i="1" l="1"/>
  <c r="C39" i="1"/>
  <c r="F27" i="1"/>
  <c r="J39" i="1"/>
  <c r="F3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Timothy Gorman</author>
  </authors>
  <commentList>
    <comment ref="B4" authorId="0" shapeId="0" xr:uid="{56A208CC-F090-4244-A22D-D14CEC187070}">
      <text>
        <r>
          <rPr>
            <b/>
            <sz val="9"/>
            <color indexed="81"/>
            <rFont val="Tahoma"/>
            <charset val="1"/>
          </rPr>
          <t>Copied from "Database Summary" section at very top of AWR report</t>
        </r>
      </text>
    </comment>
    <comment ref="C4" authorId="0" shapeId="0" xr:uid="{C9815722-1148-45F6-BFEF-819A3A9157CF}">
      <text>
        <r>
          <rPr>
            <b/>
            <sz val="9"/>
            <color indexed="81"/>
            <rFont val="Tahoma"/>
            <charset val="1"/>
          </rPr>
          <t>Copied from "Database Summary" section at very top of AWR report</t>
        </r>
      </text>
    </comment>
    <comment ref="D4" authorId="0" shapeId="0" xr:uid="{C1B73952-AB3A-45D0-8F3D-171B92CF4498}">
      <text>
        <r>
          <rPr>
            <b/>
            <sz val="9"/>
            <color indexed="81"/>
            <rFont val="Tahoma"/>
            <charset val="1"/>
          </rPr>
          <t>Copied from "Database Summary" section at very top of AWR report</t>
        </r>
      </text>
    </comment>
    <comment ref="E4" authorId="0" shapeId="0" xr:uid="{2F866C56-2DF9-4F7D-A28B-D86A3B4F708D}">
      <text>
        <r>
          <rPr>
            <b/>
            <sz val="9"/>
            <color indexed="81"/>
            <rFont val="Tahoma"/>
            <charset val="1"/>
          </rPr>
          <t>Copied from "Database Summary" section at very top of AWR report</t>
        </r>
      </text>
    </comment>
    <comment ref="F4" authorId="0" shapeId="0" xr:uid="{187E827A-E0F9-4D33-8A52-BD9E495A4EEA}">
      <text>
        <r>
          <rPr>
            <b/>
            <sz val="9"/>
            <color indexed="81"/>
            <rFont val="Tahoma"/>
            <charset val="1"/>
          </rPr>
          <t>Copied from "Database Summary" section at very top of AWR report</t>
        </r>
      </text>
    </comment>
    <comment ref="G4" authorId="0" shapeId="0" xr:uid="{BE60BDCB-E23C-4C23-94A0-6882BED9AB27}">
      <text>
        <r>
          <rPr>
            <b/>
            <sz val="9"/>
            <color indexed="81"/>
            <rFont val="Tahoma"/>
            <family val="2"/>
          </rPr>
          <t>Copied from "Wait Classes by Total Wait Time" section near top of AWR report</t>
        </r>
      </text>
    </comment>
    <comment ref="H4" authorId="0" shapeId="0" xr:uid="{F153907A-CCC9-4558-837C-D0EA52C98B0F}">
      <text>
        <r>
          <rPr>
            <b/>
            <sz val="9"/>
            <color indexed="81"/>
            <rFont val="Tahoma"/>
            <charset val="1"/>
          </rPr>
          <t>Copied from "Database Summary" section at very top of AWR report</t>
        </r>
      </text>
    </comment>
    <comment ref="I4" authorId="0" shapeId="0" xr:uid="{D7ECFD29-03B9-4BC0-BC0E-0D346F569E45}">
      <text>
        <r>
          <rPr>
            <b/>
            <sz val="9"/>
            <color indexed="81"/>
            <rFont val="Tahoma"/>
            <charset val="1"/>
          </rPr>
          <t>Copied from "Database Summary" section at very top of AWR report</t>
        </r>
      </text>
    </comment>
    <comment ref="J4" authorId="0" shapeId="0" xr:uid="{282237EF-3A8B-455F-807A-01CB607C7898}">
      <text>
        <r>
          <rPr>
            <b/>
            <sz val="9"/>
            <color indexed="81"/>
            <rFont val="Tahoma"/>
            <charset val="1"/>
          </rPr>
          <t>Copied from "Database Summary" section at very top of AWR report</t>
        </r>
      </text>
    </comment>
    <comment ref="K4" authorId="0" shapeId="0" xr:uid="{FE210763-BA3D-487A-B5CE-EE8E7ADCC337}">
      <text>
        <r>
          <rPr>
            <b/>
            <sz val="9"/>
            <color indexed="81"/>
            <rFont val="Tahoma"/>
            <charset val="1"/>
          </rPr>
          <t>Copied from "Instance CPU" section of AWR report</t>
        </r>
      </text>
    </comment>
    <comment ref="L4" authorId="0" shapeId="0" xr:uid="{A38CA77A-6314-4E8E-A582-BDE5DC1D13A5}">
      <text>
        <r>
          <rPr>
            <b/>
            <sz val="9"/>
            <color indexed="81"/>
            <rFont val="Tahoma"/>
            <charset val="1"/>
          </rPr>
          <t>Copied from "Memory Statistics" section of AWR report</t>
        </r>
      </text>
    </comment>
    <comment ref="M4" authorId="0" shapeId="0" xr:uid="{216063AB-2C8E-427D-BA6B-658FE2CEF262}">
      <text>
        <r>
          <rPr>
            <b/>
            <sz val="9"/>
            <color indexed="81"/>
            <rFont val="Tahoma"/>
            <charset val="1"/>
          </rPr>
          <t>Copied from "Memory Statistics" section of AWR report</t>
        </r>
      </text>
    </comment>
    <comment ref="N4" authorId="0" shapeId="0" xr:uid="{413D77D7-83CD-4089-A85D-9B828B440DC2}">
      <text>
        <r>
          <rPr>
            <b/>
            <sz val="9"/>
            <color indexed="81"/>
            <rFont val="Tahoma"/>
            <family val="2"/>
          </rPr>
          <t>Copied from "Load Profile" section of AWR report</t>
        </r>
      </text>
    </comment>
    <comment ref="O4" authorId="0" shapeId="0" xr:uid="{7ECB9D31-AE22-45F0-B917-DA1A7769C550}">
      <text>
        <r>
          <rPr>
            <b/>
            <sz val="9"/>
            <color indexed="81"/>
            <rFont val="Tahoma"/>
            <family val="2"/>
          </rPr>
          <t>Copied from "Load Profile" section of AWR report</t>
        </r>
      </text>
    </comment>
    <comment ref="P4" authorId="0" shapeId="0" xr:uid="{B5DF301B-6330-4E35-897D-09D8A881C8F3}">
      <text>
        <r>
          <rPr>
            <b/>
            <sz val="9"/>
            <color indexed="81"/>
            <rFont val="Tahoma"/>
            <family val="2"/>
          </rPr>
          <t>Copied from "Load Profile" section of AWR report</t>
        </r>
      </text>
    </comment>
    <comment ref="Q4" authorId="0" shapeId="0" xr:uid="{16F84460-D708-4A40-91B4-2DAC245170ED}">
      <text>
        <r>
          <rPr>
            <b/>
            <sz val="9"/>
            <color indexed="81"/>
            <rFont val="Tahoma"/>
            <family val="2"/>
          </rPr>
          <t>Copied from "Load Profile" section of AWR report</t>
        </r>
      </text>
    </comment>
    <comment ref="D23" authorId="0" shapeId="0" xr:uid="{E21E9859-F0CD-486F-879B-C2D9FF9A5B86}">
      <text>
        <r>
          <rPr>
            <b/>
            <sz val="9"/>
            <color indexed="81"/>
            <rFont val="Tahoma"/>
            <family val="2"/>
          </rPr>
          <t>Rationale for peak vCPU factor is that CPU utilization stays below 33% on average</t>
        </r>
      </text>
    </comment>
    <comment ref="D24" authorId="0" shapeId="0" xr:uid="{559BF7AC-E839-4692-88C8-D6A19E7A2859}">
      <text>
        <r>
          <rPr>
            <b/>
            <sz val="9"/>
            <color indexed="81"/>
            <rFont val="Tahoma"/>
            <family val="2"/>
          </rPr>
          <t>Rationale for vRAM factor is that SGA+PGA = (about 2/3 of total vRAM)</t>
        </r>
      </text>
    </comment>
    <comment ref="D25" authorId="0" shapeId="0" xr:uid="{FE59ACCB-AEBB-492F-9554-0BF53038DD4E}">
      <text>
        <r>
          <rPr>
            <b/>
            <sz val="9"/>
            <color indexed="81"/>
            <rFont val="Tahoma"/>
            <family val="2"/>
          </rPr>
          <t>Number of hyperthreads in an Azure VM</t>
        </r>
      </text>
    </comment>
    <comment ref="D26" authorId="0" shapeId="0" xr:uid="{59AAAF4A-6D4B-4B10-A95D-EF425EB83C9F}">
      <text>
        <r>
          <rPr>
            <b/>
            <sz val="9"/>
            <color indexed="81"/>
            <rFont val="Tahoma"/>
            <family val="2"/>
          </rPr>
          <t>Threshold for "%busy CPU" when server CPU utilization is high enough to imply "thrashing"</t>
        </r>
      </text>
    </comment>
    <comment ref="D27" authorId="0" shapeId="0" xr:uid="{D7427406-F23F-4D5F-80D5-ED4D30FD5BE5}">
      <text>
        <r>
          <rPr>
            <b/>
            <sz val="9"/>
            <color indexed="81"/>
            <rFont val="Tahoma"/>
            <charset val="1"/>
          </rPr>
          <t>If "%busy CPU" is higher than threshold, use this multiplier when calculating Azure vCPUs</t>
        </r>
      </text>
    </comment>
    <comment ref="D28" authorId="0" shapeId="0" xr:uid="{622297FB-C5C4-472F-A57D-A14094C20285}">
      <text>
        <r>
          <rPr>
            <b/>
            <sz val="9"/>
            <color indexed="81"/>
            <rFont val="Tahoma"/>
            <charset val="1"/>
          </rPr>
          <t>Rationale is that observed AWR readings are "average" and this multiplier is for "peak" readings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Timothy Gorman</author>
  </authors>
  <commentList>
    <comment ref="C6" authorId="0" shapeId="0" xr:uid="{6BAA05F8-624D-4588-8522-CC11285F9D58}">
      <text>
        <r>
          <rPr>
            <b/>
            <sz val="9"/>
            <color indexed="81"/>
            <rFont val="Tahoma"/>
            <charset val="1"/>
          </rPr>
          <t>Copied from "Database Summary" section at very top of AWR report</t>
        </r>
      </text>
    </comment>
    <comment ref="D6" authorId="0" shapeId="0" xr:uid="{00884E61-4403-4C2B-ACF1-EA94A10E3C0E}">
      <text>
        <r>
          <rPr>
            <b/>
            <sz val="9"/>
            <color indexed="81"/>
            <rFont val="Tahoma"/>
            <family val="2"/>
          </rPr>
          <t>DB Time divided by the #seconds/week times #HT2 cores</t>
        </r>
      </text>
    </comment>
    <comment ref="G6" authorId="0" shapeId="0" xr:uid="{EFF19871-280A-4CEC-BAB3-0475D06A736D}">
      <text>
        <r>
          <rPr>
            <b/>
            <sz val="9"/>
            <color indexed="81"/>
            <rFont val="Tahoma"/>
            <family val="2"/>
          </rPr>
          <t>Calculated from "Read IOPS" plus "Write IOPS"</t>
        </r>
      </text>
    </comment>
    <comment ref="I6" authorId="0" shapeId="0" xr:uid="{EB52B6A2-4F97-43A4-BD24-6C4EA523E495}">
      <text>
        <r>
          <rPr>
            <b/>
            <sz val="9"/>
            <color indexed="81"/>
            <rFont val="Tahoma"/>
            <family val="2"/>
          </rPr>
          <t>Calculated from "DB Time" divided by the total time period covered by the report</t>
        </r>
      </text>
    </comment>
    <comment ref="D18" authorId="0" shapeId="0" xr:uid="{F5C2A444-0361-4F82-9E97-4C49563B2603}">
      <text>
        <r>
          <rPr>
            <b/>
            <sz val="9"/>
            <color indexed="81"/>
            <rFont val="Tahoma"/>
            <family val="2"/>
          </rPr>
          <t>Aggregated from "%DB Time" column in the section above</t>
        </r>
      </text>
    </comment>
    <comment ref="F18" authorId="0" shapeId="0" xr:uid="{40FE3EE2-8C56-45F0-BBA4-7F2591DBD9FA}">
      <text>
        <r>
          <rPr>
            <b/>
            <sz val="9"/>
            <color indexed="81"/>
            <rFont val="Tahoma"/>
            <family val="2"/>
          </rPr>
          <t>Aggregated from "Total SGA" and "Total PGA"</t>
        </r>
      </text>
    </comment>
    <comment ref="C30" authorId="0" shapeId="0" xr:uid="{4ABDC8AF-B59E-4143-94C8-881D95F80635}">
      <text>
        <r>
          <rPr>
            <b/>
            <sz val="9"/>
            <color indexed="81"/>
            <rFont val="Tahoma"/>
            <family val="2"/>
          </rPr>
          <t>Aggregated from the "%DB Time" column in the detailed section above</t>
        </r>
      </text>
    </comment>
    <comment ref="F30" authorId="0" shapeId="0" xr:uid="{1180554F-3C3E-422D-A73B-346D1F28CE49}">
      <text>
        <r>
          <rPr>
            <b/>
            <sz val="9"/>
            <color indexed="81"/>
            <rFont val="Tahoma"/>
            <family val="2"/>
          </rPr>
          <t>Aggregated from the "Total IOPS" column in the detailed section above</t>
        </r>
      </text>
    </comment>
    <comment ref="J30" authorId="0" shapeId="0" xr:uid="{43AC00C9-ACBB-4E8E-9C87-BD828C2CE6E3}">
      <text>
        <r>
          <rPr>
            <b/>
            <sz val="9"/>
            <color indexed="81"/>
            <rFont val="Tahoma"/>
            <family val="2"/>
          </rPr>
          <t>Aggregated from "Est'd Azure vCPUs" column in detailed section above, rounded up</t>
        </r>
      </text>
    </comment>
  </commentList>
</comments>
</file>

<file path=xl/sharedStrings.xml><?xml version="1.0" encoding="utf-8"?>
<sst xmlns="http://schemas.openxmlformats.org/spreadsheetml/2006/main" count="108" uniqueCount="78">
  <si>
    <t>DB Name</t>
  </si>
  <si>
    <t>Instance Name</t>
  </si>
  <si>
    <t>Host Name</t>
  </si>
  <si>
    <t>Read IOPS</t>
  </si>
  <si>
    <t>Write IOPS</t>
  </si>
  <si>
    <t>Total IOPS</t>
  </si>
  <si>
    <t>Est'd Azure vCPUs</t>
  </si>
  <si>
    <t>Total</t>
  </si>
  <si>
    <t>Est'd Azure vCPUs for avg load</t>
  </si>
  <si>
    <t>Est'd Azure vCPUs for peak load</t>
  </si>
  <si>
    <t>Peak CPU factor</t>
  </si>
  <si>
    <t>Est'd RAM factor</t>
  </si>
  <si>
    <t>Possible recommendations:</t>
  </si>
  <si>
    <t>vCPU x vRAM</t>
  </si>
  <si>
    <t>Suggested Instance types:</t>
  </si>
  <si>
    <t>Calculated detail by database instance</t>
  </si>
  <si>
    <t>Elapsed Time (mins)</t>
  </si>
  <si>
    <t>DB Time (mins)</t>
  </si>
  <si>
    <t>Memory (GB)</t>
  </si>
  <si>
    <t>Aggregated calculations by host</t>
  </si>
  <si>
    <t>Aggregated calculations by database</t>
  </si>
  <si>
    <t>%DB Time of Elapsed Time</t>
  </si>
  <si>
    <t>CPUs</t>
  </si>
  <si>
    <t>Cores</t>
  </si>
  <si>
    <t>AWR detail collected by database instance</t>
  </si>
  <si>
    <t>%busy CPU</t>
  </si>
  <si>
    <t>SGA use (MB)</t>
  </si>
  <si>
    <t>PGA use (MB)</t>
  </si>
  <si>
    <t>Total ORA (GB)</t>
  </si>
  <si>
    <t>Azure Instance type</t>
  </si>
  <si>
    <t>* from https://azure.microsoft.com/en-us/pricing/details/virtual-machines/linux/ under "Memory Optimized"</t>
  </si>
  <si>
    <t>1-year</t>
  </si>
  <si>
    <t>3-year</t>
  </si>
  <si>
    <t>DB CPU (s)</t>
  </si>
  <si>
    <t>%DB CPU of server capacity</t>
  </si>
  <si>
    <t>CPU total capacity (s)</t>
  </si>
  <si>
    <t>ORA use (GB)</t>
  </si>
  <si>
    <t>source CPU HT factor</t>
  </si>
  <si>
    <t>vCPU HT factor</t>
  </si>
  <si>
    <t>Add information from the AWR report, one row for each instance</t>
  </si>
  <si>
    <t>Please add rows by specifying DB Name, Instance Name, or Host Name as appropriate.</t>
  </si>
  <si>
    <t xml:space="preserve"> The calculated cells already have formulas to aggregate the AWR information added on the other worksheet appropriately.</t>
  </si>
  <si>
    <t>Name</t>
  </si>
  <si>
    <t>Host</t>
  </si>
  <si>
    <t>Read Throughput (MB/s)</t>
  </si>
  <si>
    <t>Write Throughput (MB/s)</t>
  </si>
  <si>
    <t>Total Throughput (MB/s)</t>
  </si>
  <si>
    <t>Est'd Azure IOPS for peak load</t>
  </si>
  <si>
    <t>Est'd Azure Throughput (MB/s) for peak load</t>
  </si>
  <si>
    <t>Total vRAM (GiB) consumed only by Oracle</t>
  </si>
  <si>
    <t>Est'd Azure vRAM for server</t>
  </si>
  <si>
    <t>IO metrics (IOPS &amp; MB/s) fudge factor</t>
  </si>
  <si>
    <t>Monthly pricing</t>
  </si>
  <si>
    <t>M64s</t>
  </si>
  <si>
    <t>64 x 1024</t>
  </si>
  <si>
    <t>%Busy CPU threshold</t>
  </si>
  <si>
    <t>%Busy CPU multiplier</t>
  </si>
  <si>
    <t>E32s v3</t>
  </si>
  <si>
    <t>32 x 256</t>
  </si>
  <si>
    <t>IOPS/Rd/Wrt</t>
  </si>
  <si>
    <t>48000/750/375</t>
  </si>
  <si>
    <t>As-you-go</t>
  </si>
  <si>
    <t>* from https://docs.microsoft.com/en-us/azure/virtual-machines/ev3-esv3-series/ under "Memory Optimized"</t>
  </si>
  <si>
    <t>40000/1000</t>
  </si>
  <si>
    <t>Calculated vCPU x vRAM, IOPS/MBps</t>
  </si>
  <si>
    <t>EXAMPLE</t>
  </si>
  <si>
    <t>EXPROD1</t>
  </si>
  <si>
    <t>EXPROD2</t>
  </si>
  <si>
    <t>EXPROD3</t>
  </si>
  <si>
    <t>example01.sample.com</t>
  </si>
  <si>
    <t>example02.sample.com</t>
  </si>
  <si>
    <t>example03.sample.com</t>
  </si>
  <si>
    <t>E64s v3</t>
  </si>
  <si>
    <t>(optimistic)</t>
  </si>
  <si>
    <t>(pessimistic)</t>
  </si>
  <si>
    <t>(conservative)</t>
  </si>
  <si>
    <t>64 x 423</t>
  </si>
  <si>
    <t>80000/1200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</si>
</sst>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%"/>
    <numFmt numFmtId="165" formatCode="_-* #,##0_-;\-* #,##0_-;_-* &quot;-&quot;??_-;_-@_-"/>
    <numFmt numFmtId="166" formatCode="&quot;$&quot;#,##0.0000"/>
    <numFmt numFmtId="167" formatCode="&quot;$&quot;#,##0.0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b/>
      <sz val="9"/>
      <color indexed="81"/>
      <name val="Tahoma"/>
      <family val="2"/>
    </font>
    <font>
      <i/>
      <sz val="11"/>
      <color rgb="FFC0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i/>
      <sz val="14"/>
      <color theme="4" tint="-0.249977111117893"/>
      <name val="Calibri"/>
      <family val="2"/>
      <scheme val="minor"/>
    </font>
    <font>
      <b/>
      <sz val="9"/>
      <color indexed="81"/>
      <name val="Tahoma"/>
      <charset val="1"/>
    </font>
    <font>
      <b/>
      <i/>
      <sz val="14"/>
      <color rgb="FF0070C0"/>
      <name val="Calibri"/>
      <family val="2"/>
      <scheme val="minor"/>
    </font>
    <font>
      <i/>
      <sz val="11"/>
      <color theme="4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07">
    <xf numFmtId="0" fontId="0" fillId="0" borderId="0" xfId="0"/>
    <xf numFmtId="0" fontId="1" fillId="0" borderId="0" xfId="0" applyFont="1" applyAlignment="1">
      <alignment wrapText="1"/>
    </xf>
    <xf numFmtId="4" fontId="0" fillId="0" borderId="0" xfId="0" applyNumberFormat="1"/>
    <xf numFmtId="10" fontId="0" fillId="0" borderId="0" xfId="0" applyNumberFormat="1"/>
    <xf numFmtId="0" fontId="1" fillId="0" borderId="0" xfId="0" applyFont="1" applyAlignment="1">
      <alignment horizontal="right" wrapText="1"/>
    </xf>
    <xf numFmtId="0" fontId="3" fillId="0" borderId="0" xfId="0" applyFont="1"/>
    <xf numFmtId="3" fontId="0" fillId="0" borderId="0" xfId="0" applyNumberFormat="1"/>
    <xf numFmtId="0" fontId="1" fillId="0" borderId="0" xfId="0" applyFont="1" applyAlignment="1">
      <alignment horizontal="left" vertical="top" wrapText="1"/>
    </xf>
    <xf numFmtId="0" fontId="7" fillId="2" borderId="0" xfId="0" applyFont="1" applyFill="1" applyAlignment="1">
      <alignment horizontal="left" vertical="top" wrapText="1"/>
    </xf>
    <xf numFmtId="164" fontId="6" fillId="0" borderId="0" xfId="0" applyNumberFormat="1" applyFont="1"/>
    <xf numFmtId="164" fontId="6" fillId="2" borderId="0" xfId="0" applyNumberFormat="1" applyFont="1" applyFill="1"/>
    <xf numFmtId="4" fontId="6" fillId="0" borderId="0" xfId="0" applyNumberFormat="1" applyFont="1"/>
    <xf numFmtId="4" fontId="6" fillId="2" borderId="0" xfId="0" applyNumberFormat="1" applyFont="1" applyFill="1"/>
    <xf numFmtId="3" fontId="6" fillId="2" borderId="0" xfId="0" applyNumberFormat="1" applyFont="1" applyFill="1"/>
    <xf numFmtId="3" fontId="6" fillId="0" borderId="0" xfId="0" applyNumberFormat="1" applyFont="1"/>
    <xf numFmtId="0" fontId="10" fillId="2" borderId="0" xfId="0" applyFont="1" applyFill="1" applyAlignment="1">
      <alignment horizontal="left" vertical="top" wrapText="1"/>
    </xf>
    <xf numFmtId="3" fontId="11" fillId="0" borderId="0" xfId="0" applyNumberFormat="1" applyFont="1"/>
    <xf numFmtId="3" fontId="11" fillId="2" borderId="0" xfId="0" applyNumberFormat="1" applyFont="1" applyFill="1"/>
    <xf numFmtId="4" fontId="0" fillId="0" borderId="0" xfId="0" applyNumberFormat="1" applyAlignment="1">
      <alignment horizontal="right"/>
    </xf>
    <xf numFmtId="0" fontId="8" fillId="0" borderId="0" xfId="0" applyFont="1"/>
    <xf numFmtId="0" fontId="12" fillId="0" borderId="0" xfId="0" applyFont="1"/>
    <xf numFmtId="4" fontId="8" fillId="0" borderId="0" xfId="0" applyNumberFormat="1" applyFont="1"/>
    <xf numFmtId="164" fontId="12" fillId="0" borderId="0" xfId="0" applyNumberFormat="1" applyFont="1"/>
    <xf numFmtId="0" fontId="8" fillId="0" borderId="0" xfId="0" applyFont="1" applyFill="1"/>
    <xf numFmtId="0" fontId="12" fillId="0" borderId="0" xfId="0" applyFont="1" applyFill="1"/>
    <xf numFmtId="0" fontId="12" fillId="0" borderId="0" xfId="0" applyFont="1" applyFill="1" applyAlignment="1">
      <alignment horizontal="right"/>
    </xf>
    <xf numFmtId="164" fontId="12" fillId="0" borderId="0" xfId="0" applyNumberFormat="1" applyFont="1" applyFill="1"/>
    <xf numFmtId="0" fontId="1" fillId="3" borderId="0" xfId="0" applyFont="1" applyFill="1" applyAlignment="1">
      <alignment shrinkToFit="1"/>
    </xf>
    <xf numFmtId="0" fontId="9" fillId="0" borderId="3" xfId="0" applyFont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4" fontId="6" fillId="0" borderId="0" xfId="0" applyNumberFormat="1" applyFont="1" applyFill="1"/>
    <xf numFmtId="3" fontId="6" fillId="0" borderId="0" xfId="0" applyNumberFormat="1" applyFont="1" applyFill="1"/>
    <xf numFmtId="164" fontId="6" fillId="0" borderId="0" xfId="0" applyNumberFormat="1" applyFont="1" applyFill="1"/>
    <xf numFmtId="165" fontId="6" fillId="0" borderId="0" xfId="0" applyNumberFormat="1" applyFont="1" applyFill="1"/>
    <xf numFmtId="4" fontId="14" fillId="0" borderId="0" xfId="0" applyNumberFormat="1" applyFont="1" applyFill="1"/>
    <xf numFmtId="3" fontId="14" fillId="0" borderId="0" xfId="0" applyNumberFormat="1" applyFont="1" applyFill="1"/>
    <xf numFmtId="164" fontId="14" fillId="0" borderId="0" xfId="0" applyNumberFormat="1" applyFont="1" applyFill="1"/>
    <xf numFmtId="165" fontId="14" fillId="0" borderId="0" xfId="0" applyNumberFormat="1" applyFont="1" applyFill="1"/>
    <xf numFmtId="0" fontId="0" fillId="0" borderId="0" xfId="0" applyFill="1"/>
    <xf numFmtId="10" fontId="6" fillId="0" borderId="0" xfId="0" applyNumberFormat="1" applyFont="1" applyFill="1"/>
    <xf numFmtId="4" fontId="0" fillId="3" borderId="0" xfId="0" applyNumberFormat="1" applyFill="1" applyAlignment="1">
      <alignment shrinkToFit="1"/>
    </xf>
    <xf numFmtId="0" fontId="1" fillId="4" borderId="1" xfId="0" applyFont="1" applyFill="1" applyBorder="1"/>
    <xf numFmtId="0" fontId="0" fillId="4" borderId="2" xfId="0" applyFill="1" applyBorder="1"/>
    <xf numFmtId="0" fontId="9" fillId="0" borderId="0" xfId="0" applyFont="1" applyFill="1" applyBorder="1" applyAlignment="1">
      <alignment horizontal="right"/>
    </xf>
    <xf numFmtId="166" fontId="0" fillId="0" borderId="3" xfId="0" applyNumberFormat="1" applyFont="1" applyBorder="1"/>
    <xf numFmtId="0" fontId="1" fillId="2" borderId="9" xfId="0" applyFont="1" applyFill="1" applyBorder="1" applyAlignment="1">
      <alignment horizontal="right"/>
    </xf>
    <xf numFmtId="0" fontId="1" fillId="2" borderId="8" xfId="0" applyFont="1" applyFill="1" applyBorder="1" applyAlignment="1">
      <alignment horizontal="right"/>
    </xf>
    <xf numFmtId="0" fontId="1" fillId="2" borderId="10" xfId="0" applyFont="1" applyFill="1" applyBorder="1" applyAlignment="1">
      <alignment horizontal="right"/>
    </xf>
    <xf numFmtId="0" fontId="1" fillId="2" borderId="11" xfId="0" applyFont="1" applyFill="1" applyBorder="1" applyAlignment="1">
      <alignment horizontal="right"/>
    </xf>
    <xf numFmtId="1" fontId="15" fillId="0" borderId="0" xfId="0" applyNumberFormat="1" applyFont="1"/>
    <xf numFmtId="3" fontId="3" fillId="0" borderId="0" xfId="0" applyNumberFormat="1" applyFont="1" applyFill="1"/>
    <xf numFmtId="3" fontId="11" fillId="0" borderId="0" xfId="0" applyNumberFormat="1" applyFont="1" applyFill="1"/>
    <xf numFmtId="1" fontId="3" fillId="0" borderId="0" xfId="0" applyNumberFormat="1" applyFont="1" applyFill="1"/>
    <xf numFmtId="1" fontId="5" fillId="0" borderId="0" xfId="0" applyNumberFormat="1" applyFont="1" applyFill="1"/>
    <xf numFmtId="0" fontId="6" fillId="0" borderId="0" xfId="0" applyFont="1" applyFill="1"/>
    <xf numFmtId="0" fontId="8" fillId="5" borderId="4" xfId="0" applyFont="1" applyFill="1" applyBorder="1"/>
    <xf numFmtId="0" fontId="8" fillId="5" borderId="5" xfId="0" applyFont="1" applyFill="1" applyBorder="1"/>
    <xf numFmtId="0" fontId="12" fillId="5" borderId="7" xfId="0" applyFont="1" applyFill="1" applyBorder="1"/>
    <xf numFmtId="0" fontId="0" fillId="0" borderId="0" xfId="0" applyFont="1" applyAlignment="1">
      <alignment horizontal="right" wrapText="1"/>
    </xf>
    <xf numFmtId="4" fontId="0" fillId="0" borderId="0" xfId="0" applyNumberFormat="1" applyFont="1" applyAlignment="1">
      <alignment horizontal="right"/>
    </xf>
    <xf numFmtId="4" fontId="0" fillId="0" borderId="0" xfId="0" applyNumberFormat="1" applyFont="1" applyAlignment="1">
      <alignment horizontal="right" vertical="top"/>
    </xf>
    <xf numFmtId="3" fontId="0" fillId="0" borderId="0" xfId="0" applyNumberFormat="1" applyFont="1" applyAlignment="1">
      <alignment horizontal="right" vertical="top"/>
    </xf>
    <xf numFmtId="10" fontId="0" fillId="0" borderId="0" xfId="0" applyNumberFormat="1" applyFont="1" applyAlignment="1">
      <alignment horizontal="right" vertical="top"/>
    </xf>
    <xf numFmtId="0" fontId="0" fillId="0" borderId="0" xfId="0" applyNumberFormat="1" applyFont="1" applyAlignment="1">
      <alignment horizontal="left" vertical="top" wrapText="1"/>
    </xf>
    <xf numFmtId="3" fontId="15" fillId="0" borderId="0" xfId="0" applyNumberFormat="1" applyFont="1" applyAlignment="1">
      <alignment horizontal="right" vertical="top"/>
    </xf>
    <xf numFmtId="4" fontId="15" fillId="0" borderId="0" xfId="0" applyNumberFormat="1" applyFont="1" applyAlignment="1">
      <alignment horizontal="right"/>
    </xf>
    <xf numFmtId="4" fontId="15" fillId="0" borderId="0" xfId="0" applyNumberFormat="1" applyFont="1" applyAlignment="1">
      <alignment horizontal="right" vertical="top"/>
    </xf>
    <xf numFmtId="1" fontId="11" fillId="0" borderId="0" xfId="0" applyNumberFormat="1" applyFont="1"/>
    <xf numFmtId="10" fontId="14" fillId="0" borderId="0" xfId="0" applyNumberFormat="1" applyFont="1" applyFill="1"/>
    <xf numFmtId="0" fontId="1" fillId="0" borderId="0" xfId="0" applyFont="1" applyAlignment="1">
      <alignment horizontal="right" vertical="top" wrapText="1"/>
    </xf>
    <xf numFmtId="0" fontId="16" fillId="0" borderId="0" xfId="0" applyFont="1"/>
    <xf numFmtId="0" fontId="17" fillId="0" borderId="0" xfId="0" applyFont="1" applyAlignment="1">
      <alignment horizontal="left" vertical="top" wrapText="1"/>
    </xf>
    <xf numFmtId="0" fontId="18" fillId="0" borderId="0" xfId="0" applyFont="1"/>
    <xf numFmtId="0" fontId="19" fillId="2" borderId="0" xfId="0" applyFont="1" applyFill="1" applyAlignment="1">
      <alignment horizontal="left" vertical="top" wrapText="1"/>
    </xf>
    <xf numFmtId="4" fontId="11" fillId="0" borderId="0" xfId="0" applyNumberFormat="1" applyFont="1"/>
    <xf numFmtId="4" fontId="11" fillId="0" borderId="0" xfId="0" applyNumberFormat="1" applyFont="1" applyFill="1"/>
    <xf numFmtId="4" fontId="11" fillId="2" borderId="0" xfId="0" applyNumberFormat="1" applyFont="1" applyFill="1"/>
    <xf numFmtId="1" fontId="11" fillId="2" borderId="0" xfId="0" applyNumberFormat="1" applyFont="1" applyFill="1"/>
    <xf numFmtId="2" fontId="0" fillId="6" borderId="0" xfId="0" applyNumberFormat="1" applyFill="1"/>
    <xf numFmtId="0" fontId="19" fillId="2" borderId="0" xfId="0" applyFont="1" applyFill="1" applyAlignment="1">
      <alignment horizontal="right" vertical="top" wrapText="1"/>
    </xf>
    <xf numFmtId="164" fontId="15" fillId="0" borderId="0" xfId="0" applyNumberFormat="1" applyFont="1"/>
    <xf numFmtId="2" fontId="15" fillId="0" borderId="0" xfId="0" applyNumberFormat="1" applyFont="1"/>
    <xf numFmtId="164" fontId="15" fillId="2" borderId="0" xfId="0" applyNumberFormat="1" applyFont="1" applyFill="1"/>
    <xf numFmtId="2" fontId="15" fillId="2" borderId="0" xfId="0" applyNumberFormat="1" applyFont="1" applyFill="1"/>
    <xf numFmtId="4" fontId="15" fillId="0" borderId="0" xfId="0" applyNumberFormat="1" applyFont="1"/>
    <xf numFmtId="3" fontId="15" fillId="0" borderId="0" xfId="0" applyNumberFormat="1" applyFont="1"/>
    <xf numFmtId="4" fontId="15" fillId="0" borderId="0" xfId="0" applyNumberFormat="1" applyFont="1" applyFill="1"/>
    <xf numFmtId="164" fontId="15" fillId="0" borderId="0" xfId="0" applyNumberFormat="1" applyFont="1" applyFill="1"/>
    <xf numFmtId="3" fontId="15" fillId="0" borderId="0" xfId="0" applyNumberFormat="1" applyFont="1" applyFill="1"/>
    <xf numFmtId="4" fontId="15" fillId="2" borderId="0" xfId="0" applyNumberFormat="1" applyFont="1" applyFill="1"/>
    <xf numFmtId="10" fontId="15" fillId="2" borderId="0" xfId="0" applyNumberFormat="1" applyFont="1" applyFill="1"/>
    <xf numFmtId="3" fontId="15" fillId="2" borderId="0" xfId="0" applyNumberFormat="1" applyFont="1" applyFill="1"/>
    <xf numFmtId="1" fontId="15" fillId="0" borderId="0" xfId="0" applyNumberFormat="1" applyFont="1" applyFill="1"/>
    <xf numFmtId="1" fontId="15" fillId="2" borderId="0" xfId="0" applyNumberFormat="1" applyFont="1" applyFill="1"/>
    <xf numFmtId="0" fontId="0" fillId="0" borderId="0" xfId="0" applyAlignment="1">
      <alignment horizontal="left" vertical="top" wrapText="1"/>
    </xf>
    <xf numFmtId="4" fontId="0" fillId="0" borderId="0" xfId="0" applyNumberFormat="1" applyAlignment="1">
      <alignment horizontal="right" vertical="top"/>
    </xf>
    <xf numFmtId="3" fontId="0" fillId="0" borderId="0" xfId="0" applyNumberFormat="1" applyAlignment="1">
      <alignment horizontal="right" vertical="top"/>
    </xf>
    <xf numFmtId="10" fontId="0" fillId="0" borderId="0" xfId="0" applyNumberFormat="1" applyAlignment="1">
      <alignment horizontal="right" vertical="top"/>
    </xf>
    <xf numFmtId="0" fontId="1" fillId="2" borderId="12" xfId="0" applyFont="1" applyFill="1" applyBorder="1"/>
    <xf numFmtId="0" fontId="0" fillId="2" borderId="13" xfId="0" applyFill="1" applyBorder="1"/>
    <xf numFmtId="0" fontId="0" fillId="0" borderId="8" xfId="0" applyBorder="1"/>
    <xf numFmtId="0" fontId="0" fillId="0" borderId="3" xfId="0" applyNumberFormat="1" applyBorder="1" applyAlignment="1">
      <alignment horizontal="right"/>
    </xf>
    <xf numFmtId="0" fontId="9" fillId="0" borderId="0" xfId="0" applyFont="1" applyFill="1" applyBorder="1" applyAlignment="1">
      <alignment horizontal="left"/>
    </xf>
    <xf numFmtId="0" fontId="18" fillId="0" borderId="11" xfId="0" applyFont="1" applyBorder="1"/>
    <xf numFmtId="0" fontId="0" fillId="0" borderId="0" xfId="0" applyAlignment="1">
      <alignment horizontal="left" vertical="top"/>
    </xf>
    <xf numFmtId="0" fontId="0" fillId="0" borderId="0" xfId="0" applyAlignment="1"/>
    <xf numFmtId="167" fontId="0" fillId="0" borderId="3" xfId="0" applyNumberFormat="1" applyBorder="1"/>
  </cellXfs>
  <cellStyles count="1">
    <cellStyle name="Normal" xfId="0" builtinId="0"/>
  </cellStyles>
  <dxfs count="88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" formatCode="0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1" formatCode="0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4" formatCode="#,##0.00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4" formatCode="#,##0.00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4" formatCode="#,##0.00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4" formatCode="#,##0.00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3" formatCode="#,##0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3" formatCode="#,##0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14" formatCode="0.00%"/>
      <fill>
        <patternFill patternType="solid">
          <fgColor indexed="64"/>
          <bgColor theme="0" tint="-0.34998626667073579"/>
        </patternFill>
      </fill>
    </dxf>
    <dxf>
      <alignment textRotation="0" wrapTex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2" formatCode="0.00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2" formatCode="0.00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2" formatCode="0.00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2" formatCode="0.00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164" formatCode="0.000%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164" formatCode="0.000%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4" formatCode="#,##0.00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4" formatCode="#,##0.00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4" formatCode="#,##0.00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3" formatCode="#,##0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164" formatCode="0.000%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164" formatCode="0.000%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4" formatCode="#,##0.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4" formatCode="#,##0.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4" formatCode="#,##0.00"/>
    </dxf>
    <dxf>
      <font>
        <i/>
        <color rgb="FF0070C0"/>
      </font>
      <numFmt numFmtId="3" formatCode="#,##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164" formatCode="0.000%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164" formatCode="0.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" formatCode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1" formatCode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4" formatCode="#,##0.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4" formatCode="#,##0.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4" formatCode="#,##0.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4" formatCode="#,##0.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3" formatCode="#,##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3" formatCode="#,##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164" formatCode="0.000%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2" formatCode="0.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2" formatCode="0.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2" formatCode="0.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2" formatCode="0.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164" formatCode="0.000%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164" formatCode="0.000%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alignment horizontal="right" vertical="top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4" formatCode="#,##0.00"/>
      <alignment horizontal="right" vertical="top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3" formatCode="#,##0"/>
      <alignment horizontal="right" vertical="top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3" formatCode="#,##0"/>
      <alignment horizontal="right" vertical="top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4" formatCode="#,##0.00"/>
      <fill>
        <patternFill patternType="solid">
          <fgColor indexed="64"/>
          <bgColor theme="0" tint="-0.34998626667073579"/>
        </patternFill>
      </fill>
    </dxf>
    <dxf>
      <font>
        <i/>
        <strike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4" formatCode="#,##0.00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4" formatCode="#,##0.00"/>
      <fill>
        <patternFill patternType="solid">
          <fgColor indexed="64"/>
          <bgColor theme="0" tint="-0.34998626667073579"/>
        </patternFill>
      </fill>
    </dxf>
    <dxf>
      <numFmt numFmtId="4" formatCode="#,##0.00"/>
      <alignment horizontal="right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4" formatCode="#,##0.00"/>
      <fill>
        <patternFill patternType="solid">
          <fgColor indexed="64"/>
          <bgColor theme="0" tint="-0.34998626667073579"/>
        </patternFill>
      </fill>
    </dxf>
    <dxf>
      <numFmt numFmtId="4" formatCode="#,##0.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3" formatCode="#,##0"/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alignment horizontal="right" vertical="top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3" formatCode="#,##0"/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alignment horizontal="right" vertical="top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3" formatCode="#,##0"/>
      <fill>
        <patternFill patternType="solid">
          <fgColor indexed="64"/>
          <bgColor theme="0" tint="-0.34998626667073579"/>
        </patternFill>
      </fill>
    </dxf>
    <dxf>
      <numFmt numFmtId="3" formatCode="#,##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3" formatCode="#,##0"/>
      <fill>
        <patternFill patternType="solid">
          <fgColor indexed="64"/>
          <bgColor theme="0" tint="-0.34998626667073579"/>
        </patternFill>
      </fill>
    </dxf>
    <dxf>
      <numFmt numFmtId="3" formatCode="#,##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14" formatCode="0.00%"/>
      <fill>
        <patternFill patternType="solid">
          <fgColor indexed="64"/>
          <bgColor theme="0" tint="-0.34998626667073579"/>
        </patternFill>
      </fill>
    </dxf>
    <dxf>
      <numFmt numFmtId="14" formatCode="0.00%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4" formatCode="#,##0.00"/>
      <fill>
        <patternFill patternType="solid">
          <fgColor indexed="64"/>
          <bgColor theme="0" tint="-0.34998626667073579"/>
        </patternFill>
      </fill>
    </dxf>
    <dxf>
      <numFmt numFmtId="4" formatCode="#,##0.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3" formatCode="#,##0"/>
      <fill>
        <patternFill patternType="solid">
          <fgColor indexed="64"/>
          <bgColor theme="0" tint="-0.34998626667073579"/>
        </patternFill>
      </fill>
    </dxf>
    <dxf>
      <numFmt numFmtId="3" formatCode="#,##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3" formatCode="#,##0"/>
      <fill>
        <patternFill patternType="solid">
          <fgColor indexed="64"/>
          <bgColor theme="0" tint="-0.34998626667073579"/>
        </patternFill>
      </fill>
    </dxf>
    <dxf>
      <numFmt numFmtId="3" formatCode="#,##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4" formatCode="#,##0.00"/>
      <fill>
        <patternFill patternType="solid">
          <fgColor indexed="64"/>
          <bgColor theme="0" tint="-0.34998626667073579"/>
        </patternFill>
      </fill>
    </dxf>
    <dxf>
      <numFmt numFmtId="3" formatCode="#,##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4" formatCode="#,##0.00"/>
      <fill>
        <patternFill patternType="solid">
          <fgColor indexed="64"/>
          <bgColor theme="0" tint="-0.34998626667073579"/>
        </patternFill>
      </fill>
    </dxf>
    <dxf>
      <numFmt numFmtId="4" formatCode="#,##0.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4" formatCode="#,##0.00"/>
      <fill>
        <patternFill patternType="solid">
          <fgColor indexed="64"/>
          <bgColor theme="0" tint="-0.34998626667073579"/>
        </patternFill>
      </fill>
    </dxf>
    <dxf>
      <numFmt numFmtId="4" formatCode="#,##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</dxfs>
  <tableStyles count="0" defaultTableStyle="TableStyleMedium2" defaultPivotStyle="PivotStyleLight16"/>
  <colors>
    <mruColors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599EA96-9BF1-4ABD-A598-2B06611B48B2}" name="AWRData" displayName="AWRData" ref="B4:V21" headerRowDxfId="87">
  <autoFilter ref="B4:V21" xr:uid="{BAFCDA4E-1455-4186-B446-55AD7B6FF08E}"/>
  <tableColumns count="21">
    <tableColumn id="1" xr3:uid="{12DBE624-1E4C-43DE-8EBA-89FC03FB8A2E}" name="DB Name" totalsRowLabel="Total" dataDxfId="86" totalsRowDxfId="85"/>
    <tableColumn id="2" xr3:uid="{12EF2CB8-2718-4987-B485-71AAC2C42177}" name="Instance Name" dataDxfId="84" totalsRowDxfId="83"/>
    <tableColumn id="3" xr3:uid="{EE4D87CE-B854-4D79-98B0-4B433DE0DFC5}" name="Host Name" dataDxfId="82" totalsRowDxfId="81"/>
    <tableColumn id="18" xr3:uid="{9652353C-76B4-424D-B14E-4474B1D2E864}" name="Elapsed Time (mins)" totalsRowFunction="custom" dataDxfId="80" totalsRowDxfId="79">
      <totalsRowFormula>SUM(E5:E21)</totalsRowFormula>
    </tableColumn>
    <tableColumn id="4" xr3:uid="{E245B233-16D0-4175-B2B6-7CC6C7D5EC1E}" name="DB Time (mins)" totalsRowFunction="sum" dataDxfId="78" totalsRowDxfId="77"/>
    <tableColumn id="5" xr3:uid="{18DE2E70-642F-48C7-8588-E203573FBC6C}" name="DB CPU (s)" totalsRowFunction="sum" dataDxfId="76" totalsRowDxfId="75"/>
    <tableColumn id="17" xr3:uid="{CB45C1E7-36C0-4529-BD9C-742C452F7BAB}" name="CPUs" totalsRowFunction="custom" dataDxfId="74" totalsRowDxfId="73">
      <totalsRowFormula>SUM(H5:H21)</totalsRowFormula>
    </tableColumn>
    <tableColumn id="16" xr3:uid="{8DEF82EF-8D6D-43C8-9A6E-479EF081F1C5}" name="Cores" totalsRowFunction="custom" dataDxfId="72" totalsRowDxfId="71">
      <totalsRowFormula>SUM(I5:I21)</totalsRowFormula>
    </tableColumn>
    <tableColumn id="19" xr3:uid="{6CC3E0A3-0D85-416B-B5E5-E013322B324E}" name="Memory (GB)" totalsRowFunction="custom" dataDxfId="70" totalsRowDxfId="69">
      <totalsRowFormula>SUM(J5:J21)</totalsRowFormula>
    </tableColumn>
    <tableColumn id="20" xr3:uid="{801E69F7-F685-4E5B-89E7-B8236A24C142}" name="%busy CPU" totalsRowFunction="custom" dataDxfId="68" totalsRowDxfId="67">
      <totalsRowFormula>SUM(K5:K21)</totalsRowFormula>
    </tableColumn>
    <tableColumn id="8" xr3:uid="{D9D9DE5D-BFAF-4BB6-9C57-68AD5D802EE2}" name="SGA use (MB)" totalsRowFunction="sum" dataDxfId="66" totalsRowDxfId="65"/>
    <tableColumn id="9" xr3:uid="{12911006-64ED-4042-B1A5-C18EC5E137FE}" name="PGA use (MB)" totalsRowFunction="sum" dataDxfId="64" totalsRowDxfId="63"/>
    <tableColumn id="6" xr3:uid="{D6E85EB5-7EE1-48F6-A66E-B76E4EECD483}" name="Read Throughput (MB/s)" dataDxfId="62" totalsRowDxfId="61"/>
    <tableColumn id="7" xr3:uid="{F3F3AB13-35F9-4DE8-BCED-CC8576E3F23E}" name="Write Throughput (MB/s)" dataDxfId="60" totalsRowDxfId="59"/>
    <tableColumn id="10" xr3:uid="{BE4DE103-F7E4-4B9E-A27F-11EFFA4A99BF}" name="Read IOPS" totalsRowFunction="sum" dataDxfId="58" totalsRowDxfId="57"/>
    <tableColumn id="11" xr3:uid="{A52E7F8E-4721-4010-BECE-F070E24DDA1F}" name="Write IOPS" totalsRowFunction="sum" dataDxfId="56" totalsRowDxfId="55"/>
    <tableColumn id="15" xr3:uid="{F0C74357-6F45-494C-B3DC-D3215156DFFB}" name="Total Throughput (MB/s)" dataDxfId="54" totalsRowDxfId="53">
      <calculatedColumnFormula>N5+O5</calculatedColumnFormula>
    </tableColumn>
    <tableColumn id="12" xr3:uid="{A0F8EBD1-73A3-4ABE-B0BE-D33E8C7ADD32}" name="Total IOPS" totalsRowFunction="sum" dataDxfId="52" totalsRowDxfId="51">
      <calculatedColumnFormula>(P5+Q5)</calculatedColumnFormula>
    </tableColumn>
    <tableColumn id="13" xr3:uid="{3F2ED276-F76A-423E-8069-892C6C886ED0}" name="CPU total capacity (s)" totalsRowFunction="custom" dataDxfId="50">
      <calculatedColumnFormula>(E5*60)*H5</calculatedColumnFormula>
      <totalsRowFormula>SUM(T5:T21)</totalsRowFormula>
    </tableColumn>
    <tableColumn id="14" xr3:uid="{6D50E1DB-D2A8-4634-9623-2B8FF9FB8B97}" name="ORA use (GB)" totalsRowFunction="custom" dataDxfId="49">
      <calculatedColumnFormula>(L5+M5)/1024</calculatedColumnFormula>
      <totalsRowFormula>SUBTOTAL(109,#REF!)</totalsRowFormula>
    </tableColumn>
    <tableColumn id="21" xr3:uid="{06271738-5AFB-4416-88EC-0F36A42588B4}" name="source CPU HT factor" dataDxfId="48">
      <calculatedColumnFormula>AWRData[[#This Row],[CPUs]]/AWRData[[#This Row],[Cores]]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22BF7B-4FDB-4416-A371-AA5DC723FDB7}" name="HostSummary" displayName="HostSummary" ref="B18:I27" totalsRowCount="1" headerRowDxfId="47" dataDxfId="46">
  <autoFilter ref="B18:I26" xr:uid="{2131DD88-95A4-4546-AD92-E31ADE17AE10}"/>
  <tableColumns count="8">
    <tableColumn id="1" xr3:uid="{E48AF7E1-022E-4559-9DF8-AA91B706DE37}" name="Host" totalsRowLabel="Total" dataDxfId="9"/>
    <tableColumn id="6" xr3:uid="{E7152265-984C-41C1-985E-AC0ACC8400BD}" name="Name"/>
    <tableColumn id="3" xr3:uid="{042A02F8-3035-4F96-B880-FF705D8AF8AD}" name="%DB Time of Elapsed Time" totalsRowFunction="sum" dataDxfId="45" totalsRowDxfId="15">
      <calculatedColumnFormula>IF(HostSummary[[#This Row],[Host]]="","",SUMIFS(AWRData[DB Time (mins)],AWRData[Host Name],HostSummary[[#This Row],[Host]])/SUMIFS(AWRData[Elapsed Time (mins)],AWRData[Host Name],HostSummary[[#This Row],[Host]]))</calculatedColumnFormula>
    </tableColumn>
    <tableColumn id="5" xr3:uid="{8C4031DA-672D-442C-BFF1-F158C86225A2}" name="%DB CPU of server capacity" dataDxfId="44" totalsRowDxfId="14">
      <calculatedColumnFormula>IF(HostSummary[[#This Row],[Host]]="","",SUMIFS(AWRData[DB CPU (s)],AWRData[Host Name],HostSummary[[#This Row],[Host]])/SUMIFS(AWRData[CPU total capacity (s)],AWRData[Host Name],HostSummary[[#This Row],[Host]]))</calculatedColumnFormula>
    </tableColumn>
    <tableColumn id="10" xr3:uid="{85E8367C-F408-44E2-8D1A-47BCF5A88ABE}" name="Total ORA (GB)" totalsRowFunction="sum" dataDxfId="43" totalsRowDxfId="13">
      <calculatedColumnFormula>IF(HostSummary[[#This Row],[Host]]="","",SUMIFS(AWRData[ORA use (GB)],AWRData[Host Name],HostSummary[[#This Row],[Host]]))</calculatedColumnFormula>
    </tableColumn>
    <tableColumn id="2" xr3:uid="{2617E88C-0FF4-4484-A29F-7A570C9BB22A}" name="Total IOPS" totalsRowFunction="sum" dataDxfId="42" totalsRowDxfId="12">
      <calculatedColumnFormula>IF(HostSummary[[#This Row],[Host]]="","",SUMIFS(AWRData[Total IOPS],AWRData[Host Name],HostSummary[[#This Row],[Host]]))</calculatedColumnFormula>
    </tableColumn>
    <tableColumn id="4" xr3:uid="{D2224B36-6E90-4845-81DA-1DB10E1661B4}" name="Total Throughput (MB/s)" totalsRowFunction="sum" dataDxfId="41" totalsRowDxfId="11">
      <calculatedColumnFormula>IF(HostSummary[[#This Row],[Host]]="","",SUMIFS(AWRData[Total Throughput (MB/s)],AWRData[Host Name],HostSummary[[#This Row],[Host]]))</calculatedColumnFormula>
    </tableColumn>
    <tableColumn id="7" xr3:uid="{5F50BA59-DA9E-4081-A285-AF05AEA4D31D}" name="Est'd Azure vCPUs" totalsRowFunction="sum" dataDxfId="40" totalsRowDxfId="10">
      <calculatedColumnFormula>IF(HostSummary[[#This Row],[Host]]="","",HostSummary[[#This Row],[%DB Time of Elapsed Time]]*(vCPUHTFactor/SUMIFS(AWRData[source CPU HT factor],AWRData[Host Name],HostSummary[[#This Row],[Host]])))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16A110F-4E35-4288-9661-A9C3BFF6A5DE}" name="DBSummary" displayName="DBSummary" ref="B30:K39" totalsRowCount="1" headerRowDxfId="39" dataDxfId="38">
  <autoFilter ref="B30:K38" xr:uid="{49AD5955-00E8-4584-8ED2-B99212AE569A}"/>
  <tableColumns count="10">
    <tableColumn id="1" xr3:uid="{F79507E8-49B9-479A-B974-70532B5FC009}" name="DB Name" totalsRowLabel="Total"/>
    <tableColumn id="3" xr3:uid="{D14FF7E7-B38D-4451-8EE3-64724E717E5F}" name="%DB Time of Elapsed Time" totalsRowFunction="sum" dataDxfId="37" totalsRowDxfId="8">
      <calculatedColumnFormula>IF(DBSummary[[#This Row],[DB Name]]="","",SUMIFS(AWRData[DB Time (mins)],AWRData[DB Name],DBSummary[[#This Row],[DB Name]])/SUMIFS(AWRData[Elapsed Time (mins)],AWRData[DB Name],DBSummary[[#This Row],[DB Name]]))</calculatedColumnFormula>
    </tableColumn>
    <tableColumn id="16" xr3:uid="{97990710-F178-485D-9D23-E739F22255D6}" name="Total vRAM (GiB) consumed only by Oracle" totalsRowFunction="sum" dataDxfId="36" totalsRowDxfId="7">
      <calculatedColumnFormula>IF(DBSummary[[#This Row],[DB Name]]="","",SUMIFS(AWRData[ORA use (GB)],AWRData[DB Name],DBSummary[[#This Row],[DB Name]]))</calculatedColumnFormula>
    </tableColumn>
    <tableColumn id="12" xr3:uid="{FC52058A-56D5-46D8-B939-711474E1E53B}" name="Est'd Azure vRAM for server" totalsRowFunction="sum" dataDxfId="35" totalsRowDxfId="6">
      <calculatedColumnFormula>IF(DBSummary[[#This Row],[DB Name]]="","",PeakRAMfactor*DBSummary[[#This Row],[Total vRAM (GiB) consumed only by Oracle]])</calculatedColumnFormula>
    </tableColumn>
    <tableColumn id="11" xr3:uid="{AB2CFCBB-C7A4-4993-BFD0-A84164ED0160}" name="Total IOPS" totalsRowFunction="sum" dataDxfId="34" totalsRowDxfId="5">
      <calculatedColumnFormula>IF(DBSummary[[#This Row],[DB Name]]="","",SUMIFS(AWRData[Total IOPS],AWRData[DB Name],DBSummary[[#This Row],[DB Name]]))</calculatedColumnFormula>
    </tableColumn>
    <tableColumn id="5" xr3:uid="{28273868-E127-405F-B656-70C478E70B07}" name="Total Throughput (MB/s)" totalsRowFunction="sum" dataDxfId="33" totalsRowDxfId="4">
      <calculatedColumnFormula>IF(DBSummary[[#This Row],[DB Name]]="","",SUMIFS(AWRData[Total Throughput (MB/s)],AWRData[DB Name],DBSummary[[#This Row],[DB Name]]))</calculatedColumnFormula>
    </tableColumn>
    <tableColumn id="10" xr3:uid="{80BD2CB6-EA97-4295-9D59-E9A2E6BF0BE9}" name="Est'd Azure IOPS for peak load" totalsRowFunction="sum" dataDxfId="32" totalsRowDxfId="3">
      <calculatedColumnFormula>IF(DBSummary[[#This Row],[DB Name]]="","",DBSummary[[#This Row],[Total IOPS]]*IoMetricsFactor)</calculatedColumnFormula>
    </tableColumn>
    <tableColumn id="8" xr3:uid="{C38DB1AD-B018-489B-B3E6-31BE998C2B17}" name="Est'd Azure Throughput (MB/s) for peak load" totalsRowFunction="sum" dataDxfId="31" totalsRowDxfId="2">
      <calculatedColumnFormula>IF(DBSummary[[#This Row],[DB Name]]="","",DBSummary[[#This Row],[Total Throughput (MB/s)]]*IoMetricsFactor)</calculatedColumnFormula>
    </tableColumn>
    <tableColumn id="6" xr3:uid="{AAFEF038-B223-49E2-B515-EC61D231972F}" name="Est'd Azure vCPUs for avg load" totalsRowFunction="sum" dataDxfId="30" totalsRowDxfId="1">
      <calculatedColumnFormula>IF(DBSummary[[#This Row],[DB Name]]="","",ROUND(SUMIFS(InstSummary[Est''d Azure vCPUs],InstSummary[DB Name],DBSummary[[#This Row],[DB Name]])+0.5,0))</calculatedColumnFormula>
    </tableColumn>
    <tableColumn id="13" xr3:uid="{C2AC7AFC-A986-44E6-BF2C-D020472151CF}" name="Est'd Azure vCPUs for peak load" totalsRowFunction="sum" dataDxfId="29" totalsRowDxfId="0">
      <calculatedColumnFormula>IF(DBSummary[[#This Row],[DB Name]]="","",IF(SUMIFS(AWRData[%busy CPU],AWRData[DB Name],DBSummary[[#This Row],[DB Name]])&lt;BusyCPUfactor,PeakCpuFactor*DBSummary[[#This Row],[Est''d Azure vCPUs for avg load]],(BusyCPUmultiplier*PeakCpuFactor)*DBSummary[[#This Row],[Est''d Azure vCPUs for avg load]]))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1E88EA0-C4A2-40CE-A0C2-1348922960F7}" name="InstSummary" displayName="InstSummary" ref="B6:I15" totalsRowCount="1" headerRowDxfId="28">
  <autoFilter ref="B6:I14" xr:uid="{DDC9EB0F-FC45-450E-9D91-FB84A3B2BFF9}"/>
  <tableColumns count="8">
    <tableColumn id="19" xr3:uid="{9D996974-BBE3-4BD2-A49E-7636AF84D9BD}" name="DB Name"/>
    <tableColumn id="2" xr3:uid="{1EB02893-C83E-48B5-937F-61E7D4A0C092}" name="Instance Name"/>
    <tableColumn id="5" xr3:uid="{FFDD672E-0E4E-4ADB-9E76-1EB11CF3E627}" name="%DB Time of Elapsed Time" totalsRowFunction="sum" dataDxfId="27" totalsRowDxfId="21">
      <calculatedColumnFormula>IF(InstSummary[[#This Row],[Instance Name]]="","",SUMIFS(AWRData[DB Time (mins)],AWRData[Instance Name],InstSummary[[#This Row],[Instance Name]])/SUMIFS(AWRData[Elapsed Time (mins)],AWRData[Instance Name],InstSummary[[#This Row],[Instance Name]]))</calculatedColumnFormula>
    </tableColumn>
    <tableColumn id="4" xr3:uid="{44D15276-6274-49BC-8904-ADCB3DC7D1D0}" name="%DB CPU of server capacity" totalsRowFunction="sum" dataDxfId="26" totalsRowDxfId="20">
      <calculatedColumnFormula>IF(InstSummary[[#This Row],[Instance Name]]="","",SUMIFS(AWRData[DB CPU (s)],AWRData[Instance Name],InstSummary[[#This Row],[Instance Name]])/SUMIFS(AWRData[CPU total capacity (s)],AWRData[Instance Name],InstSummary[[#This Row],[Instance Name]]))</calculatedColumnFormula>
    </tableColumn>
    <tableColumn id="14" xr3:uid="{EE92F036-09CB-4182-9F1C-C53D87FDFEA7}" name="Total ORA (GB)" totalsRowFunction="sum" dataDxfId="25" totalsRowDxfId="19">
      <calculatedColumnFormula>IF(InstSummary[[#This Row],[Instance Name]]="","",SUMIFS(AWRData[ORA use (GB)],AWRData[Instance Name],InstSummary[[#This Row],[Instance Name]]))</calculatedColumnFormula>
    </tableColumn>
    <tableColumn id="12" xr3:uid="{E37AA9A5-8343-4F5A-BC1B-7C2420A8489D}" name="Total IOPS" totalsRowFunction="sum" dataDxfId="24" totalsRowDxfId="18">
      <calculatedColumnFormula>IF(InstSummary[[#This Row],[Instance Name]]="","",SUMIFS(AWRData[Total IOPS],AWRData[Instance Name],InstSummary[[#This Row],[Instance Name]]))</calculatedColumnFormula>
    </tableColumn>
    <tableColumn id="3" xr3:uid="{0224C75E-ED5E-4C3C-9DED-03BD06F08298}" name="Total Throughput (MB/s)" totalsRowFunction="sum" dataDxfId="23" totalsRowDxfId="17">
      <calculatedColumnFormula>IF(InstSummary[[#This Row],[Instance Name]]="","",SUMIFS(AWRData[Total Throughput (MB/s)],AWRData[Instance Name],InstSummary[[#This Row],[Instance Name]]))</calculatedColumnFormula>
    </tableColumn>
    <tableColumn id="13" xr3:uid="{8924F8A8-A9A4-4E8F-A3E7-F991630D6750}" name="Est'd Azure vCPUs" totalsRowFunction="sum" dataDxfId="22" totalsRowDxfId="16">
      <calculatedColumnFormula>IF(InstSummary[[#This Row],[Instance Name]]="","",InstSummary[[#This Row],[%DB Time of Elapsed Time]]*(vCPUHTFactor/SUMIFS(AWRData[source CPU HT factor],AWRData[Instance Name],InstSummary[[#This Row],[Instance Name]])))</calculatedColumnFormula>
    </tableColumn>
  </tableColumns>
  <tableStyleInfo name="TableStyleMedium9" showFirstColumn="0" showLastColumn="0" showRowStripes="1" showColumnStripes="0"/>
  <extLst>
    <ext xmlns:x14="http://schemas.microsoft.com/office/spreadsheetml/2009/9/main" uri="{504A1905-F514-4f6f-8877-14C23A59335A}">
      <x14:table altText="InstanceCalculations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FA2F3-E8D6-461E-A2BF-3D4E8A581296}">
  <dimension ref="B1:V28"/>
  <sheetViews>
    <sheetView tabSelected="1" zoomScale="85" zoomScaleNormal="85" workbookViewId="0">
      <selection activeCell="E7" sqref="E7"/>
    </sheetView>
  </sheetViews>
  <sheetFormatPr defaultRowHeight="14.25" x14ac:dyDescent="0.45"/>
  <cols>
    <col min="1" max="1" width="4.1328125" customWidth="1"/>
    <col min="2" max="2" width="10.59765625" customWidth="1"/>
    <col min="3" max="3" width="15.3984375" customWidth="1"/>
    <col min="4" max="4" width="29.59765625" customWidth="1"/>
    <col min="5" max="5" width="14.59765625" customWidth="1"/>
    <col min="6" max="6" width="12.59765625" style="5" customWidth="1"/>
    <col min="7" max="7" width="14.3984375" customWidth="1"/>
    <col min="8" max="8" width="12.59765625" style="5" customWidth="1"/>
    <col min="9" max="17" width="12.59765625" customWidth="1"/>
    <col min="18" max="18" width="12.59765625" style="72" hidden="1" customWidth="1"/>
    <col min="19" max="19" width="12.59765625" hidden="1" customWidth="1"/>
    <col min="20" max="20" width="13.86328125" hidden="1" customWidth="1"/>
    <col min="21" max="21" width="10.3984375" hidden="1" customWidth="1"/>
    <col min="22" max="22" width="11.1328125" hidden="1" customWidth="1"/>
    <col min="23" max="23" width="12.59765625" customWidth="1"/>
  </cols>
  <sheetData>
    <row r="1" spans="2:22" s="19" customFormat="1" ht="18" x14ac:dyDescent="0.55000000000000004">
      <c r="B1" s="19" t="s">
        <v>39</v>
      </c>
      <c r="F1" s="20"/>
      <c r="H1" s="20"/>
      <c r="R1" s="70"/>
    </row>
    <row r="3" spans="2:22" s="19" customFormat="1" ht="18" x14ac:dyDescent="0.55000000000000004">
      <c r="B3" s="19" t="s">
        <v>24</v>
      </c>
      <c r="F3" s="20"/>
      <c r="H3" s="20"/>
      <c r="R3" s="70"/>
    </row>
    <row r="4" spans="2:22" s="4" customFormat="1" ht="42.75" x14ac:dyDescent="0.45">
      <c r="B4" s="7" t="s">
        <v>0</v>
      </c>
      <c r="C4" s="7" t="s">
        <v>1</v>
      </c>
      <c r="D4" s="7" t="s">
        <v>2</v>
      </c>
      <c r="E4" s="7" t="s">
        <v>16</v>
      </c>
      <c r="F4" s="7" t="s">
        <v>17</v>
      </c>
      <c r="G4" s="7" t="s">
        <v>33</v>
      </c>
      <c r="H4" s="7" t="s">
        <v>22</v>
      </c>
      <c r="I4" s="7" t="s">
        <v>23</v>
      </c>
      <c r="J4" s="7" t="s">
        <v>18</v>
      </c>
      <c r="K4" s="7" t="s">
        <v>25</v>
      </c>
      <c r="L4" s="7" t="s">
        <v>26</v>
      </c>
      <c r="M4" s="7" t="s">
        <v>27</v>
      </c>
      <c r="N4" s="7" t="s">
        <v>44</v>
      </c>
      <c r="O4" s="7" t="s">
        <v>45</v>
      </c>
      <c r="P4" s="7" t="s">
        <v>3</v>
      </c>
      <c r="Q4" s="7" t="s">
        <v>4</v>
      </c>
      <c r="R4" s="71" t="s">
        <v>46</v>
      </c>
      <c r="S4" s="7" t="s">
        <v>5</v>
      </c>
      <c r="T4" s="7" t="s">
        <v>35</v>
      </c>
      <c r="U4" s="7" t="s">
        <v>36</v>
      </c>
      <c r="V4" s="7" t="s">
        <v>37</v>
      </c>
    </row>
    <row r="5" spans="2:22" s="58" customFormat="1" x14ac:dyDescent="0.45">
      <c r="B5" s="94" t="s">
        <v>65</v>
      </c>
      <c r="C5" s="94" t="s">
        <v>66</v>
      </c>
      <c r="D5" s="94" t="s">
        <v>69</v>
      </c>
      <c r="E5" s="95">
        <v>24465.03</v>
      </c>
      <c r="F5" s="95">
        <v>95668.97</v>
      </c>
      <c r="G5" s="96">
        <v>3339140.29</v>
      </c>
      <c r="H5" s="96">
        <v>32</v>
      </c>
      <c r="I5" s="96">
        <v>16</v>
      </c>
      <c r="J5" s="95">
        <v>125.39</v>
      </c>
      <c r="K5" s="97">
        <v>0.15859999999999999</v>
      </c>
      <c r="L5" s="96">
        <v>45440</v>
      </c>
      <c r="M5" s="96">
        <v>6144</v>
      </c>
      <c r="N5" s="95">
        <v>343.95</v>
      </c>
      <c r="O5" s="95">
        <v>13.84</v>
      </c>
      <c r="P5" s="95">
        <v>961.02</v>
      </c>
      <c r="Q5" s="18">
        <v>375.71</v>
      </c>
      <c r="R5" s="65">
        <f t="shared" ref="R5:R21" si="0">N5+O5</f>
        <v>357.78999999999996</v>
      </c>
      <c r="S5" s="65">
        <f t="shared" ref="S5:S21" si="1">(P5+Q5)</f>
        <v>1336.73</v>
      </c>
      <c r="T5" s="64">
        <f t="shared" ref="T5:T21" si="2">(E5*60)*H5</f>
        <v>46972857.599999994</v>
      </c>
      <c r="U5" s="64">
        <f t="shared" ref="U5:U21" si="3">(L5+M5)/1024</f>
        <v>50.375</v>
      </c>
      <c r="V5" s="66">
        <f>AWRData[[#This Row],[CPUs]]/AWRData[[#This Row],[Cores]]</f>
        <v>2</v>
      </c>
    </row>
    <row r="6" spans="2:22" x14ac:dyDescent="0.45">
      <c r="B6" t="s">
        <v>65</v>
      </c>
      <c r="C6" t="s">
        <v>67</v>
      </c>
      <c r="D6" t="s">
        <v>70</v>
      </c>
      <c r="E6" s="2">
        <v>24465.03</v>
      </c>
      <c r="F6" s="2">
        <v>78385.94</v>
      </c>
      <c r="G6" s="6">
        <v>2704695.05</v>
      </c>
      <c r="H6" s="6">
        <v>32</v>
      </c>
      <c r="I6" s="6">
        <v>16</v>
      </c>
      <c r="J6" s="2">
        <v>125.39</v>
      </c>
      <c r="K6" s="3">
        <v>0.13469999999999999</v>
      </c>
      <c r="L6" s="6">
        <v>45440</v>
      </c>
      <c r="M6" s="6">
        <v>6144</v>
      </c>
      <c r="N6" s="2">
        <v>197.08</v>
      </c>
      <c r="O6" s="2">
        <v>13.45</v>
      </c>
      <c r="P6" s="2">
        <v>762.69</v>
      </c>
      <c r="Q6" s="18">
        <v>361.34</v>
      </c>
      <c r="R6" s="65">
        <f t="shared" si="0"/>
        <v>210.53</v>
      </c>
      <c r="S6" s="65">
        <f t="shared" si="1"/>
        <v>1124.03</v>
      </c>
      <c r="T6" s="64">
        <f t="shared" si="2"/>
        <v>46972857.599999994</v>
      </c>
      <c r="U6" s="64">
        <f t="shared" si="3"/>
        <v>50.375</v>
      </c>
      <c r="V6" s="66">
        <f>AWRData[[#This Row],[CPUs]]/AWRData[[#This Row],[Cores]]</f>
        <v>2</v>
      </c>
    </row>
    <row r="7" spans="2:22" s="58" customFormat="1" x14ac:dyDescent="0.45">
      <c r="B7" s="94" t="s">
        <v>65</v>
      </c>
      <c r="C7" s="94" t="s">
        <v>68</v>
      </c>
      <c r="D7" t="s">
        <v>71</v>
      </c>
      <c r="E7" s="95">
        <v>24465.03</v>
      </c>
      <c r="F7" s="95">
        <v>69764.039999999994</v>
      </c>
      <c r="G7" s="96">
        <v>2360010.59</v>
      </c>
      <c r="H7" s="96">
        <v>32</v>
      </c>
      <c r="I7" s="96">
        <v>16</v>
      </c>
      <c r="J7" s="95">
        <v>125.39</v>
      </c>
      <c r="K7" s="97">
        <v>0.15240000000000001</v>
      </c>
      <c r="L7" s="96">
        <v>45440</v>
      </c>
      <c r="M7" s="96">
        <v>6144</v>
      </c>
      <c r="N7" s="95">
        <v>211.07</v>
      </c>
      <c r="O7" s="95">
        <v>13.01</v>
      </c>
      <c r="P7" s="95">
        <v>645.25</v>
      </c>
      <c r="Q7" s="18">
        <v>264.76</v>
      </c>
      <c r="R7" s="65">
        <f t="shared" si="0"/>
        <v>224.07999999999998</v>
      </c>
      <c r="S7" s="65">
        <f t="shared" si="1"/>
        <v>910.01</v>
      </c>
      <c r="T7" s="64">
        <f t="shared" si="2"/>
        <v>46972857.599999994</v>
      </c>
      <c r="U7" s="64">
        <f t="shared" si="3"/>
        <v>50.375</v>
      </c>
      <c r="V7" s="66">
        <f>AWRData[[#This Row],[CPUs]]/AWRData[[#This Row],[Cores]]</f>
        <v>2</v>
      </c>
    </row>
    <row r="8" spans="2:22" s="58" customFormat="1" x14ac:dyDescent="0.45">
      <c r="B8" s="63"/>
      <c r="C8" s="63"/>
      <c r="D8"/>
      <c r="E8" s="60"/>
      <c r="F8" s="60"/>
      <c r="G8" s="61"/>
      <c r="H8" s="61"/>
      <c r="I8" s="61"/>
      <c r="J8" s="60"/>
      <c r="K8" s="62"/>
      <c r="L8" s="61"/>
      <c r="M8" s="61"/>
      <c r="N8" s="60"/>
      <c r="O8" s="60"/>
      <c r="P8" s="60"/>
      <c r="Q8" s="59"/>
      <c r="R8" s="65"/>
      <c r="S8" s="65"/>
      <c r="T8" s="64"/>
      <c r="U8" s="64"/>
      <c r="V8" s="66"/>
    </row>
    <row r="9" spans="2:22" s="58" customFormat="1" x14ac:dyDescent="0.45">
      <c r="B9" s="63"/>
      <c r="C9" s="63"/>
      <c r="D9"/>
      <c r="E9" s="60"/>
      <c r="F9" s="60"/>
      <c r="G9" s="61"/>
      <c r="H9" s="61"/>
      <c r="I9" s="61"/>
      <c r="J9" s="60"/>
      <c r="K9" s="62"/>
      <c r="L9" s="61"/>
      <c r="M9" s="61"/>
      <c r="N9" s="60"/>
      <c r="O9" s="60"/>
      <c r="P9" s="60"/>
      <c r="Q9" s="59"/>
      <c r="R9" s="65"/>
      <c r="S9" s="65"/>
      <c r="T9" s="64"/>
      <c r="U9" s="64"/>
      <c r="V9" s="66"/>
    </row>
    <row r="10" spans="2:22" s="58" customFormat="1" x14ac:dyDescent="0.45">
      <c r="B10" s="63"/>
      <c r="C10" s="63"/>
      <c r="D10" s="94"/>
      <c r="E10" s="60"/>
      <c r="F10" s="60"/>
      <c r="G10" s="61"/>
      <c r="H10" s="96"/>
      <c r="I10" s="96"/>
      <c r="J10" s="95"/>
      <c r="K10" s="62"/>
      <c r="L10" s="61"/>
      <c r="M10" s="61"/>
      <c r="N10" s="60"/>
      <c r="O10" s="60"/>
      <c r="P10" s="60"/>
      <c r="Q10" s="59"/>
      <c r="R10" s="65"/>
      <c r="S10" s="65"/>
      <c r="T10" s="64"/>
      <c r="U10" s="64"/>
      <c r="V10" s="66"/>
    </row>
    <row r="11" spans="2:22" s="58" customFormat="1" x14ac:dyDescent="0.45">
      <c r="B11" s="63"/>
      <c r="C11" s="63"/>
      <c r="D11"/>
      <c r="E11" s="60"/>
      <c r="F11" s="60"/>
      <c r="G11" s="61"/>
      <c r="H11" s="6"/>
      <c r="I11" s="6"/>
      <c r="J11" s="2"/>
      <c r="K11" s="62"/>
      <c r="L11" s="61"/>
      <c r="M11" s="61"/>
      <c r="N11" s="60"/>
      <c r="O11" s="60"/>
      <c r="P11" s="60"/>
      <c r="Q11" s="59"/>
      <c r="R11" s="65"/>
      <c r="S11" s="65"/>
      <c r="T11" s="64"/>
      <c r="U11" s="64"/>
      <c r="V11" s="66"/>
    </row>
    <row r="12" spans="2:22" s="58" customFormat="1" x14ac:dyDescent="0.45">
      <c r="B12" s="63"/>
      <c r="C12" s="63"/>
      <c r="D12"/>
      <c r="E12" s="60"/>
      <c r="F12" s="60"/>
      <c r="G12" s="61"/>
      <c r="H12" s="96"/>
      <c r="I12" s="96"/>
      <c r="J12" s="95"/>
      <c r="K12" s="62"/>
      <c r="L12" s="61"/>
      <c r="M12" s="61"/>
      <c r="N12" s="60"/>
      <c r="O12" s="60"/>
      <c r="P12" s="60"/>
      <c r="Q12" s="59"/>
      <c r="R12" s="65"/>
      <c r="S12" s="65"/>
      <c r="T12" s="64"/>
      <c r="U12" s="64"/>
      <c r="V12" s="66"/>
    </row>
    <row r="13" spans="2:22" s="58" customFormat="1" x14ac:dyDescent="0.45">
      <c r="B13" s="63"/>
      <c r="C13" s="63"/>
      <c r="D13" s="63"/>
      <c r="E13" s="60"/>
      <c r="F13" s="60"/>
      <c r="G13" s="61"/>
      <c r="H13" s="61"/>
      <c r="I13" s="61"/>
      <c r="J13" s="60"/>
      <c r="K13" s="62"/>
      <c r="L13" s="61"/>
      <c r="M13" s="61"/>
      <c r="N13" s="60"/>
      <c r="O13" s="60"/>
      <c r="P13" s="60"/>
      <c r="Q13" s="59"/>
      <c r="R13" s="65">
        <f t="shared" si="0"/>
        <v>0</v>
      </c>
      <c r="S13" s="65">
        <f t="shared" si="1"/>
        <v>0</v>
      </c>
      <c r="T13" s="64">
        <f t="shared" si="2"/>
        <v>0</v>
      </c>
      <c r="U13" s="64">
        <f t="shared" si="3"/>
        <v>0</v>
      </c>
      <c r="V13" s="66" t="e">
        <f>AWRData[[#This Row],[CPUs]]/AWRData[[#This Row],[Cores]]</f>
        <v>#DIV/0!</v>
      </c>
    </row>
    <row r="14" spans="2:22" s="58" customFormat="1" x14ac:dyDescent="0.45">
      <c r="B14" s="63"/>
      <c r="C14" s="63"/>
      <c r="D14" s="63"/>
      <c r="E14" s="60"/>
      <c r="F14" s="60"/>
      <c r="G14" s="61"/>
      <c r="H14" s="61"/>
      <c r="I14" s="61"/>
      <c r="J14" s="60"/>
      <c r="K14" s="62"/>
      <c r="L14" s="61"/>
      <c r="M14" s="61"/>
      <c r="N14" s="60"/>
      <c r="O14" s="60"/>
      <c r="P14" s="60"/>
      <c r="Q14" s="59"/>
      <c r="R14" s="65">
        <f t="shared" si="0"/>
        <v>0</v>
      </c>
      <c r="S14" s="65">
        <f t="shared" si="1"/>
        <v>0</v>
      </c>
      <c r="T14" s="64">
        <f t="shared" si="2"/>
        <v>0</v>
      </c>
      <c r="U14" s="64">
        <f t="shared" si="3"/>
        <v>0</v>
      </c>
      <c r="V14" s="66" t="e">
        <f>AWRData[[#This Row],[CPUs]]/AWRData[[#This Row],[Cores]]</f>
        <v>#DIV/0!</v>
      </c>
    </row>
    <row r="15" spans="2:22" s="58" customFormat="1" x14ac:dyDescent="0.45">
      <c r="B15" s="63"/>
      <c r="C15" s="63"/>
      <c r="D15" s="63"/>
      <c r="E15" s="60"/>
      <c r="F15" s="60"/>
      <c r="G15" s="61"/>
      <c r="H15" s="61"/>
      <c r="I15" s="61"/>
      <c r="J15" s="60"/>
      <c r="K15" s="62"/>
      <c r="L15" s="61"/>
      <c r="M15" s="61"/>
      <c r="N15" s="60"/>
      <c r="O15" s="60"/>
      <c r="P15" s="60"/>
      <c r="Q15" s="59"/>
      <c r="R15" s="65">
        <f t="shared" si="0"/>
        <v>0</v>
      </c>
      <c r="S15" s="65">
        <f t="shared" si="1"/>
        <v>0</v>
      </c>
      <c r="T15" s="64">
        <f t="shared" si="2"/>
        <v>0</v>
      </c>
      <c r="U15" s="64">
        <f t="shared" si="3"/>
        <v>0</v>
      </c>
      <c r="V15" s="66" t="e">
        <f>AWRData[[#This Row],[CPUs]]/AWRData[[#This Row],[Cores]]</f>
        <v>#DIV/0!</v>
      </c>
    </row>
    <row r="16" spans="2:22" s="58" customFormat="1" x14ac:dyDescent="0.45">
      <c r="B16" s="63"/>
      <c r="C16" s="63"/>
      <c r="D16" s="63"/>
      <c r="E16" s="60"/>
      <c r="F16" s="60"/>
      <c r="G16" s="61"/>
      <c r="H16" s="61"/>
      <c r="I16" s="61"/>
      <c r="J16" s="60"/>
      <c r="K16" s="62"/>
      <c r="L16" s="61"/>
      <c r="M16" s="61"/>
      <c r="N16" s="60"/>
      <c r="O16" s="60"/>
      <c r="P16" s="60"/>
      <c r="Q16" s="59"/>
      <c r="R16" s="65">
        <f t="shared" si="0"/>
        <v>0</v>
      </c>
      <c r="S16" s="65">
        <f t="shared" si="1"/>
        <v>0</v>
      </c>
      <c r="T16" s="64">
        <f t="shared" si="2"/>
        <v>0</v>
      </c>
      <c r="U16" s="64">
        <f t="shared" si="3"/>
        <v>0</v>
      </c>
      <c r="V16" s="66" t="e">
        <f>AWRData[[#This Row],[CPUs]]/AWRData[[#This Row],[Cores]]</f>
        <v>#DIV/0!</v>
      </c>
    </row>
    <row r="17" spans="2:22" s="58" customFormat="1" x14ac:dyDescent="0.45">
      <c r="B17" s="63"/>
      <c r="C17" s="63"/>
      <c r="D17" s="63"/>
      <c r="E17" s="60"/>
      <c r="F17" s="60"/>
      <c r="G17" s="61"/>
      <c r="H17" s="61"/>
      <c r="I17" s="61"/>
      <c r="J17" s="60"/>
      <c r="K17" s="62"/>
      <c r="L17" s="61"/>
      <c r="M17" s="61"/>
      <c r="N17" s="60"/>
      <c r="O17" s="60"/>
      <c r="P17" s="60"/>
      <c r="Q17" s="59"/>
      <c r="R17" s="65">
        <f t="shared" si="0"/>
        <v>0</v>
      </c>
      <c r="S17" s="65">
        <f t="shared" si="1"/>
        <v>0</v>
      </c>
      <c r="T17" s="64">
        <f t="shared" si="2"/>
        <v>0</v>
      </c>
      <c r="U17" s="64">
        <f t="shared" si="3"/>
        <v>0</v>
      </c>
      <c r="V17" s="66" t="e">
        <f>AWRData[[#This Row],[CPUs]]/AWRData[[#This Row],[Cores]]</f>
        <v>#DIV/0!</v>
      </c>
    </row>
    <row r="18" spans="2:22" s="58" customFormat="1" x14ac:dyDescent="0.45">
      <c r="B18" s="63"/>
      <c r="C18" s="63"/>
      <c r="D18" s="63"/>
      <c r="E18" s="60"/>
      <c r="F18" s="60"/>
      <c r="G18" s="61"/>
      <c r="H18" s="61"/>
      <c r="I18" s="61"/>
      <c r="J18" s="60"/>
      <c r="K18" s="62"/>
      <c r="L18" s="61"/>
      <c r="M18" s="61"/>
      <c r="N18" s="60"/>
      <c r="O18" s="60"/>
      <c r="P18" s="60"/>
      <c r="Q18" s="59"/>
      <c r="R18" s="65">
        <f t="shared" si="0"/>
        <v>0</v>
      </c>
      <c r="S18" s="65">
        <f t="shared" si="1"/>
        <v>0</v>
      </c>
      <c r="T18" s="64">
        <f t="shared" si="2"/>
        <v>0</v>
      </c>
      <c r="U18" s="64">
        <f t="shared" si="3"/>
        <v>0</v>
      </c>
      <c r="V18" s="66" t="e">
        <f>AWRData[[#This Row],[CPUs]]/AWRData[[#This Row],[Cores]]</f>
        <v>#DIV/0!</v>
      </c>
    </row>
    <row r="19" spans="2:22" s="58" customFormat="1" x14ac:dyDescent="0.45">
      <c r="B19" s="63"/>
      <c r="C19" s="63"/>
      <c r="D19" s="63"/>
      <c r="E19" s="60"/>
      <c r="F19" s="60"/>
      <c r="G19" s="61"/>
      <c r="H19" s="61"/>
      <c r="I19" s="61"/>
      <c r="J19" s="60"/>
      <c r="K19" s="62"/>
      <c r="L19" s="61"/>
      <c r="M19" s="61"/>
      <c r="N19" s="60"/>
      <c r="O19" s="60"/>
      <c r="P19" s="60"/>
      <c r="Q19" s="59"/>
      <c r="R19" s="65">
        <f t="shared" si="0"/>
        <v>0</v>
      </c>
      <c r="S19" s="65">
        <f t="shared" si="1"/>
        <v>0</v>
      </c>
      <c r="T19" s="64">
        <f t="shared" si="2"/>
        <v>0</v>
      </c>
      <c r="U19" s="64">
        <f t="shared" si="3"/>
        <v>0</v>
      </c>
      <c r="V19" s="66" t="e">
        <f>AWRData[[#This Row],[CPUs]]/AWRData[[#This Row],[Cores]]</f>
        <v>#DIV/0!</v>
      </c>
    </row>
    <row r="20" spans="2:22" s="58" customFormat="1" x14ac:dyDescent="0.45">
      <c r="B20" s="63"/>
      <c r="C20" s="63"/>
      <c r="D20" s="63"/>
      <c r="E20" s="60"/>
      <c r="F20" s="60"/>
      <c r="G20" s="61"/>
      <c r="H20" s="61"/>
      <c r="I20" s="61"/>
      <c r="J20" s="60"/>
      <c r="K20" s="62"/>
      <c r="L20" s="61"/>
      <c r="M20" s="61"/>
      <c r="N20" s="60"/>
      <c r="O20" s="60"/>
      <c r="P20" s="60"/>
      <c r="Q20" s="59"/>
      <c r="R20" s="65">
        <f t="shared" si="0"/>
        <v>0</v>
      </c>
      <c r="S20" s="65">
        <f t="shared" si="1"/>
        <v>0</v>
      </c>
      <c r="T20" s="64">
        <f t="shared" si="2"/>
        <v>0</v>
      </c>
      <c r="U20" s="64">
        <f t="shared" si="3"/>
        <v>0</v>
      </c>
      <c r="V20" s="66" t="e">
        <f>AWRData[[#This Row],[CPUs]]/AWRData[[#This Row],[Cores]]</f>
        <v>#DIV/0!</v>
      </c>
    </row>
    <row r="21" spans="2:22" s="58" customFormat="1" x14ac:dyDescent="0.45">
      <c r="B21" s="63"/>
      <c r="C21" s="63"/>
      <c r="D21" s="63"/>
      <c r="E21" s="60"/>
      <c r="F21" s="60"/>
      <c r="G21" s="61"/>
      <c r="H21" s="61"/>
      <c r="I21" s="61"/>
      <c r="J21" s="60"/>
      <c r="K21" s="62"/>
      <c r="L21" s="61"/>
      <c r="M21" s="61"/>
      <c r="N21" s="60"/>
      <c r="O21" s="60"/>
      <c r="P21" s="60"/>
      <c r="Q21" s="59"/>
      <c r="R21" s="65">
        <f t="shared" si="0"/>
        <v>0</v>
      </c>
      <c r="S21" s="65">
        <f t="shared" si="1"/>
        <v>0</v>
      </c>
      <c r="T21" s="64">
        <f t="shared" si="2"/>
        <v>0</v>
      </c>
      <c r="U21" s="64">
        <f t="shared" si="3"/>
        <v>0</v>
      </c>
      <c r="V21" s="66" t="e">
        <f>AWRData[[#This Row],[CPUs]]/AWRData[[#This Row],[Cores]]</f>
        <v>#DIV/0!</v>
      </c>
    </row>
    <row r="22" spans="2:22" ht="19.149999999999999" customHeight="1" x14ac:dyDescent="0.45"/>
    <row r="23" spans="2:22" s="19" customFormat="1" ht="18" x14ac:dyDescent="0.55000000000000004">
      <c r="D23" s="27" t="s">
        <v>10</v>
      </c>
      <c r="E23" s="40">
        <v>3</v>
      </c>
      <c r="F23" s="20"/>
      <c r="H23" s="20"/>
      <c r="R23" s="70"/>
    </row>
    <row r="24" spans="2:22" ht="12.4" customHeight="1" x14ac:dyDescent="0.45">
      <c r="D24" s="27" t="s">
        <v>11</v>
      </c>
      <c r="E24" s="40">
        <v>1.5</v>
      </c>
    </row>
    <row r="25" spans="2:22" ht="13.15" customHeight="1" x14ac:dyDescent="0.45">
      <c r="D25" s="27" t="s">
        <v>38</v>
      </c>
      <c r="E25" s="40">
        <v>2</v>
      </c>
    </row>
    <row r="26" spans="2:22" x14ac:dyDescent="0.45">
      <c r="D26" s="27" t="s">
        <v>55</v>
      </c>
      <c r="E26" s="40">
        <v>0.75</v>
      </c>
    </row>
    <row r="27" spans="2:22" ht="13.15" customHeight="1" x14ac:dyDescent="0.45">
      <c r="D27" s="27" t="s">
        <v>56</v>
      </c>
      <c r="E27" s="40">
        <v>1.25</v>
      </c>
    </row>
    <row r="28" spans="2:22" x14ac:dyDescent="0.45">
      <c r="D28" s="27" t="s">
        <v>51</v>
      </c>
      <c r="E28" s="78">
        <v>2</v>
      </c>
    </row>
  </sheetData>
  <phoneticPr fontId="2" type="noConversion"/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750E-AE5D-4A47-94AB-E0FC4862066E}">
  <sheetPr codeName="Sheet1"/>
  <dimension ref="B1:S48"/>
  <sheetViews>
    <sheetView zoomScaleNormal="100" workbookViewId="0">
      <selection activeCell="B45" sqref="B45"/>
    </sheetView>
  </sheetViews>
  <sheetFormatPr defaultRowHeight="14.25" x14ac:dyDescent="0.45"/>
  <cols>
    <col min="2" max="2" width="15.46484375" customWidth="1"/>
    <col min="3" max="3" width="15.3984375" customWidth="1"/>
    <col min="4" max="4" width="19.3984375" customWidth="1"/>
    <col min="5" max="5" width="14.59765625" customWidth="1"/>
    <col min="6" max="6" width="15.1328125" style="5" customWidth="1"/>
    <col min="7" max="7" width="14.3984375" customWidth="1"/>
    <col min="8" max="8" width="12.59765625" style="5" customWidth="1"/>
    <col min="9" max="15" width="12.59765625" customWidth="1"/>
    <col min="16" max="19" width="12.59765625" hidden="1" customWidth="1"/>
    <col min="20" max="20" width="13.86328125" customWidth="1"/>
    <col min="21" max="21" width="10.3984375" customWidth="1"/>
    <col min="22" max="22" width="11.1328125" bestFit="1" customWidth="1"/>
    <col min="23" max="23" width="12.59765625" customWidth="1"/>
  </cols>
  <sheetData>
    <row r="1" spans="2:17" s="38" customFormat="1" x14ac:dyDescent="0.45">
      <c r="E1" s="30"/>
      <c r="F1" s="30"/>
      <c r="G1" s="31"/>
      <c r="H1" s="31"/>
      <c r="I1" s="31"/>
      <c r="J1" s="39"/>
      <c r="K1" s="33"/>
      <c r="L1" s="31"/>
      <c r="M1" s="30"/>
      <c r="N1" s="30"/>
      <c r="O1" s="30"/>
      <c r="P1" s="30"/>
      <c r="Q1" s="30"/>
    </row>
    <row r="2" spans="2:17" s="23" customFormat="1" ht="18" x14ac:dyDescent="0.55000000000000004">
      <c r="B2" s="23" t="s">
        <v>40</v>
      </c>
      <c r="E2" s="34"/>
      <c r="F2" s="34"/>
      <c r="G2" s="35"/>
      <c r="H2" s="35"/>
      <c r="I2" s="35"/>
      <c r="J2" s="68"/>
      <c r="K2" s="37"/>
      <c r="L2" s="35"/>
      <c r="M2" s="34"/>
      <c r="N2" s="34"/>
      <c r="O2" s="34"/>
      <c r="P2" s="34"/>
      <c r="Q2" s="34"/>
    </row>
    <row r="3" spans="2:17" s="23" customFormat="1" ht="18" x14ac:dyDescent="0.55000000000000004">
      <c r="B3" s="23" t="s">
        <v>41</v>
      </c>
      <c r="E3" s="34"/>
      <c r="F3" s="34"/>
      <c r="G3" s="35"/>
      <c r="H3" s="35"/>
      <c r="I3" s="35"/>
      <c r="J3" s="68"/>
      <c r="K3" s="37"/>
      <c r="L3" s="35"/>
      <c r="M3" s="34"/>
      <c r="N3" s="34"/>
      <c r="O3" s="34"/>
      <c r="P3" s="34"/>
      <c r="Q3" s="34"/>
    </row>
    <row r="4" spans="2:17" s="38" customFormat="1" x14ac:dyDescent="0.45">
      <c r="E4" s="30"/>
      <c r="F4" s="30"/>
      <c r="G4" s="31"/>
      <c r="H4" s="31"/>
      <c r="I4" s="31"/>
      <c r="J4" s="39"/>
      <c r="K4" s="33"/>
      <c r="L4" s="31"/>
      <c r="M4" s="30"/>
      <c r="N4" s="30"/>
      <c r="O4" s="30"/>
      <c r="P4" s="30"/>
      <c r="Q4" s="30"/>
    </row>
    <row r="5" spans="2:17" s="19" customFormat="1" ht="18" x14ac:dyDescent="0.55000000000000004">
      <c r="B5" s="19" t="s">
        <v>15</v>
      </c>
      <c r="E5" s="34"/>
      <c r="F5" s="35"/>
      <c r="G5" s="35"/>
      <c r="H5" s="36"/>
      <c r="I5" s="34"/>
      <c r="J5" s="36"/>
      <c r="K5" s="37"/>
      <c r="L5" s="35"/>
      <c r="M5" s="35"/>
      <c r="N5" s="34"/>
      <c r="O5" s="34"/>
      <c r="P5" s="34"/>
      <c r="Q5" s="34"/>
    </row>
    <row r="6" spans="2:17" s="4" customFormat="1" ht="42.75" x14ac:dyDescent="0.45">
      <c r="B6" s="7" t="s">
        <v>0</v>
      </c>
      <c r="C6" s="7" t="s">
        <v>1</v>
      </c>
      <c r="D6" s="8" t="s">
        <v>21</v>
      </c>
      <c r="E6" s="8" t="s">
        <v>34</v>
      </c>
      <c r="F6" s="8" t="s">
        <v>28</v>
      </c>
      <c r="G6" s="8" t="s">
        <v>5</v>
      </c>
      <c r="H6" s="8" t="s">
        <v>46</v>
      </c>
      <c r="I6" s="8" t="s">
        <v>6</v>
      </c>
    </row>
    <row r="7" spans="2:17" x14ac:dyDescent="0.45">
      <c r="B7" t="s">
        <v>65</v>
      </c>
      <c r="C7" t="s">
        <v>66</v>
      </c>
      <c r="D7" s="9">
        <f>IF(InstSummary[[#This Row],[Instance Name]]="","",SUMIFS(AWRData[DB Time (mins)],AWRData[Instance Name],InstSummary[[#This Row],[Instance Name]])/SUMIFS(AWRData[Elapsed Time (mins)],AWRData[Instance Name],InstSummary[[#This Row],[Instance Name]]))</f>
        <v>3.910437469318452</v>
      </c>
      <c r="E7" s="9">
        <f>IF(InstSummary[[#This Row],[Instance Name]]="","",SUMIFS(AWRData[DB CPU (s)],AWRData[Instance Name],InstSummary[[#This Row],[Instance Name]])/SUMIFS(AWRData[CPU total capacity (s)],AWRData[Instance Name],InstSummary[[#This Row],[Instance Name]]))</f>
        <v>7.1086590439837338E-2</v>
      </c>
      <c r="F7" s="14">
        <f>IF(InstSummary[[#This Row],[Instance Name]]="","",SUMIFS(AWRData[ORA use (GB)],AWRData[Instance Name],InstSummary[[#This Row],[Instance Name]]))</f>
        <v>50.375</v>
      </c>
      <c r="G7" s="11">
        <f>IF(InstSummary[[#This Row],[Instance Name]]="","",SUMIFS(AWRData[Total IOPS],AWRData[Instance Name],InstSummary[[#This Row],[Instance Name]]))</f>
        <v>1336.73</v>
      </c>
      <c r="H7" s="11">
        <f>IF(InstSummary[[#This Row],[Instance Name]]="","",SUMIFS(AWRData[Total Throughput (MB/s)],AWRData[Instance Name],InstSummary[[#This Row],[Instance Name]]))</f>
        <v>357.78999999999996</v>
      </c>
      <c r="I7" s="11">
        <f>IF(InstSummary[[#This Row],[Instance Name]]="","",InstSummary[[#This Row],[%DB Time of Elapsed Time]]*(vCPUHTFactor/SUMIFS(AWRData[source CPU HT factor],AWRData[Instance Name],InstSummary[[#This Row],[Instance Name]])))</f>
        <v>3.910437469318452</v>
      </c>
    </row>
    <row r="8" spans="2:17" x14ac:dyDescent="0.45">
      <c r="B8" t="s">
        <v>65</v>
      </c>
      <c r="C8" t="s">
        <v>67</v>
      </c>
      <c r="D8" s="9">
        <f>IF(InstSummary[[#This Row],[Instance Name]]="","",SUMIFS(AWRData[DB Time (mins)],AWRData[Instance Name],InstSummary[[#This Row],[Instance Name]])/SUMIFS(AWRData[Elapsed Time (mins)],AWRData[Instance Name],InstSummary[[#This Row],[Instance Name]]))</f>
        <v>3.2039993411003382</v>
      </c>
      <c r="E8" s="9">
        <f>IF(InstSummary[[#This Row],[Instance Name]]="","",SUMIFS(AWRData[DB CPU (s)],AWRData[Instance Name],InstSummary[[#This Row],[Instance Name]])/SUMIFS(AWRData[CPU total capacity (s)],AWRData[Instance Name],InstSummary[[#This Row],[Instance Name]]))</f>
        <v>5.7579955493276186E-2</v>
      </c>
      <c r="F8" s="14">
        <f>IF(InstSummary[[#This Row],[Instance Name]]="","",SUMIFS(AWRData[ORA use (GB)],AWRData[Instance Name],InstSummary[[#This Row],[Instance Name]]))</f>
        <v>50.375</v>
      </c>
      <c r="G8" s="11">
        <f>IF(InstSummary[[#This Row],[Instance Name]]="","",SUMIFS(AWRData[Total IOPS],AWRData[Instance Name],InstSummary[[#This Row],[Instance Name]]))</f>
        <v>1124.03</v>
      </c>
      <c r="H8" s="11">
        <f>IF(InstSummary[[#This Row],[Instance Name]]="","",SUMIFS(AWRData[Total Throughput (MB/s)],AWRData[Instance Name],InstSummary[[#This Row],[Instance Name]]))</f>
        <v>210.53</v>
      </c>
      <c r="I8" s="11">
        <f>IF(InstSummary[[#This Row],[Instance Name]]="","",InstSummary[[#This Row],[%DB Time of Elapsed Time]]*(vCPUHTFactor/SUMIFS(AWRData[source CPU HT factor],AWRData[Instance Name],InstSummary[[#This Row],[Instance Name]])))</f>
        <v>3.2039993411003382</v>
      </c>
    </row>
    <row r="9" spans="2:17" x14ac:dyDescent="0.45">
      <c r="B9" t="s">
        <v>65</v>
      </c>
      <c r="C9" t="s">
        <v>68</v>
      </c>
      <c r="D9" s="9">
        <f>IF(InstSummary[[#This Row],[Instance Name]]="","",SUMIFS(AWRData[DB Time (mins)],AWRData[Instance Name],InstSummary[[#This Row],[Instance Name]])/SUMIFS(AWRData[Elapsed Time (mins)],AWRData[Instance Name],InstSummary[[#This Row],[Instance Name]]))</f>
        <v>2.85158203362105</v>
      </c>
      <c r="E9" s="9">
        <f>IF(InstSummary[[#This Row],[Instance Name]]="","",SUMIFS(AWRData[DB CPU (s)],AWRData[Instance Name],InstSummary[[#This Row],[Instance Name]])/SUMIFS(AWRData[CPU total capacity (s)],AWRData[Instance Name],InstSummary[[#This Row],[Instance Name]]))</f>
        <v>5.024200592812135E-2</v>
      </c>
      <c r="F9" s="14">
        <f>IF(InstSummary[[#This Row],[Instance Name]]="","",SUMIFS(AWRData[ORA use (GB)],AWRData[Instance Name],InstSummary[[#This Row],[Instance Name]]))</f>
        <v>50.375</v>
      </c>
      <c r="G9" s="11">
        <f>IF(InstSummary[[#This Row],[Instance Name]]="","",SUMIFS(AWRData[Total IOPS],AWRData[Instance Name],InstSummary[[#This Row],[Instance Name]]))</f>
        <v>910.01</v>
      </c>
      <c r="H9" s="11">
        <f>IF(InstSummary[[#This Row],[Instance Name]]="","",SUMIFS(AWRData[Total Throughput (MB/s)],AWRData[Instance Name],InstSummary[[#This Row],[Instance Name]]))</f>
        <v>224.07999999999998</v>
      </c>
      <c r="I9" s="11">
        <f>IF(InstSummary[[#This Row],[Instance Name]]="","",InstSummary[[#This Row],[%DB Time of Elapsed Time]]*(vCPUHTFactor/SUMIFS(AWRData[source CPU HT factor],AWRData[Instance Name],InstSummary[[#This Row],[Instance Name]])))</f>
        <v>2.85158203362105</v>
      </c>
    </row>
    <row r="10" spans="2:17" x14ac:dyDescent="0.45">
      <c r="D10" s="9" t="str">
        <f>IF(InstSummary[[#This Row],[Instance Name]]="","",SUMIFS(AWRData[DB Time (mins)],AWRData[Instance Name],InstSummary[[#This Row],[Instance Name]])/SUMIFS(AWRData[Elapsed Time (mins)],AWRData[Instance Name],InstSummary[[#This Row],[Instance Name]]))</f>
        <v/>
      </c>
      <c r="E10" s="9" t="str">
        <f>IF(InstSummary[[#This Row],[Instance Name]]="","",SUMIFS(AWRData[DB CPU (s)],AWRData[Instance Name],InstSummary[[#This Row],[Instance Name]])/SUMIFS(AWRData[CPU total capacity (s)],AWRData[Instance Name],InstSummary[[#This Row],[Instance Name]]))</f>
        <v/>
      </c>
      <c r="F10" s="14" t="str">
        <f>IF(InstSummary[[#This Row],[Instance Name]]="","",SUMIFS(AWRData[ORA use (GB)],AWRData[Instance Name],InstSummary[[#This Row],[Instance Name]]))</f>
        <v/>
      </c>
      <c r="G10" s="11" t="str">
        <f>IF(InstSummary[[#This Row],[Instance Name]]="","",SUMIFS(AWRData[Total IOPS],AWRData[Instance Name],InstSummary[[#This Row],[Instance Name]]))</f>
        <v/>
      </c>
      <c r="H10" s="11" t="str">
        <f>IF(InstSummary[[#This Row],[Instance Name]]="","",SUMIFS(AWRData[Total Throughput (MB/s)],AWRData[Instance Name],InstSummary[[#This Row],[Instance Name]]))</f>
        <v/>
      </c>
      <c r="I10" s="11" t="str">
        <f>IF(InstSummary[[#This Row],[Instance Name]]="","",InstSummary[[#This Row],[%DB Time of Elapsed Time]]*(vCPUHTFactor/SUMIFS(AWRData[source CPU HT factor],AWRData[Instance Name],InstSummary[[#This Row],[Instance Name]])))</f>
        <v/>
      </c>
    </row>
    <row r="11" spans="2:17" x14ac:dyDescent="0.45">
      <c r="D11" s="9" t="str">
        <f>IF(InstSummary[[#This Row],[Instance Name]]="","",SUMIFS(AWRData[DB Time (mins)],AWRData[Instance Name],InstSummary[[#This Row],[Instance Name]])/SUMIFS(AWRData[Elapsed Time (mins)],AWRData[Instance Name],InstSummary[[#This Row],[Instance Name]]))</f>
        <v/>
      </c>
      <c r="E11" s="9" t="str">
        <f>IF(InstSummary[[#This Row],[Instance Name]]="","",SUMIFS(AWRData[DB CPU (s)],AWRData[Instance Name],InstSummary[[#This Row],[Instance Name]])/SUMIFS(AWRData[CPU total capacity (s)],AWRData[Instance Name],InstSummary[[#This Row],[Instance Name]]))</f>
        <v/>
      </c>
      <c r="F11" s="14" t="str">
        <f>IF(InstSummary[[#This Row],[Instance Name]]="","",SUMIFS(AWRData[ORA use (GB)],AWRData[Instance Name],InstSummary[[#This Row],[Instance Name]]))</f>
        <v/>
      </c>
      <c r="G11" s="11" t="str">
        <f>IF(InstSummary[[#This Row],[Instance Name]]="","",SUMIFS(AWRData[Total IOPS],AWRData[Instance Name],InstSummary[[#This Row],[Instance Name]]))</f>
        <v/>
      </c>
      <c r="H11" s="11" t="str">
        <f>IF(InstSummary[[#This Row],[Instance Name]]="","",SUMIFS(AWRData[Total Throughput (MB/s)],AWRData[Instance Name],InstSummary[[#This Row],[Instance Name]]))</f>
        <v/>
      </c>
      <c r="I11" s="11" t="str">
        <f>IF(InstSummary[[#This Row],[Instance Name]]="","",InstSummary[[#This Row],[%DB Time of Elapsed Time]]*(vCPUHTFactor/SUMIFS(AWRData[source CPU HT factor],AWRData[Instance Name],InstSummary[[#This Row],[Instance Name]])))</f>
        <v/>
      </c>
    </row>
    <row r="12" spans="2:17" x14ac:dyDescent="0.45">
      <c r="D12" s="9" t="str">
        <f>IF(InstSummary[[#This Row],[Instance Name]]="","",SUMIFS(AWRData[DB Time (mins)],AWRData[Instance Name],InstSummary[[#This Row],[Instance Name]])/SUMIFS(AWRData[Elapsed Time (mins)],AWRData[Instance Name],InstSummary[[#This Row],[Instance Name]]))</f>
        <v/>
      </c>
      <c r="E12" s="9" t="str">
        <f>IF(InstSummary[[#This Row],[Instance Name]]="","",SUMIFS(AWRData[DB CPU (s)],AWRData[Instance Name],InstSummary[[#This Row],[Instance Name]])/SUMIFS(AWRData[CPU total capacity (s)],AWRData[Instance Name],InstSummary[[#This Row],[Instance Name]]))</f>
        <v/>
      </c>
      <c r="F12" s="14" t="str">
        <f>IF(InstSummary[[#This Row],[Instance Name]]="","",SUMIFS(AWRData[ORA use (GB)],AWRData[Instance Name],InstSummary[[#This Row],[Instance Name]]))</f>
        <v/>
      </c>
      <c r="G12" s="11" t="str">
        <f>IF(InstSummary[[#This Row],[Instance Name]]="","",SUMIFS(AWRData[Total IOPS],AWRData[Instance Name],InstSummary[[#This Row],[Instance Name]]))</f>
        <v/>
      </c>
      <c r="H12" s="11" t="str">
        <f>IF(InstSummary[[#This Row],[Instance Name]]="","",SUMIFS(AWRData[Total Throughput (MB/s)],AWRData[Instance Name],InstSummary[[#This Row],[Instance Name]]))</f>
        <v/>
      </c>
      <c r="I12" s="11" t="str">
        <f>IF(InstSummary[[#This Row],[Instance Name]]="","",InstSummary[[#This Row],[%DB Time of Elapsed Time]]*(vCPUHTFactor/SUMIFS(AWRData[source CPU HT factor],AWRData[Instance Name],InstSummary[[#This Row],[Instance Name]])))</f>
        <v/>
      </c>
    </row>
    <row r="13" spans="2:17" x14ac:dyDescent="0.45">
      <c r="D13" s="9" t="str">
        <f>IF(InstSummary[[#This Row],[Instance Name]]="","",SUMIFS(AWRData[DB Time (mins)],AWRData[Instance Name],InstSummary[[#This Row],[Instance Name]])/SUMIFS(AWRData[Elapsed Time (mins)],AWRData[Instance Name],InstSummary[[#This Row],[Instance Name]]))</f>
        <v/>
      </c>
      <c r="E13" s="9" t="str">
        <f>IF(InstSummary[[#This Row],[Instance Name]]="","",SUMIFS(AWRData[DB CPU (s)],AWRData[Instance Name],InstSummary[[#This Row],[Instance Name]])/SUMIFS(AWRData[CPU total capacity (s)],AWRData[Instance Name],InstSummary[[#This Row],[Instance Name]]))</f>
        <v/>
      </c>
      <c r="F13" s="14" t="str">
        <f>IF(InstSummary[[#This Row],[Instance Name]]="","",SUMIFS(AWRData[ORA use (GB)],AWRData[Instance Name],InstSummary[[#This Row],[Instance Name]]))</f>
        <v/>
      </c>
      <c r="G13" s="11" t="str">
        <f>IF(InstSummary[[#This Row],[Instance Name]]="","",SUMIFS(AWRData[Total IOPS],AWRData[Instance Name],InstSummary[[#This Row],[Instance Name]]))</f>
        <v/>
      </c>
      <c r="H13" s="11" t="str">
        <f>IF(InstSummary[[#This Row],[Instance Name]]="","",SUMIFS(AWRData[Total Throughput (MB/s)],AWRData[Instance Name],InstSummary[[#This Row],[Instance Name]]))</f>
        <v/>
      </c>
      <c r="I13" s="11" t="str">
        <f>IF(InstSummary[[#This Row],[Instance Name]]="","",InstSummary[[#This Row],[%DB Time of Elapsed Time]]*(vCPUHTFactor/SUMIFS(AWRData[source CPU HT factor],AWRData[Instance Name],InstSummary[[#This Row],[Instance Name]])))</f>
        <v/>
      </c>
    </row>
    <row r="14" spans="2:17" x14ac:dyDescent="0.45">
      <c r="D14" s="9" t="str">
        <f>IF(InstSummary[[#This Row],[Instance Name]]="","",SUMIFS(AWRData[DB Time (mins)],AWRData[Instance Name],InstSummary[[#This Row],[Instance Name]])/SUMIFS(AWRData[Elapsed Time (mins)],AWRData[Instance Name],InstSummary[[#This Row],[Instance Name]]))</f>
        <v/>
      </c>
      <c r="E14" s="9" t="str">
        <f>IF(InstSummary[[#This Row],[Instance Name]]="","",SUMIFS(AWRData[DB CPU (s)],AWRData[Instance Name],InstSummary[[#This Row],[Instance Name]])/SUMIFS(AWRData[CPU total capacity (s)],AWRData[Instance Name],InstSummary[[#This Row],[Instance Name]]))</f>
        <v/>
      </c>
      <c r="F14" s="14" t="str">
        <f>IF(InstSummary[[#This Row],[Instance Name]]="","",SUMIFS(AWRData[ORA use (GB)],AWRData[Instance Name],InstSummary[[#This Row],[Instance Name]]))</f>
        <v/>
      </c>
      <c r="G14" s="11" t="str">
        <f>IF(InstSummary[[#This Row],[Instance Name]]="","",SUMIFS(AWRData[Total IOPS],AWRData[Instance Name],InstSummary[[#This Row],[Instance Name]]))</f>
        <v/>
      </c>
      <c r="H14" s="11" t="str">
        <f>IF(InstSummary[[#This Row],[Instance Name]]="","",SUMIFS(AWRData[Total Throughput (MB/s)],AWRData[Instance Name],InstSummary[[#This Row],[Instance Name]]))</f>
        <v/>
      </c>
      <c r="I14" s="11" t="str">
        <f>IF(InstSummary[[#This Row],[Instance Name]]="","",InstSummary[[#This Row],[%DB Time of Elapsed Time]]*(vCPUHTFactor/SUMIFS(AWRData[source CPU HT factor],AWRData[Instance Name],InstSummary[[#This Row],[Instance Name]])))</f>
        <v/>
      </c>
    </row>
    <row r="15" spans="2:17" x14ac:dyDescent="0.45">
      <c r="D15" s="10">
        <f>SUBTOTAL(109,InstSummary[%DB Time of Elapsed Time])</f>
        <v>9.9660188440398407</v>
      </c>
      <c r="E15" s="10">
        <f>SUBTOTAL(109,InstSummary[%DB CPU of server capacity])</f>
        <v>0.17890855186123489</v>
      </c>
      <c r="F15" s="13">
        <f>SUBTOTAL(109,InstSummary[Total ORA (GB)])</f>
        <v>151.125</v>
      </c>
      <c r="G15" s="12">
        <f>SUBTOTAL(109,InstSummary[Total IOPS])</f>
        <v>3370.7700000000004</v>
      </c>
      <c r="H15" s="12">
        <f>SUBTOTAL(109,InstSummary[Total Throughput (MB/s)])</f>
        <v>792.39999999999986</v>
      </c>
      <c r="I15" s="12">
        <f>SUBTOTAL(109,InstSummary[Est''d Azure vCPUs])</f>
        <v>9.9660188440398407</v>
      </c>
    </row>
    <row r="16" spans="2:17" s="38" customFormat="1" x14ac:dyDescent="0.45">
      <c r="E16" s="30"/>
      <c r="F16" s="31"/>
      <c r="G16" s="31"/>
      <c r="H16" s="32"/>
      <c r="I16" s="30"/>
      <c r="J16" s="32"/>
      <c r="K16"/>
      <c r="L16" s="31"/>
      <c r="M16" s="31"/>
      <c r="N16" s="30"/>
      <c r="O16" s="30"/>
      <c r="P16" s="30"/>
      <c r="Q16" s="30"/>
    </row>
    <row r="17" spans="2:11" s="19" customFormat="1" ht="17.649999999999999" customHeight="1" x14ac:dyDescent="0.55000000000000004">
      <c r="B17" s="19" t="s">
        <v>19</v>
      </c>
      <c r="E17" s="21"/>
      <c r="F17" s="22"/>
      <c r="G17" s="21"/>
      <c r="H17" s="22"/>
    </row>
    <row r="18" spans="2:11" s="1" customFormat="1" ht="42.75" x14ac:dyDescent="0.45">
      <c r="B18" s="69" t="s">
        <v>43</v>
      </c>
      <c r="C18" s="7" t="s">
        <v>42</v>
      </c>
      <c r="D18" s="79" t="s">
        <v>21</v>
      </c>
      <c r="E18" s="79" t="s">
        <v>34</v>
      </c>
      <c r="F18" s="79" t="s">
        <v>28</v>
      </c>
      <c r="G18" s="79" t="s">
        <v>5</v>
      </c>
      <c r="H18" s="79" t="s">
        <v>46</v>
      </c>
      <c r="I18" s="79" t="s">
        <v>6</v>
      </c>
    </row>
    <row r="19" spans="2:11" x14ac:dyDescent="0.45">
      <c r="B19" s="104" t="s">
        <v>69</v>
      </c>
      <c r="D19" s="80">
        <f>IF(HostSummary[[#This Row],[Host]]="","",SUMIFS(AWRData[DB Time (mins)],AWRData[Host Name],HostSummary[[#This Row],[Host]])/SUMIFS(AWRData[Elapsed Time (mins)],AWRData[Host Name],HostSummary[[#This Row],[Host]]))</f>
        <v>3.910437469318452</v>
      </c>
      <c r="E19" s="80">
        <f>IF(HostSummary[[#This Row],[Host]]="","",SUMIFS(AWRData[DB CPU (s)],AWRData[Host Name],HostSummary[[#This Row],[Host]])/SUMIFS(AWRData[CPU total capacity (s)],AWRData[Host Name],HostSummary[[#This Row],[Host]]))</f>
        <v>7.1086590439837338E-2</v>
      </c>
      <c r="F19" s="81">
        <f>IF(HostSummary[[#This Row],[Host]]="","",SUMIFS(AWRData[ORA use (GB)],AWRData[Host Name],HostSummary[[#This Row],[Host]]))</f>
        <v>50.375</v>
      </c>
      <c r="G19" s="81">
        <f>IF(HostSummary[[#This Row],[Host]]="","",SUMIFS(AWRData[Total IOPS],AWRData[Host Name],HostSummary[[#This Row],[Host]]))</f>
        <v>1336.73</v>
      </c>
      <c r="H19" s="81">
        <f>IF(HostSummary[[#This Row],[Host]]="","",SUMIFS(AWRData[Total Throughput (MB/s)],AWRData[Host Name],HostSummary[[#This Row],[Host]]))</f>
        <v>357.78999999999996</v>
      </c>
      <c r="I19" s="81">
        <f>IF(HostSummary[[#This Row],[Host]]="","",HostSummary[[#This Row],[%DB Time of Elapsed Time]]*(vCPUHTFactor/SUMIFS(AWRData[source CPU HT factor],AWRData[Host Name],HostSummary[[#This Row],[Host]])))</f>
        <v>3.910437469318452</v>
      </c>
    </row>
    <row r="20" spans="2:11" x14ac:dyDescent="0.45">
      <c r="B20" s="105" t="s">
        <v>70</v>
      </c>
      <c r="D20" s="80">
        <f>IF(HostSummary[[#This Row],[Host]]="","",SUMIFS(AWRData[DB Time (mins)],AWRData[Host Name],HostSummary[[#This Row],[Host]])/SUMIFS(AWRData[Elapsed Time (mins)],AWRData[Host Name],HostSummary[[#This Row],[Host]]))</f>
        <v>3.2039993411003382</v>
      </c>
      <c r="E20" s="80">
        <f>IF(HostSummary[[#This Row],[Host]]="","",SUMIFS(AWRData[DB CPU (s)],AWRData[Host Name],HostSummary[[#This Row],[Host]])/SUMIFS(AWRData[CPU total capacity (s)],AWRData[Host Name],HostSummary[[#This Row],[Host]]))</f>
        <v>5.7579955493276186E-2</v>
      </c>
      <c r="F20" s="81">
        <f>IF(HostSummary[[#This Row],[Host]]="","",SUMIFS(AWRData[ORA use (GB)],AWRData[Host Name],HostSummary[[#This Row],[Host]]))</f>
        <v>50.375</v>
      </c>
      <c r="G20" s="81">
        <f>IF(HostSummary[[#This Row],[Host]]="","",SUMIFS(AWRData[Total IOPS],AWRData[Host Name],HostSummary[[#This Row],[Host]]))</f>
        <v>1124.03</v>
      </c>
      <c r="H20" s="81">
        <f>IF(HostSummary[[#This Row],[Host]]="","",SUMIFS(AWRData[Total Throughput (MB/s)],AWRData[Host Name],HostSummary[[#This Row],[Host]]))</f>
        <v>210.53</v>
      </c>
      <c r="I20" s="81">
        <f>IF(HostSummary[[#This Row],[Host]]="","",HostSummary[[#This Row],[%DB Time of Elapsed Time]]*(vCPUHTFactor/SUMIFS(AWRData[source CPU HT factor],AWRData[Host Name],HostSummary[[#This Row],[Host]])))</f>
        <v>3.2039993411003382</v>
      </c>
    </row>
    <row r="21" spans="2:11" x14ac:dyDescent="0.45">
      <c r="B21" s="105" t="s">
        <v>71</v>
      </c>
      <c r="D21" s="80">
        <f>IF(HostSummary[[#This Row],[Host]]="","",SUMIFS(AWRData[DB Time (mins)],AWRData[Host Name],HostSummary[[#This Row],[Host]])/SUMIFS(AWRData[Elapsed Time (mins)],AWRData[Host Name],HostSummary[[#This Row],[Host]]))</f>
        <v>2.85158203362105</v>
      </c>
      <c r="E21" s="80">
        <f>IF(HostSummary[[#This Row],[Host]]="","",SUMIFS(AWRData[DB CPU (s)],AWRData[Host Name],HostSummary[[#This Row],[Host]])/SUMIFS(AWRData[CPU total capacity (s)],AWRData[Host Name],HostSummary[[#This Row],[Host]]))</f>
        <v>5.024200592812135E-2</v>
      </c>
      <c r="F21" s="81">
        <f>IF(HostSummary[[#This Row],[Host]]="","",SUMIFS(AWRData[ORA use (GB)],AWRData[Host Name],HostSummary[[#This Row],[Host]]))</f>
        <v>50.375</v>
      </c>
      <c r="G21" s="81">
        <f>IF(HostSummary[[#This Row],[Host]]="","",SUMIFS(AWRData[Total IOPS],AWRData[Host Name],HostSummary[[#This Row],[Host]]))</f>
        <v>910.01</v>
      </c>
      <c r="H21" s="81">
        <f>IF(HostSummary[[#This Row],[Host]]="","",SUMIFS(AWRData[Total Throughput (MB/s)],AWRData[Host Name],HostSummary[[#This Row],[Host]]))</f>
        <v>224.07999999999998</v>
      </c>
      <c r="I21" s="81">
        <f>IF(HostSummary[[#This Row],[Host]]="","",HostSummary[[#This Row],[%DB Time of Elapsed Time]]*(vCPUHTFactor/SUMIFS(AWRData[source CPU HT factor],AWRData[Host Name],HostSummary[[#This Row],[Host]])))</f>
        <v>2.85158203362105</v>
      </c>
    </row>
    <row r="22" spans="2:11" x14ac:dyDescent="0.45">
      <c r="B22" s="105"/>
      <c r="D22" s="80" t="str">
        <f>IF(HostSummary[[#This Row],[Host]]="","",SUMIFS(AWRData[DB Time (mins)],AWRData[Host Name],HostSummary[[#This Row],[Host]])/SUMIFS(AWRData[Elapsed Time (mins)],AWRData[Host Name],HostSummary[[#This Row],[Host]]))</f>
        <v/>
      </c>
      <c r="E22" s="80" t="str">
        <f>IF(HostSummary[[#This Row],[Host]]="","",SUMIFS(AWRData[DB CPU (s)],AWRData[Host Name],HostSummary[[#This Row],[Host]])/SUMIFS(AWRData[CPU total capacity (s)],AWRData[Host Name],HostSummary[[#This Row],[Host]]))</f>
        <v/>
      </c>
      <c r="F22" s="81" t="str">
        <f>IF(HostSummary[[#This Row],[Host]]="","",SUMIFS(AWRData[ORA use (GB)],AWRData[Host Name],HostSummary[[#This Row],[Host]]))</f>
        <v/>
      </c>
      <c r="G22" s="81" t="str">
        <f>IF(HostSummary[[#This Row],[Host]]="","",SUMIFS(AWRData[Total IOPS],AWRData[Host Name],HostSummary[[#This Row],[Host]]))</f>
        <v/>
      </c>
      <c r="H22" s="81" t="str">
        <f>IF(HostSummary[[#This Row],[Host]]="","",SUMIFS(AWRData[Total Throughput (MB/s)],AWRData[Host Name],HostSummary[[#This Row],[Host]]))</f>
        <v/>
      </c>
      <c r="I22" s="81" t="str">
        <f>IF(HostSummary[[#This Row],[Host]]="","",HostSummary[[#This Row],[%DB Time of Elapsed Time]]*(vCPUHTFactor/SUMIFS(AWRData[source CPU HT factor],AWRData[Host Name],HostSummary[[#This Row],[Host]])))</f>
        <v/>
      </c>
    </row>
    <row r="23" spans="2:11" x14ac:dyDescent="0.45">
      <c r="B23" s="105"/>
      <c r="D23" s="80" t="str">
        <f>IF(HostSummary[[#This Row],[Host]]="","",SUMIFS(AWRData[DB Time (mins)],AWRData[Host Name],HostSummary[[#This Row],[Host]])/SUMIFS(AWRData[Elapsed Time (mins)],AWRData[Host Name],HostSummary[[#This Row],[Host]]))</f>
        <v/>
      </c>
      <c r="E23" s="80" t="str">
        <f>IF(HostSummary[[#This Row],[Host]]="","",SUMIFS(AWRData[DB CPU (s)],AWRData[Host Name],HostSummary[[#This Row],[Host]])/SUMIFS(AWRData[CPU total capacity (s)],AWRData[Host Name],HostSummary[[#This Row],[Host]]))</f>
        <v/>
      </c>
      <c r="F23" s="81" t="str">
        <f>IF(HostSummary[[#This Row],[Host]]="","",SUMIFS(AWRData[ORA use (GB)],AWRData[Host Name],HostSummary[[#This Row],[Host]]))</f>
        <v/>
      </c>
      <c r="G23" s="81" t="str">
        <f>IF(HostSummary[[#This Row],[Host]]="","",SUMIFS(AWRData[Total IOPS],AWRData[Host Name],HostSummary[[#This Row],[Host]]))</f>
        <v/>
      </c>
      <c r="H23" s="81" t="str">
        <f>IF(HostSummary[[#This Row],[Host]]="","",SUMIFS(AWRData[Total Throughput (MB/s)],AWRData[Host Name],HostSummary[[#This Row],[Host]]))</f>
        <v/>
      </c>
      <c r="I23" s="81" t="str">
        <f>IF(HostSummary[[#This Row],[Host]]="","",HostSummary[[#This Row],[%DB Time of Elapsed Time]]*(vCPUHTFactor/SUMIFS(AWRData[source CPU HT factor],AWRData[Host Name],HostSummary[[#This Row],[Host]])))</f>
        <v/>
      </c>
    </row>
    <row r="24" spans="2:11" x14ac:dyDescent="0.45">
      <c r="B24" s="105"/>
      <c r="D24" s="80" t="str">
        <f>IF(HostSummary[[#This Row],[Host]]="","",SUMIFS(AWRData[DB Time (mins)],AWRData[Host Name],HostSummary[[#This Row],[Host]])/SUMIFS(AWRData[Elapsed Time (mins)],AWRData[Host Name],HostSummary[[#This Row],[Host]]))</f>
        <v/>
      </c>
      <c r="E24" s="80" t="str">
        <f>IF(HostSummary[[#This Row],[Host]]="","",SUMIFS(AWRData[DB CPU (s)],AWRData[Host Name],HostSummary[[#This Row],[Host]])/SUMIFS(AWRData[CPU total capacity (s)],AWRData[Host Name],HostSummary[[#This Row],[Host]]))</f>
        <v/>
      </c>
      <c r="F24" s="81" t="str">
        <f>IF(HostSummary[[#This Row],[Host]]="","",SUMIFS(AWRData[ORA use (GB)],AWRData[Host Name],HostSummary[[#This Row],[Host]]))</f>
        <v/>
      </c>
      <c r="G24" s="81" t="str">
        <f>IF(HostSummary[[#This Row],[Host]]="","",SUMIFS(AWRData[Total IOPS],AWRData[Host Name],HostSummary[[#This Row],[Host]]))</f>
        <v/>
      </c>
      <c r="H24" s="81" t="str">
        <f>IF(HostSummary[[#This Row],[Host]]="","",SUMIFS(AWRData[Total Throughput (MB/s)],AWRData[Host Name],HostSummary[[#This Row],[Host]]))</f>
        <v/>
      </c>
      <c r="I24" s="81" t="str">
        <f>IF(HostSummary[[#This Row],[Host]]="","",HostSummary[[#This Row],[%DB Time of Elapsed Time]]*(vCPUHTFactor/SUMIFS(AWRData[source CPU HT factor],AWRData[Host Name],HostSummary[[#This Row],[Host]])))</f>
        <v/>
      </c>
    </row>
    <row r="25" spans="2:11" x14ac:dyDescent="0.45">
      <c r="B25" s="105"/>
      <c r="D25" s="80" t="str">
        <f>IF(HostSummary[[#This Row],[Host]]="","",SUMIFS(AWRData[DB Time (mins)],AWRData[Host Name],HostSummary[[#This Row],[Host]])/SUMIFS(AWRData[Elapsed Time (mins)],AWRData[Host Name],HostSummary[[#This Row],[Host]]))</f>
        <v/>
      </c>
      <c r="E25" s="80" t="str">
        <f>IF(HostSummary[[#This Row],[Host]]="","",SUMIFS(AWRData[DB CPU (s)],AWRData[Host Name],HostSummary[[#This Row],[Host]])/SUMIFS(AWRData[CPU total capacity (s)],AWRData[Host Name],HostSummary[[#This Row],[Host]]))</f>
        <v/>
      </c>
      <c r="F25" s="81" t="str">
        <f>IF(HostSummary[[#This Row],[Host]]="","",SUMIFS(AWRData[ORA use (GB)],AWRData[Host Name],HostSummary[[#This Row],[Host]]))</f>
        <v/>
      </c>
      <c r="G25" s="81" t="str">
        <f>IF(HostSummary[[#This Row],[Host]]="","",SUMIFS(AWRData[Total IOPS],AWRData[Host Name],HostSummary[[#This Row],[Host]]))</f>
        <v/>
      </c>
      <c r="H25" s="81" t="str">
        <f>IF(HostSummary[[#This Row],[Host]]="","",SUMIFS(AWRData[Total Throughput (MB/s)],AWRData[Host Name],HostSummary[[#This Row],[Host]]))</f>
        <v/>
      </c>
      <c r="I25" s="81" t="str">
        <f>IF(HostSummary[[#This Row],[Host]]="","",HostSummary[[#This Row],[%DB Time of Elapsed Time]]*(vCPUHTFactor/SUMIFS(AWRData[source CPU HT factor],AWRData[Host Name],HostSummary[[#This Row],[Host]])))</f>
        <v/>
      </c>
    </row>
    <row r="26" spans="2:11" x14ac:dyDescent="0.45">
      <c r="B26" s="105"/>
      <c r="D26" s="80" t="str">
        <f>IF(HostSummary[[#This Row],[Host]]="","",SUMIFS(AWRData[DB Time (mins)],AWRData[Host Name],HostSummary[[#This Row],[Host]])/SUMIFS(AWRData[Elapsed Time (mins)],AWRData[Host Name],HostSummary[[#This Row],[Host]]))</f>
        <v/>
      </c>
      <c r="E26" s="80" t="str">
        <f>IF(HostSummary[[#This Row],[Host]]="","",SUMIFS(AWRData[DB CPU (s)],AWRData[Host Name],HostSummary[[#This Row],[Host]])/SUMIFS(AWRData[CPU total capacity (s)],AWRData[Host Name],HostSummary[[#This Row],[Host]]))</f>
        <v/>
      </c>
      <c r="F26" s="81" t="str">
        <f>IF(HostSummary[[#This Row],[Host]]="","",SUMIFS(AWRData[ORA use (GB)],AWRData[Host Name],HostSummary[[#This Row],[Host]]))</f>
        <v/>
      </c>
      <c r="G26" s="81" t="str">
        <f>IF(HostSummary[[#This Row],[Host]]="","",SUMIFS(AWRData[Total IOPS],AWRData[Host Name],HostSummary[[#This Row],[Host]]))</f>
        <v/>
      </c>
      <c r="H26" s="81" t="str">
        <f>IF(HostSummary[[#This Row],[Host]]="","",SUMIFS(AWRData[Total Throughput (MB/s)],AWRData[Host Name],HostSummary[[#This Row],[Host]]))</f>
        <v/>
      </c>
      <c r="I26" s="81" t="str">
        <f>IF(HostSummary[[#This Row],[Host]]="","",HostSummary[[#This Row],[%DB Time of Elapsed Time]]*(vCPUHTFactor/SUMIFS(AWRData[source CPU HT factor],AWRData[Host Name],HostSummary[[#This Row],[Host]])))</f>
        <v/>
      </c>
    </row>
    <row r="27" spans="2:11" x14ac:dyDescent="0.45">
      <c r="B27" t="s">
        <v>7</v>
      </c>
      <c r="D27" s="82">
        <f>SUBTOTAL(109,HostSummary[%DB Time of Elapsed Time])</f>
        <v>9.9660188440398407</v>
      </c>
      <c r="E27" s="82"/>
      <c r="F27" s="83">
        <f>SUBTOTAL(109,HostSummary[Total ORA (GB)])</f>
        <v>151.125</v>
      </c>
      <c r="G27" s="83">
        <f>SUBTOTAL(109,HostSummary[Total IOPS])</f>
        <v>3370.7700000000004</v>
      </c>
      <c r="H27" s="83">
        <f>SUBTOTAL(109,HostSummary[Total Throughput (MB/s)])</f>
        <v>792.39999999999986</v>
      </c>
      <c r="I27" s="83">
        <f>SUBTOTAL(109,HostSummary[Est''d Azure vCPUs])</f>
        <v>9.9660188440398407</v>
      </c>
    </row>
    <row r="28" spans="2:11" x14ac:dyDescent="0.45">
      <c r="F28"/>
      <c r="H28"/>
    </row>
    <row r="29" spans="2:11" s="23" customFormat="1" ht="18" x14ac:dyDescent="0.55000000000000004">
      <c r="B29" s="23" t="s">
        <v>20</v>
      </c>
      <c r="D29" s="24"/>
      <c r="F29" s="25"/>
      <c r="G29" s="26"/>
    </row>
    <row r="30" spans="2:11" s="4" customFormat="1" ht="57" x14ac:dyDescent="0.45">
      <c r="B30" s="7" t="s">
        <v>0</v>
      </c>
      <c r="C30" s="73" t="s">
        <v>21</v>
      </c>
      <c r="D30" s="73" t="s">
        <v>49</v>
      </c>
      <c r="E30" s="15" t="s">
        <v>50</v>
      </c>
      <c r="F30" s="73" t="s">
        <v>5</v>
      </c>
      <c r="G30" s="73" t="s">
        <v>46</v>
      </c>
      <c r="H30" s="15" t="s">
        <v>47</v>
      </c>
      <c r="I30" s="15" t="s">
        <v>48</v>
      </c>
      <c r="J30" s="73" t="s">
        <v>8</v>
      </c>
      <c r="K30" s="15" t="s">
        <v>9</v>
      </c>
    </row>
    <row r="31" spans="2:11" x14ac:dyDescent="0.45">
      <c r="B31" t="s">
        <v>65</v>
      </c>
      <c r="C31" s="80">
        <f>IF(DBSummary[[#This Row],[DB Name]]="","",SUMIFS(AWRData[DB Time (mins)],AWRData[DB Name],DBSummary[[#This Row],[DB Name]])/SUMIFS(AWRData[Elapsed Time (mins)],AWRData[DB Name],DBSummary[[#This Row],[DB Name]]))</f>
        <v>3.3220062813466136</v>
      </c>
      <c r="D31" s="85">
        <f>IF(DBSummary[[#This Row],[DB Name]]="","",SUMIFS(AWRData[ORA use (GB)],AWRData[DB Name],DBSummary[[#This Row],[DB Name]]))</f>
        <v>151.125</v>
      </c>
      <c r="E31" s="16">
        <f>IF(DBSummary[[#This Row],[DB Name]]="","",PeakRAMfactor*DBSummary[[#This Row],[Total vRAM (GiB) consumed only by Oracle]])</f>
        <v>226.6875</v>
      </c>
      <c r="F31" s="84">
        <f>IF(DBSummary[[#This Row],[DB Name]]="","",SUMIFS(AWRData[Total IOPS],AWRData[DB Name],DBSummary[[#This Row],[DB Name]]))</f>
        <v>3370.7700000000004</v>
      </c>
      <c r="G31" s="84">
        <f>IF(DBSummary[[#This Row],[DB Name]]="","",SUMIFS(AWRData[Total Throughput (MB/s)],AWRData[DB Name],DBSummary[[#This Row],[DB Name]]))</f>
        <v>792.39999999999986</v>
      </c>
      <c r="H31" s="74">
        <f>IF(DBSummary[[#This Row],[DB Name]]="","",DBSummary[[#This Row],[Total IOPS]]*IoMetricsFactor)</f>
        <v>6741.5400000000009</v>
      </c>
      <c r="I31" s="74">
        <f>IF(DBSummary[[#This Row],[DB Name]]="","",DBSummary[[#This Row],[Total Throughput (MB/s)]]*IoMetricsFactor)</f>
        <v>1584.7999999999997</v>
      </c>
      <c r="J31" s="49">
        <f>IF(DBSummary[[#This Row],[DB Name]]="","",ROUND(SUMIFS(InstSummary[Est''d Azure vCPUs],InstSummary[DB Name],DBSummary[[#This Row],[DB Name]])+0.5,0))</f>
        <v>10</v>
      </c>
      <c r="K31" s="67">
        <f>IF(DBSummary[[#This Row],[DB Name]]="","",IF(SUMIFS(AWRData[%busy CPU],AWRData[DB Name],DBSummary[[#This Row],[DB Name]])&lt;BusyCPUfactor,PeakCpuFactor*DBSummary[[#This Row],[Est''d Azure vCPUs for avg load]],(BusyCPUmultiplier*PeakCpuFactor)*DBSummary[[#This Row],[Est''d Azure vCPUs for avg load]]))</f>
        <v>30</v>
      </c>
    </row>
    <row r="32" spans="2:11" x14ac:dyDescent="0.45">
      <c r="C32" s="80" t="str">
        <f>IF(DBSummary[[#This Row],[DB Name]]="","",SUMIFS(AWRData[DB Time (mins)],AWRData[DB Name],DBSummary[[#This Row],[DB Name]])/SUMIFS(AWRData[Elapsed Time (mins)],AWRData[DB Name],DBSummary[[#This Row],[DB Name]]))</f>
        <v/>
      </c>
      <c r="D32" s="85" t="str">
        <f>IF(DBSummary[[#This Row],[DB Name]]="","",SUMIFS(AWRData[ORA use (GB)],AWRData[DB Name],DBSummary[[#This Row],[DB Name]]))</f>
        <v/>
      </c>
      <c r="E32" s="16" t="str">
        <f>IF(DBSummary[[#This Row],[DB Name]]="","",PeakRAMfactor*DBSummary[[#This Row],[Total vRAM (GiB) consumed only by Oracle]])</f>
        <v/>
      </c>
      <c r="F32" s="84" t="str">
        <f>IF(DBSummary[[#This Row],[DB Name]]="","",SUMIFS(AWRData[Total IOPS],AWRData[DB Name],DBSummary[[#This Row],[DB Name]]))</f>
        <v/>
      </c>
      <c r="G32" s="84" t="str">
        <f>IF(DBSummary[[#This Row],[DB Name]]="","",SUMIFS(AWRData[Total Throughput (MB/s)],AWRData[DB Name],DBSummary[[#This Row],[DB Name]]))</f>
        <v/>
      </c>
      <c r="H32" s="74" t="str">
        <f>IF(DBSummary[[#This Row],[DB Name]]="","",DBSummary[[#This Row],[Total IOPS]]*IoMetricsFactor)</f>
        <v/>
      </c>
      <c r="I32" s="74" t="str">
        <f>IF(DBSummary[[#This Row],[DB Name]]="","",DBSummary[[#This Row],[Total Throughput (MB/s)]]*IoMetricsFactor)</f>
        <v/>
      </c>
      <c r="J32" s="49" t="str">
        <f>IF(DBSummary[[#This Row],[DB Name]]="","",ROUND(SUMIFS(InstSummary[Est''d Azure vCPUs],InstSummary[DB Name],DBSummary[[#This Row],[DB Name]])+0.5,0))</f>
        <v/>
      </c>
      <c r="K32" s="67" t="str">
        <f>IF(DBSummary[[#This Row],[DB Name]]="","",IF(SUMIFS(AWRData[%busy CPU],AWRData[DB Name],DBSummary[[#This Row],[DB Name]])&lt;BusyCPUfactor,PeakCpuFactor*DBSummary[[#This Row],[Est''d Azure vCPUs for avg load]],(BusyCPUmultiplier*PeakCpuFactor)*DBSummary[[#This Row],[Est''d Azure vCPUs for avg load]]))</f>
        <v/>
      </c>
    </row>
    <row r="33" spans="2:14" x14ac:dyDescent="0.45">
      <c r="C33" s="80" t="str">
        <f>IF(DBSummary[[#This Row],[DB Name]]="","",SUMIFS(AWRData[DB Time (mins)],AWRData[DB Name],DBSummary[[#This Row],[DB Name]])/SUMIFS(AWRData[Elapsed Time (mins)],AWRData[DB Name],DBSummary[[#This Row],[DB Name]]))</f>
        <v/>
      </c>
      <c r="D33" s="85" t="str">
        <f>IF(DBSummary[[#This Row],[DB Name]]="","",SUMIFS(AWRData[ORA use (GB)],AWRData[DB Name],DBSummary[[#This Row],[DB Name]]))</f>
        <v/>
      </c>
      <c r="E33" s="16" t="str">
        <f>IF(DBSummary[[#This Row],[DB Name]]="","",PeakRAMfactor*DBSummary[[#This Row],[Total vRAM (GiB) consumed only by Oracle]])</f>
        <v/>
      </c>
      <c r="F33" s="84" t="str">
        <f>IF(DBSummary[[#This Row],[DB Name]]="","",SUMIFS(AWRData[Total IOPS],AWRData[DB Name],DBSummary[[#This Row],[DB Name]]))</f>
        <v/>
      </c>
      <c r="G33" s="84" t="str">
        <f>IF(DBSummary[[#This Row],[DB Name]]="","",SUMIFS(AWRData[Total Throughput (MB/s)],AWRData[DB Name],DBSummary[[#This Row],[DB Name]]))</f>
        <v/>
      </c>
      <c r="H33" s="74" t="str">
        <f>IF(DBSummary[[#This Row],[DB Name]]="","",DBSummary[[#This Row],[Total IOPS]]*IoMetricsFactor)</f>
        <v/>
      </c>
      <c r="I33" s="74" t="str">
        <f>IF(DBSummary[[#This Row],[DB Name]]="","",DBSummary[[#This Row],[Total Throughput (MB/s)]]*IoMetricsFactor)</f>
        <v/>
      </c>
      <c r="J33" s="49" t="str">
        <f>IF(DBSummary[[#This Row],[DB Name]]="","",ROUND(SUMIFS(InstSummary[Est''d Azure vCPUs],InstSummary[DB Name],DBSummary[[#This Row],[DB Name]])+0.5,0))</f>
        <v/>
      </c>
      <c r="K33" s="67" t="str">
        <f>IF(DBSummary[[#This Row],[DB Name]]="","",IF(SUMIFS(AWRData[%busy CPU],AWRData[DB Name],DBSummary[[#This Row],[DB Name]])&lt;BusyCPUfactor,PeakCpuFactor*DBSummary[[#This Row],[Est''d Azure vCPUs for avg load]],(BusyCPUmultiplier*PeakCpuFactor)*DBSummary[[#This Row],[Est''d Azure vCPUs for avg load]]))</f>
        <v/>
      </c>
    </row>
    <row r="34" spans="2:14" x14ac:dyDescent="0.45">
      <c r="C34" s="80" t="str">
        <f>IF(DBSummary[[#This Row],[DB Name]]="","",SUMIFS(AWRData[DB Time (mins)],AWRData[DB Name],DBSummary[[#This Row],[DB Name]])/SUMIFS(AWRData[Elapsed Time (mins)],AWRData[DB Name],DBSummary[[#This Row],[DB Name]]))</f>
        <v/>
      </c>
      <c r="D34" s="85" t="str">
        <f>IF(DBSummary[[#This Row],[DB Name]]="","",SUMIFS(AWRData[ORA use (GB)],AWRData[DB Name],DBSummary[[#This Row],[DB Name]]))</f>
        <v/>
      </c>
      <c r="E34" s="16" t="str">
        <f>IF(DBSummary[[#This Row],[DB Name]]="","",PeakRAMfactor*DBSummary[[#This Row],[Total vRAM (GiB) consumed only by Oracle]])</f>
        <v/>
      </c>
      <c r="F34" s="84" t="str">
        <f>IF(DBSummary[[#This Row],[DB Name]]="","",SUMIFS(AWRData[Total IOPS],AWRData[DB Name],DBSummary[[#This Row],[DB Name]]))</f>
        <v/>
      </c>
      <c r="G34" s="84" t="str">
        <f>IF(DBSummary[[#This Row],[DB Name]]="","",SUMIFS(AWRData[Total Throughput (MB/s)],AWRData[DB Name],DBSummary[[#This Row],[DB Name]]))</f>
        <v/>
      </c>
      <c r="H34" s="74" t="str">
        <f>IF(DBSummary[[#This Row],[DB Name]]="","",DBSummary[[#This Row],[Total IOPS]]*IoMetricsFactor)</f>
        <v/>
      </c>
      <c r="I34" s="74" t="str">
        <f>IF(DBSummary[[#This Row],[DB Name]]="","",DBSummary[[#This Row],[Total Throughput (MB/s)]]*IoMetricsFactor)</f>
        <v/>
      </c>
      <c r="J34" s="49" t="str">
        <f>IF(DBSummary[[#This Row],[DB Name]]="","",ROUND(SUMIFS(InstSummary[Est''d Azure vCPUs],InstSummary[DB Name],DBSummary[[#This Row],[DB Name]])+0.5,0))</f>
        <v/>
      </c>
      <c r="K34" s="67" t="str">
        <f>IF(DBSummary[[#This Row],[DB Name]]="","",IF(SUMIFS(AWRData[%busy CPU],AWRData[DB Name],DBSummary[[#This Row],[DB Name]])&lt;BusyCPUfactor,PeakCpuFactor*DBSummary[[#This Row],[Est''d Azure vCPUs for avg load]],(BusyCPUmultiplier*PeakCpuFactor)*DBSummary[[#This Row],[Est''d Azure vCPUs for avg load]]))</f>
        <v/>
      </c>
    </row>
    <row r="35" spans="2:14" x14ac:dyDescent="0.45">
      <c r="C35" s="80" t="str">
        <f>IF(DBSummary[[#This Row],[DB Name]]="","",SUMIFS(AWRData[DB Time (mins)],AWRData[DB Name],DBSummary[[#This Row],[DB Name]])/SUMIFS(AWRData[Elapsed Time (mins)],AWRData[DB Name],DBSummary[[#This Row],[DB Name]]))</f>
        <v/>
      </c>
      <c r="D35" s="85" t="str">
        <f>IF(DBSummary[[#This Row],[DB Name]]="","",SUMIFS(AWRData[ORA use (GB)],AWRData[DB Name],DBSummary[[#This Row],[DB Name]]))</f>
        <v/>
      </c>
      <c r="E35" s="16" t="str">
        <f>IF(DBSummary[[#This Row],[DB Name]]="","",PeakRAMfactor*DBSummary[[#This Row],[Total vRAM (GiB) consumed only by Oracle]])</f>
        <v/>
      </c>
      <c r="F35" s="84" t="str">
        <f>IF(DBSummary[[#This Row],[DB Name]]="","",SUMIFS(AWRData[Total IOPS],AWRData[DB Name],DBSummary[[#This Row],[DB Name]]))</f>
        <v/>
      </c>
      <c r="G35" s="84" t="str">
        <f>IF(DBSummary[[#This Row],[DB Name]]="","",SUMIFS(AWRData[Total Throughput (MB/s)],AWRData[DB Name],DBSummary[[#This Row],[DB Name]]))</f>
        <v/>
      </c>
      <c r="H35" s="74" t="str">
        <f>IF(DBSummary[[#This Row],[DB Name]]="","",DBSummary[[#This Row],[Total IOPS]]*IoMetricsFactor)</f>
        <v/>
      </c>
      <c r="I35" s="74" t="str">
        <f>IF(DBSummary[[#This Row],[DB Name]]="","",DBSummary[[#This Row],[Total Throughput (MB/s)]]*IoMetricsFactor)</f>
        <v/>
      </c>
      <c r="J35" s="49" t="str">
        <f>IF(DBSummary[[#This Row],[DB Name]]="","",ROUND(SUMIFS(InstSummary[Est''d Azure vCPUs],InstSummary[DB Name],DBSummary[[#This Row],[DB Name]])+0.5,0))</f>
        <v/>
      </c>
      <c r="K35" s="67" t="str">
        <f>IF(DBSummary[[#This Row],[DB Name]]="","",IF(SUMIFS(AWRData[%busy CPU],AWRData[DB Name],DBSummary[[#This Row],[DB Name]])&lt;BusyCPUfactor,PeakCpuFactor*DBSummary[[#This Row],[Est''d Azure vCPUs for avg load]],(BusyCPUmultiplier*PeakCpuFactor)*DBSummary[[#This Row],[Est''d Azure vCPUs for avg load]]))</f>
        <v/>
      </c>
    </row>
    <row r="36" spans="2:14" x14ac:dyDescent="0.45">
      <c r="C36" s="80" t="str">
        <f>IF(DBSummary[[#This Row],[DB Name]]="","",SUMIFS(AWRData[DB Time (mins)],AWRData[DB Name],DBSummary[[#This Row],[DB Name]])/SUMIFS(AWRData[Elapsed Time (mins)],AWRData[DB Name],DBSummary[[#This Row],[DB Name]]))</f>
        <v/>
      </c>
      <c r="D36" s="85" t="str">
        <f>IF(DBSummary[[#This Row],[DB Name]]="","",SUMIFS(AWRData[ORA use (GB)],AWRData[DB Name],DBSummary[[#This Row],[DB Name]]))</f>
        <v/>
      </c>
      <c r="E36" s="16" t="str">
        <f>IF(DBSummary[[#This Row],[DB Name]]="","",PeakRAMfactor*DBSummary[[#This Row],[Total vRAM (GiB) consumed only by Oracle]])</f>
        <v/>
      </c>
      <c r="F36" s="84" t="str">
        <f>IF(DBSummary[[#This Row],[DB Name]]="","",SUMIFS(AWRData[Total IOPS],AWRData[DB Name],DBSummary[[#This Row],[DB Name]]))</f>
        <v/>
      </c>
      <c r="G36" s="84" t="str">
        <f>IF(DBSummary[[#This Row],[DB Name]]="","",SUMIFS(AWRData[Total Throughput (MB/s)],AWRData[DB Name],DBSummary[[#This Row],[DB Name]]))</f>
        <v/>
      </c>
      <c r="H36" s="74" t="str">
        <f>IF(DBSummary[[#This Row],[DB Name]]="","",DBSummary[[#This Row],[Total IOPS]]*IoMetricsFactor)</f>
        <v/>
      </c>
      <c r="I36" s="74" t="str">
        <f>IF(DBSummary[[#This Row],[DB Name]]="","",DBSummary[[#This Row],[Total Throughput (MB/s)]]*IoMetricsFactor)</f>
        <v/>
      </c>
      <c r="J36" s="49" t="str">
        <f>IF(DBSummary[[#This Row],[DB Name]]="","",ROUND(SUMIFS(InstSummary[Est''d Azure vCPUs],InstSummary[DB Name],DBSummary[[#This Row],[DB Name]])+0.5,0))</f>
        <v/>
      </c>
      <c r="K36" s="67" t="str">
        <f>IF(DBSummary[[#This Row],[DB Name]]="","",IF(SUMIFS(AWRData[%busy CPU],AWRData[DB Name],DBSummary[[#This Row],[DB Name]])&lt;BusyCPUfactor,PeakCpuFactor*DBSummary[[#This Row],[Est''d Azure vCPUs for avg load]],(BusyCPUmultiplier*PeakCpuFactor)*DBSummary[[#This Row],[Est''d Azure vCPUs for avg load]]))</f>
        <v/>
      </c>
    </row>
    <row r="37" spans="2:14" x14ac:dyDescent="0.45">
      <c r="C37" s="80" t="str">
        <f>IF(DBSummary[[#This Row],[DB Name]]="","",SUMIFS(AWRData[DB Time (mins)],AWRData[DB Name],DBSummary[[#This Row],[DB Name]])/SUMIFS(AWRData[Elapsed Time (mins)],AWRData[DB Name],DBSummary[[#This Row],[DB Name]]))</f>
        <v/>
      </c>
      <c r="D37" s="85" t="str">
        <f>IF(DBSummary[[#This Row],[DB Name]]="","",SUMIFS(AWRData[ORA use (GB)],AWRData[DB Name],DBSummary[[#This Row],[DB Name]]))</f>
        <v/>
      </c>
      <c r="E37" s="16" t="str">
        <f>IF(DBSummary[[#This Row],[DB Name]]="","",PeakRAMfactor*DBSummary[[#This Row],[Total vRAM (GiB) consumed only by Oracle]])</f>
        <v/>
      </c>
      <c r="F37" s="84" t="str">
        <f>IF(DBSummary[[#This Row],[DB Name]]="","",SUMIFS(AWRData[Total IOPS],AWRData[DB Name],DBSummary[[#This Row],[DB Name]]))</f>
        <v/>
      </c>
      <c r="G37" s="84" t="str">
        <f>IF(DBSummary[[#This Row],[DB Name]]="","",SUMIFS(AWRData[Total Throughput (MB/s)],AWRData[DB Name],DBSummary[[#This Row],[DB Name]]))</f>
        <v/>
      </c>
      <c r="H37" s="74" t="str">
        <f>IF(DBSummary[[#This Row],[DB Name]]="","",DBSummary[[#This Row],[Total IOPS]]*IoMetricsFactor)</f>
        <v/>
      </c>
      <c r="I37" s="74" t="str">
        <f>IF(DBSummary[[#This Row],[DB Name]]="","",DBSummary[[#This Row],[Total Throughput (MB/s)]]*IoMetricsFactor)</f>
        <v/>
      </c>
      <c r="J37" s="49" t="str">
        <f>IF(DBSummary[[#This Row],[DB Name]]="","",ROUND(SUMIFS(InstSummary[Est''d Azure vCPUs],InstSummary[DB Name],DBSummary[[#This Row],[DB Name]])+0.5,0))</f>
        <v/>
      </c>
      <c r="K37" s="67" t="str">
        <f>IF(DBSummary[[#This Row],[DB Name]]="","",IF(SUMIFS(AWRData[%busy CPU],AWRData[DB Name],DBSummary[[#This Row],[DB Name]])&lt;BusyCPUfactor,PeakCpuFactor*DBSummary[[#This Row],[Est''d Azure vCPUs for avg load]],(BusyCPUmultiplier*PeakCpuFactor)*DBSummary[[#This Row],[Est''d Azure vCPUs for avg load]]))</f>
        <v/>
      </c>
    </row>
    <row r="38" spans="2:14" x14ac:dyDescent="0.45">
      <c r="B38" s="38"/>
      <c r="C38" s="87" t="str">
        <f>IF(DBSummary[[#This Row],[DB Name]]="","",SUMIFS(AWRData[DB Time (mins)],AWRData[DB Name],DBSummary[[#This Row],[DB Name]])/SUMIFS(AWRData[Elapsed Time (mins)],AWRData[DB Name],DBSummary[[#This Row],[DB Name]]))</f>
        <v/>
      </c>
      <c r="D38" s="88" t="str">
        <f>IF(DBSummary[[#This Row],[DB Name]]="","",SUMIFS(AWRData[ORA use (GB)],AWRData[DB Name],DBSummary[[#This Row],[DB Name]]))</f>
        <v/>
      </c>
      <c r="E38" s="51" t="str">
        <f>IF(DBSummary[[#This Row],[DB Name]]="","",PeakRAMfactor*DBSummary[[#This Row],[Total vRAM (GiB) consumed only by Oracle]])</f>
        <v/>
      </c>
      <c r="F38" s="86" t="str">
        <f>IF(DBSummary[[#This Row],[DB Name]]="","",SUMIFS(AWRData[Total IOPS],AWRData[DB Name],DBSummary[[#This Row],[DB Name]]))</f>
        <v/>
      </c>
      <c r="G38" s="86" t="str">
        <f>IF(DBSummary[[#This Row],[DB Name]]="","",SUMIFS(AWRData[Total Throughput (MB/s)],AWRData[DB Name],DBSummary[[#This Row],[DB Name]]))</f>
        <v/>
      </c>
      <c r="H38" s="75" t="str">
        <f>IF(DBSummary[[#This Row],[DB Name]]="","",DBSummary[[#This Row],[Total IOPS]]*IoMetricsFactor)</f>
        <v/>
      </c>
      <c r="I38" s="75" t="str">
        <f>IF(DBSummary[[#This Row],[DB Name]]="","",DBSummary[[#This Row],[Total Throughput (MB/s)]]*IoMetricsFactor)</f>
        <v/>
      </c>
      <c r="J38" s="92" t="str">
        <f>IF(DBSummary[[#This Row],[DB Name]]="","",ROUND(SUMIFS(InstSummary[Est''d Azure vCPUs],InstSummary[DB Name],DBSummary[[#This Row],[DB Name]])+0.5,0))</f>
        <v/>
      </c>
      <c r="K38" s="67" t="str">
        <f>IF(DBSummary[[#This Row],[DB Name]]="","",IF(SUMIFS(AWRData[%busy CPU],AWRData[DB Name],DBSummary[[#This Row],[DB Name]])&lt;BusyCPUfactor,PeakCpuFactor*DBSummary[[#This Row],[Est''d Azure vCPUs for avg load]],(BusyCPUmultiplier*PeakCpuFactor)*DBSummary[[#This Row],[Est''d Azure vCPUs for avg load]]))</f>
        <v/>
      </c>
    </row>
    <row r="39" spans="2:14" s="38" customFormat="1" x14ac:dyDescent="0.45">
      <c r="B39" t="s">
        <v>7</v>
      </c>
      <c r="C39" s="90">
        <f>SUBTOTAL(109,DBSummary[%DB Time of Elapsed Time])</f>
        <v>3.3220062813466136</v>
      </c>
      <c r="D39" s="91">
        <f>SUBTOTAL(109,DBSummary[Total vRAM (GiB) consumed only by Oracle])</f>
        <v>151.125</v>
      </c>
      <c r="E39" s="17">
        <f>SUBTOTAL(109,DBSummary[Est''d Azure vRAM for server])</f>
        <v>226.6875</v>
      </c>
      <c r="F39" s="89">
        <f>SUBTOTAL(109,DBSummary[Total IOPS])</f>
        <v>3370.7700000000004</v>
      </c>
      <c r="G39" s="89">
        <f>SUBTOTAL(109,DBSummary[Total Throughput (MB/s)])</f>
        <v>792.39999999999986</v>
      </c>
      <c r="H39" s="76">
        <f>SUBTOTAL(109,DBSummary[Est''d Azure IOPS for peak load])</f>
        <v>6741.5400000000009</v>
      </c>
      <c r="I39" s="76">
        <f>SUBTOTAL(109,DBSummary[Est''d Azure Throughput (MB/s) for peak load])</f>
        <v>1584.7999999999997</v>
      </c>
      <c r="J39" s="93">
        <f>SUBTOTAL(109,DBSummary[Est''d Azure vCPUs for avg load])</f>
        <v>10</v>
      </c>
      <c r="K39" s="77">
        <f>SUBTOTAL(109,DBSummary[Est''d Azure vCPUs for peak load])</f>
        <v>30</v>
      </c>
    </row>
    <row r="40" spans="2:14" s="38" customFormat="1" ht="14.65" thickBot="1" x14ac:dyDescent="0.5">
      <c r="C40" s="30"/>
      <c r="D40" s="39"/>
      <c r="E40" s="31"/>
      <c r="F40" s="31"/>
      <c r="G40" s="50"/>
      <c r="H40" s="51"/>
      <c r="I40" s="30"/>
      <c r="J40" s="30"/>
      <c r="K40" s="30"/>
      <c r="L40" s="52"/>
      <c r="M40" s="53"/>
      <c r="N40" s="54"/>
    </row>
    <row r="41" spans="2:14" s="19" customFormat="1" ht="18" x14ac:dyDescent="0.55000000000000004">
      <c r="B41" s="55" t="s">
        <v>12</v>
      </c>
      <c r="C41" s="56"/>
      <c r="D41" s="57"/>
    </row>
    <row r="42" spans="2:14" ht="14.65" thickBot="1" x14ac:dyDescent="0.5">
      <c r="B42" s="41" t="s">
        <v>64</v>
      </c>
      <c r="C42" s="42"/>
      <c r="D42" s="42"/>
      <c r="F42" s="46"/>
      <c r="G42" s="47" t="s">
        <v>52</v>
      </c>
      <c r="H42" s="47"/>
      <c r="I42" s="48"/>
    </row>
    <row r="43" spans="2:14" x14ac:dyDescent="0.45">
      <c r="B43" s="98" t="s">
        <v>14</v>
      </c>
      <c r="C43" s="99"/>
      <c r="D43" s="29" t="s">
        <v>29</v>
      </c>
      <c r="E43" s="29" t="s">
        <v>13</v>
      </c>
      <c r="F43" s="45" t="s">
        <v>59</v>
      </c>
      <c r="G43" s="45" t="s">
        <v>61</v>
      </c>
      <c r="H43" s="45" t="s">
        <v>31</v>
      </c>
      <c r="I43" s="45" t="s">
        <v>32</v>
      </c>
    </row>
    <row r="44" spans="2:14" x14ac:dyDescent="0.45">
      <c r="B44" s="100" t="s">
        <v>65</v>
      </c>
      <c r="C44" s="103" t="s">
        <v>73</v>
      </c>
      <c r="D44" s="28" t="s">
        <v>57</v>
      </c>
      <c r="E44" s="28" t="s">
        <v>58</v>
      </c>
      <c r="F44" s="101" t="s">
        <v>60</v>
      </c>
      <c r="G44" s="106">
        <v>1963.7</v>
      </c>
      <c r="H44" s="44">
        <v>1194.0682999999999</v>
      </c>
      <c r="I44" s="44">
        <v>797.78779999999995</v>
      </c>
    </row>
    <row r="45" spans="2:14" x14ac:dyDescent="0.45">
      <c r="B45" s="100" t="s">
        <v>65</v>
      </c>
      <c r="C45" s="103" t="s">
        <v>75</v>
      </c>
      <c r="D45" s="28" t="s">
        <v>72</v>
      </c>
      <c r="E45" s="28" t="s">
        <v>76</v>
      </c>
      <c r="F45" s="101" t="s">
        <v>77</v>
      </c>
      <c r="G45" s="106">
        <v>2649.17</v>
      </c>
      <c r="H45" s="44">
        <v>1721.7488000000001</v>
      </c>
      <c r="I45" s="44">
        <v>1101.0006000000001</v>
      </c>
    </row>
    <row r="46" spans="2:14" x14ac:dyDescent="0.45">
      <c r="B46" s="100" t="s">
        <v>65</v>
      </c>
      <c r="C46" s="103" t="s">
        <v>74</v>
      </c>
      <c r="D46" s="28" t="s">
        <v>53</v>
      </c>
      <c r="E46" s="28" t="s">
        <v>54</v>
      </c>
      <c r="F46" s="101" t="s">
        <v>63</v>
      </c>
      <c r="G46" s="106">
        <v>6910.91</v>
      </c>
      <c r="H46" s="44">
        <v>4003.9843000000001</v>
      </c>
      <c r="I46" s="44">
        <v>1996.5938000000001</v>
      </c>
    </row>
    <row r="47" spans="2:14" x14ac:dyDescent="0.45">
      <c r="D47" s="43"/>
      <c r="E47" t="s">
        <v>30</v>
      </c>
    </row>
    <row r="48" spans="2:14" x14ac:dyDescent="0.45">
      <c r="E48" s="102" t="s">
        <v>62</v>
      </c>
    </row>
  </sheetData>
  <sheetProtection algorithmName="SHA-512" hashValue="pFfZ0zmEPzKuWPt/rQsUhjTXQ53aMe0HGCB4NDPFjKlYQFDM/ebyYU+nL9LcMq9qExMWtV5V6XlKog7UFnfD8Q==" saltValue="Vxhra54nUxD6XyCvvkMKdw==" spinCount="100000" sheet="1" objects="1" scenarios="1"/>
  <phoneticPr fontId="2" type="noConversion"/>
  <pageMargins left="0.7" right="0.7" top="0.75" bottom="0.75" header="0.3" footer="0.3"/>
  <pageSetup orientation="portrait" r:id="rId1"/>
  <legacyDrawing r:id="rId2"/>
  <tableParts count="3"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66490EF29A8047ADC3474B21C0D5D2" ma:contentTypeVersion="16" ma:contentTypeDescription="Create a new document." ma:contentTypeScope="" ma:versionID="b1ba9ada44db26285f25ae59fe6753d3">
  <xsd:schema xmlns:xsd="http://www.w3.org/2001/XMLSchema" xmlns:xs="http://www.w3.org/2001/XMLSchema" xmlns:p="http://schemas.microsoft.com/office/2006/metadata/properties" xmlns:ns1="http://schemas.microsoft.com/sharepoint/v3" xmlns:ns2="709bd4f9-040f-4cca-82ee-85e01badb8b3" xmlns:ns3="83981cbb-c48d-49a8-924d-c522c711d780" targetNamespace="http://schemas.microsoft.com/office/2006/metadata/properties" ma:root="true" ma:fieldsID="56a803f29a92f7465b533ec2296193fd" ns1:_="" ns2:_="" ns3:_="">
    <xsd:import namespace="http://schemas.microsoft.com/sharepoint/v3"/>
    <xsd:import namespace="709bd4f9-040f-4cca-82ee-85e01badb8b3"/>
    <xsd:import namespace="83981cbb-c48d-49a8-924d-c522c711d78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9bd4f9-040f-4cca-82ee-85e01badb8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6" nillable="true" ma:displayName="MediaServiceAutoTags" ma:internalName="MediaServiceAutoTags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2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981cbb-c48d-49a8-924d-c522c711d78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2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3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MediaServiceKeyPoints xmlns="709bd4f9-040f-4cca-82ee-85e01badb8b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B c D A A B Q S w M E F A A C A A g A z k Y 4 U I H Z F q 6 n A A A A + A A A A B I A H A B D b 2 5 m a W c v U G F j a 2 F n Z S 5 4 b W w g o h g A K K A U A A A A A A A A A A A A A A A A A A A A A A A A A A A A h Y + 9 D o I w G E V f h X S n L R h + Q j 7 K 4 C q J C d G 4 N r V C I x R D i + X d H H w k X 0 E S R d 0 c 7 8 k Z z n 3 c 7 l B M X e t d 5 W B U r 3 M U Y I o 8 q U V / V L r O 0 W h P f o o K B l s u z r y W 3 i x r k 0 3 m m K P G 2 k t G i H M O u x X u h 5 q E l A b k U G 4 q 0 c i O o 4 + s / s u + 0 s Z y L S R i s H / F s B A n M Y 7 i J M V R G g B Z M J R K f 5 V w L s Y U y A + E 9 d j a c Z B M a n 9 X A V k m k P c L 9 g R Q S w M E F A A C A A g A z k Y 4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5 G O F A o i k e 4 D g A A A B E A A A A T A B w A R m 9 y b X V s Y X M v U 2 V j d G l v b j E u b S C i G A A o o B Q A A A A A A A A A A A A A A A A A A A A A A A A A A A A r T k 0 u y c z P U w i G 0 I b W A F B L A Q I t A B Q A A g A I A M 5 G O F C B 2 R a u p w A A A P g A A A A S A A A A A A A A A A A A A A A A A A A A A A B D b 2 5 m a W c v U G F j a 2 F n Z S 5 4 b W x Q S w E C L Q A U A A I A C A D O R j h Q D 8 r p q 6 Q A A A D p A A A A E w A A A A A A A A A A A A A A A A D z A A A A W 0 N v b n R l b n R f V H l w Z X N d L n h t b F B L A Q I t A B Q A A g A I A M 5 G O F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c C 5 t e a y n T 4 n f n n 3 e L 9 g n A A A A A A I A A A A A A B B m A A A A A Q A A I A A A A K Q 7 7 y 7 l y t 9 L L e 3 G P / t 3 P F 4 2 j X x x W 1 w x o 3 F J H a L P E X H b A A A A A A 6 A A A A A A g A A I A A A A A 4 F b o L H y d 7 f n E P 7 E c m + V t E V 1 G Z + K m c h 9 O l Q x A z 9 E P M T U A A A A H R I 9 D 4 D I + G + Q b U f 6 m e R 8 1 J J O w H r r K C X i l z n E D 0 8 F Q o e f Y C J j 2 n m p 8 6 1 J V 4 M R c L + Q u u 5 s 0 e A 8 o Y B H y x m L e y 7 k j a B j r r R b Y q z P r H W 8 N t j 8 f C L Q A A A A J G W f c v N 9 J n X U d Q V B U + J l V S 5 w w C 9 I i q g k n / y D M R a G b 8 x / 3 U J 8 O M O Y / A 2 Q E B K H b d P O e y X 5 U C b R D 9 j J 1 f 1 z L 2 b C m I = < / D a t a M a s h u p > 
</file>

<file path=customXml/itemProps1.xml><?xml version="1.0" encoding="utf-8"?>
<ds:datastoreItem xmlns:ds="http://schemas.openxmlformats.org/officeDocument/2006/customXml" ds:itemID="{0E063D0E-B104-4273-A903-1BD29421A6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09bd4f9-040f-4cca-82ee-85e01badb8b3"/>
    <ds:schemaRef ds:uri="83981cbb-c48d-49a8-924d-c522c711d78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D30638A-4889-4E15-9F6E-ED97FA1166E7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09bd4f9-040f-4cca-82ee-85e01badb8b3"/>
  </ds:schemaRefs>
</ds:datastoreItem>
</file>

<file path=customXml/itemProps3.xml><?xml version="1.0" encoding="utf-8"?>
<ds:datastoreItem xmlns:ds="http://schemas.openxmlformats.org/officeDocument/2006/customXml" ds:itemID="{BB732D79-BF18-4F6E-BC47-1A6C6745ED9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EF52EF7B-3670-4E03-878B-51C8ACBF2D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AWR</vt:lpstr>
      <vt:lpstr>Calculations</vt:lpstr>
      <vt:lpstr>BusyCPUfactor</vt:lpstr>
      <vt:lpstr>BusyCPUmultiplier</vt:lpstr>
      <vt:lpstr>HighCpuThreshold</vt:lpstr>
      <vt:lpstr>IoMetricsFactor</vt:lpstr>
      <vt:lpstr>AWR!PeakCPUfactor</vt:lpstr>
      <vt:lpstr>PeakCpuFactor</vt:lpstr>
      <vt:lpstr>AWR!PeakRAMfactor</vt:lpstr>
      <vt:lpstr>PeakRAMfactor</vt:lpstr>
      <vt:lpstr>vCPUHTFactor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Timothy Gorman</dc:creator>
  <cp:keywords/>
  <dc:description/>
  <cp:lastModifiedBy>Timothy Gorman</cp:lastModifiedBy>
  <cp:revision/>
  <dcterms:created xsi:type="dcterms:W3CDTF">2020-01-17T18:08:18Z</dcterms:created>
  <dcterms:modified xsi:type="dcterms:W3CDTF">2020-03-19T18:24:07Z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2020-01-17T18:08:19Z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6a007b27-0aa1-42be-8cfa-00007f045610</vt:lpwstr>
  </property>
  <property fmtid="{D5CDD505-2E9C-101B-9397-08002B2CF9AE}" pid="8" name="MSIP_Label_f42aa342-8706-4288-bd11-ebb85995028c_ContentBits">
    <vt:lpwstr>0</vt:lpwstr>
  </property>
  <property fmtid="{D5CDD505-2E9C-101B-9397-08002B2CF9AE}" pid="9" name="ContentTypeId">
    <vt:lpwstr>0x010100EF66490EF29A8047ADC3474B21C0D5D2</vt:lpwstr>
  </property>
</Properties>
</file>