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donG/iCloud Drive (Archive)/Documents/Work/Co River Data Analyst/"/>
    </mc:Choice>
  </mc:AlternateContent>
  <xr:revisionPtr revIDLastSave="0" documentId="13_ncr:1_{E2E7A558-B121-B540-B1CD-ED084DF400D0}" xr6:coauthVersionLast="47" xr6:coauthVersionMax="47" xr10:uidLastSave="{00000000-0000-0000-0000-000000000000}"/>
  <bookViews>
    <workbookView xWindow="1060" yWindow="500" windowWidth="27740" windowHeight="15080" xr2:uid="{D83DE6DA-490D-7647-81D4-48E7CFEA46CA}"/>
  </bookViews>
  <sheets>
    <sheet name="streamflow summary" sheetId="1" r:id="rId1"/>
    <sheet name="Powell computations" sheetId="4" r:id="rId2"/>
    <sheet name="WY reservoir" sheetId="5" r:id="rId3"/>
    <sheet name="computation sheet" sheetId="3" r:id="rId4"/>
    <sheet name="CY consumptive uses" sheetId="2" r:id="rId5"/>
    <sheet name="WY annual flows" sheetId="6" r:id="rId6"/>
    <sheet name="Sheet1" sheetId="7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8" i="1" l="1"/>
  <c r="U98" i="1"/>
  <c r="S285" i="1"/>
  <c r="I12" i="8"/>
  <c r="A44" i="8"/>
  <c r="H298" i="1"/>
  <c r="H306" i="1"/>
  <c r="H123" i="1"/>
  <c r="H170" i="1"/>
  <c r="T296" i="1"/>
  <c r="J220" i="1"/>
  <c r="J303" i="1"/>
  <c r="J301" i="1"/>
  <c r="J300" i="1"/>
  <c r="H307" i="1"/>
  <c r="J299" i="1"/>
  <c r="P17" i="8"/>
  <c r="P16" i="8"/>
  <c r="P15" i="8"/>
  <c r="H138" i="1"/>
  <c r="J102" i="1"/>
  <c r="H255" i="1"/>
  <c r="H299" i="1"/>
  <c r="T299" i="1" s="1"/>
  <c r="H234" i="1"/>
  <c r="J234" i="1" s="1"/>
  <c r="H237" i="1"/>
  <c r="J237" i="1" s="1"/>
  <c r="H236" i="1"/>
  <c r="J236" i="1" s="1"/>
  <c r="H295" i="1"/>
  <c r="J295" i="1" s="1"/>
  <c r="H291" i="1"/>
  <c r="J291" i="1" s="1"/>
  <c r="H292" i="1"/>
  <c r="J292" i="1" s="1"/>
  <c r="H293" i="1"/>
  <c r="J293" i="1" s="1"/>
  <c r="H257" i="1"/>
  <c r="J257" i="1" s="1"/>
  <c r="H280" i="1"/>
  <c r="J280" i="1" s="1"/>
  <c r="H271" i="1"/>
  <c r="J271" i="1" s="1"/>
  <c r="H270" i="1"/>
  <c r="J270" i="1" s="1"/>
  <c r="H266" i="1"/>
  <c r="J266" i="1" s="1"/>
  <c r="H264" i="1"/>
  <c r="J264" i="1" s="1"/>
  <c r="H265" i="1"/>
  <c r="J265" i="1" s="1"/>
  <c r="H284" i="1"/>
  <c r="J284" i="1" s="1"/>
  <c r="H294" i="1"/>
  <c r="J294" i="1" s="1"/>
  <c r="H254" i="1"/>
  <c r="G22" i="8"/>
  <c r="H240" i="1"/>
  <c r="J240" i="1" s="1"/>
  <c r="M126" i="1"/>
  <c r="M129" i="1"/>
  <c r="M158" i="1"/>
  <c r="M174" i="1"/>
  <c r="S299" i="1" l="1"/>
  <c r="H183" i="1"/>
  <c r="U183" i="1" s="1"/>
  <c r="H209" i="1"/>
  <c r="U209" i="1" s="1"/>
  <c r="H222" i="1"/>
  <c r="S222" i="1" s="1"/>
  <c r="H230" i="1"/>
  <c r="J230" i="1" s="1"/>
  <c r="H229" i="1"/>
  <c r="J229" i="1" s="1"/>
  <c r="H235" i="1"/>
  <c r="H232" i="1"/>
  <c r="J232" i="1" s="1"/>
  <c r="H127" i="1"/>
  <c r="H61" i="1"/>
  <c r="M83" i="1"/>
  <c r="H88" i="1"/>
  <c r="M305" i="1"/>
  <c r="H221" i="1"/>
  <c r="H100" i="1"/>
  <c r="H313" i="1"/>
  <c r="H296" i="1"/>
  <c r="H148" i="1"/>
  <c r="H253" i="1"/>
  <c r="U253" i="1" s="1"/>
  <c r="H252" i="1"/>
  <c r="J252" i="1" s="1"/>
  <c r="H250" i="1"/>
  <c r="J250" i="1" s="1"/>
  <c r="H247" i="1"/>
  <c r="J247" i="1" s="1"/>
  <c r="H245" i="1"/>
  <c r="J245" i="1" s="1"/>
  <c r="H243" i="1"/>
  <c r="J243" i="1" s="1"/>
  <c r="H259" i="1"/>
  <c r="J259" i="1" s="1"/>
  <c r="H260" i="1"/>
  <c r="J260" i="1" s="1"/>
  <c r="H262" i="1"/>
  <c r="H263" i="1"/>
  <c r="J263" i="1" s="1"/>
  <c r="H268" i="1"/>
  <c r="J268" i="1" s="1"/>
  <c r="H273" i="1"/>
  <c r="J273" i="1" s="1"/>
  <c r="H275" i="1"/>
  <c r="U275" i="1" s="1"/>
  <c r="H276" i="1"/>
  <c r="J276" i="1" s="1"/>
  <c r="H277" i="1"/>
  <c r="S277" i="1" s="1"/>
  <c r="H279" i="1"/>
  <c r="T279" i="1" s="1"/>
  <c r="H281" i="1"/>
  <c r="T281" i="1" s="1"/>
  <c r="H283" i="1"/>
  <c r="U283" i="1" s="1"/>
  <c r="H289" i="1"/>
  <c r="U288" i="1" s="1"/>
  <c r="H287" i="1"/>
  <c r="J287" i="1" s="1"/>
  <c r="H286" i="1"/>
  <c r="J286" i="1" s="1"/>
  <c r="H285" i="1"/>
  <c r="J285" i="1" s="1"/>
  <c r="Q221" i="1"/>
  <c r="Q163" i="1"/>
  <c r="Q160" i="1"/>
  <c r="Q148" i="1"/>
  <c r="Q154" i="1"/>
  <c r="Q155" i="1"/>
  <c r="Q142" i="1"/>
  <c r="Q132" i="1"/>
  <c r="Q124" i="1"/>
  <c r="O104" i="1"/>
  <c r="H49" i="1"/>
  <c r="O62" i="1"/>
  <c r="Q62" i="1"/>
  <c r="Q61" i="1"/>
  <c r="Q59" i="1"/>
  <c r="Q58" i="1"/>
  <c r="O58" i="1"/>
  <c r="M54" i="1"/>
  <c r="O54" i="1"/>
  <c r="Q54" i="1"/>
  <c r="Q53" i="1"/>
  <c r="Q50" i="1"/>
  <c r="Q49" i="1"/>
  <c r="O49" i="1"/>
  <c r="Q48" i="1"/>
  <c r="O48" i="1"/>
  <c r="O40" i="1"/>
  <c r="O39" i="1"/>
  <c r="M35" i="1"/>
  <c r="O35" i="1"/>
  <c r="Q35" i="1"/>
  <c r="Q34" i="1"/>
  <c r="O33" i="1"/>
  <c r="Q33" i="1"/>
  <c r="Q32" i="1"/>
  <c r="Q31" i="1"/>
  <c r="O31" i="1"/>
  <c r="Q26" i="1"/>
  <c r="O26" i="1"/>
  <c r="M26" i="1"/>
  <c r="Q23" i="1"/>
  <c r="Q21" i="1"/>
  <c r="Q20" i="1"/>
  <c r="O20" i="1"/>
  <c r="M20" i="1"/>
  <c r="Q19" i="1"/>
  <c r="O19" i="1"/>
  <c r="M12" i="1"/>
  <c r="O16" i="1"/>
  <c r="Q14" i="1"/>
  <c r="Q12" i="1"/>
  <c r="O12" i="1"/>
  <c r="O10" i="1"/>
  <c r="Q9" i="1"/>
  <c r="O9" i="1"/>
  <c r="O7" i="1"/>
  <c r="Q6" i="1"/>
  <c r="O6" i="1"/>
  <c r="M6" i="1"/>
  <c r="M4" i="1"/>
  <c r="O4" i="1"/>
  <c r="Q4" i="1"/>
  <c r="O61" i="1"/>
  <c r="O86" i="1"/>
  <c r="Q71" i="1"/>
  <c r="M66" i="1"/>
  <c r="M68" i="1"/>
  <c r="M71" i="1"/>
  <c r="O70" i="1"/>
  <c r="Q70" i="1"/>
  <c r="O68" i="1"/>
  <c r="O66" i="1"/>
  <c r="Q68" i="1"/>
  <c r="Q66" i="1"/>
  <c r="O98" i="1"/>
  <c r="Q99" i="1"/>
  <c r="Q98" i="1"/>
  <c r="Q96" i="1"/>
  <c r="O96" i="1"/>
  <c r="O94" i="1"/>
  <c r="Q94" i="1"/>
  <c r="Q104" i="1"/>
  <c r="H290" i="1"/>
  <c r="U290" i="1" s="1"/>
  <c r="Q296" i="1"/>
  <c r="O296" i="1"/>
  <c r="O116" i="1"/>
  <c r="O142" i="1"/>
  <c r="H141" i="1"/>
  <c r="Q138" i="1"/>
  <c r="O135" i="1"/>
  <c r="H133" i="1"/>
  <c r="M145" i="1"/>
  <c r="O145" i="1"/>
  <c r="Q145" i="1"/>
  <c r="H145" i="1"/>
  <c r="H161" i="1"/>
  <c r="Q161" i="1"/>
  <c r="O161" i="1"/>
  <c r="Q162" i="1"/>
  <c r="O162" i="1"/>
  <c r="H162" i="1"/>
  <c r="H150" i="1"/>
  <c r="O153" i="1"/>
  <c r="Q151" i="1"/>
  <c r="H151" i="1"/>
  <c r="H152" i="1"/>
  <c r="M153" i="1"/>
  <c r="Q153" i="1"/>
  <c r="H153" i="1"/>
  <c r="M155" i="1"/>
  <c r="H156" i="1"/>
  <c r="H155" i="1"/>
  <c r="H157" i="1"/>
  <c r="H159" i="1"/>
  <c r="H168" i="1"/>
  <c r="H160" i="1"/>
  <c r="Q168" i="1"/>
  <c r="O168" i="1"/>
  <c r="H176" i="1"/>
  <c r="H174" i="1"/>
  <c r="H171" i="1"/>
  <c r="O170" i="1"/>
  <c r="Q180" i="1"/>
  <c r="O180" i="1"/>
  <c r="M180" i="1"/>
  <c r="H180" i="1"/>
  <c r="H182" i="1"/>
  <c r="U182" i="1" s="1"/>
  <c r="H187" i="1"/>
  <c r="J187" i="1" s="1"/>
  <c r="H189" i="1"/>
  <c r="U189" i="1" s="1"/>
  <c r="H190" i="1"/>
  <c r="J190" i="1" s="1"/>
  <c r="H192" i="1"/>
  <c r="U192" i="1" s="1"/>
  <c r="H193" i="1"/>
  <c r="T193" i="1" s="1"/>
  <c r="H194" i="1"/>
  <c r="J194" i="1" s="1"/>
  <c r="H195" i="1"/>
  <c r="U195" i="1" s="1"/>
  <c r="H199" i="1"/>
  <c r="J199" i="1" s="1"/>
  <c r="H201" i="1"/>
  <c r="J201" i="1" s="1"/>
  <c r="H204" i="1"/>
  <c r="U204" i="1" s="1"/>
  <c r="H206" i="1"/>
  <c r="J206" i="1" s="1"/>
  <c r="H198" i="1"/>
  <c r="S198" i="1" s="1"/>
  <c r="H212" i="1"/>
  <c r="J212" i="1" s="1"/>
  <c r="H213" i="1"/>
  <c r="U213" i="1" s="1"/>
  <c r="H214" i="1"/>
  <c r="J214" i="1" s="1"/>
  <c r="H215" i="1"/>
  <c r="J215" i="1" s="1"/>
  <c r="H216" i="1"/>
  <c r="J216" i="1" s="1"/>
  <c r="H207" i="1"/>
  <c r="T207" i="1" s="1"/>
  <c r="H169" i="1"/>
  <c r="H228" i="1"/>
  <c r="U228" i="1" s="1"/>
  <c r="H217" i="1"/>
  <c r="U217" i="1" s="1"/>
  <c r="H220" i="1"/>
  <c r="U220" i="1" s="1"/>
  <c r="H226" i="1"/>
  <c r="S226" i="1" s="1"/>
  <c r="H132" i="1"/>
  <c r="H125" i="1"/>
  <c r="H120" i="1"/>
  <c r="H110" i="1"/>
  <c r="H104" i="1"/>
  <c r="H46" i="1"/>
  <c r="H44" i="1"/>
  <c r="H43" i="1"/>
  <c r="H42" i="1"/>
  <c r="H41" i="1"/>
  <c r="H38" i="1"/>
  <c r="H37" i="1"/>
  <c r="H36" i="1"/>
  <c r="H30" i="1"/>
  <c r="H29" i="1"/>
  <c r="H28" i="1"/>
  <c r="H27" i="1"/>
  <c r="H25" i="1"/>
  <c r="H24" i="1"/>
  <c r="H22" i="1"/>
  <c r="H20" i="1"/>
  <c r="H19" i="1"/>
  <c r="H18" i="1"/>
  <c r="H16" i="1"/>
  <c r="H17" i="1"/>
  <c r="H15" i="1"/>
  <c r="H11" i="1"/>
  <c r="H10" i="1"/>
  <c r="H9" i="1"/>
  <c r="H8" i="1"/>
  <c r="H7" i="1"/>
  <c r="H6" i="1"/>
  <c r="H5" i="1"/>
  <c r="H3" i="1"/>
  <c r="H21" i="1"/>
  <c r="H13" i="1"/>
  <c r="H31" i="1"/>
  <c r="H32" i="1"/>
  <c r="H33" i="1"/>
  <c r="H35" i="1"/>
  <c r="H39" i="1"/>
  <c r="H40" i="1"/>
  <c r="H47" i="1"/>
  <c r="H48" i="1"/>
  <c r="H51" i="1"/>
  <c r="H52" i="1"/>
  <c r="H55" i="1"/>
  <c r="H56" i="1"/>
  <c r="H57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85" i="1"/>
  <c r="H84" i="1"/>
  <c r="H83" i="1"/>
  <c r="H82" i="1"/>
  <c r="H81" i="1"/>
  <c r="S80" i="1" s="1"/>
  <c r="H78" i="1"/>
  <c r="H86" i="1"/>
  <c r="H87" i="1"/>
  <c r="J235" i="1" l="1"/>
  <c r="U235" i="1"/>
  <c r="J255" i="1"/>
  <c r="T255" i="1"/>
  <c r="J262" i="1"/>
  <c r="U261" i="1"/>
  <c r="J289" i="1"/>
  <c r="S288" i="1"/>
  <c r="S190" i="1"/>
  <c r="J183" i="1"/>
  <c r="S183" i="1"/>
  <c r="S201" i="1"/>
  <c r="U151" i="1"/>
  <c r="J209" i="1"/>
  <c r="S209" i="1"/>
  <c r="J222" i="1"/>
  <c r="J253" i="1"/>
  <c r="U285" i="1"/>
  <c r="T277" i="1"/>
  <c r="T243" i="1"/>
  <c r="U276" i="1"/>
  <c r="T276" i="1"/>
  <c r="T273" i="1"/>
  <c r="T213" i="1"/>
  <c r="S279" i="1"/>
  <c r="J277" i="1"/>
  <c r="U198" i="1"/>
  <c r="U277" i="1"/>
  <c r="T198" i="1"/>
  <c r="S217" i="1"/>
  <c r="T285" i="1"/>
  <c r="J281" i="1"/>
  <c r="T204" i="1"/>
  <c r="U243" i="1"/>
  <c r="J217" i="1"/>
  <c r="U268" i="1"/>
  <c r="J192" i="1"/>
  <c r="J195" i="1"/>
  <c r="J279" i="1"/>
  <c r="S275" i="1"/>
  <c r="S268" i="1"/>
  <c r="J213" i="1"/>
  <c r="T283" i="1"/>
  <c r="T220" i="1"/>
  <c r="J204" i="1"/>
  <c r="U279" i="1"/>
  <c r="T275" i="1"/>
  <c r="T268" i="1"/>
  <c r="J182" i="1"/>
  <c r="J275" i="1"/>
  <c r="S213" i="1"/>
  <c r="J283" i="1"/>
  <c r="J193" i="1"/>
  <c r="J189" i="1"/>
  <c r="J228" i="1"/>
  <c r="S228" i="1"/>
  <c r="T217" i="1"/>
  <c r="J207" i="1"/>
  <c r="U207" i="1"/>
  <c r="J198" i="1"/>
  <c r="J290" i="1"/>
  <c r="U226" i="1"/>
  <c r="T226" i="1"/>
  <c r="T228" i="1"/>
  <c r="H94" i="1"/>
  <c r="H95" i="1"/>
  <c r="H97" i="1"/>
  <c r="H99" i="1"/>
  <c r="H93" i="1"/>
  <c r="H91" i="1"/>
  <c r="H90" i="1"/>
  <c r="H89" i="1"/>
  <c r="H92" i="1"/>
  <c r="I15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M296" i="1"/>
  <c r="M221" i="1"/>
  <c r="M100" i="1"/>
  <c r="H102" i="1"/>
  <c r="H302" i="1"/>
  <c r="J302" i="1" s="1"/>
  <c r="I16" i="8" l="1"/>
  <c r="H305" i="1"/>
  <c r="J305" i="1" s="1"/>
  <c r="H304" i="1"/>
  <c r="J304" i="1" s="1"/>
  <c r="J307" i="1"/>
  <c r="O304" i="1"/>
  <c r="O306" i="1"/>
  <c r="H308" i="1"/>
  <c r="J308" i="1" s="1"/>
  <c r="H309" i="1"/>
  <c r="J309" i="1" s="1"/>
  <c r="Q179" i="1"/>
  <c r="Q177" i="1"/>
  <c r="O177" i="1"/>
  <c r="M177" i="1"/>
  <c r="T306" i="1" l="1"/>
  <c r="S305" i="1"/>
  <c r="T180" i="1"/>
  <c r="T304" i="1"/>
  <c r="U180" i="1"/>
  <c r="J306" i="1"/>
  <c r="S180" i="1"/>
  <c r="J180" i="1"/>
  <c r="K296" i="1" l="1"/>
  <c r="V6" i="8"/>
  <c r="V15" i="8"/>
  <c r="K221" i="1"/>
  <c r="K100" i="1"/>
  <c r="R2" i="8"/>
  <c r="R3" i="8" s="1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S296" i="1" l="1"/>
  <c r="J296" i="1"/>
  <c r="J176" i="1"/>
  <c r="Q175" i="1"/>
  <c r="O175" i="1"/>
  <c r="Q174" i="1"/>
  <c r="O174" i="1"/>
  <c r="S174" i="1"/>
  <c r="Q173" i="1"/>
  <c r="Q172" i="1"/>
  <c r="O172" i="1"/>
  <c r="T174" i="1" l="1"/>
  <c r="T171" i="1"/>
  <c r="J174" i="1"/>
  <c r="J171" i="1"/>
  <c r="U174" i="1"/>
  <c r="Q170" i="1"/>
  <c r="J169" i="1"/>
  <c r="M168" i="1"/>
  <c r="H167" i="1"/>
  <c r="J167" i="1" s="1"/>
  <c r="Q166" i="1"/>
  <c r="Q165" i="1"/>
  <c r="O165" i="1"/>
  <c r="M165" i="1"/>
  <c r="O163" i="1"/>
  <c r="J162" i="1"/>
  <c r="J161" i="1"/>
  <c r="O160" i="1"/>
  <c r="M160" i="1"/>
  <c r="J159" i="1"/>
  <c r="O158" i="1"/>
  <c r="Q158" i="1"/>
  <c r="J157" i="1"/>
  <c r="J156" i="1"/>
  <c r="O154" i="1"/>
  <c r="M154" i="1"/>
  <c r="J150" i="1"/>
  <c r="J151" i="1"/>
  <c r="J152" i="1"/>
  <c r="T161" i="1" l="1"/>
  <c r="U170" i="1"/>
  <c r="S155" i="1"/>
  <c r="T168" i="1"/>
  <c r="S160" i="1"/>
  <c r="T153" i="1"/>
  <c r="J153" i="1"/>
  <c r="J155" i="1"/>
  <c r="T160" i="1"/>
  <c r="S168" i="1"/>
  <c r="T162" i="1"/>
  <c r="J160" i="1"/>
  <c r="J168" i="1"/>
  <c r="T170" i="1"/>
  <c r="J170" i="1"/>
  <c r="S153" i="1"/>
  <c r="Q139" i="1"/>
  <c r="O139" i="1"/>
  <c r="J138" i="1"/>
  <c r="Q136" i="1"/>
  <c r="O136" i="1"/>
  <c r="H135" i="1"/>
  <c r="Q137" i="1"/>
  <c r="O137" i="1"/>
  <c r="J141" i="1"/>
  <c r="J133" i="1"/>
  <c r="Q143" i="1"/>
  <c r="O143" i="1"/>
  <c r="T148" i="1" s="1"/>
  <c r="Q144" i="1"/>
  <c r="O144" i="1"/>
  <c r="Q146" i="1"/>
  <c r="Q147" i="1"/>
  <c r="J148" i="1"/>
  <c r="J132" i="1"/>
  <c r="Q128" i="1"/>
  <c r="Q129" i="1"/>
  <c r="O129" i="1"/>
  <c r="J127" i="1"/>
  <c r="J125" i="1"/>
  <c r="J120" i="1"/>
  <c r="Q119" i="1"/>
  <c r="Q121" i="1"/>
  <c r="Q122" i="1"/>
  <c r="J123" i="1"/>
  <c r="Q126" i="1"/>
  <c r="O126" i="1"/>
  <c r="J110" i="1"/>
  <c r="Q118" i="1"/>
  <c r="O118" i="1"/>
  <c r="Q116" i="1"/>
  <c r="M116" i="1"/>
  <c r="Q109" i="1"/>
  <c r="O109" i="1"/>
  <c r="Q106" i="1"/>
  <c r="Q105" i="1"/>
  <c r="O106" i="1"/>
  <c r="U141" i="1" l="1"/>
  <c r="U132" i="1"/>
  <c r="T145" i="1"/>
  <c r="T135" i="1"/>
  <c r="S145" i="1"/>
  <c r="T141" i="1"/>
  <c r="J145" i="1"/>
  <c r="J135" i="1"/>
  <c r="H101" i="1"/>
  <c r="J101" i="1" s="1"/>
  <c r="T104" i="1" l="1"/>
  <c r="J104" i="1"/>
  <c r="J99" i="1"/>
  <c r="T96" i="1"/>
  <c r="J95" i="1"/>
  <c r="M96" i="1"/>
  <c r="N12" i="8"/>
  <c r="N9" i="8"/>
  <c r="J91" i="1"/>
  <c r="J92" i="1"/>
  <c r="J93" i="1"/>
  <c r="M94" i="1"/>
  <c r="J88" i="1"/>
  <c r="J89" i="1"/>
  <c r="Q90" i="1"/>
  <c r="O90" i="1"/>
  <c r="T90" i="1" s="1"/>
  <c r="M90" i="1"/>
  <c r="S96" i="1" l="1"/>
  <c r="T94" i="1"/>
  <c r="S94" i="1"/>
  <c r="J97" i="1"/>
  <c r="J94" i="1"/>
  <c r="J90" i="1"/>
  <c r="S90" i="1"/>
  <c r="Q87" i="1"/>
  <c r="O87" i="1"/>
  <c r="M87" i="1"/>
  <c r="Q85" i="1"/>
  <c r="J84" i="1"/>
  <c r="J85" i="1"/>
  <c r="J86" i="1"/>
  <c r="J81" i="1"/>
  <c r="J82" i="1"/>
  <c r="J78" i="1"/>
  <c r="J63" i="1"/>
  <c r="J77" i="1"/>
  <c r="J75" i="1"/>
  <c r="O77" i="1"/>
  <c r="U76" i="1"/>
  <c r="O76" i="1"/>
  <c r="M76" i="1"/>
  <c r="J74" i="1"/>
  <c r="Q74" i="1"/>
  <c r="O74" i="1"/>
  <c r="J72" i="1"/>
  <c r="Q73" i="1"/>
  <c r="O73" i="1"/>
  <c r="O71" i="1"/>
  <c r="J69" i="1"/>
  <c r="M70" i="1"/>
  <c r="J67" i="1"/>
  <c r="J66" i="1"/>
  <c r="J64" i="1"/>
  <c r="O65" i="1"/>
  <c r="G9" i="8"/>
  <c r="T73" i="1" l="1"/>
  <c r="T70" i="1"/>
  <c r="S76" i="1"/>
  <c r="S83" i="1"/>
  <c r="T76" i="1"/>
  <c r="T77" i="1"/>
  <c r="T87" i="1"/>
  <c r="U66" i="1"/>
  <c r="T86" i="1"/>
  <c r="S66" i="1"/>
  <c r="T71" i="1"/>
  <c r="T65" i="1"/>
  <c r="T66" i="1"/>
  <c r="J83" i="1"/>
  <c r="J76" i="1"/>
  <c r="U68" i="1"/>
  <c r="J65" i="1"/>
  <c r="J68" i="1"/>
  <c r="J73" i="1"/>
  <c r="J87" i="1"/>
  <c r="J70" i="1"/>
  <c r="S70" i="1"/>
  <c r="U73" i="1"/>
  <c r="U74" i="1"/>
  <c r="U87" i="1"/>
  <c r="U70" i="1"/>
  <c r="S68" i="1"/>
  <c r="T68" i="1"/>
  <c r="J71" i="1"/>
  <c r="T74" i="1"/>
  <c r="S87" i="1"/>
  <c r="U85" i="1"/>
  <c r="U71" i="1"/>
  <c r="S71" i="1"/>
  <c r="J60" i="1"/>
  <c r="J59" i="1"/>
  <c r="J56" i="1"/>
  <c r="J55" i="1"/>
  <c r="J51" i="1"/>
  <c r="J52" i="1"/>
  <c r="T57" i="1" l="1"/>
  <c r="U62" i="1"/>
  <c r="U57" i="1"/>
  <c r="U59" i="1"/>
  <c r="J62" i="1"/>
  <c r="J57" i="1"/>
  <c r="O221" i="1"/>
  <c r="J100" i="1"/>
  <c r="Q100" i="1"/>
  <c r="O100" i="1"/>
  <c r="J47" i="1"/>
  <c r="J46" i="1"/>
  <c r="H45" i="1"/>
  <c r="J45" i="1" s="1"/>
  <c r="J44" i="1"/>
  <c r="J42" i="1"/>
  <c r="J43" i="1"/>
  <c r="J41" i="1"/>
  <c r="J49" i="1"/>
  <c r="T48" i="1"/>
  <c r="J40" i="1"/>
  <c r="J38" i="1"/>
  <c r="J37" i="1"/>
  <c r="J36" i="1"/>
  <c r="J39" i="1"/>
  <c r="S35" i="1" l="1"/>
  <c r="T49" i="1"/>
  <c r="U49" i="1"/>
  <c r="T39" i="1"/>
  <c r="T61" i="1"/>
  <c r="T221" i="1"/>
  <c r="J221" i="1"/>
  <c r="U48" i="1"/>
  <c r="J61" i="1"/>
  <c r="U100" i="1"/>
  <c r="U221" i="1"/>
  <c r="J35" i="1"/>
  <c r="U61" i="1"/>
  <c r="T100" i="1"/>
  <c r="S221" i="1"/>
  <c r="S100" i="1"/>
  <c r="T35" i="1"/>
  <c r="T40" i="1"/>
  <c r="J48" i="1"/>
  <c r="J22" i="1"/>
  <c r="J19" i="1"/>
  <c r="J18" i="1"/>
  <c r="J17" i="1"/>
  <c r="J16" i="1"/>
  <c r="J15" i="1"/>
  <c r="J13" i="1"/>
  <c r="J11" i="1"/>
  <c r="J10" i="1"/>
  <c r="T10" i="1"/>
  <c r="J9" i="1"/>
  <c r="J8" i="1"/>
  <c r="J7" i="1"/>
  <c r="J6" i="1"/>
  <c r="J5" i="1"/>
  <c r="J3" i="1"/>
  <c r="J32" i="1"/>
  <c r="J27" i="1"/>
  <c r="J28" i="1"/>
  <c r="J29" i="1"/>
  <c r="J30" i="1"/>
  <c r="J31" i="1"/>
  <c r="J24" i="1"/>
  <c r="U35" i="1"/>
  <c r="G1" i="8"/>
  <c r="G2" i="8"/>
  <c r="G3" i="8"/>
  <c r="G4" i="8"/>
  <c r="G5" i="8"/>
  <c r="G6" i="8"/>
  <c r="G7" i="8"/>
  <c r="G8" i="8"/>
  <c r="G10" i="8"/>
  <c r="G11" i="8"/>
  <c r="G12" i="8"/>
  <c r="G13" i="8"/>
  <c r="G14" i="8"/>
  <c r="G15" i="8"/>
  <c r="G16" i="8"/>
  <c r="G17" i="8"/>
  <c r="G18" i="8"/>
  <c r="G19" i="8"/>
  <c r="G20" i="8"/>
  <c r="G21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1" i="3"/>
  <c r="I13" i="8" l="1"/>
  <c r="J12" i="8"/>
  <c r="S25" i="1"/>
  <c r="T25" i="1"/>
  <c r="U25" i="1"/>
  <c r="T31" i="1"/>
  <c r="U31" i="1"/>
  <c r="J25" i="1"/>
  <c r="S6" i="1"/>
  <c r="U20" i="1"/>
  <c r="U21" i="1"/>
  <c r="T7" i="1"/>
  <c r="U33" i="1"/>
  <c r="T16" i="1"/>
  <c r="J20" i="1"/>
  <c r="T33" i="1"/>
  <c r="S20" i="1"/>
  <c r="T20" i="1"/>
  <c r="U6" i="1"/>
  <c r="T19" i="1"/>
  <c r="J21" i="1"/>
  <c r="U32" i="1"/>
  <c r="T6" i="1"/>
  <c r="U19" i="1"/>
  <c r="U9" i="1"/>
  <c r="T9" i="1"/>
  <c r="J33" i="1"/>
  <c r="R30" i="7"/>
  <c r="R29" i="7"/>
  <c r="S4" i="7"/>
  <c r="S5" i="7"/>
  <c r="S6" i="7"/>
  <c r="S12" i="7"/>
  <c r="S13" i="7"/>
  <c r="S14" i="7"/>
  <c r="S18" i="7"/>
  <c r="S20" i="7"/>
  <c r="S2" i="7"/>
  <c r="Q3" i="7"/>
  <c r="R3" i="7"/>
  <c r="Q4" i="7"/>
  <c r="R4" i="7"/>
  <c r="Q5" i="7"/>
  <c r="R5" i="7"/>
  <c r="R27" i="7" s="1"/>
  <c r="Q6" i="7"/>
  <c r="R6" i="7"/>
  <c r="R28" i="7" s="1"/>
  <c r="Q7" i="7"/>
  <c r="R7" i="7"/>
  <c r="Q8" i="7"/>
  <c r="R8" i="7"/>
  <c r="Q9" i="7"/>
  <c r="R9" i="7"/>
  <c r="Q10" i="7"/>
  <c r="R10" i="7"/>
  <c r="Q11" i="7"/>
  <c r="R11" i="7"/>
  <c r="Q12" i="7"/>
  <c r="R12" i="7"/>
  <c r="Q13" i="7"/>
  <c r="R13" i="7"/>
  <c r="Q14" i="7"/>
  <c r="R14" i="7"/>
  <c r="Q15" i="7"/>
  <c r="R15" i="7"/>
  <c r="Q16" i="7"/>
  <c r="R16" i="7"/>
  <c r="Q17" i="7"/>
  <c r="R17" i="7"/>
  <c r="Q18" i="7"/>
  <c r="R18" i="7"/>
  <c r="Q19" i="7"/>
  <c r="R19" i="7"/>
  <c r="Q20" i="7"/>
  <c r="R20" i="7"/>
  <c r="R2" i="7"/>
  <c r="R26" i="7" s="1"/>
  <c r="Q21" i="7"/>
  <c r="Q2" i="7"/>
  <c r="Q26" i="7" s="1"/>
  <c r="N3" i="7"/>
  <c r="S3" i="7" s="1"/>
  <c r="N4" i="7"/>
  <c r="N5" i="7"/>
  <c r="N6" i="7"/>
  <c r="N7" i="7"/>
  <c r="S7" i="7" s="1"/>
  <c r="N8" i="7"/>
  <c r="S8" i="7" s="1"/>
  <c r="N9" i="7"/>
  <c r="S9" i="7" s="1"/>
  <c r="N10" i="7"/>
  <c r="S10" i="7" s="1"/>
  <c r="N11" i="7"/>
  <c r="S11" i="7" s="1"/>
  <c r="N12" i="7"/>
  <c r="N13" i="7"/>
  <c r="N14" i="7"/>
  <c r="N15" i="7"/>
  <c r="S15" i="7" s="1"/>
  <c r="N16" i="7"/>
  <c r="S16" i="7" s="1"/>
  <c r="N17" i="7"/>
  <c r="S17" i="7" s="1"/>
  <c r="N18" i="7"/>
  <c r="N19" i="7"/>
  <c r="S19" i="7" s="1"/>
  <c r="N20" i="7"/>
  <c r="N2" i="7"/>
  <c r="S31" i="7" l="1"/>
  <c r="Q27" i="7"/>
  <c r="S24" i="7"/>
  <c r="Q28" i="7"/>
  <c r="S25" i="7"/>
  <c r="S26" i="7"/>
  <c r="S27" i="7"/>
  <c r="S28" i="7"/>
  <c r="S29" i="7"/>
  <c r="Q29" i="7"/>
  <c r="Q30" i="7"/>
  <c r="S30" i="7"/>
  <c r="Q31" i="7"/>
  <c r="R31" i="7"/>
  <c r="Q24" i="7"/>
  <c r="Q23" i="7"/>
  <c r="R23" i="7"/>
  <c r="Q25" i="7"/>
  <c r="R25" i="7"/>
  <c r="R24" i="7"/>
  <c r="S23" i="7"/>
  <c r="U6" i="7"/>
  <c r="P3" i="7"/>
  <c r="P24" i="7" s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" i="7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" i="7"/>
  <c r="F2" i="7" s="1"/>
  <c r="P23" i="7" l="1"/>
  <c r="F27" i="7"/>
  <c r="F24" i="7"/>
  <c r="F23" i="7"/>
  <c r="F25" i="7"/>
  <c r="F26" i="7"/>
  <c r="A15" i="5"/>
  <c r="A14" i="5" s="1"/>
  <c r="A13" i="5" s="1"/>
  <c r="A12" i="5" s="1"/>
  <c r="A11" i="5" s="1"/>
  <c r="A10" i="5" s="1"/>
  <c r="A9" i="5" s="1"/>
  <c r="A8" i="5" s="1"/>
  <c r="A7" i="5" s="1"/>
  <c r="A6" i="5" s="1"/>
  <c r="A5" i="5" s="1"/>
  <c r="A4" i="5" s="1"/>
  <c r="A3" i="5" s="1"/>
  <c r="A2" i="5" s="1"/>
  <c r="E34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H7" i="6"/>
  <c r="H8" i="6"/>
  <c r="H9" i="6"/>
  <c r="E9" i="6" s="1"/>
  <c r="H10" i="6"/>
  <c r="E10" i="6" s="1"/>
  <c r="H11" i="6"/>
  <c r="H12" i="6"/>
  <c r="H13" i="6"/>
  <c r="E13" i="6" s="1"/>
  <c r="H14" i="6"/>
  <c r="E14" i="6" s="1"/>
  <c r="H15" i="6"/>
  <c r="H16" i="6"/>
  <c r="H17" i="6"/>
  <c r="E17" i="6" s="1"/>
  <c r="H18" i="6"/>
  <c r="E18" i="6" s="1"/>
  <c r="H19" i="6"/>
  <c r="H20" i="6"/>
  <c r="H21" i="6"/>
  <c r="E21" i="6" s="1"/>
  <c r="H22" i="6"/>
  <c r="E22" i="6" s="1"/>
  <c r="H23" i="6"/>
  <c r="H24" i="6"/>
  <c r="H25" i="6"/>
  <c r="E25" i="6" s="1"/>
  <c r="H26" i="6"/>
  <c r="E26" i="6" s="1"/>
  <c r="H27" i="6"/>
  <c r="H28" i="6"/>
  <c r="H29" i="6"/>
  <c r="E29" i="6" s="1"/>
  <c r="H30" i="6"/>
  <c r="H31" i="6"/>
  <c r="H32" i="6"/>
  <c r="H33" i="6"/>
  <c r="E33" i="6" s="1"/>
  <c r="H34" i="6"/>
  <c r="H35" i="6"/>
  <c r="E35" i="6" s="1"/>
  <c r="H6" i="6"/>
  <c r="E6" i="6" s="1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E30" i="6" s="1"/>
  <c r="K31" i="6"/>
  <c r="K32" i="6"/>
  <c r="K33" i="6"/>
  <c r="K34" i="6"/>
  <c r="K35" i="6"/>
  <c r="K6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F96" i="2"/>
  <c r="E96" i="2"/>
  <c r="D96" i="2"/>
  <c r="C96" i="2"/>
  <c r="B96" i="2"/>
  <c r="P26" i="7" l="1"/>
  <c r="E20" i="6"/>
  <c r="E12" i="6"/>
  <c r="E11" i="6"/>
  <c r="E28" i="6"/>
  <c r="E27" i="6"/>
  <c r="E32" i="6"/>
  <c r="E24" i="6"/>
  <c r="E16" i="6"/>
  <c r="E8" i="6"/>
  <c r="P25" i="7"/>
  <c r="E19" i="6"/>
  <c r="E31" i="6"/>
  <c r="E23" i="6"/>
  <c r="E15" i="6"/>
  <c r="E7" i="6"/>
  <c r="J91" i="2"/>
  <c r="J90" i="2"/>
  <c r="J88" i="2"/>
  <c r="K91" i="2"/>
  <c r="K90" i="2"/>
  <c r="K88" i="2"/>
  <c r="L91" i="2"/>
  <c r="L90" i="2"/>
  <c r="L88" i="2"/>
  <c r="M91" i="2"/>
  <c r="M90" i="2"/>
  <c r="M88" i="2"/>
  <c r="N91" i="2"/>
  <c r="N90" i="2"/>
  <c r="N88" i="2"/>
  <c r="O91" i="2"/>
  <c r="O90" i="2"/>
  <c r="O88" i="2"/>
  <c r="AI96" i="2"/>
  <c r="P27" i="7" l="1"/>
  <c r="P28" i="7"/>
  <c r="P30" i="7" l="1"/>
  <c r="P29" i="7"/>
  <c r="P31" i="7" s="1"/>
  <c r="F21" i="3"/>
  <c r="P90" i="2" l="1"/>
  <c r="P91" i="2"/>
  <c r="P95" i="2"/>
  <c r="P96" i="2"/>
  <c r="P97" i="2"/>
  <c r="P88" i="2"/>
  <c r="G20" i="3"/>
  <c r="AI103" i="2" l="1"/>
  <c r="AI102" i="2"/>
  <c r="AI86" i="2"/>
  <c r="AK82" i="2" l="1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K97" i="2"/>
  <c r="AH96" i="2"/>
  <c r="U90" i="1" l="1"/>
  <c r="G14" i="3" l="1"/>
  <c r="G15" i="3"/>
  <c r="G16" i="3"/>
  <c r="G17" i="3"/>
  <c r="G18" i="3"/>
  <c r="G19" i="3"/>
  <c r="AN78" i="2" l="1"/>
  <c r="AK85" i="2"/>
  <c r="AK84" i="2"/>
  <c r="AK83" i="2"/>
  <c r="AK81" i="2"/>
  <c r="AL85" i="2" s="1"/>
  <c r="AJ68" i="2"/>
  <c r="AK68" i="2" s="1"/>
  <c r="AI66" i="2"/>
  <c r="AJ65" i="2"/>
  <c r="AJ64" i="2"/>
  <c r="AJ63" i="2"/>
  <c r="AJ47" i="2"/>
  <c r="AJ46" i="2"/>
  <c r="AJ45" i="2"/>
  <c r="AJ60" i="2"/>
  <c r="AJ59" i="2"/>
  <c r="AJ58" i="2"/>
  <c r="AJ57" i="2"/>
  <c r="AI54" i="2"/>
  <c r="AJ53" i="2"/>
  <c r="AJ52" i="2"/>
  <c r="AJ51" i="2"/>
  <c r="AJ50" i="2"/>
  <c r="AJ40" i="2"/>
  <c r="AJ38" i="2"/>
  <c r="AJ37" i="2"/>
  <c r="AJ36" i="2"/>
  <c r="AJ33" i="2"/>
  <c r="AJ32" i="2"/>
  <c r="AJ31" i="2"/>
  <c r="AJ30" i="2"/>
  <c r="AJ29" i="2"/>
  <c r="AJ22" i="2"/>
  <c r="AJ20" i="2"/>
  <c r="AJ19" i="2"/>
  <c r="AJ18" i="2"/>
  <c r="AJ17" i="2"/>
  <c r="AJ14" i="2"/>
  <c r="AJ13" i="2"/>
  <c r="AJ12" i="2"/>
  <c r="AJ11" i="2"/>
  <c r="AJ8" i="2"/>
  <c r="AJ7" i="2"/>
  <c r="AJ6" i="2"/>
  <c r="AJ5" i="2"/>
  <c r="AM84" i="2" l="1"/>
  <c r="AM85" i="2" l="1"/>
  <c r="AM81" i="2"/>
  <c r="AK96" i="2"/>
  <c r="S91" i="2"/>
  <c r="S90" i="2"/>
  <c r="S88" i="2"/>
  <c r="R91" i="2"/>
  <c r="R90" i="2"/>
  <c r="R88" i="2"/>
  <c r="Q91" i="2"/>
  <c r="Q90" i="2"/>
  <c r="Q88" i="2"/>
  <c r="AK90" i="2" l="1"/>
  <c r="AK88" i="2"/>
  <c r="AK91" i="2"/>
  <c r="V26" i="4" l="1"/>
  <c r="P17" i="5" l="1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16" i="5"/>
  <c r="J18" i="5" l="1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17" i="5"/>
  <c r="K16" i="5" s="1"/>
  <c r="K17" i="5" s="1"/>
  <c r="K18" i="5" s="1"/>
  <c r="K19" i="5" s="1"/>
  <c r="K20" i="5" l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D29" i="4"/>
  <c r="E29" i="4"/>
  <c r="F29" i="4"/>
  <c r="L29" i="4"/>
  <c r="M29" i="4"/>
  <c r="N29" i="4"/>
  <c r="T29" i="4"/>
  <c r="B29" i="4"/>
  <c r="B30" i="4" s="1"/>
  <c r="C23" i="4"/>
  <c r="C29" i="4" s="1"/>
  <c r="D23" i="4"/>
  <c r="E23" i="4"/>
  <c r="F23" i="4"/>
  <c r="G23" i="4"/>
  <c r="G29" i="4" s="1"/>
  <c r="H23" i="4"/>
  <c r="H29" i="4" s="1"/>
  <c r="I23" i="4"/>
  <c r="I29" i="4" s="1"/>
  <c r="J23" i="4"/>
  <c r="J29" i="4" s="1"/>
  <c r="K23" i="4"/>
  <c r="K29" i="4" s="1"/>
  <c r="L23" i="4"/>
  <c r="M23" i="4"/>
  <c r="N23" i="4"/>
  <c r="O23" i="4"/>
  <c r="O29" i="4" s="1"/>
  <c r="P23" i="4"/>
  <c r="P29" i="4" s="1"/>
  <c r="Q23" i="4"/>
  <c r="Q29" i="4" s="1"/>
  <c r="R23" i="4"/>
  <c r="R29" i="4" s="1"/>
  <c r="S23" i="4"/>
  <c r="S29" i="4" s="1"/>
  <c r="T23" i="4"/>
  <c r="B23" i="4"/>
  <c r="C30" i="4" l="1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B15" i="4"/>
  <c r="D15" i="4" s="1"/>
  <c r="M7" i="4" l="1"/>
  <c r="N7" i="4"/>
  <c r="O7" i="4"/>
  <c r="P7" i="4"/>
  <c r="Q7" i="4"/>
  <c r="R7" i="4"/>
  <c r="S7" i="4"/>
  <c r="T7" i="4"/>
  <c r="D7" i="4"/>
  <c r="E7" i="4"/>
  <c r="F7" i="4"/>
  <c r="G7" i="4"/>
  <c r="H7" i="4"/>
  <c r="I7" i="4"/>
  <c r="J7" i="4"/>
  <c r="K7" i="4"/>
  <c r="L7" i="4"/>
  <c r="C7" i="4"/>
  <c r="B7" i="4"/>
  <c r="AJ70" i="2"/>
  <c r="U7" i="4" l="1"/>
  <c r="G3" i="3"/>
  <c r="G2" i="3"/>
  <c r="G4" i="3"/>
  <c r="G5" i="3"/>
  <c r="G6" i="3"/>
  <c r="G7" i="3"/>
  <c r="G8" i="3"/>
  <c r="G9" i="3"/>
  <c r="G10" i="3"/>
  <c r="G11" i="3"/>
  <c r="G12" i="3"/>
  <c r="G13" i="3"/>
  <c r="G21" i="3" l="1"/>
  <c r="V3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B9" i="4"/>
  <c r="V7" i="4"/>
  <c r="B6" i="4"/>
  <c r="C6" i="4"/>
  <c r="D6" i="4"/>
  <c r="U9" i="4" l="1"/>
  <c r="V9" i="4"/>
  <c r="E6" i="4"/>
  <c r="F6" i="4"/>
  <c r="G6" i="4"/>
  <c r="H6" i="4"/>
  <c r="I6" i="4"/>
  <c r="J6" i="4"/>
  <c r="K6" i="4"/>
  <c r="L6" i="4" l="1"/>
  <c r="M6" i="4"/>
  <c r="N6" i="4"/>
  <c r="O6" i="4"/>
  <c r="P6" i="4"/>
  <c r="Q6" i="4"/>
  <c r="R6" i="4"/>
  <c r="S6" i="4"/>
  <c r="T6" i="4"/>
  <c r="V6" i="4" l="1"/>
  <c r="U6" i="4"/>
  <c r="AM68" i="2" l="1"/>
  <c r="AM69" i="2" s="1"/>
  <c r="H303" i="1" l="1"/>
  <c r="H300" i="1"/>
  <c r="AH78" i="2" l="1"/>
  <c r="AK93" i="2" l="1"/>
  <c r="AK94" i="2" l="1"/>
  <c r="AK92" i="2"/>
  <c r="AK89" i="2"/>
  <c r="AK95" i="2"/>
  <c r="AJ103" i="2" s="1"/>
  <c r="AL91" i="2" l="1"/>
  <c r="AI104" i="2"/>
  <c r="AI105" i="2" s="1"/>
  <c r="AF78" i="2"/>
  <c r="AG78" i="2"/>
  <c r="AJ72" i="2" l="1"/>
  <c r="AK17" i="2"/>
  <c r="AH66" i="2"/>
  <c r="AK65" i="2"/>
  <c r="AK38" i="2"/>
  <c r="AK36" i="2"/>
  <c r="AK11" i="2"/>
  <c r="AK58" i="2"/>
  <c r="AH54" i="2"/>
  <c r="AK53" i="2"/>
  <c r="AK52" i="2"/>
  <c r="AK51" i="2"/>
  <c r="AK33" i="2"/>
  <c r="AK32" i="2"/>
  <c r="AK30" i="2"/>
  <c r="AK5" i="2"/>
  <c r="AK46" i="2"/>
  <c r="AK45" i="2"/>
  <c r="AG66" i="2"/>
  <c r="AK63" i="2"/>
  <c r="AG54" i="2"/>
  <c r="AK40" i="2"/>
  <c r="AF54" i="2"/>
  <c r="AF66" i="2"/>
  <c r="AJ66" i="2" s="1"/>
  <c r="AJ54" i="2" l="1"/>
  <c r="H301" i="1"/>
  <c r="U190" i="1" l="1"/>
  <c r="U201" i="1"/>
  <c r="U153" i="1"/>
  <c r="U155" i="1" l="1"/>
  <c r="U161" i="1"/>
  <c r="U162" i="1"/>
  <c r="U138" i="1" l="1"/>
  <c r="U104" i="1"/>
  <c r="O32" i="3" l="1"/>
  <c r="R78" i="2" l="1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Q78" i="2" l="1"/>
  <c r="AJ78" i="2" s="1"/>
  <c r="AM83" i="2" l="1"/>
  <c r="AM82" i="2"/>
  <c r="AM86" i="2" s="1"/>
  <c r="AK64" i="2" l="1"/>
  <c r="AK59" i="2"/>
  <c r="AK60" i="2"/>
  <c r="AL53" i="2" s="1"/>
  <c r="AK57" i="2"/>
  <c r="AK50" i="2"/>
  <c r="AK47" i="2"/>
  <c r="AL46" i="2" l="1"/>
  <c r="AL45" i="2"/>
  <c r="AL47" i="2"/>
  <c r="AM47" i="2"/>
  <c r="AM60" i="2"/>
  <c r="AK54" i="2"/>
  <c r="AM54" i="2" s="1"/>
  <c r="AK66" i="2"/>
  <c r="AM65" i="2" s="1"/>
  <c r="U296" i="1"/>
  <c r="J298" i="1"/>
  <c r="T298" i="1" l="1"/>
  <c r="U298" i="1"/>
  <c r="S298" i="1"/>
  <c r="AN47" i="2"/>
  <c r="U299" i="1"/>
  <c r="U255" i="1"/>
  <c r="AK37" i="2" l="1"/>
  <c r="AK31" i="2"/>
  <c r="AN31" i="2" s="1"/>
  <c r="AK29" i="2"/>
  <c r="AK22" i="2"/>
  <c r="AK78" i="2" l="1"/>
  <c r="AK98" i="2" s="1"/>
  <c r="AL5" i="2"/>
  <c r="AL33" i="2"/>
  <c r="AN29" i="2"/>
  <c r="AO29" i="2" s="1"/>
  <c r="AN30" i="2"/>
  <c r="AO30" i="2" s="1"/>
  <c r="AL38" i="2"/>
  <c r="U13" i="1"/>
  <c r="AK77" i="2"/>
  <c r="AN68" i="2"/>
  <c r="AK72" i="2"/>
  <c r="AM78" i="2" l="1"/>
  <c r="F34" i="3" l="1"/>
  <c r="O5" i="3"/>
  <c r="U96" i="1" l="1"/>
  <c r="U94" i="1"/>
  <c r="AK7" i="2"/>
  <c r="AK8" i="2"/>
  <c r="AK12" i="2"/>
  <c r="AK13" i="2"/>
  <c r="AK14" i="2"/>
  <c r="AK18" i="2"/>
  <c r="AK19" i="2"/>
  <c r="AK20" i="2"/>
  <c r="AK6" i="2"/>
  <c r="AL6" i="2" l="1"/>
  <c r="AM5" i="2"/>
  <c r="AM17" i="2"/>
  <c r="AM11" i="2"/>
  <c r="AL7" i="2"/>
  <c r="AL14" i="2"/>
  <c r="AK75" i="2"/>
  <c r="AK76" i="2"/>
  <c r="AK74" i="2"/>
  <c r="U145" i="1"/>
  <c r="U148" i="1"/>
  <c r="U171" i="1"/>
  <c r="AO5" i="2" l="1"/>
  <c r="U123" i="1"/>
  <c r="U160" i="1"/>
  <c r="U168" i="1"/>
</calcChain>
</file>

<file path=xl/sharedStrings.xml><?xml version="1.0" encoding="utf-8"?>
<sst xmlns="http://schemas.openxmlformats.org/spreadsheetml/2006/main" count="1240" uniqueCount="587">
  <si>
    <t>Green River</t>
  </si>
  <si>
    <t>White River</t>
  </si>
  <si>
    <t>Duchesne River</t>
  </si>
  <si>
    <t>Uinta River</t>
  </si>
  <si>
    <t>San Rafael</t>
  </si>
  <si>
    <t>Ferron Creek</t>
  </si>
  <si>
    <t>Price River</t>
  </si>
  <si>
    <t>Contributing drainage area</t>
  </si>
  <si>
    <t>Yampa River</t>
  </si>
  <si>
    <t>Little Snake River</t>
  </si>
  <si>
    <t>below Craig</t>
  </si>
  <si>
    <t>Henrys Fork</t>
  </si>
  <si>
    <t>Blacks Fork</t>
  </si>
  <si>
    <t>nr Little America</t>
  </si>
  <si>
    <t>nr Manila</t>
  </si>
  <si>
    <t>nr Greendale (11)</t>
  </si>
  <si>
    <t>Fontenelle Creek</t>
  </si>
  <si>
    <t>nr Fontenelle</t>
  </si>
  <si>
    <t>nr LaBarge</t>
  </si>
  <si>
    <t>blw Fontenelle Reservoir (9)</t>
  </si>
  <si>
    <t>nr Green River, WY (10)</t>
  </si>
  <si>
    <t>Muddy Creek</t>
  </si>
  <si>
    <t>nr Baggs</t>
  </si>
  <si>
    <t>nr Rangely</t>
  </si>
  <si>
    <t>nr Lily (13)</t>
  </si>
  <si>
    <t>at Deerlodge Park</t>
  </si>
  <si>
    <t>nr Maybell (12)</t>
  </si>
  <si>
    <t>at Ouray</t>
  </si>
  <si>
    <t>nr Jensen</t>
  </si>
  <si>
    <t>Big Brush Creek</t>
  </si>
  <si>
    <t>nr Vernal</t>
  </si>
  <si>
    <t>Ashley Creek</t>
  </si>
  <si>
    <t>nr Randlett (14)</t>
  </si>
  <si>
    <t>nr Watson (15)</t>
  </si>
  <si>
    <t>at Woodside</t>
  </si>
  <si>
    <t>at Green River, UT (16)</t>
  </si>
  <si>
    <t>nr Green River, UT (17)</t>
  </si>
  <si>
    <t>nr Ferron</t>
  </si>
  <si>
    <t>mean annual runoff, in AF</t>
  </si>
  <si>
    <t>Colorado</t>
  </si>
  <si>
    <t>agriculture</t>
  </si>
  <si>
    <t>M&amp;I</t>
  </si>
  <si>
    <t>export (outside)</t>
  </si>
  <si>
    <t>export (inside)</t>
  </si>
  <si>
    <t>Utah</t>
  </si>
  <si>
    <t>Wyoming</t>
  </si>
  <si>
    <t>average</t>
  </si>
  <si>
    <t>USGS</t>
  </si>
  <si>
    <t>Colorado River</t>
  </si>
  <si>
    <t>Dolores River</t>
  </si>
  <si>
    <t>nr Cisco (8)</t>
  </si>
  <si>
    <t>nr Cisco (7)</t>
  </si>
  <si>
    <t>@ Dolores</t>
  </si>
  <si>
    <t>@ Bedrock</t>
  </si>
  <si>
    <t>below Rico</t>
  </si>
  <si>
    <t>San Miguel River</t>
  </si>
  <si>
    <t>nr Placerville</t>
  </si>
  <si>
    <t>@ Uravan</t>
  </si>
  <si>
    <t>nr Nucla</t>
  </si>
  <si>
    <t>nr CO/UT stateline</t>
  </si>
  <si>
    <t>nr Bedrock</t>
  </si>
  <si>
    <t>nr Palisade</t>
  </si>
  <si>
    <t>Gunnison River</t>
  </si>
  <si>
    <t>nr Grand Junction (6)</t>
  </si>
  <si>
    <t>nr Cameo (2)</t>
  </si>
  <si>
    <t>below Glenwood Springs (1)</t>
  </si>
  <si>
    <t>Flaming Gorge evaporation</t>
  </si>
  <si>
    <t>@ Delta</t>
  </si>
  <si>
    <t>@ Glenwood Springs</t>
  </si>
  <si>
    <t>Roaring Fork River</t>
  </si>
  <si>
    <t>nr Emma</t>
  </si>
  <si>
    <t>nr Dotsero</t>
  </si>
  <si>
    <t>nr Kremmling</t>
  </si>
  <si>
    <t>@ Windy Gap</t>
  </si>
  <si>
    <t>Blue River</t>
  </si>
  <si>
    <t>blw Green Mountain Reservoir</t>
  </si>
  <si>
    <t>Eagle River</t>
  </si>
  <si>
    <t>blw Gypsum</t>
  </si>
  <si>
    <t>North Fork Gunnison River</t>
  </si>
  <si>
    <t>blw Gunnison Tunnel</t>
  </si>
  <si>
    <t>nr Gunnison</t>
  </si>
  <si>
    <t>Upper Mainstem</t>
  </si>
  <si>
    <t>reservoir evaporation</t>
  </si>
  <si>
    <t>Aspinal Unit evaporation</t>
  </si>
  <si>
    <t>Paria River</t>
  </si>
  <si>
    <t>San Juan River</t>
  </si>
  <si>
    <t>@ Lees Ferry (21)</t>
  </si>
  <si>
    <t>@ Lees Ferry (20)</t>
  </si>
  <si>
    <t>2000-2017</t>
  </si>
  <si>
    <t>nr Archuleta</t>
  </si>
  <si>
    <t>@ Shiprock</t>
  </si>
  <si>
    <t>@ Farmington</t>
  </si>
  <si>
    <t>Animas River</t>
  </si>
  <si>
    <t>@ Durango</t>
  </si>
  <si>
    <t>La Plata River</t>
  </si>
  <si>
    <t>nr Farmington</t>
  </si>
  <si>
    <t>@ CO/NM state line</t>
  </si>
  <si>
    <t>New Mexico</t>
  </si>
  <si>
    <t>San Juan - Colorado Rivers</t>
  </si>
  <si>
    <t>Arizona</t>
  </si>
  <si>
    <t>Lake Powell evaporation</t>
  </si>
  <si>
    <t>nr Grand Lake</t>
  </si>
  <si>
    <t>Fraser River</t>
  </si>
  <si>
    <t>nr Winter Park</t>
  </si>
  <si>
    <t>@ Winter Park</t>
  </si>
  <si>
    <t>Cabin Creek</t>
  </si>
  <si>
    <t>nr Fraser</t>
  </si>
  <si>
    <t>Ranch Creek</t>
  </si>
  <si>
    <t>St. Louis Creek</t>
  </si>
  <si>
    <t>Elk Creek</t>
  </si>
  <si>
    <t>Vasquez Creek</t>
  </si>
  <si>
    <t>Bobtail Creek</t>
  </si>
  <si>
    <t>nr Jonas Pass</t>
  </si>
  <si>
    <t>Williams Fork</t>
  </si>
  <si>
    <t>blw Steelman Creek</t>
  </si>
  <si>
    <t>nr Leal</t>
  </si>
  <si>
    <t>South Fork of Williams Fork</t>
  </si>
  <si>
    <t>nr Parshall</t>
  </si>
  <si>
    <t>blw Williams Fork Reservoir</t>
  </si>
  <si>
    <t>Piney River</t>
  </si>
  <si>
    <t>nr State Bridge</t>
  </si>
  <si>
    <t>@ Blue River</t>
  </si>
  <si>
    <t>nr Dillon</t>
  </si>
  <si>
    <t>Keystone Gulch</t>
  </si>
  <si>
    <t>Tenmile Creek</t>
  </si>
  <si>
    <t>@ Frisco</t>
  </si>
  <si>
    <t>blw Dillon</t>
  </si>
  <si>
    <t>Straight Creek</t>
  </si>
  <si>
    <t xml:space="preserve">Lake Creek </t>
  </si>
  <si>
    <t>nr Edwards</t>
  </si>
  <si>
    <t>@ Avon</t>
  </si>
  <si>
    <t>Beaver Creek</t>
  </si>
  <si>
    <t>Gore Creek</t>
  </si>
  <si>
    <t>nr Minturn</t>
  </si>
  <si>
    <t>@ Vail</t>
  </si>
  <si>
    <t>Middle Creek</t>
  </si>
  <si>
    <t>Booth Creek</t>
  </si>
  <si>
    <t>Black Gore Creek</t>
  </si>
  <si>
    <t>Homestake Creek</t>
  </si>
  <si>
    <t>@ Gold Park</t>
  </si>
  <si>
    <t>MissouriCreek</t>
  </si>
  <si>
    <t>nr Gold Park</t>
  </si>
  <si>
    <t>@ Red Cliff</t>
  </si>
  <si>
    <t>Total Upper Basin</t>
  </si>
  <si>
    <t>total agriculture</t>
  </si>
  <si>
    <t>total exports from basin</t>
  </si>
  <si>
    <t>total M&amp;I</t>
  </si>
  <si>
    <t>Crystal River</t>
  </si>
  <si>
    <t>nr Redstone</t>
  </si>
  <si>
    <t>Fryingpan River</t>
  </si>
  <si>
    <t>nr Ruedi</t>
  </si>
  <si>
    <t>nr Aspen</t>
  </si>
  <si>
    <t>Plateau Creek</t>
  </si>
  <si>
    <t>nr Cameo</t>
  </si>
  <si>
    <t>California</t>
  </si>
  <si>
    <t>Arizona (mainstem)</t>
  </si>
  <si>
    <t>Arizona (tributaries)</t>
  </si>
  <si>
    <t>Nevada (mainstem)</t>
  </si>
  <si>
    <t>Nevada (tributaries)</t>
  </si>
  <si>
    <t>New Mexico (tributaries)</t>
  </si>
  <si>
    <t>Utah (tributaries</t>
  </si>
  <si>
    <t>CRSP reservoir evap</t>
  </si>
  <si>
    <t>Upper Basin total, by use</t>
  </si>
  <si>
    <t>Upper Basin total , by state</t>
  </si>
  <si>
    <t>Lower Basin totals, by state</t>
  </si>
  <si>
    <t>mainstem reservoir evaporation and losses</t>
  </si>
  <si>
    <t>Mexico</t>
  </si>
  <si>
    <t>state reservoir evap</t>
  </si>
  <si>
    <t>East River</t>
  </si>
  <si>
    <t>@ Almont</t>
  </si>
  <si>
    <t>nr Crested Butte</t>
  </si>
  <si>
    <t>Taylor River</t>
  </si>
  <si>
    <t>@ Taylor Park</t>
  </si>
  <si>
    <t>Ohio Creek</t>
  </si>
  <si>
    <t>blw Taylor Park Reservoir (3)</t>
  </si>
  <si>
    <t>nr Gunnison (4)</t>
  </si>
  <si>
    <t>Tomichi Creek</t>
  </si>
  <si>
    <t>Cochetopa Creek</t>
  </si>
  <si>
    <t>nr Parlin</t>
  </si>
  <si>
    <t>@ Sargents</t>
  </si>
  <si>
    <t>@ Gunnison (4)</t>
  </si>
  <si>
    <t>Cimarron River</t>
  </si>
  <si>
    <t>nr Cimmaron</t>
  </si>
  <si>
    <t>Lake Fork</t>
  </si>
  <si>
    <t>@ Gateview</t>
  </si>
  <si>
    <t>nr Somerset</t>
  </si>
  <si>
    <t>Uncompahgre River</t>
  </si>
  <si>
    <t>@ Colona</t>
  </si>
  <si>
    <t>blw Ridgway Reservoir</t>
  </si>
  <si>
    <t>Dallas Creek</t>
  </si>
  <si>
    <t>nr Ridgway</t>
  </si>
  <si>
    <t>nr Ouray</t>
  </si>
  <si>
    <t>Lost Canyon Creek</t>
  </si>
  <si>
    <t>nr Dolores</t>
  </si>
  <si>
    <t>Mill Creek</t>
  </si>
  <si>
    <t>nr Moab</t>
  </si>
  <si>
    <t>nr Daniel</t>
  </si>
  <si>
    <t>Pine Creek</t>
  </si>
  <si>
    <t>abv Fremont Lake</t>
  </si>
  <si>
    <t>New Fork River</t>
  </si>
  <si>
    <t>nr Big Piney</t>
  </si>
  <si>
    <t>nr Robertson</t>
  </si>
  <si>
    <t>East Fork of Smiths Fork</t>
  </si>
  <si>
    <t>Hams Fork</t>
  </si>
  <si>
    <t>nr Frontier</t>
  </si>
  <si>
    <t>2005-2017</t>
  </si>
  <si>
    <t>abv Stagecoach Reservoir</t>
  </si>
  <si>
    <t>blw Stagecoach Reservoir</t>
  </si>
  <si>
    <t>Fish Creek</t>
  </si>
  <si>
    <t>nr Steamboat Springs</t>
  </si>
  <si>
    <t>@ Steamboat Springs</t>
  </si>
  <si>
    <t>Elk River</t>
  </si>
  <si>
    <t>nr Milner</t>
  </si>
  <si>
    <t>nr Hayden</t>
  </si>
  <si>
    <t>Elkhead Creek</t>
  </si>
  <si>
    <t>nr Slater</t>
  </si>
  <si>
    <t>Slater Fork</t>
  </si>
  <si>
    <t>nr Randlett</t>
  </si>
  <si>
    <t>Whiterocks River</t>
  </si>
  <si>
    <t>nr Whiterocks</t>
  </si>
  <si>
    <t>nr Neola</t>
  </si>
  <si>
    <t>@ Myton</t>
  </si>
  <si>
    <t>Yellowstone River</t>
  </si>
  <si>
    <t>nr Altonah</t>
  </si>
  <si>
    <t>nr Mountain Home</t>
  </si>
  <si>
    <t>Strawberry River</t>
  </si>
  <si>
    <t>nr Duchesne</t>
  </si>
  <si>
    <t>Current Creek</t>
  </si>
  <si>
    <t>nr Fruitland</t>
  </si>
  <si>
    <t>Rock Creek</t>
  </si>
  <si>
    <t>nr Tabiona</t>
  </si>
  <si>
    <t>nr Meeker</t>
  </si>
  <si>
    <t>blw Meeker</t>
  </si>
  <si>
    <t>Yellow River</t>
  </si>
  <si>
    <t>nr White River</t>
  </si>
  <si>
    <t>@ Pagosa Springs</t>
  </si>
  <si>
    <t>nr Carracas</t>
  </si>
  <si>
    <t>Vallecito Creek</t>
  </si>
  <si>
    <t>nr Bayfield</t>
  </si>
  <si>
    <t>Los Pinos River</t>
  </si>
  <si>
    <t>nr Ignacio</t>
  </si>
  <si>
    <t>@ La Boca</t>
  </si>
  <si>
    <t>Piedra River</t>
  </si>
  <si>
    <t>nr Arboles</t>
  </si>
  <si>
    <t>@ Silverton</t>
  </si>
  <si>
    <t>Cement Creek</t>
  </si>
  <si>
    <t>Mineral Ceek</t>
  </si>
  <si>
    <t>blw Silverton</t>
  </si>
  <si>
    <t>nr Bluff (19)</t>
  </si>
  <si>
    <t>nr Cedar Hill</t>
  </si>
  <si>
    <t>Mancos River</t>
  </si>
  <si>
    <t>nr Tawaoc</t>
  </si>
  <si>
    <t>@ Four Corners</t>
  </si>
  <si>
    <t>Mud Creek</t>
  </si>
  <si>
    <t>nr Cortez</t>
  </si>
  <si>
    <t>McElmo Creek</t>
  </si>
  <si>
    <t>nr Peach Springs</t>
  </si>
  <si>
    <t xml:space="preserve">Little Colorado River </t>
  </si>
  <si>
    <t xml:space="preserve">Virgin River </t>
  </si>
  <si>
    <t>nr Cameron (22)</t>
  </si>
  <si>
    <t>nr Grand Canyon (23)</t>
  </si>
  <si>
    <t>@ Littlefield (24)</t>
  </si>
  <si>
    <t xml:space="preserve">Colorado River </t>
  </si>
  <si>
    <t>below Hoover Dam (25)</t>
  </si>
  <si>
    <t>nr Hanksville</t>
  </si>
  <si>
    <t>Dirty Devil River</t>
  </si>
  <si>
    <t xml:space="preserve">Escalante River </t>
  </si>
  <si>
    <t>nr Escalante</t>
  </si>
  <si>
    <t>average reservoir storage</t>
  </si>
  <si>
    <t>AVERAGE</t>
  </si>
  <si>
    <t>average reservoir elevation</t>
  </si>
  <si>
    <t>WY</t>
  </si>
  <si>
    <t>Powell evaporation and rainfall</t>
  </si>
  <si>
    <t>live storage</t>
  </si>
  <si>
    <t>average reservoir surface area, in acres</t>
  </si>
  <si>
    <t>evaporation amount (5.75 ft/yr)</t>
  </si>
  <si>
    <t>precipitation amount (0.57 ft/yr)</t>
  </si>
  <si>
    <t>effective evaporation (4 ft/yr)</t>
  </si>
  <si>
    <t>Sept 30 2018</t>
  </si>
  <si>
    <t>net change in storage</t>
  </si>
  <si>
    <t>TOTAL</t>
  </si>
  <si>
    <t>Oct 1 1999</t>
  </si>
  <si>
    <t>Colorado River @ Lees Ferry</t>
  </si>
  <si>
    <t>Colorado River nr Cisco</t>
  </si>
  <si>
    <t>Green River @ Greenriver</t>
  </si>
  <si>
    <t>San Juan River nr Bluff</t>
  </si>
  <si>
    <t>Dirty Devil nr Hanksville</t>
  </si>
  <si>
    <t>Escalante River nr Escalante</t>
  </si>
  <si>
    <t>total inflow</t>
  </si>
  <si>
    <t>precipitation</t>
  </si>
  <si>
    <t>evaporation</t>
  </si>
  <si>
    <t>net</t>
  </si>
  <si>
    <t>cumulative net</t>
  </si>
  <si>
    <t>cumulative mass balance</t>
  </si>
  <si>
    <t>year</t>
  </si>
  <si>
    <t>change in water storage</t>
  </si>
  <si>
    <t>annual mass balance</t>
  </si>
  <si>
    <t>annual change in Powell storage</t>
  </si>
  <si>
    <t>line weight</t>
  </si>
  <si>
    <t>@ Granby</t>
  </si>
  <si>
    <t>@ Kremmling</t>
  </si>
  <si>
    <t>@ Dillon</t>
  </si>
  <si>
    <t>@ Norrie</t>
  </si>
  <si>
    <t>@ Aspen</t>
  </si>
  <si>
    <t>@ Hot Sulphur Springs</t>
  </si>
  <si>
    <t>1914-1957 estimate (Iorns et al, 1965)</t>
  </si>
  <si>
    <t>@ Fort Duchesne</t>
  </si>
  <si>
    <t>@ Duchesne</t>
  </si>
  <si>
    <t>nr Soldier Springs</t>
  </si>
  <si>
    <t>West Fork Duchesne River</t>
  </si>
  <si>
    <t>nr Hanna</t>
  </si>
  <si>
    <t>Brush Creek</t>
  </si>
  <si>
    <t>Willow Creek</t>
  </si>
  <si>
    <t>nr Dixon</t>
  </si>
  <si>
    <t>Savery Creek</t>
  </si>
  <si>
    <t>nr Savery</t>
  </si>
  <si>
    <t>average (x 1000)</t>
  </si>
  <si>
    <t>@ New Fork</t>
  </si>
  <si>
    <t>East Fork River</t>
  </si>
  <si>
    <t>nr Mason</t>
  </si>
  <si>
    <t>LaBarge Creek</t>
  </si>
  <si>
    <t>nr Viola</t>
  </si>
  <si>
    <t>Smith Fork</t>
  </si>
  <si>
    <t>@ Mountainview</t>
  </si>
  <si>
    <t>nr Lyman</t>
  </si>
  <si>
    <t>nr Green River</t>
  </si>
  <si>
    <t>nr Linwood</t>
  </si>
  <si>
    <t>nr Blanco</t>
  </si>
  <si>
    <t>nr Pagosa Springs</t>
  </si>
  <si>
    <t>West Fork San Juan River</t>
  </si>
  <si>
    <t>Navajo River</t>
  </si>
  <si>
    <t>@ Edith</t>
  </si>
  <si>
    <t>nr Piedra</t>
  </si>
  <si>
    <t>@ Rosa</t>
  </si>
  <si>
    <t>Spring Creek</t>
  </si>
  <si>
    <t>@ Howardsville</t>
  </si>
  <si>
    <t>nr Silverton</t>
  </si>
  <si>
    <t>Hermosa Creek</t>
  </si>
  <si>
    <t>nr Hermosa</t>
  </si>
  <si>
    <t>@ Hesperus</t>
  </si>
  <si>
    <t>East Fork San Juan River</t>
  </si>
  <si>
    <t>Horse Creek</t>
  </si>
  <si>
    <t>Cottonwood Creek</t>
  </si>
  <si>
    <t>nr Boulder</t>
  </si>
  <si>
    <t>nr Big Sandy</t>
  </si>
  <si>
    <t>Big Sandy Creek</t>
  </si>
  <si>
    <t>nr Farson</t>
  </si>
  <si>
    <t>Little Sandy Creek</t>
  </si>
  <si>
    <t>nr Elkhorn</t>
  </si>
  <si>
    <t>nr Lonetree</t>
  </si>
  <si>
    <t>Sheep Creek</t>
  </si>
  <si>
    <t>Carter Creek</t>
  </si>
  <si>
    <t>@ Clark</t>
  </si>
  <si>
    <t>Fortification Creek</t>
  </si>
  <si>
    <t>@ Craig</t>
  </si>
  <si>
    <t>nr Upalco</t>
  </si>
  <si>
    <t>@ Buford</t>
  </si>
  <si>
    <t>South Fork White River</t>
  </si>
  <si>
    <t>nr Buford</t>
  </si>
  <si>
    <t>@ Naturita</t>
  </si>
  <si>
    <t>@ Gateway</t>
  </si>
  <si>
    <t>below Davis Dam</t>
  </si>
  <si>
    <t>below Parker Dam</t>
  </si>
  <si>
    <t>above Imperial Dam</t>
  </si>
  <si>
    <t>above Morelos Dam</t>
  </si>
  <si>
    <t>1990s average</t>
  </si>
  <si>
    <t>bypass</t>
  </si>
  <si>
    <t>9421500 below Hoover Dam</t>
  </si>
  <si>
    <t>9415000 at Littlefield</t>
  </si>
  <si>
    <t xml:space="preserve"> 9404200 Diamond Creek</t>
  </si>
  <si>
    <t>9380000 at Lees Ferry</t>
  </si>
  <si>
    <t>Powell Live storage</t>
  </si>
  <si>
    <t>Mead Live storage</t>
  </si>
  <si>
    <t>total</t>
  </si>
  <si>
    <t>Canyon inflows</t>
  </si>
  <si>
    <t>median</t>
  </si>
  <si>
    <t>Lees Ferry</t>
  </si>
  <si>
    <t>Paria</t>
  </si>
  <si>
    <t>LCR</t>
  </si>
  <si>
    <t>canyon inflows</t>
  </si>
  <si>
    <t>1930-1949</t>
  </si>
  <si>
    <t>1935-1949</t>
  </si>
  <si>
    <t>1911-1929</t>
  </si>
  <si>
    <t>1905-1918</t>
  </si>
  <si>
    <t>1934-1949</t>
  </si>
  <si>
    <t>1935-1950</t>
  </si>
  <si>
    <t>1905-1909</t>
  </si>
  <si>
    <t>1938-1949</t>
  </si>
  <si>
    <t>1934-1941</t>
  </si>
  <si>
    <t>1905-1924</t>
  </si>
  <si>
    <t>modern / 1930-1949</t>
  </si>
  <si>
    <t>pluvial mean annual flow</t>
  </si>
  <si>
    <t>Pluvial years</t>
  </si>
  <si>
    <t>1930-1949 mean annual flow</t>
  </si>
  <si>
    <t>1930-1949 years</t>
  </si>
  <si>
    <t>1943-1949</t>
  </si>
  <si>
    <t>modern / 1914-1957</t>
  </si>
  <si>
    <t>modern / pluvial</t>
  </si>
  <si>
    <t>1944-1949</t>
  </si>
  <si>
    <t>1911-1925</t>
  </si>
  <si>
    <t>1945-1949</t>
  </si>
  <si>
    <t>1948-1949</t>
  </si>
  <si>
    <t>1948-1950</t>
  </si>
  <si>
    <t>1947-1949</t>
  </si>
  <si>
    <t>1942-1949</t>
  </si>
  <si>
    <t>1914-1917, 1923-1929</t>
  </si>
  <si>
    <t>1906-1929</t>
  </si>
  <si>
    <t>1911-1916</t>
  </si>
  <si>
    <t>1937-1949</t>
  </si>
  <si>
    <t>1939-1949</t>
  </si>
  <si>
    <t>1911-1922</t>
  </si>
  <si>
    <t>1911-1928</t>
  </si>
  <si>
    <t>1917-1922</t>
  </si>
  <si>
    <t>1938-1950</t>
  </si>
  <si>
    <t>1923-1927</t>
  </si>
  <si>
    <t>Denver water</t>
  </si>
  <si>
    <t>1930s</t>
  </si>
  <si>
    <t>denver water</t>
  </si>
  <si>
    <t>1930 little</t>
  </si>
  <si>
    <t>1950s</t>
  </si>
  <si>
    <t>Co spring</t>
  </si>
  <si>
    <t>Denver</t>
  </si>
  <si>
    <t>1970s</t>
  </si>
  <si>
    <t>colo spring</t>
  </si>
  <si>
    <t>aurora</t>
  </si>
  <si>
    <t>FryArk</t>
  </si>
  <si>
    <t>no transbasin diversions</t>
  </si>
  <si>
    <t>very small</t>
  </si>
  <si>
    <t>large diversions</t>
  </si>
  <si>
    <t>1911-1912</t>
  </si>
  <si>
    <t>1931-1934, 1943-1949</t>
  </si>
  <si>
    <t>1918-1929</t>
  </si>
  <si>
    <t>1941-1949</t>
  </si>
  <si>
    <t>1932-1949</t>
  </si>
  <si>
    <t>1915-1929</t>
  </si>
  <si>
    <t>1916-1919</t>
  </si>
  <si>
    <t>1916-1917, 1921-1924, 1927-1929</t>
  </si>
  <si>
    <t>1930-1934</t>
  </si>
  <si>
    <t>1946-1949</t>
  </si>
  <si>
    <t>1940-1949</t>
  </si>
  <si>
    <t>early estimates of flow</t>
  </si>
  <si>
    <t>source</t>
  </si>
  <si>
    <t>Cory, 1913</t>
  </si>
  <si>
    <t>1911-1920</t>
  </si>
  <si>
    <t>1906-1927</t>
  </si>
  <si>
    <t>1910-1918</t>
  </si>
  <si>
    <t>1944-1947</t>
  </si>
  <si>
    <t>1917-1929</t>
  </si>
  <si>
    <t>1911-1923</t>
  </si>
  <si>
    <t>1922-1929</t>
  </si>
  <si>
    <t>1906-1922;LaRue, 1925</t>
  </si>
  <si>
    <t>1906-1922; LaRue, 1925</t>
  </si>
  <si>
    <t>1916, 1928</t>
  </si>
  <si>
    <t>1922-1923</t>
  </si>
  <si>
    <t>1919-1929</t>
  </si>
  <si>
    <t>1936-1949</t>
  </si>
  <si>
    <t>1906-1907</t>
  </si>
  <si>
    <t>blw Palo Verde Dam</t>
  </si>
  <si>
    <t>2001-2020</t>
  </si>
  <si>
    <t>@ Potash</t>
  </si>
  <si>
    <t>2001-2019</t>
  </si>
  <si>
    <t>1912-1923</t>
  </si>
  <si>
    <t>1924-1929</t>
  </si>
  <si>
    <t>1910-1929</t>
  </si>
  <si>
    <t>1912-1929</t>
  </si>
  <si>
    <t>2010-2020</t>
  </si>
  <si>
    <t>2002-2019</t>
  </si>
  <si>
    <t>1930-1943</t>
  </si>
  <si>
    <t>2001-2003, 2006-2019</t>
  </si>
  <si>
    <t>2001-2018</t>
  </si>
  <si>
    <t>1921-1929</t>
  </si>
  <si>
    <t>1931-1949</t>
  </si>
  <si>
    <t>1914, 1920-1925</t>
  </si>
  <si>
    <t>1913-1925, 1928-1929</t>
  </si>
  <si>
    <t>21st century mean annual flow</t>
  </si>
  <si>
    <t>duration</t>
  </si>
  <si>
    <t>2001-2021</t>
  </si>
  <si>
    <t>@ Ouray</t>
  </si>
  <si>
    <t>1917-1924</t>
  </si>
  <si>
    <t>blw Ouray</t>
  </si>
  <si>
    <t>1914-1929</t>
  </si>
  <si>
    <t>2002-2021</t>
  </si>
  <si>
    <t>2016-2021</t>
  </si>
  <si>
    <t>2005-2021</t>
  </si>
  <si>
    <t>2001-2008, 2013-2021</t>
  </si>
  <si>
    <t>2007-2020</t>
  </si>
  <si>
    <t>2001-2003, 2007-2021</t>
  </si>
  <si>
    <t>@ Randlett</t>
  </si>
  <si>
    <t>2002-2013, 2015-2021</t>
  </si>
  <si>
    <t>nr Canyonlands National Park</t>
  </si>
  <si>
    <t>2015-2021</t>
  </si>
  <si>
    <t>nr Castle Dale</t>
  </si>
  <si>
    <t>1912-1914</t>
  </si>
  <si>
    <t>nr Orangeville</t>
  </si>
  <si>
    <t>1910-1920, 1922-1927</t>
  </si>
  <si>
    <t>Huntington Creek</t>
  </si>
  <si>
    <t>1912, 1914-1917</t>
  </si>
  <si>
    <t>nr Huntington</t>
  </si>
  <si>
    <t>1914-1917, 1922-1923, 1925, 1927-1929</t>
  </si>
  <si>
    <t>2001-2006</t>
  </si>
  <si>
    <t>nr Scofield</t>
  </si>
  <si>
    <t>1904-1906, 1911-1915</t>
  </si>
  <si>
    <t>North Fork White River</t>
  </si>
  <si>
    <t>1911-1915, 1920</t>
  </si>
  <si>
    <t>1904-1906</t>
  </si>
  <si>
    <t>1919-1920</t>
  </si>
  <si>
    <t>nr Myton</t>
  </si>
  <si>
    <t>combined flow Duchesne River + Duchesne Tunnel</t>
  </si>
  <si>
    <t>1918-1922</t>
  </si>
  <si>
    <t xml:space="preserve">Duchesne River </t>
  </si>
  <si>
    <t>2001-2003</t>
  </si>
  <si>
    <t>Wolf Creek</t>
  </si>
  <si>
    <t>Duchesne River (North Fork)</t>
  </si>
  <si>
    <t>Red Creek</t>
  </si>
  <si>
    <t>1919-1922</t>
  </si>
  <si>
    <t>@ Bridgeport</t>
  </si>
  <si>
    <t>@ Daniel</t>
  </si>
  <si>
    <t>1914-1918</t>
  </si>
  <si>
    <t>1913-1929</t>
  </si>
  <si>
    <t>North Piney Creek</t>
  </si>
  <si>
    <t>blw Fremont Lake</t>
  </si>
  <si>
    <t>1911-1912, 1916-1917</t>
  </si>
  <si>
    <t>nr Pinedale</t>
  </si>
  <si>
    <t>@ Pinedale</t>
  </si>
  <si>
    <t>1916-1929</t>
  </si>
  <si>
    <t>Pole Creek</t>
  </si>
  <si>
    <t>@ Fayette</t>
  </si>
  <si>
    <t>1905-1906</t>
  </si>
  <si>
    <t>Fall Creek</t>
  </si>
  <si>
    <t>nr Fayette</t>
  </si>
  <si>
    <t>Boulder Creek</t>
  </si>
  <si>
    <t>1904, 1915-1924</t>
  </si>
  <si>
    <t>1905-1906, 1915-1924</t>
  </si>
  <si>
    <t>@Green River</t>
  </si>
  <si>
    <t>1906, 1915-1929</t>
  </si>
  <si>
    <t>@ Diamondville</t>
  </si>
  <si>
    <t>nr Urie</t>
  </si>
  <si>
    <t>1914-1924</t>
  </si>
  <si>
    <t>@ Savery</t>
  </si>
  <si>
    <t>1916, 1919-1922</t>
  </si>
  <si>
    <t>2019-2021</t>
  </si>
  <si>
    <t>1928-1929</t>
  </si>
  <si>
    <t>2001-2011</t>
  </si>
  <si>
    <t>Coal Bed Canyon</t>
  </si>
  <si>
    <t>nr Dove Creek</t>
  </si>
  <si>
    <t>2002-2005</t>
  </si>
  <si>
    <t>2000-2016, 2018-2021</t>
  </si>
  <si>
    <t>1927-1929</t>
  </si>
  <si>
    <t>2001-2016, 2018, 2020-2021</t>
  </si>
  <si>
    <t>blw Mancos</t>
  </si>
  <si>
    <t>2007-2015</t>
  </si>
  <si>
    <t>Cherry Creek</t>
  </si>
  <si>
    <t>nr Red Mesa</t>
  </si>
  <si>
    <t>Florida River</t>
  </si>
  <si>
    <t>nr Durango</t>
  </si>
  <si>
    <t>1911, 1918-1924, 1927-1929</t>
  </si>
  <si>
    <t>Cascade Creek</t>
  </si>
  <si>
    <t>nr Rockwood</t>
  </si>
  <si>
    <t>2013-2021</t>
  </si>
  <si>
    <t>abv Tacoma</t>
  </si>
  <si>
    <t>2010-2021</t>
  </si>
  <si>
    <t>1921-1928</t>
  </si>
  <si>
    <t>Lightner Creek</t>
  </si>
  <si>
    <t>2009-2021</t>
  </si>
  <si>
    <t>Wilson Gulch</t>
  </si>
  <si>
    <t>2001-2002</t>
  </si>
  <si>
    <t>@La Plata</t>
  </si>
  <si>
    <t>2004-2015, 2017-2020</t>
  </si>
  <si>
    <t>2018-2021</t>
  </si>
  <si>
    <t>blw Aztec</t>
  </si>
  <si>
    <t>2004-2020</t>
  </si>
  <si>
    <t>@ Bloomfield</t>
  </si>
  <si>
    <t>South Creek</t>
  </si>
  <si>
    <t>nr Monticello</t>
  </si>
  <si>
    <t>2002-2008</t>
  </si>
  <si>
    <t>North Creek</t>
  </si>
  <si>
    <t>Recapture Creek</t>
  </si>
  <si>
    <t>nr Blanding</t>
  </si>
  <si>
    <t>2004-2006</t>
  </si>
  <si>
    <t>Deer Creek</t>
  </si>
  <si>
    <t>2002-2006</t>
  </si>
  <si>
    <t>@ Hite</t>
  </si>
  <si>
    <t>BA</t>
  </si>
  <si>
    <t>Havasu</t>
  </si>
  <si>
    <t>&gt; 1,000,000</t>
  </si>
  <si>
    <t>LaRue, 1916</t>
  </si>
  <si>
    <t>2001-2022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</si>
</sst>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_);\(0\)"/>
    <numFmt numFmtId="167" formatCode="0.0000"/>
    <numFmt numFmtId="168" formatCode="_(* #,##0.000_);_(* \(#,##0.000\);_(* &quot;-&quot;??_);_(@_)"/>
    <numFmt numFmtId="169" formatCode="_(* #,##0.0_);_(* \(#,##0.0\);_(* &quot;-&quot;??_);_(@_)"/>
    <numFmt numFmtId="170" formatCode="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darkGray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164" fontId="0" fillId="0" borderId="0" xfId="1" applyNumberFormat="1" applyFont="1" applyAlignment="1">
      <alignment wrapText="1"/>
    </xf>
    <xf numFmtId="164" fontId="0" fillId="0" borderId="0" xfId="1" applyNumberFormat="1" applyFont="1" applyAlignment="1"/>
    <xf numFmtId="0" fontId="0" fillId="0" borderId="1" xfId="0" applyBorder="1"/>
    <xf numFmtId="0" fontId="0" fillId="12" borderId="0" xfId="0" applyFill="1"/>
    <xf numFmtId="0" fontId="1" fillId="0" borderId="0" xfId="3" applyFill="1" applyBorder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43" fontId="3" fillId="0" borderId="0" xfId="0" applyNumberFormat="1" applyFont="1"/>
    <xf numFmtId="0" fontId="3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13" borderId="2" xfId="0" applyFill="1" applyBorder="1" applyAlignment="1">
      <alignment horizontal="center" wrapText="1"/>
    </xf>
    <xf numFmtId="0" fontId="0" fillId="15" borderId="0" xfId="0" applyFill="1" applyAlignment="1">
      <alignment horizontal="center" wrapText="1"/>
    </xf>
    <xf numFmtId="0" fontId="3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65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/>
    </xf>
    <xf numFmtId="9" fontId="0" fillId="0" borderId="0" xfId="0" applyNumberFormat="1"/>
    <xf numFmtId="164" fontId="0" fillId="0" borderId="1" xfId="1" applyNumberFormat="1" applyFont="1" applyBorder="1"/>
    <xf numFmtId="3" fontId="0" fillId="0" borderId="0" xfId="0" applyNumberFormat="1"/>
    <xf numFmtId="165" fontId="0" fillId="15" borderId="0" xfId="0" applyNumberFormat="1" applyFill="1" applyAlignment="1">
      <alignment horizontal="center" wrapText="1"/>
    </xf>
    <xf numFmtId="166" fontId="0" fillId="0" borderId="0" xfId="1" applyNumberFormat="1" applyFont="1"/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165" fontId="0" fillId="16" borderId="0" xfId="0" applyNumberFormat="1" applyFill="1" applyAlignment="1">
      <alignment horizontal="center" wrapText="1"/>
    </xf>
    <xf numFmtId="0" fontId="0" fillId="16" borderId="0" xfId="0" applyFill="1" applyAlignment="1">
      <alignment horizontal="center" wrapText="1"/>
    </xf>
    <xf numFmtId="0" fontId="3" fillId="0" borderId="0" xfId="0" applyFont="1" applyAlignment="1">
      <alignment horizontal="center"/>
    </xf>
    <xf numFmtId="1" fontId="0" fillId="0" borderId="0" xfId="4" applyNumberFormat="1" applyFont="1" applyFill="1" applyBorder="1"/>
    <xf numFmtId="0" fontId="1" fillId="0" borderId="0" xfId="11" applyFill="1"/>
    <xf numFmtId="0" fontId="1" fillId="0" borderId="0" xfId="2" applyFont="1" applyFill="1"/>
    <xf numFmtId="0" fontId="1" fillId="0" borderId="0" xfId="7" applyFill="1" applyBorder="1"/>
    <xf numFmtId="164" fontId="0" fillId="0" borderId="0" xfId="1" applyNumberFormat="1" applyFont="1" applyFill="1" applyBorder="1"/>
    <xf numFmtId="0" fontId="1" fillId="0" borderId="0" xfId="9" applyFill="1"/>
    <xf numFmtId="2" fontId="0" fillId="0" borderId="0" xfId="0" applyNumberFormat="1"/>
    <xf numFmtId="15" fontId="0" fillId="0" borderId="0" xfId="0" applyNumberFormat="1"/>
    <xf numFmtId="165" fontId="7" fillId="0" borderId="0" xfId="0" applyNumberFormat="1" applyFont="1"/>
    <xf numFmtId="164" fontId="3" fillId="0" borderId="0" xfId="0" applyNumberFormat="1" applyFont="1"/>
    <xf numFmtId="1" fontId="0" fillId="0" borderId="0" xfId="1" applyNumberFormat="1" applyFont="1"/>
    <xf numFmtId="164" fontId="0" fillId="0" borderId="0" xfId="1" applyNumberFormat="1" applyFont="1" applyAlignment="1">
      <alignment horizontal="center" wrapText="1"/>
    </xf>
    <xf numFmtId="164" fontId="0" fillId="0" borderId="0" xfId="1" applyNumberFormat="1" applyFont="1" applyFill="1" applyAlignment="1"/>
    <xf numFmtId="164" fontId="0" fillId="0" borderId="0" xfId="1" applyNumberFormat="1" applyFont="1" applyFill="1"/>
    <xf numFmtId="0" fontId="1" fillId="0" borderId="0" xfId="5" applyFill="1" applyBorder="1"/>
    <xf numFmtId="167" fontId="0" fillId="0" borderId="0" xfId="0" applyNumberFormat="1"/>
    <xf numFmtId="0" fontId="0" fillId="19" borderId="0" xfId="0" applyFill="1"/>
    <xf numFmtId="0" fontId="0" fillId="19" borderId="0" xfId="0" quotePrefix="1" applyFill="1"/>
    <xf numFmtId="0" fontId="0" fillId="21" borderId="0" xfId="0" applyFill="1"/>
    <xf numFmtId="0" fontId="0" fillId="21" borderId="0" xfId="0" quotePrefix="1" applyFill="1"/>
    <xf numFmtId="2" fontId="0" fillId="0" borderId="0" xfId="0" applyNumberFormat="1" applyAlignment="1">
      <alignment horizontal="center" vertical="center"/>
    </xf>
    <xf numFmtId="0" fontId="0" fillId="12" borderId="0" xfId="0" quotePrefix="1" applyFill="1"/>
    <xf numFmtId="2" fontId="0" fillId="18" borderId="0" xfId="0" applyNumberFormat="1" applyFill="1" applyAlignment="1">
      <alignment horizontal="center"/>
    </xf>
    <xf numFmtId="165" fontId="0" fillId="0" borderId="0" xfId="6" applyNumberFormat="1" applyFont="1" applyFill="1" applyAlignment="1">
      <alignment horizontal="center"/>
    </xf>
    <xf numFmtId="1" fontId="0" fillId="0" borderId="0" xfId="4" applyNumberFormat="1" applyFont="1" applyFill="1"/>
    <xf numFmtId="0" fontId="1" fillId="0" borderId="0" xfId="7" applyFill="1"/>
    <xf numFmtId="0" fontId="0" fillId="0" borderId="1" xfId="0" applyBorder="1" applyAlignment="1">
      <alignment horizontal="center"/>
    </xf>
    <xf numFmtId="41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168" fontId="0" fillId="0" borderId="0" xfId="0" applyNumberFormat="1"/>
    <xf numFmtId="2" fontId="0" fillId="17" borderId="0" xfId="0" applyNumberFormat="1" applyFill="1" applyAlignment="1">
      <alignment horizontal="center"/>
    </xf>
    <xf numFmtId="2" fontId="0" fillId="14" borderId="0" xfId="0" applyNumberFormat="1" applyFill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19" borderId="0" xfId="0" applyNumberFormat="1" applyFill="1" applyAlignment="1">
      <alignment horizontal="center"/>
    </xf>
    <xf numFmtId="43" fontId="0" fillId="0" borderId="0" xfId="0" applyNumberFormat="1" applyAlignment="1">
      <alignment horizontal="center"/>
    </xf>
    <xf numFmtId="2" fontId="0" fillId="21" borderId="0" xfId="0" applyNumberFormat="1" applyFill="1" applyAlignment="1">
      <alignment horizontal="center"/>
    </xf>
    <xf numFmtId="43" fontId="0" fillId="19" borderId="0" xfId="0" applyNumberFormat="1" applyFill="1" applyAlignment="1">
      <alignment horizontal="center" vertical="center"/>
    </xf>
    <xf numFmtId="43" fontId="0" fillId="21" borderId="0" xfId="0" applyNumberFormat="1" applyFill="1" applyAlignment="1">
      <alignment horizontal="center" vertical="center"/>
    </xf>
    <xf numFmtId="43" fontId="0" fillId="0" borderId="0" xfId="0" applyNumberFormat="1" applyAlignment="1">
      <alignment wrapText="1"/>
    </xf>
    <xf numFmtId="0" fontId="0" fillId="13" borderId="0" xfId="0" applyFill="1"/>
    <xf numFmtId="2" fontId="0" fillId="12" borderId="0" xfId="0" applyNumberFormat="1" applyFill="1" applyAlignment="1">
      <alignment horizontal="center" vertical="center"/>
    </xf>
    <xf numFmtId="2" fontId="0" fillId="21" borderId="0" xfId="0" applyNumberFormat="1" applyFill="1" applyAlignment="1">
      <alignment horizontal="center" vertical="center"/>
    </xf>
    <xf numFmtId="43" fontId="0" fillId="0" borderId="0" xfId="1" applyFont="1"/>
    <xf numFmtId="169" fontId="0" fillId="0" borderId="0" xfId="1" applyNumberFormat="1" applyFont="1" applyAlignment="1">
      <alignment wrapText="1"/>
    </xf>
    <xf numFmtId="2" fontId="0" fillId="18" borderId="0" xfId="0" applyNumberFormat="1" applyFill="1" applyAlignment="1">
      <alignment horizontal="center" vertical="center"/>
    </xf>
    <xf numFmtId="0" fontId="2" fillId="0" borderId="0" xfId="2" applyFill="1"/>
    <xf numFmtId="2" fontId="9" fillId="22" borderId="0" xfId="0" applyNumberFormat="1" applyFont="1" applyFill="1" applyAlignment="1">
      <alignment horizontal="center"/>
    </xf>
    <xf numFmtId="165" fontId="0" fillId="0" borderId="0" xfId="4" applyNumberFormat="1" applyFont="1" applyFill="1" applyBorder="1"/>
    <xf numFmtId="43" fontId="0" fillId="12" borderId="0" xfId="0" applyNumberFormat="1" applyFill="1" applyAlignment="1">
      <alignment horizontal="center" vertical="center"/>
    </xf>
    <xf numFmtId="43" fontId="0" fillId="18" borderId="0" xfId="0" applyNumberFormat="1" applyFill="1" applyAlignment="1">
      <alignment horizontal="center" vertical="center"/>
    </xf>
    <xf numFmtId="2" fontId="9" fillId="20" borderId="0" xfId="0" applyNumberFormat="1" applyFont="1" applyFill="1" applyAlignment="1">
      <alignment horizontal="center" vertical="center"/>
    </xf>
    <xf numFmtId="43" fontId="0" fillId="14" borderId="0" xfId="0" applyNumberFormat="1" applyFill="1" applyAlignment="1">
      <alignment horizontal="center" vertical="center"/>
    </xf>
    <xf numFmtId="2" fontId="0" fillId="17" borderId="0" xfId="0" applyNumberFormat="1" applyFill="1" applyAlignment="1">
      <alignment horizontal="center" vertical="center"/>
    </xf>
    <xf numFmtId="2" fontId="9" fillId="23" borderId="0" xfId="0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43" fontId="0" fillId="0" borderId="0" xfId="0" applyNumberFormat="1" applyAlignment="1">
      <alignment horizontal="center" wrapText="1"/>
    </xf>
    <xf numFmtId="43" fontId="0" fillId="12" borderId="0" xfId="0" applyNumberFormat="1" applyFill="1" applyAlignment="1">
      <alignment vertical="center"/>
    </xf>
    <xf numFmtId="170" fontId="0" fillId="18" borderId="0" xfId="0" applyNumberFormat="1" applyFill="1" applyAlignment="1">
      <alignment horizontal="center"/>
    </xf>
    <xf numFmtId="43" fontId="0" fillId="14" borderId="0" xfId="0" applyNumberFormat="1" applyFill="1" applyAlignment="1">
      <alignment horizontal="center"/>
    </xf>
    <xf numFmtId="0" fontId="1" fillId="0" borderId="0" xfId="9" applyFill="1" applyBorder="1"/>
    <xf numFmtId="1" fontId="0" fillId="21" borderId="0" xfId="0" applyNumberFormat="1" applyFill="1" applyAlignment="1">
      <alignment horizontal="center"/>
    </xf>
    <xf numFmtId="1" fontId="0" fillId="17" borderId="0" xfId="0" applyNumberFormat="1" applyFill="1" applyAlignment="1">
      <alignment horizontal="center"/>
    </xf>
    <xf numFmtId="0" fontId="0" fillId="17" borderId="0" xfId="0" applyFill="1"/>
    <xf numFmtId="1" fontId="0" fillId="14" borderId="0" xfId="0" applyNumberFormat="1" applyFill="1" applyAlignment="1">
      <alignment horizontal="center"/>
    </xf>
    <xf numFmtId="0" fontId="0" fillId="14" borderId="0" xfId="0" applyFill="1"/>
    <xf numFmtId="0" fontId="1" fillId="0" borderId="2" xfId="9" applyFill="1" applyBorder="1"/>
    <xf numFmtId="1" fontId="0" fillId="12" borderId="0" xfId="0" applyNumberForma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0" fillId="18" borderId="0" xfId="0" applyFill="1"/>
    <xf numFmtId="1" fontId="0" fillId="18" borderId="0" xfId="0" applyNumberFormat="1" applyFill="1" applyAlignment="1">
      <alignment horizontal="center"/>
    </xf>
    <xf numFmtId="0" fontId="0" fillId="18" borderId="0" xfId="0" quotePrefix="1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quotePrefix="1" applyFill="1"/>
    <xf numFmtId="165" fontId="0" fillId="0" borderId="0" xfId="4" applyNumberFormat="1" applyFont="1" applyFill="1"/>
    <xf numFmtId="0" fontId="1" fillId="0" borderId="0" xfId="10" applyFill="1"/>
    <xf numFmtId="0" fontId="1" fillId="0" borderId="2" xfId="7" applyFill="1" applyBorder="1"/>
    <xf numFmtId="43" fontId="0" fillId="0" borderId="0" xfId="0" applyNumberFormat="1" applyAlignment="1">
      <alignment horizontal="center" vertical="center"/>
    </xf>
    <xf numFmtId="0" fontId="0" fillId="14" borderId="0" xfId="0" quotePrefix="1" applyFill="1"/>
    <xf numFmtId="0" fontId="0" fillId="21" borderId="0" xfId="0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22" borderId="0" xfId="0" applyFont="1" applyFill="1" applyAlignment="1">
      <alignment horizontal="center"/>
    </xf>
    <xf numFmtId="0" fontId="9" fillId="22" borderId="0" xfId="0" applyFont="1" applyFill="1"/>
    <xf numFmtId="0" fontId="9" fillId="22" borderId="0" xfId="0" quotePrefix="1" applyFont="1" applyFill="1"/>
    <xf numFmtId="0" fontId="0" fillId="12" borderId="0" xfId="0" applyFill="1" applyAlignment="1">
      <alignment horizontal="center"/>
    </xf>
    <xf numFmtId="2" fontId="9" fillId="0" borderId="0" xfId="0" applyNumberFormat="1" applyFont="1" applyAlignment="1">
      <alignment horizontal="center" vertical="center"/>
    </xf>
    <xf numFmtId="43" fontId="0" fillId="0" borderId="0" xfId="1" applyFont="1" applyFill="1" applyAlignment="1"/>
    <xf numFmtId="169" fontId="0" fillId="0" borderId="0" xfId="1" applyNumberFormat="1" applyFont="1" applyAlignment="1"/>
    <xf numFmtId="43" fontId="0" fillId="0" borderId="0" xfId="1" applyFont="1" applyAlignment="1"/>
    <xf numFmtId="3" fontId="0" fillId="0" borderId="0" xfId="0" applyNumberFormat="1" applyAlignment="1">
      <alignment horizontal="center"/>
    </xf>
    <xf numFmtId="1" fontId="0" fillId="24" borderId="0" xfId="0" applyNumberFormat="1" applyFill="1" applyAlignment="1">
      <alignment horizontal="center"/>
    </xf>
    <xf numFmtId="0" fontId="0" fillId="24" borderId="0" xfId="0" applyFill="1"/>
    <xf numFmtId="164" fontId="0" fillId="24" borderId="0" xfId="1" applyNumberFormat="1" applyFont="1" applyFill="1" applyAlignment="1"/>
    <xf numFmtId="0" fontId="0" fillId="24" borderId="0" xfId="0" applyFill="1" applyAlignment="1">
      <alignment horizontal="center" wrapText="1"/>
    </xf>
    <xf numFmtId="164" fontId="0" fillId="24" borderId="0" xfId="1" applyNumberFormat="1" applyFont="1" applyFill="1"/>
    <xf numFmtId="43" fontId="0" fillId="24" borderId="0" xfId="0" applyNumberFormat="1" applyFill="1"/>
    <xf numFmtId="0" fontId="0" fillId="24" borderId="0" xfId="0" applyFill="1" applyAlignment="1">
      <alignment horizontal="center" vertical="center"/>
    </xf>
    <xf numFmtId="0" fontId="0" fillId="24" borderId="0" xfId="0" applyFill="1" applyAlignment="1">
      <alignment horizontal="center"/>
    </xf>
    <xf numFmtId="164" fontId="0" fillId="24" borderId="0" xfId="0" applyNumberFormat="1" applyFill="1"/>
    <xf numFmtId="164" fontId="0" fillId="24" borderId="0" xfId="0" applyNumberFormat="1" applyFill="1" applyAlignment="1">
      <alignment horizontal="center" vertical="center"/>
    </xf>
    <xf numFmtId="1" fontId="0" fillId="14" borderId="2" xfId="0" applyNumberFormat="1" applyFill="1" applyBorder="1" applyAlignment="1">
      <alignment horizontal="center"/>
    </xf>
    <xf numFmtId="0" fontId="0" fillId="14" borderId="3" xfId="0" applyFill="1" applyBorder="1"/>
    <xf numFmtId="0" fontId="0" fillId="14" borderId="4" xfId="0" applyFill="1" applyBorder="1"/>
    <xf numFmtId="1" fontId="0" fillId="18" borderId="2" xfId="0" applyNumberFormat="1" applyFill="1" applyBorder="1" applyAlignment="1">
      <alignment horizontal="center"/>
    </xf>
    <xf numFmtId="0" fontId="0" fillId="18" borderId="3" xfId="0" applyFill="1" applyBorder="1"/>
    <xf numFmtId="0" fontId="0" fillId="18" borderId="4" xfId="0" applyFill="1" applyBorder="1"/>
    <xf numFmtId="1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165" fontId="1" fillId="0" borderId="0" xfId="8" applyNumberFormat="1" applyFill="1" applyBorder="1"/>
    <xf numFmtId="1" fontId="0" fillId="17" borderId="2" xfId="0" applyNumberFormat="1" applyFill="1" applyBorder="1" applyAlignment="1">
      <alignment horizontal="center"/>
    </xf>
    <xf numFmtId="0" fontId="0" fillId="17" borderId="3" xfId="0" applyFill="1" applyBorder="1"/>
    <xf numFmtId="0" fontId="0" fillId="17" borderId="4" xfId="0" applyFill="1" applyBorder="1"/>
    <xf numFmtId="0" fontId="1" fillId="0" borderId="0" xfId="11" applyFill="1" applyBorder="1"/>
    <xf numFmtId="1" fontId="0" fillId="19" borderId="2" xfId="0" applyNumberFormat="1" applyFill="1" applyBorder="1" applyAlignment="1">
      <alignment horizontal="center"/>
    </xf>
    <xf numFmtId="0" fontId="0" fillId="19" borderId="3" xfId="0" applyFill="1" applyBorder="1"/>
    <xf numFmtId="0" fontId="0" fillId="19" borderId="4" xfId="0" applyFill="1" applyBorder="1"/>
    <xf numFmtId="164" fontId="0" fillId="0" borderId="0" xfId="1" applyNumberFormat="1" applyFont="1" applyFill="1" applyAlignment="1">
      <alignment wrapText="1"/>
    </xf>
    <xf numFmtId="1" fontId="0" fillId="19" borderId="0" xfId="0" applyNumberFormat="1" applyFill="1" applyAlignment="1">
      <alignment horizontal="center"/>
    </xf>
    <xf numFmtId="0" fontId="1" fillId="24" borderId="0" xfId="9" applyFill="1"/>
    <xf numFmtId="2" fontId="0" fillId="21" borderId="0" xfId="0" applyNumberFormat="1" applyFill="1" applyAlignment="1">
      <alignment horizontal="center" vertical="center"/>
    </xf>
    <xf numFmtId="43" fontId="0" fillId="14" borderId="0" xfId="0" applyNumberFormat="1" applyFill="1" applyAlignment="1">
      <alignment horizontal="center" vertical="center"/>
    </xf>
    <xf numFmtId="2" fontId="0" fillId="17" borderId="0" xfId="0" applyNumberFormat="1" applyFill="1" applyAlignment="1">
      <alignment horizontal="center" vertical="center"/>
    </xf>
    <xf numFmtId="2" fontId="0" fillId="18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165" fontId="9" fillId="22" borderId="0" xfId="0" applyNumberFormat="1" applyFont="1" applyFill="1" applyAlignment="1">
      <alignment horizontal="center" vertical="center"/>
    </xf>
    <xf numFmtId="2" fontId="0" fillId="19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12" borderId="0" xfId="0" applyNumberFormat="1" applyFill="1" applyAlignment="1">
      <alignment horizontal="center" vertical="center"/>
    </xf>
    <xf numFmtId="2" fontId="9" fillId="20" borderId="0" xfId="0" applyNumberFormat="1" applyFont="1" applyFill="1" applyAlignment="1">
      <alignment horizontal="center" vertical="center"/>
    </xf>
  </cellXfs>
  <cellStyles count="12">
    <cellStyle name="20% - Accent2" xfId="4" builtinId="34"/>
    <cellStyle name="20% - Accent3" xfId="6" builtinId="38"/>
    <cellStyle name="20% - Accent4" xfId="8" builtinId="42"/>
    <cellStyle name="20% - Accent5" xfId="10" builtinId="46"/>
    <cellStyle name="20% - Accent6" xfId="11" builtinId="50"/>
    <cellStyle name="40% - Accent1" xfId="3" builtinId="31"/>
    <cellStyle name="40% - Accent2" xfId="5" builtinId="35"/>
    <cellStyle name="40% - Accent3" xfId="7" builtinId="39"/>
    <cellStyle name="40% - Accent4" xfId="9" builtinId="43"/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84ABB-D4E3-2443-9441-52F66F7C26C6}">
  <dimension ref="A1:W313"/>
  <sheetViews>
    <sheetView tabSelected="1" workbookViewId="0">
      <pane xSplit="13780" ySplit="1780" topLeftCell="Q88" activePane="bottomLeft"/>
      <selection activeCell="C1" sqref="C1"/>
      <selection pane="topRight" activeCell="S1" sqref="S1"/>
      <selection pane="bottomLeft" activeCell="O98" sqref="O98"/>
      <selection pane="bottomRight" activeCell="T98" sqref="T98:T99"/>
    </sheetView>
  </sheetViews>
  <sheetFormatPr baseColWidth="10" defaultRowHeight="16" x14ac:dyDescent="0.2"/>
  <cols>
    <col min="1" max="1" width="10.33203125" style="2" customWidth="1"/>
    <col min="2" max="2" width="24.6640625" customWidth="1"/>
    <col min="3" max="3" width="26.33203125" customWidth="1"/>
    <col min="4" max="4" width="13" style="4" customWidth="1"/>
    <col min="7" max="7" width="2" customWidth="1"/>
    <col min="8" max="8" width="13" bestFit="1" customWidth="1"/>
    <col min="9" max="9" width="2.1640625" customWidth="1"/>
    <col min="11" max="11" width="13" bestFit="1" customWidth="1"/>
    <col min="12" max="12" width="13" customWidth="1"/>
    <col min="13" max="13" width="14" bestFit="1" customWidth="1"/>
    <col min="14" max="14" width="11.5" customWidth="1"/>
    <col min="15" max="15" width="14" bestFit="1" customWidth="1"/>
    <col min="16" max="16" width="11.5" bestFit="1" customWidth="1"/>
    <col min="17" max="17" width="15" style="8" bestFit="1" customWidth="1"/>
    <col min="18" max="18" width="2" style="134" customWidth="1"/>
    <col min="19" max="19" width="9.33203125" style="25" customWidth="1"/>
    <col min="20" max="20" width="10" style="14" customWidth="1"/>
    <col min="21" max="21" width="10.5" style="14" customWidth="1"/>
  </cols>
  <sheetData>
    <row r="1" spans="1:23" ht="68" x14ac:dyDescent="0.2">
      <c r="D1" s="3" t="s">
        <v>7</v>
      </c>
      <c r="E1" s="1" t="s">
        <v>474</v>
      </c>
      <c r="F1" s="1" t="s">
        <v>475</v>
      </c>
      <c r="H1" s="1" t="s">
        <v>38</v>
      </c>
      <c r="J1" s="1" t="s">
        <v>298</v>
      </c>
      <c r="K1" s="1" t="s">
        <v>440</v>
      </c>
      <c r="L1" s="1" t="s">
        <v>441</v>
      </c>
      <c r="M1" s="1" t="s">
        <v>391</v>
      </c>
      <c r="N1" s="1" t="s">
        <v>392</v>
      </c>
      <c r="O1" s="1" t="s">
        <v>393</v>
      </c>
      <c r="P1" s="1" t="s">
        <v>394</v>
      </c>
      <c r="Q1" s="47" t="s">
        <v>305</v>
      </c>
      <c r="R1" s="136"/>
      <c r="S1" s="1" t="s">
        <v>397</v>
      </c>
      <c r="T1" s="1" t="s">
        <v>390</v>
      </c>
      <c r="U1" s="1" t="s">
        <v>396</v>
      </c>
    </row>
    <row r="2" spans="1:23" x14ac:dyDescent="0.2">
      <c r="D2" s="3"/>
      <c r="E2" s="1"/>
      <c r="F2" s="1"/>
      <c r="H2" s="1"/>
    </row>
    <row r="3" spans="1:23" ht="17" x14ac:dyDescent="0.2">
      <c r="A3" s="14">
        <v>9010500</v>
      </c>
      <c r="B3" t="s">
        <v>48</v>
      </c>
      <c r="C3" t="s">
        <v>101</v>
      </c>
      <c r="D3" s="3">
        <v>63.8</v>
      </c>
      <c r="E3" s="1">
        <v>67.599999999999994</v>
      </c>
      <c r="F3" s="1" t="s">
        <v>476</v>
      </c>
      <c r="H3" s="8">
        <f>ROUND(E3*723.968,-2)</f>
        <v>48900</v>
      </c>
      <c r="J3" s="10">
        <f>H3/100000/2</f>
        <v>0.2445</v>
      </c>
      <c r="K3" s="10"/>
      <c r="L3" s="10"/>
      <c r="M3" s="10"/>
      <c r="N3" s="10"/>
    </row>
    <row r="4" spans="1:23" x14ac:dyDescent="0.2">
      <c r="A4" s="14">
        <v>9011000</v>
      </c>
      <c r="B4" t="s">
        <v>48</v>
      </c>
      <c r="C4" t="s">
        <v>101</v>
      </c>
      <c r="D4" s="3">
        <v>102</v>
      </c>
      <c r="E4" s="1"/>
      <c r="F4" s="1"/>
      <c r="J4" s="10"/>
      <c r="K4" s="10"/>
      <c r="L4" s="10"/>
      <c r="M4" s="9">
        <f>ROUND(103678,-3)</f>
        <v>104000</v>
      </c>
      <c r="N4" s="9" t="s">
        <v>383</v>
      </c>
      <c r="O4" s="8">
        <f>ROUND(53406,-2)</f>
        <v>53400</v>
      </c>
      <c r="P4" s="8" t="s">
        <v>384</v>
      </c>
      <c r="Q4" s="8">
        <f>ROUND(70850,-2)</f>
        <v>70900</v>
      </c>
      <c r="R4" s="141"/>
      <c r="S4" s="67"/>
    </row>
    <row r="5" spans="1:23" ht="17" x14ac:dyDescent="0.2">
      <c r="A5" s="14">
        <v>9022000</v>
      </c>
      <c r="B5" t="s">
        <v>102</v>
      </c>
      <c r="C5" t="s">
        <v>103</v>
      </c>
      <c r="D5" s="84">
        <v>10.5</v>
      </c>
      <c r="E5" s="1">
        <v>13.1</v>
      </c>
      <c r="F5" s="1" t="s">
        <v>476</v>
      </c>
      <c r="H5" s="8">
        <f>ROUND(E5*723.968,-1)</f>
        <v>9480</v>
      </c>
      <c r="J5" s="10">
        <f t="shared" ref="J5:J11" si="0">H5/100000/2</f>
        <v>4.7399999999999998E-2</v>
      </c>
      <c r="K5" s="10"/>
      <c r="L5" s="10"/>
      <c r="M5" s="10"/>
      <c r="N5" s="10"/>
      <c r="W5" s="80" t="s">
        <v>415</v>
      </c>
    </row>
    <row r="6" spans="1:23" ht="17" x14ac:dyDescent="0.2">
      <c r="A6" s="14">
        <v>9024000</v>
      </c>
      <c r="B6" t="s">
        <v>102</v>
      </c>
      <c r="C6" s="13" t="s">
        <v>104</v>
      </c>
      <c r="D6" s="3">
        <v>27.6</v>
      </c>
      <c r="E6" s="1">
        <v>18.5</v>
      </c>
      <c r="F6" s="1" t="s">
        <v>476</v>
      </c>
      <c r="H6" s="8">
        <f>ROUND(E6*723.968,-2)</f>
        <v>13400</v>
      </c>
      <c r="J6" s="10">
        <f t="shared" si="0"/>
        <v>6.7000000000000004E-2</v>
      </c>
      <c r="K6" s="10"/>
      <c r="L6" s="10"/>
      <c r="M6" s="9">
        <f>ROUND(33821,-2)</f>
        <v>33800</v>
      </c>
      <c r="N6" s="9" t="s">
        <v>382</v>
      </c>
      <c r="O6" s="8">
        <f>ROUND(17188,-2)</f>
        <v>17200</v>
      </c>
      <c r="P6" s="8" t="s">
        <v>380</v>
      </c>
      <c r="Q6" s="8">
        <f>ROUND(15070,-2)</f>
        <v>15100</v>
      </c>
      <c r="R6" s="141"/>
      <c r="S6" s="77">
        <f>H6/M6</f>
        <v>0.39644970414201186</v>
      </c>
      <c r="T6" s="58">
        <f>H6/O6</f>
        <v>0.77906976744186052</v>
      </c>
      <c r="U6" s="71">
        <f>H6/Q6</f>
        <v>0.88741721854304634</v>
      </c>
      <c r="W6" s="80" t="s">
        <v>416</v>
      </c>
    </row>
    <row r="7" spans="1:23" ht="17" x14ac:dyDescent="0.2">
      <c r="A7" s="14">
        <v>9025000</v>
      </c>
      <c r="B7" t="s">
        <v>110</v>
      </c>
      <c r="C7" s="13" t="s">
        <v>104</v>
      </c>
      <c r="D7" s="3">
        <v>27.9</v>
      </c>
      <c r="E7" s="1">
        <v>18.2</v>
      </c>
      <c r="F7" s="1" t="s">
        <v>476</v>
      </c>
      <c r="H7" s="8">
        <f>ROUND(E7*723.968,-2)</f>
        <v>13200</v>
      </c>
      <c r="J7" s="10">
        <f t="shared" si="0"/>
        <v>6.6000000000000003E-2</v>
      </c>
      <c r="K7" s="10"/>
      <c r="L7" s="10"/>
      <c r="M7" s="10"/>
      <c r="N7" s="10"/>
      <c r="O7" s="8">
        <f>ROUND(12626,-2)</f>
        <v>12600</v>
      </c>
      <c r="P7" s="8" t="s">
        <v>381</v>
      </c>
      <c r="T7" s="87">
        <f>H7/O7</f>
        <v>1.0476190476190477</v>
      </c>
    </row>
    <row r="8" spans="1:23" ht="17" x14ac:dyDescent="0.2">
      <c r="A8" s="14">
        <v>9025300</v>
      </c>
      <c r="B8" t="s">
        <v>109</v>
      </c>
      <c r="C8" s="13" t="s">
        <v>106</v>
      </c>
      <c r="D8" s="3">
        <v>1.67</v>
      </c>
      <c r="E8" s="1">
        <v>1.3</v>
      </c>
      <c r="F8" s="1" t="s">
        <v>476</v>
      </c>
      <c r="H8" s="8">
        <f>E8*723.968</f>
        <v>941.15840000000003</v>
      </c>
      <c r="J8" s="70">
        <f t="shared" si="0"/>
        <v>4.7057920000000003E-3</v>
      </c>
      <c r="K8" s="70"/>
      <c r="L8" s="70"/>
      <c r="M8" s="10"/>
      <c r="N8" s="10"/>
    </row>
    <row r="9" spans="1:23" ht="17" x14ac:dyDescent="0.2">
      <c r="A9" s="14">
        <v>9026500</v>
      </c>
      <c r="B9" t="s">
        <v>108</v>
      </c>
      <c r="C9" s="13" t="s">
        <v>106</v>
      </c>
      <c r="D9" s="3">
        <v>32.9</v>
      </c>
      <c r="E9" s="1">
        <v>22.3</v>
      </c>
      <c r="F9" s="1" t="s">
        <v>476</v>
      </c>
      <c r="H9" s="8">
        <f>ROUND(E9*723.968,-2)</f>
        <v>16100</v>
      </c>
      <c r="J9" s="10">
        <f t="shared" si="0"/>
        <v>8.0500000000000002E-2</v>
      </c>
      <c r="K9" s="10"/>
      <c r="L9" s="10"/>
      <c r="M9" s="10"/>
      <c r="N9" s="10"/>
      <c r="O9" s="8">
        <f>ROUND(26739,-2)</f>
        <v>26700</v>
      </c>
      <c r="P9" s="8" t="s">
        <v>381</v>
      </c>
      <c r="Q9" s="8">
        <f>ROUND(17020,-2)</f>
        <v>17000</v>
      </c>
      <c r="R9" s="141"/>
      <c r="S9" s="67"/>
      <c r="T9" s="73">
        <f>H9/O9</f>
        <v>0.60299625468164797</v>
      </c>
      <c r="U9" s="87">
        <f>H9/Q9</f>
        <v>0.94705882352941173</v>
      </c>
    </row>
    <row r="10" spans="1:23" ht="17" x14ac:dyDescent="0.2">
      <c r="A10" s="14">
        <v>9032000</v>
      </c>
      <c r="B10" t="s">
        <v>107</v>
      </c>
      <c r="C10" s="13" t="s">
        <v>106</v>
      </c>
      <c r="D10" s="3">
        <v>20</v>
      </c>
      <c r="E10" s="1">
        <v>13.4</v>
      </c>
      <c r="F10" s="1" t="s">
        <v>476</v>
      </c>
      <c r="H10" s="8">
        <f>ROUND(E10*723.968,-1)</f>
        <v>9700</v>
      </c>
      <c r="J10" s="10">
        <f t="shared" si="0"/>
        <v>4.8500000000000001E-2</v>
      </c>
      <c r="K10" s="10"/>
      <c r="L10" s="10"/>
      <c r="M10" s="10"/>
      <c r="N10" s="10"/>
      <c r="O10" s="8">
        <f>ROUND(15165,-2)</f>
        <v>15200</v>
      </c>
      <c r="P10" s="8" t="s">
        <v>385</v>
      </c>
      <c r="T10" s="73">
        <f>H10/O10</f>
        <v>0.63815789473684215</v>
      </c>
    </row>
    <row r="11" spans="1:23" ht="17" x14ac:dyDescent="0.2">
      <c r="A11" s="14">
        <v>9032100</v>
      </c>
      <c r="B11" t="s">
        <v>105</v>
      </c>
      <c r="C11" s="13" t="s">
        <v>106</v>
      </c>
      <c r="D11" s="3">
        <v>4.8600000000000003</v>
      </c>
      <c r="E11" s="1">
        <v>5.3</v>
      </c>
      <c r="F11" s="1" t="s">
        <v>476</v>
      </c>
      <c r="H11" s="8">
        <f>ROUND(E11*723.968,-1)</f>
        <v>3840</v>
      </c>
      <c r="J11" s="10">
        <f t="shared" si="0"/>
        <v>1.9199999999999998E-2</v>
      </c>
      <c r="K11" s="10"/>
      <c r="L11" s="10"/>
      <c r="M11" s="10"/>
      <c r="N11" s="10"/>
    </row>
    <row r="12" spans="1:23" x14ac:dyDescent="0.2">
      <c r="A12" s="14">
        <v>9034000</v>
      </c>
      <c r="B12" t="s">
        <v>102</v>
      </c>
      <c r="C12" s="13" t="s">
        <v>299</v>
      </c>
      <c r="D12" s="3">
        <v>297</v>
      </c>
      <c r="E12" s="1"/>
      <c r="F12" s="1"/>
      <c r="H12" s="8"/>
      <c r="J12" s="10"/>
      <c r="K12" s="10"/>
      <c r="L12" s="10"/>
      <c r="M12" s="9">
        <f>ROUND(157695,-3)</f>
        <v>158000</v>
      </c>
      <c r="N12" s="10" t="s">
        <v>386</v>
      </c>
      <c r="O12" s="8">
        <f>ROUND(113494,-3)</f>
        <v>113000</v>
      </c>
      <c r="P12" s="8" t="s">
        <v>387</v>
      </c>
      <c r="Q12" s="8">
        <f>ROUND(124600,-3)</f>
        <v>125000</v>
      </c>
      <c r="R12" s="141"/>
      <c r="S12" s="67"/>
    </row>
    <row r="13" spans="1:23" ht="17" x14ac:dyDescent="0.2">
      <c r="A13" s="14">
        <v>9034250</v>
      </c>
      <c r="B13" t="s">
        <v>48</v>
      </c>
      <c r="C13" s="13" t="s">
        <v>73</v>
      </c>
      <c r="D13" s="3">
        <v>788</v>
      </c>
      <c r="E13" s="1">
        <v>242.3</v>
      </c>
      <c r="F13" s="1" t="s">
        <v>476</v>
      </c>
      <c r="H13" s="8">
        <f>ROUND(E13*723.968,-3)</f>
        <v>175000</v>
      </c>
      <c r="J13" s="10">
        <f>H13/100000/2</f>
        <v>0.875</v>
      </c>
      <c r="K13" s="10"/>
      <c r="L13" s="10"/>
      <c r="M13" s="10"/>
      <c r="N13" s="10"/>
      <c r="U13" s="168">
        <f>H13/Q14</f>
        <v>0.98870056497175141</v>
      </c>
    </row>
    <row r="14" spans="1:23" x14ac:dyDescent="0.2">
      <c r="A14" s="14">
        <v>9034500</v>
      </c>
      <c r="B14" t="s">
        <v>48</v>
      </c>
      <c r="C14" s="13" t="s">
        <v>304</v>
      </c>
      <c r="D14" s="3">
        <v>825</v>
      </c>
      <c r="E14" s="1"/>
      <c r="F14" s="1"/>
      <c r="H14" s="8"/>
      <c r="J14" s="10"/>
      <c r="K14" s="10"/>
      <c r="L14" s="10"/>
      <c r="M14" s="10"/>
      <c r="N14" s="10"/>
      <c r="Q14" s="8">
        <f>ROUND(176800,-3)</f>
        <v>177000</v>
      </c>
      <c r="R14" s="141"/>
      <c r="S14" s="67"/>
      <c r="U14" s="168"/>
    </row>
    <row r="15" spans="1:23" ht="17" x14ac:dyDescent="0.2">
      <c r="A15" s="14">
        <v>9034900</v>
      </c>
      <c r="B15" t="s">
        <v>111</v>
      </c>
      <c r="C15" s="13" t="s">
        <v>112</v>
      </c>
      <c r="D15" s="3">
        <v>5.6</v>
      </c>
      <c r="E15" s="1">
        <v>9.6</v>
      </c>
      <c r="F15" s="1" t="s">
        <v>476</v>
      </c>
      <c r="H15" s="8">
        <f>ROUND(E15*723.968,-1)</f>
        <v>6950</v>
      </c>
      <c r="J15" s="10">
        <f t="shared" ref="J15:J22" si="1">H15/100000/2</f>
        <v>3.4750000000000003E-2</v>
      </c>
      <c r="K15" s="10"/>
      <c r="L15" s="10"/>
      <c r="M15" s="10"/>
      <c r="N15" s="10"/>
    </row>
    <row r="16" spans="1:23" ht="17" x14ac:dyDescent="0.2">
      <c r="A16" s="14">
        <v>9035500</v>
      </c>
      <c r="B16" t="s">
        <v>113</v>
      </c>
      <c r="C16" s="13" t="s">
        <v>114</v>
      </c>
      <c r="D16" s="3">
        <v>16.399999999999999</v>
      </c>
      <c r="E16" s="1">
        <v>16.899999999999999</v>
      </c>
      <c r="F16" s="1" t="s">
        <v>476</v>
      </c>
      <c r="H16" s="8">
        <f>ROUND(E16*723.968,-2)</f>
        <v>12200</v>
      </c>
      <c r="J16" s="10">
        <f t="shared" si="1"/>
        <v>6.0999999999999999E-2</v>
      </c>
      <c r="K16" s="10"/>
      <c r="L16" s="10"/>
      <c r="M16" s="10"/>
      <c r="N16" s="10"/>
      <c r="O16" s="8">
        <f>ROUND(16109,-2)</f>
        <v>16100</v>
      </c>
      <c r="P16" t="s">
        <v>388</v>
      </c>
      <c r="T16" s="58">
        <f>H16/O16</f>
        <v>0.75776397515527949</v>
      </c>
      <c r="W16" s="80" t="s">
        <v>417</v>
      </c>
    </row>
    <row r="17" spans="1:23" ht="17" x14ac:dyDescent="0.2">
      <c r="A17" s="14">
        <v>9035700</v>
      </c>
      <c r="B17" t="s">
        <v>113</v>
      </c>
      <c r="C17" s="13" t="s">
        <v>115</v>
      </c>
      <c r="D17" s="3">
        <v>35.200000000000003</v>
      </c>
      <c r="E17" s="24">
        <v>37.9</v>
      </c>
      <c r="F17" s="1" t="s">
        <v>476</v>
      </c>
      <c r="H17" s="8">
        <f>ROUND(E17*723.968,-2)</f>
        <v>27400</v>
      </c>
      <c r="J17" s="10">
        <f t="shared" si="1"/>
        <v>0.13700000000000001</v>
      </c>
      <c r="K17" s="10"/>
      <c r="L17" s="10"/>
      <c r="M17" s="10"/>
      <c r="N17" s="10"/>
      <c r="O17" s="8"/>
      <c r="W17" s="80" t="s">
        <v>418</v>
      </c>
    </row>
    <row r="18" spans="1:23" ht="17" x14ac:dyDescent="0.2">
      <c r="A18" s="14">
        <v>9035900</v>
      </c>
      <c r="B18" t="s">
        <v>116</v>
      </c>
      <c r="C18" s="13" t="s">
        <v>115</v>
      </c>
      <c r="D18" s="3">
        <v>27.4</v>
      </c>
      <c r="E18" s="1">
        <v>33.1</v>
      </c>
      <c r="F18" s="1" t="s">
        <v>476</v>
      </c>
      <c r="H18" s="8">
        <f>ROUND(E18*723.968,-2)</f>
        <v>24000</v>
      </c>
      <c r="J18" s="10">
        <f t="shared" si="1"/>
        <v>0.12</v>
      </c>
      <c r="K18" s="10"/>
      <c r="L18" s="10"/>
      <c r="M18" s="10"/>
      <c r="N18" s="10"/>
      <c r="W18" s="80" t="s">
        <v>419</v>
      </c>
    </row>
    <row r="19" spans="1:23" ht="17" x14ac:dyDescent="0.2">
      <c r="A19" s="14">
        <v>9036000</v>
      </c>
      <c r="B19" t="s">
        <v>113</v>
      </c>
      <c r="C19" s="13" t="s">
        <v>115</v>
      </c>
      <c r="D19" s="3">
        <v>89.5</v>
      </c>
      <c r="E19" s="1">
        <v>97.6</v>
      </c>
      <c r="F19" s="1" t="s">
        <v>476</v>
      </c>
      <c r="H19" s="8">
        <f>ROUND(E19*723.968,-2)</f>
        <v>70700</v>
      </c>
      <c r="J19" s="10">
        <f t="shared" si="1"/>
        <v>0.35349999999999998</v>
      </c>
      <c r="K19" s="10"/>
      <c r="L19" s="10"/>
      <c r="M19" s="10"/>
      <c r="N19" s="10"/>
      <c r="O19" s="8">
        <f>ROUND(72555,-2)</f>
        <v>72600</v>
      </c>
      <c r="P19" t="s">
        <v>384</v>
      </c>
      <c r="Q19" s="8">
        <f>ROUND(74620,-2)</f>
        <v>74600</v>
      </c>
      <c r="R19" s="141"/>
      <c r="S19" s="67"/>
      <c r="T19" s="87">
        <f>H19/O19</f>
        <v>0.97382920110192839</v>
      </c>
      <c r="U19" s="71">
        <f>H19/Q19</f>
        <v>0.94772117962466484</v>
      </c>
    </row>
    <row r="20" spans="1:23" ht="17" x14ac:dyDescent="0.2">
      <c r="A20" s="14">
        <v>9037500</v>
      </c>
      <c r="B20" t="s">
        <v>113</v>
      </c>
      <c r="C20" s="13" t="s">
        <v>117</v>
      </c>
      <c r="D20" s="3">
        <v>184</v>
      </c>
      <c r="E20" s="1">
        <v>121.1</v>
      </c>
      <c r="F20" s="1" t="s">
        <v>476</v>
      </c>
      <c r="H20" s="8">
        <f>ROUND(E20*723.968,-2)</f>
        <v>87700</v>
      </c>
      <c r="J20" s="10">
        <f t="shared" si="1"/>
        <v>0.4385</v>
      </c>
      <c r="K20" s="10"/>
      <c r="L20" s="10"/>
      <c r="M20" s="9">
        <f>ROUND(126535,-3)</f>
        <v>127000</v>
      </c>
      <c r="N20" s="10" t="s">
        <v>389</v>
      </c>
      <c r="O20" s="8">
        <f>ROUND(92623,-2)</f>
        <v>92600</v>
      </c>
      <c r="P20" t="s">
        <v>384</v>
      </c>
      <c r="Q20" s="8">
        <f>ROUND(99250,-2)</f>
        <v>99300</v>
      </c>
      <c r="R20" s="141"/>
      <c r="S20" s="92">
        <f>H20/M20</f>
        <v>0.69055118110236224</v>
      </c>
      <c r="T20" s="71">
        <f>H20/O20</f>
        <v>0.94708423326133906</v>
      </c>
      <c r="U20" s="71">
        <f>H20/Q20</f>
        <v>0.88318227593152066</v>
      </c>
    </row>
    <row r="21" spans="1:23" ht="17" x14ac:dyDescent="0.2">
      <c r="A21" s="14">
        <v>9038500</v>
      </c>
      <c r="B21" t="s">
        <v>113</v>
      </c>
      <c r="C21" s="13" t="s">
        <v>118</v>
      </c>
      <c r="D21" s="3">
        <v>230</v>
      </c>
      <c r="E21" s="1">
        <v>138.5</v>
      </c>
      <c r="F21" s="1" t="s">
        <v>476</v>
      </c>
      <c r="H21" s="8">
        <f>ROUND(E21*723.968,-3)</f>
        <v>100000</v>
      </c>
      <c r="J21" s="10">
        <f t="shared" si="1"/>
        <v>0.5</v>
      </c>
      <c r="K21" s="10"/>
      <c r="L21" s="10"/>
      <c r="M21" s="10"/>
      <c r="N21" s="10"/>
      <c r="Q21" s="8">
        <f>ROUND(114500,-3)</f>
        <v>115000</v>
      </c>
      <c r="R21" s="141"/>
      <c r="S21" s="67"/>
      <c r="U21" s="71">
        <f>H21/Q21</f>
        <v>0.86956521739130432</v>
      </c>
    </row>
    <row r="22" spans="1:23" ht="17" x14ac:dyDescent="0.2">
      <c r="A22" s="14">
        <v>9041400</v>
      </c>
      <c r="B22" t="s">
        <v>21</v>
      </c>
      <c r="C22" s="13" t="s">
        <v>72</v>
      </c>
      <c r="D22" s="3">
        <v>270</v>
      </c>
      <c r="E22" s="1">
        <v>76.8</v>
      </c>
      <c r="F22" s="1" t="s">
        <v>476</v>
      </c>
      <c r="H22" s="8">
        <f>ROUND(E22*723.968,-2)</f>
        <v>55600</v>
      </c>
      <c r="J22" s="10">
        <f t="shared" si="1"/>
        <v>0.27800000000000002</v>
      </c>
      <c r="K22" s="10"/>
      <c r="L22" s="10"/>
      <c r="M22" s="10"/>
      <c r="N22" s="10"/>
    </row>
    <row r="23" spans="1:23" x14ac:dyDescent="0.2">
      <c r="A23" s="14">
        <v>9041500</v>
      </c>
      <c r="B23" t="s">
        <v>21</v>
      </c>
      <c r="C23" s="13" t="s">
        <v>300</v>
      </c>
      <c r="D23" s="3"/>
      <c r="E23" s="1"/>
      <c r="F23" s="1"/>
      <c r="H23" s="8"/>
      <c r="J23" s="10"/>
      <c r="K23" s="10"/>
      <c r="L23" s="10"/>
      <c r="M23" s="10"/>
      <c r="N23" s="10"/>
      <c r="Q23" s="8">
        <f>ROUND(54410,-2)</f>
        <v>54400</v>
      </c>
      <c r="R23" s="141"/>
      <c r="S23" s="67"/>
    </row>
    <row r="24" spans="1:23" ht="17" x14ac:dyDescent="0.2">
      <c r="A24" s="14">
        <v>9046490</v>
      </c>
      <c r="B24" t="s">
        <v>74</v>
      </c>
      <c r="C24" s="13" t="s">
        <v>121</v>
      </c>
      <c r="D24" s="3">
        <v>42.3</v>
      </c>
      <c r="E24" s="1">
        <v>29.1</v>
      </c>
      <c r="F24" s="1" t="s">
        <v>476</v>
      </c>
      <c r="H24" s="8">
        <f>ROUND(E24*723.968,-2)</f>
        <v>21100</v>
      </c>
      <c r="J24" s="10">
        <f>H24/100000/2</f>
        <v>0.1055</v>
      </c>
      <c r="K24" s="10"/>
      <c r="L24" s="10"/>
      <c r="M24" s="10"/>
      <c r="N24" s="10"/>
      <c r="W24" s="80" t="s">
        <v>420</v>
      </c>
    </row>
    <row r="25" spans="1:23" ht="17" x14ac:dyDescent="0.2">
      <c r="A25" s="14">
        <v>9046600</v>
      </c>
      <c r="B25" t="s">
        <v>74</v>
      </c>
      <c r="C25" s="13" t="s">
        <v>122</v>
      </c>
      <c r="D25" s="3">
        <v>123</v>
      </c>
      <c r="E25" s="1">
        <v>90.2</v>
      </c>
      <c r="F25" s="1" t="s">
        <v>476</v>
      </c>
      <c r="H25" s="8">
        <f>ROUND(E25*723.968,-2)</f>
        <v>65300</v>
      </c>
      <c r="J25" s="10">
        <f>H25/100000/2</f>
        <v>0.32650000000000001</v>
      </c>
      <c r="K25" s="10"/>
      <c r="L25" s="10"/>
      <c r="M25" s="10"/>
      <c r="N25" s="10"/>
      <c r="S25" s="164">
        <f>H25/M26</f>
        <v>0.67738589211618261</v>
      </c>
      <c r="T25" s="165">
        <f>H25/O26</f>
        <v>0.85808147174770044</v>
      </c>
      <c r="U25" s="166">
        <f>H25/Q26</f>
        <v>0.82658227848101262</v>
      </c>
      <c r="W25" s="80" t="s">
        <v>421</v>
      </c>
    </row>
    <row r="26" spans="1:23" x14ac:dyDescent="0.2">
      <c r="A26" s="14">
        <v>9047000</v>
      </c>
      <c r="B26" t="s">
        <v>74</v>
      </c>
      <c r="C26" s="13" t="s">
        <v>301</v>
      </c>
      <c r="D26" s="3">
        <v>128</v>
      </c>
      <c r="E26" s="1"/>
      <c r="F26" s="1"/>
      <c r="H26" s="8"/>
      <c r="J26" s="10"/>
      <c r="K26" s="10"/>
      <c r="L26" s="10"/>
      <c r="M26" s="9">
        <f>ROUND(96353,-2)</f>
        <v>96400</v>
      </c>
      <c r="N26" s="10" t="s">
        <v>382</v>
      </c>
      <c r="O26" s="8">
        <f>ROUND(76100,-2)</f>
        <v>76100</v>
      </c>
      <c r="P26" t="s">
        <v>380</v>
      </c>
      <c r="Q26" s="8">
        <f>ROUND(78970,-2)</f>
        <v>79000</v>
      </c>
      <c r="R26" s="141"/>
      <c r="S26" s="164"/>
      <c r="T26" s="165"/>
      <c r="U26" s="166"/>
      <c r="W26" s="80" t="s">
        <v>422</v>
      </c>
    </row>
    <row r="27" spans="1:23" ht="17" x14ac:dyDescent="0.2">
      <c r="A27" s="14">
        <v>9047700</v>
      </c>
      <c r="B27" t="s">
        <v>123</v>
      </c>
      <c r="C27" s="13" t="s">
        <v>122</v>
      </c>
      <c r="D27" s="3">
        <v>9.14</v>
      </c>
      <c r="E27" s="24">
        <v>5.9</v>
      </c>
      <c r="F27" s="1" t="s">
        <v>476</v>
      </c>
      <c r="H27" s="8">
        <f>ROUND(E27*723.968,-1)</f>
        <v>4270</v>
      </c>
      <c r="J27" s="10">
        <f t="shared" ref="J27:J33" si="2">H27/100000/2</f>
        <v>2.1350000000000001E-2</v>
      </c>
      <c r="K27" s="10"/>
      <c r="L27" s="10"/>
      <c r="M27" s="10"/>
      <c r="N27" s="10"/>
    </row>
    <row r="28" spans="1:23" ht="17" x14ac:dyDescent="0.2">
      <c r="A28" s="14">
        <v>9050100</v>
      </c>
      <c r="B28" t="s">
        <v>124</v>
      </c>
      <c r="C28" s="13" t="s">
        <v>125</v>
      </c>
      <c r="D28" s="3">
        <v>92.2</v>
      </c>
      <c r="E28" s="24">
        <v>98.9</v>
      </c>
      <c r="F28" s="1" t="s">
        <v>476</v>
      </c>
      <c r="H28" s="8">
        <f>ROUND(E28*723.968,-2)</f>
        <v>71600</v>
      </c>
      <c r="J28" s="10">
        <f t="shared" si="2"/>
        <v>0.35799999999999998</v>
      </c>
      <c r="K28" s="10"/>
      <c r="L28" s="10"/>
      <c r="M28" s="10"/>
      <c r="N28" s="10"/>
    </row>
    <row r="29" spans="1:23" ht="17" x14ac:dyDescent="0.2">
      <c r="A29" s="14">
        <v>9050700</v>
      </c>
      <c r="B29" t="s">
        <v>74</v>
      </c>
      <c r="C29" s="13" t="s">
        <v>126</v>
      </c>
      <c r="D29" s="3">
        <v>334</v>
      </c>
      <c r="E29" s="24">
        <v>184.6</v>
      </c>
      <c r="F29" s="1" t="s">
        <v>476</v>
      </c>
      <c r="H29" s="8">
        <f>ROUND(E29*723.968,-3)</f>
        <v>134000</v>
      </c>
      <c r="J29" s="10">
        <f t="shared" si="2"/>
        <v>0.67</v>
      </c>
      <c r="K29" s="10"/>
      <c r="L29" s="10"/>
      <c r="M29" s="10"/>
      <c r="N29" s="10"/>
    </row>
    <row r="30" spans="1:23" ht="17" x14ac:dyDescent="0.2">
      <c r="A30" s="14">
        <v>9051050</v>
      </c>
      <c r="B30" t="s">
        <v>127</v>
      </c>
      <c r="C30" s="13" t="s">
        <v>122</v>
      </c>
      <c r="D30" s="3">
        <v>18.399999999999999</v>
      </c>
      <c r="E30" s="24">
        <v>14.9</v>
      </c>
      <c r="F30" s="1" t="s">
        <v>476</v>
      </c>
      <c r="H30" s="8">
        <f>ROUND(E30*723.968,-2)</f>
        <v>10800</v>
      </c>
      <c r="J30" s="10">
        <f t="shared" si="2"/>
        <v>5.3999999999999999E-2</v>
      </c>
      <c r="K30" s="10"/>
      <c r="L30" s="10"/>
      <c r="M30" s="10"/>
      <c r="N30" s="10"/>
    </row>
    <row r="31" spans="1:23" ht="17" x14ac:dyDescent="0.2">
      <c r="A31" s="14">
        <v>9057500</v>
      </c>
      <c r="B31" t="s">
        <v>74</v>
      </c>
      <c r="C31" s="13" t="s">
        <v>75</v>
      </c>
      <c r="D31" s="3">
        <v>597</v>
      </c>
      <c r="E31" s="1">
        <v>399.1</v>
      </c>
      <c r="F31" s="1" t="s">
        <v>476</v>
      </c>
      <c r="H31" s="8">
        <f>ROUND(E31*723.968,-3)</f>
        <v>289000</v>
      </c>
      <c r="J31" s="10">
        <f t="shared" si="2"/>
        <v>1.4450000000000001</v>
      </c>
      <c r="K31" s="10"/>
      <c r="L31" s="10"/>
      <c r="M31" s="10"/>
      <c r="N31" s="10"/>
      <c r="O31" s="8">
        <f>ROUND(356472,-3)</f>
        <v>356000</v>
      </c>
      <c r="P31" t="s">
        <v>395</v>
      </c>
      <c r="Q31" s="8">
        <f>ROUND(378900,-3)</f>
        <v>379000</v>
      </c>
      <c r="R31" s="141"/>
      <c r="S31" s="67"/>
      <c r="T31" s="58">
        <f>H31/O31</f>
        <v>0.8117977528089888</v>
      </c>
      <c r="U31" s="58">
        <f>H31/Q31</f>
        <v>0.76253298153034299</v>
      </c>
    </row>
    <row r="32" spans="1:23" ht="17" x14ac:dyDescent="0.2">
      <c r="A32" s="14">
        <v>9058000</v>
      </c>
      <c r="B32" t="s">
        <v>48</v>
      </c>
      <c r="C32" t="s">
        <v>72</v>
      </c>
      <c r="D32" s="3">
        <v>2379</v>
      </c>
      <c r="E32" s="1">
        <v>988.1</v>
      </c>
      <c r="F32" s="1" t="s">
        <v>476</v>
      </c>
      <c r="H32" s="8">
        <f>ROUND(E32*723.968,-3)</f>
        <v>715000</v>
      </c>
      <c r="J32" s="10">
        <f t="shared" si="2"/>
        <v>3.5750000000000002</v>
      </c>
      <c r="K32" s="10"/>
      <c r="L32" s="10"/>
      <c r="M32" s="10"/>
      <c r="N32" s="10"/>
      <c r="Q32" s="8">
        <f>ROUND(829500,-3)</f>
        <v>830000</v>
      </c>
      <c r="R32" s="141"/>
      <c r="S32" s="67"/>
      <c r="U32" s="71">
        <f>H32/Q32</f>
        <v>0.86144578313253017</v>
      </c>
    </row>
    <row r="33" spans="1:23" ht="17" x14ac:dyDescent="0.2">
      <c r="A33" s="14">
        <v>9059500</v>
      </c>
      <c r="B33" t="s">
        <v>119</v>
      </c>
      <c r="C33" t="s">
        <v>120</v>
      </c>
      <c r="D33" s="3">
        <v>84.5</v>
      </c>
      <c r="E33" s="24">
        <v>76.400000000000006</v>
      </c>
      <c r="F33" s="1" t="s">
        <v>476</v>
      </c>
      <c r="H33" s="8">
        <f>ROUND(E33*723.968,-2)</f>
        <v>55300</v>
      </c>
      <c r="J33" s="10">
        <f t="shared" si="2"/>
        <v>0.27650000000000002</v>
      </c>
      <c r="K33" s="10"/>
      <c r="L33" s="10"/>
      <c r="M33" s="10"/>
      <c r="N33" s="10"/>
      <c r="O33" s="8">
        <f>ROUND(58786,-2)</f>
        <v>58800</v>
      </c>
      <c r="P33" t="s">
        <v>398</v>
      </c>
      <c r="Q33" s="8">
        <f>ROUND(53610,-2)</f>
        <v>53600</v>
      </c>
      <c r="R33" s="141"/>
      <c r="S33" s="67"/>
      <c r="T33" s="71">
        <f>H33/O33</f>
        <v>0.94047619047619047</v>
      </c>
      <c r="U33" s="87">
        <f>H33/Q33</f>
        <v>1.0317164179104477</v>
      </c>
    </row>
    <row r="34" spans="1:23" x14ac:dyDescent="0.2">
      <c r="A34" s="14">
        <v>9061000</v>
      </c>
      <c r="B34" t="s">
        <v>48</v>
      </c>
      <c r="C34" t="s">
        <v>71</v>
      </c>
      <c r="D34" s="3"/>
      <c r="E34" s="24"/>
      <c r="F34" s="1"/>
      <c r="H34" s="8"/>
      <c r="J34" s="10"/>
      <c r="K34" s="10"/>
      <c r="L34" s="10"/>
      <c r="M34" s="10"/>
      <c r="N34" s="10"/>
      <c r="Q34" s="8">
        <f>ROUND(1165000,-4)</f>
        <v>1170000</v>
      </c>
      <c r="R34" s="141"/>
      <c r="S34" s="67"/>
    </row>
    <row r="35" spans="1:23" ht="17" x14ac:dyDescent="0.2">
      <c r="A35" s="14">
        <v>9063000</v>
      </c>
      <c r="B35" t="s">
        <v>76</v>
      </c>
      <c r="C35" s="13" t="s">
        <v>142</v>
      </c>
      <c r="D35" s="3">
        <v>70.2</v>
      </c>
      <c r="E35" s="24">
        <v>36.700000000000003</v>
      </c>
      <c r="F35" s="1" t="s">
        <v>476</v>
      </c>
      <c r="H35" s="8">
        <f>ROUND(E35*723.968,-2)</f>
        <v>26600</v>
      </c>
      <c r="J35" s="10">
        <f t="shared" ref="J35:J49" si="3">H35/100000/2</f>
        <v>0.13300000000000001</v>
      </c>
      <c r="K35" s="10"/>
      <c r="L35" s="10"/>
      <c r="M35" s="9">
        <f>ROUND(49264,-2)</f>
        <v>49300</v>
      </c>
      <c r="N35" s="10" t="s">
        <v>399</v>
      </c>
      <c r="O35" s="8">
        <f>ROUND(36155,-2)</f>
        <v>36200</v>
      </c>
      <c r="P35" t="s">
        <v>400</v>
      </c>
      <c r="Q35" s="8">
        <f>ROUND(35210,-2)</f>
        <v>35200</v>
      </c>
      <c r="R35" s="141"/>
      <c r="S35" s="78">
        <f>H35/M35</f>
        <v>0.53955375253549698</v>
      </c>
      <c r="T35" s="99">
        <f>H35/O35</f>
        <v>0.73480662983425415</v>
      </c>
      <c r="U35" s="58">
        <f>H35/Q35</f>
        <v>0.75568181818181823</v>
      </c>
      <c r="W35" s="80" t="s">
        <v>423</v>
      </c>
    </row>
    <row r="36" spans="1:23" ht="17" x14ac:dyDescent="0.2">
      <c r="A36" s="14">
        <v>9063900</v>
      </c>
      <c r="B36" t="s">
        <v>140</v>
      </c>
      <c r="C36" t="s">
        <v>141</v>
      </c>
      <c r="D36" s="3">
        <v>6.38</v>
      </c>
      <c r="E36" s="24">
        <v>7.5</v>
      </c>
      <c r="F36" s="1" t="s">
        <v>476</v>
      </c>
      <c r="H36" s="8">
        <f>ROUND(E36*723.968,-1)</f>
        <v>5430</v>
      </c>
      <c r="J36" s="10">
        <f t="shared" si="3"/>
        <v>2.7150000000000001E-2</v>
      </c>
      <c r="K36" s="10"/>
      <c r="L36" s="10"/>
      <c r="M36" s="10"/>
      <c r="N36" s="10"/>
      <c r="O36" s="83"/>
      <c r="W36" s="80" t="s">
        <v>424</v>
      </c>
    </row>
    <row r="37" spans="1:23" ht="17" x14ac:dyDescent="0.2">
      <c r="A37" s="14">
        <v>9064000</v>
      </c>
      <c r="B37" t="s">
        <v>138</v>
      </c>
      <c r="C37" s="13" t="s">
        <v>139</v>
      </c>
      <c r="D37" s="3">
        <v>35.6</v>
      </c>
      <c r="E37" s="24">
        <v>27.8</v>
      </c>
      <c r="F37" s="1" t="s">
        <v>476</v>
      </c>
      <c r="H37" s="8">
        <f>ROUND(E37*723.968,-2)</f>
        <v>20100</v>
      </c>
      <c r="J37" s="10">
        <f t="shared" si="3"/>
        <v>0.10050000000000001</v>
      </c>
      <c r="K37" s="10"/>
      <c r="L37" s="10"/>
      <c r="M37" s="10"/>
      <c r="N37" s="10"/>
      <c r="W37" s="80" t="s">
        <v>422</v>
      </c>
    </row>
    <row r="38" spans="1:23" ht="17" x14ac:dyDescent="0.2">
      <c r="A38" s="14">
        <v>9064600</v>
      </c>
      <c r="B38" t="s">
        <v>76</v>
      </c>
      <c r="C38" t="s">
        <v>133</v>
      </c>
      <c r="D38" s="3">
        <v>186</v>
      </c>
      <c r="E38" s="24">
        <v>127.1</v>
      </c>
      <c r="F38" s="1" t="s">
        <v>476</v>
      </c>
      <c r="H38" s="8">
        <f>ROUND(E38*723.968,-2)</f>
        <v>92000</v>
      </c>
      <c r="J38" s="10">
        <f t="shared" si="3"/>
        <v>0.46</v>
      </c>
      <c r="K38" s="10"/>
      <c r="L38" s="10"/>
      <c r="M38" s="10"/>
      <c r="N38" s="10"/>
    </row>
    <row r="39" spans="1:23" ht="17" x14ac:dyDescent="0.2">
      <c r="A39" s="14">
        <v>9065500</v>
      </c>
      <c r="B39" t="s">
        <v>132</v>
      </c>
      <c r="C39" t="s">
        <v>133</v>
      </c>
      <c r="D39" s="3">
        <v>14.5</v>
      </c>
      <c r="E39" s="24">
        <v>27.3</v>
      </c>
      <c r="F39" s="1" t="s">
        <v>476</v>
      </c>
      <c r="H39" s="8">
        <f>ROUND(E39*723.968,-2)</f>
        <v>19800</v>
      </c>
      <c r="J39" s="10">
        <f t="shared" si="3"/>
        <v>9.9000000000000005E-2</v>
      </c>
      <c r="K39" s="10"/>
      <c r="L39" s="10"/>
      <c r="M39" s="10"/>
      <c r="N39" s="10"/>
      <c r="O39" s="8">
        <f>ROUND(22045,-2)</f>
        <v>22000</v>
      </c>
      <c r="P39" t="s">
        <v>401</v>
      </c>
      <c r="T39" s="71">
        <f>H39/O39</f>
        <v>0.9</v>
      </c>
    </row>
    <row r="40" spans="1:23" ht="17" x14ac:dyDescent="0.2">
      <c r="A40" s="14">
        <v>9066000</v>
      </c>
      <c r="B40" t="s">
        <v>137</v>
      </c>
      <c r="C40" t="s">
        <v>133</v>
      </c>
      <c r="D40" s="3">
        <v>12.5</v>
      </c>
      <c r="E40" s="24">
        <v>15.7</v>
      </c>
      <c r="F40" s="1" t="s">
        <v>476</v>
      </c>
      <c r="H40" s="8">
        <f>ROUND(E40*723.968,-2)</f>
        <v>11400</v>
      </c>
      <c r="J40" s="10">
        <f t="shared" si="3"/>
        <v>5.7000000000000002E-2</v>
      </c>
      <c r="K40" s="10"/>
      <c r="L40" s="10"/>
      <c r="M40" s="10"/>
      <c r="N40" s="10"/>
      <c r="O40" s="8">
        <f>ROUND(14733,-2)</f>
        <v>14700</v>
      </c>
      <c r="P40" t="s">
        <v>402</v>
      </c>
      <c r="T40" s="58">
        <f>H40/O40</f>
        <v>0.77551020408163263</v>
      </c>
    </row>
    <row r="41" spans="1:23" ht="17" x14ac:dyDescent="0.2">
      <c r="A41" s="14">
        <v>9066200</v>
      </c>
      <c r="B41" t="s">
        <v>136</v>
      </c>
      <c r="C41" t="s">
        <v>133</v>
      </c>
      <c r="D41" s="3">
        <v>6.18</v>
      </c>
      <c r="E41" s="24">
        <v>10.6</v>
      </c>
      <c r="F41" s="1" t="s">
        <v>476</v>
      </c>
      <c r="H41" s="8">
        <f>ROUND(E41*723.968,-1)</f>
        <v>7670</v>
      </c>
      <c r="J41" s="10">
        <f t="shared" si="3"/>
        <v>3.8350000000000002E-2</v>
      </c>
      <c r="K41" s="10"/>
      <c r="L41" s="10"/>
      <c r="M41" s="10"/>
      <c r="N41" s="10"/>
    </row>
    <row r="42" spans="1:23" ht="17" x14ac:dyDescent="0.2">
      <c r="A42" s="14">
        <v>9066300</v>
      </c>
      <c r="B42" t="s">
        <v>135</v>
      </c>
      <c r="C42" t="s">
        <v>133</v>
      </c>
      <c r="D42" s="3">
        <v>5.96</v>
      </c>
      <c r="E42" s="24">
        <v>4.9000000000000004</v>
      </c>
      <c r="F42" s="1" t="s">
        <v>476</v>
      </c>
      <c r="H42" s="8">
        <f>ROUND(E42*723.968,-1)</f>
        <v>3550</v>
      </c>
      <c r="J42" s="10">
        <f t="shared" si="3"/>
        <v>1.7749999999999998E-2</v>
      </c>
      <c r="K42" s="10"/>
      <c r="L42" s="10"/>
      <c r="M42" s="10"/>
      <c r="N42" s="10"/>
    </row>
    <row r="43" spans="1:23" ht="17" x14ac:dyDescent="0.2">
      <c r="A43" s="14">
        <v>9066325</v>
      </c>
      <c r="B43" t="s">
        <v>132</v>
      </c>
      <c r="C43" s="13" t="s">
        <v>134</v>
      </c>
      <c r="D43" s="3">
        <v>77.099999999999994</v>
      </c>
      <c r="E43" s="24">
        <v>110.6</v>
      </c>
      <c r="F43" s="1" t="s">
        <v>476</v>
      </c>
      <c r="H43" s="8">
        <f>ROUND(E43*723.968,-2)</f>
        <v>80100</v>
      </c>
      <c r="J43" s="10">
        <f t="shared" si="3"/>
        <v>0.40050000000000002</v>
      </c>
      <c r="K43" s="10"/>
      <c r="L43" s="10"/>
      <c r="M43" s="10"/>
      <c r="N43" s="10"/>
    </row>
    <row r="44" spans="1:23" ht="17" x14ac:dyDescent="0.2">
      <c r="A44" s="14">
        <v>9066510</v>
      </c>
      <c r="B44" t="s">
        <v>132</v>
      </c>
      <c r="C44" t="s">
        <v>133</v>
      </c>
      <c r="D44" s="3">
        <v>202</v>
      </c>
      <c r="E44" s="24">
        <v>127.5</v>
      </c>
      <c r="F44" s="1" t="s">
        <v>476</v>
      </c>
      <c r="H44" s="8">
        <f>ROUND(E44*723.968,-2)</f>
        <v>92300</v>
      </c>
      <c r="J44" s="10">
        <f t="shared" si="3"/>
        <v>0.46150000000000002</v>
      </c>
      <c r="K44" s="10"/>
      <c r="L44" s="10"/>
      <c r="M44" s="10"/>
      <c r="N44" s="10"/>
    </row>
    <row r="45" spans="1:23" ht="17" x14ac:dyDescent="0.2">
      <c r="A45" s="14">
        <v>9067000</v>
      </c>
      <c r="B45" t="s">
        <v>131</v>
      </c>
      <c r="C45" s="13" t="s">
        <v>130</v>
      </c>
      <c r="D45" s="3">
        <v>14.7</v>
      </c>
      <c r="E45" s="24">
        <v>12.5</v>
      </c>
      <c r="F45" s="1" t="s">
        <v>460</v>
      </c>
      <c r="H45" s="8">
        <f>ROUND(E45*723.968,-2)</f>
        <v>9000</v>
      </c>
      <c r="J45" s="10">
        <f t="shared" si="3"/>
        <v>4.4999999999999998E-2</v>
      </c>
      <c r="K45" s="10"/>
      <c r="L45" s="10"/>
      <c r="M45" s="10"/>
      <c r="N45" s="10"/>
    </row>
    <row r="46" spans="1:23" ht="17" x14ac:dyDescent="0.2">
      <c r="A46" s="14">
        <v>9067020</v>
      </c>
      <c r="B46" t="s">
        <v>76</v>
      </c>
      <c r="C46" s="13" t="s">
        <v>130</v>
      </c>
      <c r="D46" s="3">
        <v>401</v>
      </c>
      <c r="E46" s="24">
        <v>358.8</v>
      </c>
      <c r="F46" s="1" t="s">
        <v>476</v>
      </c>
      <c r="H46" s="8">
        <f>ROUND(E46*723.968,-3)</f>
        <v>260000</v>
      </c>
      <c r="J46" s="10">
        <f t="shared" si="3"/>
        <v>1.3</v>
      </c>
      <c r="K46" s="10"/>
      <c r="L46" s="10"/>
      <c r="M46" s="10"/>
      <c r="N46" s="10"/>
    </row>
    <row r="47" spans="1:23" ht="17" x14ac:dyDescent="0.2">
      <c r="A47" s="25">
        <v>9067200</v>
      </c>
      <c r="B47" t="s">
        <v>128</v>
      </c>
      <c r="C47" t="s">
        <v>129</v>
      </c>
      <c r="D47" s="3">
        <v>49</v>
      </c>
      <c r="E47" s="24">
        <v>54.8</v>
      </c>
      <c r="F47" s="1" t="s">
        <v>476</v>
      </c>
      <c r="H47" s="8">
        <f>ROUND(E47*723.968,-2)</f>
        <v>39700</v>
      </c>
      <c r="J47" s="10">
        <f t="shared" si="3"/>
        <v>0.19850000000000001</v>
      </c>
      <c r="K47" s="10"/>
      <c r="L47" s="10"/>
      <c r="M47" s="10"/>
      <c r="N47" s="10"/>
    </row>
    <row r="48" spans="1:23" ht="17" x14ac:dyDescent="0.2">
      <c r="A48" s="14">
        <v>9070000</v>
      </c>
      <c r="B48" t="s">
        <v>76</v>
      </c>
      <c r="C48" t="s">
        <v>77</v>
      </c>
      <c r="D48" s="3">
        <v>945</v>
      </c>
      <c r="E48" s="1">
        <v>539</v>
      </c>
      <c r="F48" s="1" t="s">
        <v>476</v>
      </c>
      <c r="H48" s="8">
        <f>ROUND(E48*723.968,-3)</f>
        <v>390000</v>
      </c>
      <c r="J48" s="10">
        <f t="shared" si="3"/>
        <v>1.95</v>
      </c>
      <c r="K48" s="10"/>
      <c r="L48" s="10"/>
      <c r="M48" s="10"/>
      <c r="N48" s="10"/>
      <c r="O48" s="8">
        <f>ROUND(494132,-3)</f>
        <v>494000</v>
      </c>
      <c r="P48" t="s">
        <v>403</v>
      </c>
      <c r="Q48" s="8">
        <f>ROUND(462900,-3)</f>
        <v>463000</v>
      </c>
      <c r="R48" s="141"/>
      <c r="S48" s="67"/>
      <c r="T48" s="58">
        <f>H48/Q48</f>
        <v>0.84233261339092869</v>
      </c>
      <c r="U48" s="58">
        <f>H48/Q48</f>
        <v>0.84233261339092869</v>
      </c>
    </row>
    <row r="49" spans="1:23" ht="17" x14ac:dyDescent="0.2">
      <c r="A49" s="14">
        <v>9070500</v>
      </c>
      <c r="B49" t="s">
        <v>48</v>
      </c>
      <c r="C49" t="s">
        <v>71</v>
      </c>
      <c r="D49" s="3">
        <v>4390</v>
      </c>
      <c r="E49" s="34">
        <v>1899.6</v>
      </c>
      <c r="F49" s="1" t="s">
        <v>476</v>
      </c>
      <c r="H49" s="8">
        <f>ROUND(E49*723.968,-4)</f>
        <v>1380000</v>
      </c>
      <c r="J49" s="10">
        <f t="shared" si="3"/>
        <v>6.9</v>
      </c>
      <c r="K49" s="10"/>
      <c r="L49" s="10"/>
      <c r="M49" s="10"/>
      <c r="N49" s="10"/>
      <c r="O49" s="8">
        <f>ROUND(1704854,-4)</f>
        <v>1700000</v>
      </c>
      <c r="P49" t="s">
        <v>404</v>
      </c>
      <c r="Q49" s="8">
        <f>ROUND(1628000,-4)</f>
        <v>1630000</v>
      </c>
      <c r="R49" s="141"/>
      <c r="S49" s="67"/>
      <c r="T49" s="58">
        <f>H49/O49</f>
        <v>0.81176470588235294</v>
      </c>
      <c r="U49" s="58">
        <f>H49/Q49</f>
        <v>0.84662576687116564</v>
      </c>
    </row>
    <row r="50" spans="1:23" x14ac:dyDescent="0.2">
      <c r="A50" s="14">
        <v>9072500</v>
      </c>
      <c r="B50" t="s">
        <v>48</v>
      </c>
      <c r="C50" s="13" t="s">
        <v>68</v>
      </c>
      <c r="D50" s="3"/>
      <c r="E50" s="1"/>
      <c r="F50" s="1"/>
      <c r="H50" s="8"/>
      <c r="J50" s="10"/>
      <c r="K50" s="10"/>
      <c r="L50" s="10"/>
      <c r="M50" s="10"/>
      <c r="N50" s="10"/>
      <c r="Q50" s="8">
        <f>ROUND(1738000,-4)</f>
        <v>1740000</v>
      </c>
      <c r="R50" s="141"/>
      <c r="S50" s="67"/>
    </row>
    <row r="51" spans="1:23" ht="17" x14ac:dyDescent="0.2">
      <c r="A51" s="14">
        <v>9073300</v>
      </c>
      <c r="B51" t="s">
        <v>69</v>
      </c>
      <c r="C51" t="s">
        <v>151</v>
      </c>
      <c r="D51" s="3">
        <v>75.8</v>
      </c>
      <c r="E51" s="1">
        <v>48.3</v>
      </c>
      <c r="F51" s="1" t="s">
        <v>476</v>
      </c>
      <c r="H51" s="8">
        <f>ROUND(E51*723.968,-2)</f>
        <v>35000</v>
      </c>
      <c r="J51" s="10">
        <f>H51/100000/2</f>
        <v>0.17499999999999999</v>
      </c>
      <c r="K51" s="10"/>
      <c r="L51" s="10"/>
      <c r="M51" s="10"/>
      <c r="N51" s="10"/>
      <c r="W51" s="80" t="s">
        <v>425</v>
      </c>
    </row>
    <row r="52" spans="1:23" ht="17" x14ac:dyDescent="0.2">
      <c r="A52" s="14">
        <v>9073400</v>
      </c>
      <c r="B52" t="s">
        <v>69</v>
      </c>
      <c r="C52" t="s">
        <v>151</v>
      </c>
      <c r="D52" s="3">
        <v>106</v>
      </c>
      <c r="E52" s="1">
        <v>77.8</v>
      </c>
      <c r="F52" s="1" t="s">
        <v>476</v>
      </c>
      <c r="H52" s="8">
        <f>ROUND(E52*723.968,-2)</f>
        <v>56300</v>
      </c>
      <c r="J52" s="10">
        <f>H52/100000/2</f>
        <v>0.28149999999999997</v>
      </c>
      <c r="K52" s="10"/>
      <c r="L52" s="10"/>
      <c r="M52" s="10"/>
      <c r="N52" s="10"/>
      <c r="W52" s="80" t="s">
        <v>422</v>
      </c>
    </row>
    <row r="53" spans="1:23" x14ac:dyDescent="0.2">
      <c r="A53" s="14">
        <v>9073500</v>
      </c>
      <c r="B53" t="s">
        <v>69</v>
      </c>
      <c r="C53" s="13" t="s">
        <v>303</v>
      </c>
      <c r="D53" s="3"/>
      <c r="E53" s="1"/>
      <c r="F53" s="1"/>
      <c r="H53" s="8"/>
      <c r="J53" s="10"/>
      <c r="K53" s="10"/>
      <c r="L53" s="10"/>
      <c r="M53" s="10"/>
      <c r="N53" s="10"/>
      <c r="Q53" s="8">
        <f>ROUND(72450,-2)</f>
        <v>72500</v>
      </c>
      <c r="R53" s="141"/>
      <c r="S53" s="67"/>
    </row>
    <row r="54" spans="1:23" x14ac:dyDescent="0.2">
      <c r="A54" s="14">
        <v>9078000</v>
      </c>
      <c r="B54" t="s">
        <v>149</v>
      </c>
      <c r="C54" s="13" t="s">
        <v>302</v>
      </c>
      <c r="D54" s="3">
        <v>90.6</v>
      </c>
      <c r="E54" s="1"/>
      <c r="F54" s="1"/>
      <c r="H54" s="8"/>
      <c r="J54" s="10"/>
      <c r="K54" s="10"/>
      <c r="L54" s="10"/>
      <c r="M54" s="9">
        <f>ROUND(106310,-3)</f>
        <v>106000</v>
      </c>
      <c r="N54" s="10" t="s">
        <v>407</v>
      </c>
      <c r="O54" s="8">
        <f>ROUND(100197,-3)</f>
        <v>100000</v>
      </c>
      <c r="P54">
        <v>1949</v>
      </c>
      <c r="Q54" s="8">
        <f>ROUND(99250,-3)</f>
        <v>99000</v>
      </c>
      <c r="R54" s="141"/>
      <c r="S54" s="67"/>
    </row>
    <row r="55" spans="1:23" ht="17" x14ac:dyDescent="0.2">
      <c r="A55" s="14">
        <v>9080400</v>
      </c>
      <c r="B55" t="s">
        <v>149</v>
      </c>
      <c r="C55" t="s">
        <v>150</v>
      </c>
      <c r="D55" s="3">
        <v>237</v>
      </c>
      <c r="E55" s="1">
        <v>153.1</v>
      </c>
      <c r="F55" s="1" t="s">
        <v>476</v>
      </c>
      <c r="H55" s="8">
        <f>ROUND(E55*723.968,-3)</f>
        <v>111000</v>
      </c>
      <c r="J55" s="10">
        <f>H55/100000/2</f>
        <v>0.55500000000000005</v>
      </c>
      <c r="K55" s="10"/>
      <c r="L55" s="10"/>
      <c r="M55" s="10"/>
      <c r="N55" s="10"/>
    </row>
    <row r="56" spans="1:23" ht="17" x14ac:dyDescent="0.2">
      <c r="A56" s="14">
        <v>9081000</v>
      </c>
      <c r="B56" t="s">
        <v>69</v>
      </c>
      <c r="C56" t="s">
        <v>70</v>
      </c>
      <c r="D56" s="3">
        <v>859</v>
      </c>
      <c r="E56" s="1">
        <v>566.20000000000005</v>
      </c>
      <c r="F56" s="1" t="s">
        <v>476</v>
      </c>
      <c r="H56" s="8">
        <f>ROUND(E56*723.968,-3)</f>
        <v>410000</v>
      </c>
      <c r="J56" s="10">
        <f>H56/100000/2</f>
        <v>2.0499999999999998</v>
      </c>
      <c r="K56" s="10"/>
      <c r="L56" s="10"/>
      <c r="M56" s="10"/>
      <c r="N56" s="10"/>
    </row>
    <row r="57" spans="1:23" ht="17" x14ac:dyDescent="0.2">
      <c r="A57" s="14">
        <v>9081600</v>
      </c>
      <c r="B57" t="s">
        <v>147</v>
      </c>
      <c r="C57" t="s">
        <v>148</v>
      </c>
      <c r="D57" s="3">
        <v>167</v>
      </c>
      <c r="E57" s="1">
        <v>269.39999999999998</v>
      </c>
      <c r="F57" s="1" t="s">
        <v>476</v>
      </c>
      <c r="H57" s="8">
        <f>ROUND(E57*723.968,-3)</f>
        <v>195000</v>
      </c>
      <c r="J57" s="10">
        <f>H57/100000/2</f>
        <v>0.97499999999999998</v>
      </c>
      <c r="K57" s="10"/>
      <c r="L57" s="10"/>
      <c r="M57" s="10"/>
      <c r="N57" s="10"/>
      <c r="T57" s="167">
        <f>H57/O58</f>
        <v>0.72490706319702602</v>
      </c>
      <c r="U57" s="167">
        <f>H57/Q58</f>
        <v>0.69395017793594305</v>
      </c>
    </row>
    <row r="58" spans="1:23" x14ac:dyDescent="0.2">
      <c r="A58" s="14">
        <v>9082500</v>
      </c>
      <c r="B58" t="s">
        <v>147</v>
      </c>
      <c r="C58" t="s">
        <v>148</v>
      </c>
      <c r="D58" s="3">
        <v>229</v>
      </c>
      <c r="E58" s="1"/>
      <c r="F58" s="1"/>
      <c r="H58" s="8"/>
      <c r="J58" s="10"/>
      <c r="K58" s="10"/>
      <c r="L58" s="10"/>
      <c r="M58" s="10"/>
      <c r="N58" s="10"/>
      <c r="O58" s="8">
        <f>ROUND(269042, -3)</f>
        <v>269000</v>
      </c>
      <c r="Q58" s="8">
        <f>ROUND(281100,-3)</f>
        <v>281000</v>
      </c>
      <c r="R58" s="141"/>
      <c r="S58" s="67"/>
      <c r="T58" s="167"/>
      <c r="U58" s="167"/>
    </row>
    <row r="59" spans="1:23" ht="18" thickBot="1" x14ac:dyDescent="0.25">
      <c r="A59" s="14">
        <v>9085000</v>
      </c>
      <c r="B59" t="s">
        <v>69</v>
      </c>
      <c r="C59" s="13" t="s">
        <v>68</v>
      </c>
      <c r="D59" s="3">
        <v>1453</v>
      </c>
      <c r="E59" s="33">
        <v>1034.7</v>
      </c>
      <c r="F59" s="1" t="s">
        <v>476</v>
      </c>
      <c r="H59" s="8">
        <f>ROUND(E59*723.968,-3)</f>
        <v>749000</v>
      </c>
      <c r="J59" s="10">
        <f t="shared" ref="J59:J78" si="4">H59/100000/2</f>
        <v>3.7450000000000001</v>
      </c>
      <c r="K59" s="10"/>
      <c r="L59" s="10"/>
      <c r="M59" s="10"/>
      <c r="N59" s="10"/>
      <c r="Q59" s="8">
        <f>ROUND(980220,-2)</f>
        <v>980200</v>
      </c>
      <c r="R59" s="141"/>
      <c r="S59" s="67"/>
      <c r="U59" s="58">
        <f>H59/Q59</f>
        <v>0.76412976943480926</v>
      </c>
    </row>
    <row r="60" spans="1:23" ht="19" thickTop="1" thickBot="1" x14ac:dyDescent="0.25">
      <c r="A60" s="14">
        <v>9085100</v>
      </c>
      <c r="B60" t="s">
        <v>48</v>
      </c>
      <c r="C60" t="s">
        <v>65</v>
      </c>
      <c r="D60" s="3">
        <v>6014</v>
      </c>
      <c r="E60" s="15">
        <v>3031.7</v>
      </c>
      <c r="F60" s="1" t="s">
        <v>476</v>
      </c>
      <c r="H60" s="8">
        <f>ROUND(E60*723.968,-4)</f>
        <v>2190000</v>
      </c>
      <c r="J60" s="10">
        <f t="shared" si="4"/>
        <v>10.95</v>
      </c>
      <c r="K60" s="10"/>
      <c r="L60" s="10"/>
      <c r="M60" s="10"/>
      <c r="N60" s="10"/>
    </row>
    <row r="61" spans="1:23" ht="18" thickTop="1" x14ac:dyDescent="0.2">
      <c r="A61" s="14">
        <v>9095500</v>
      </c>
      <c r="B61" t="s">
        <v>48</v>
      </c>
      <c r="C61" t="s">
        <v>64</v>
      </c>
      <c r="D61" s="3">
        <v>7986</v>
      </c>
      <c r="E61" s="17">
        <v>3383.4</v>
      </c>
      <c r="F61" s="1" t="s">
        <v>476</v>
      </c>
      <c r="H61" s="8">
        <f>ROUND(E61*723.968,-4)</f>
        <v>2450000</v>
      </c>
      <c r="J61" s="10">
        <f t="shared" si="4"/>
        <v>12.25</v>
      </c>
      <c r="K61" s="10"/>
      <c r="L61" s="10"/>
      <c r="M61" s="10"/>
      <c r="N61" s="10"/>
      <c r="O61" s="8">
        <f>ROUND(2983925,-4)</f>
        <v>2980000</v>
      </c>
      <c r="P61" t="s">
        <v>384</v>
      </c>
      <c r="Q61" s="8">
        <f>ROUND(2998000,-4)</f>
        <v>3000000</v>
      </c>
      <c r="R61" s="141"/>
      <c r="S61" s="67"/>
      <c r="T61" s="58">
        <f>H61/O61</f>
        <v>0.82214765100671139</v>
      </c>
      <c r="U61" s="58">
        <f>H61/Q61</f>
        <v>0.81666666666666665</v>
      </c>
    </row>
    <row r="62" spans="1:23" ht="17" x14ac:dyDescent="0.2">
      <c r="A62" s="14">
        <v>9105000</v>
      </c>
      <c r="B62" s="6" t="s">
        <v>152</v>
      </c>
      <c r="C62" s="6" t="s">
        <v>153</v>
      </c>
      <c r="D62" s="3">
        <v>592</v>
      </c>
      <c r="E62" s="29">
        <v>146.6</v>
      </c>
      <c r="F62" s="1" t="s">
        <v>476</v>
      </c>
      <c r="H62" s="8">
        <f>ROUND(E62*723.968,-3)</f>
        <v>106000</v>
      </c>
      <c r="J62" s="10">
        <f t="shared" si="4"/>
        <v>0.53</v>
      </c>
      <c r="K62" s="10"/>
      <c r="L62" s="10"/>
      <c r="M62" s="10"/>
      <c r="N62" s="10"/>
      <c r="O62" s="8">
        <f>ROUND(164346, -3)</f>
        <v>164000</v>
      </c>
      <c r="P62" t="s">
        <v>408</v>
      </c>
      <c r="Q62" s="8">
        <f>ROUND(170200,-3)</f>
        <v>170000</v>
      </c>
      <c r="R62" s="141"/>
      <c r="S62" s="67"/>
      <c r="U62" s="73">
        <f>H62/Q62</f>
        <v>0.62352941176470589</v>
      </c>
    </row>
    <row r="63" spans="1:23" ht="17" x14ac:dyDescent="0.2">
      <c r="A63" s="14">
        <v>9106150</v>
      </c>
      <c r="B63" t="s">
        <v>48</v>
      </c>
      <c r="C63" t="s">
        <v>61</v>
      </c>
      <c r="D63" s="3">
        <v>8813</v>
      </c>
      <c r="E63" s="1">
        <v>2646.4</v>
      </c>
      <c r="F63" s="1" t="s">
        <v>476</v>
      </c>
      <c r="H63" s="8">
        <f>ROUND(E63*723.968,-4)</f>
        <v>1920000</v>
      </c>
      <c r="J63" s="10">
        <f t="shared" si="4"/>
        <v>9.6</v>
      </c>
      <c r="K63" s="10"/>
      <c r="L63" s="10"/>
      <c r="M63" s="10"/>
      <c r="N63" s="10"/>
    </row>
    <row r="64" spans="1:23" ht="17" x14ac:dyDescent="0.2">
      <c r="A64" s="14">
        <v>9107000</v>
      </c>
      <c r="B64" t="s">
        <v>171</v>
      </c>
      <c r="C64" s="13" t="s">
        <v>172</v>
      </c>
      <c r="D64" s="3">
        <v>128</v>
      </c>
      <c r="E64" s="1">
        <v>99.6</v>
      </c>
      <c r="F64" s="1" t="s">
        <v>476</v>
      </c>
      <c r="H64" s="8">
        <f>ROUND(E64*723.968,-2)</f>
        <v>72100</v>
      </c>
      <c r="J64" s="10">
        <f t="shared" si="4"/>
        <v>0.36049999999999999</v>
      </c>
      <c r="K64" s="10"/>
      <c r="L64" s="10"/>
      <c r="M64" s="10"/>
      <c r="N64" s="10"/>
      <c r="W64" s="80" t="s">
        <v>426</v>
      </c>
    </row>
    <row r="65" spans="1:23" ht="17" x14ac:dyDescent="0.2">
      <c r="A65" s="14">
        <v>9109000</v>
      </c>
      <c r="B65" t="s">
        <v>171</v>
      </c>
      <c r="C65" t="s">
        <v>174</v>
      </c>
      <c r="D65" s="3">
        <v>254</v>
      </c>
      <c r="E65" s="1">
        <v>176.3</v>
      </c>
      <c r="F65" s="1" t="s">
        <v>476</v>
      </c>
      <c r="H65" s="8">
        <f>ROUND(E65*723.968,-3)</f>
        <v>128000</v>
      </c>
      <c r="J65" s="10">
        <f t="shared" si="4"/>
        <v>0.64</v>
      </c>
      <c r="K65" s="10"/>
      <c r="L65" s="10"/>
      <c r="M65" s="10"/>
      <c r="N65" s="10"/>
      <c r="O65" s="8">
        <f>ROUND(135013,-4)</f>
        <v>140000</v>
      </c>
      <c r="P65" t="s">
        <v>409</v>
      </c>
      <c r="T65" s="71">
        <f>H65/O65</f>
        <v>0.91428571428571426</v>
      </c>
    </row>
    <row r="66" spans="1:23" ht="17" x14ac:dyDescent="0.2">
      <c r="A66" s="14">
        <v>9110000</v>
      </c>
      <c r="B66" t="s">
        <v>171</v>
      </c>
      <c r="C66" s="13" t="s">
        <v>169</v>
      </c>
      <c r="D66" s="3">
        <v>476</v>
      </c>
      <c r="E66" s="1">
        <v>272.3</v>
      </c>
      <c r="F66" s="1" t="s">
        <v>476</v>
      </c>
      <c r="H66" s="8">
        <f>ROUND(E66*723.968,-3)</f>
        <v>197000</v>
      </c>
      <c r="J66" s="10">
        <f t="shared" si="4"/>
        <v>0.98499999999999999</v>
      </c>
      <c r="K66" s="10"/>
      <c r="L66" s="10"/>
      <c r="M66" s="9">
        <f>ROUND(297208,-3)</f>
        <v>297000</v>
      </c>
      <c r="N66" s="10" t="s">
        <v>382</v>
      </c>
      <c r="O66" s="8">
        <f>ROUND(212619,-3)</f>
        <v>213000</v>
      </c>
      <c r="P66" t="s">
        <v>380</v>
      </c>
      <c r="Q66" s="8">
        <f>ROUND(249200,-3)</f>
        <v>249000</v>
      </c>
      <c r="S66" s="68">
        <f>H66/M66</f>
        <v>0.66329966329966328</v>
      </c>
      <c r="T66" s="71">
        <f>H66/O66</f>
        <v>0.92488262910798125</v>
      </c>
      <c r="U66" s="58">
        <f>H66/Q66</f>
        <v>0.79116465863453811</v>
      </c>
    </row>
    <row r="67" spans="1:23" ht="17" x14ac:dyDescent="0.2">
      <c r="A67" s="14">
        <v>9112200</v>
      </c>
      <c r="B67" t="s">
        <v>168</v>
      </c>
      <c r="C67" t="s">
        <v>170</v>
      </c>
      <c r="D67" s="3">
        <v>239</v>
      </c>
      <c r="E67" s="1">
        <v>287.7</v>
      </c>
      <c r="F67" s="1" t="s">
        <v>458</v>
      </c>
      <c r="H67" s="8">
        <f>ROUND(E67*723.968,-3)</f>
        <v>208000</v>
      </c>
      <c r="J67" s="10">
        <f t="shared" si="4"/>
        <v>1.04</v>
      </c>
      <c r="K67" s="10"/>
      <c r="L67" s="10"/>
      <c r="M67" s="10"/>
      <c r="N67" s="10"/>
    </row>
    <row r="68" spans="1:23" ht="17" x14ac:dyDescent="0.2">
      <c r="A68" s="14">
        <v>9112500</v>
      </c>
      <c r="B68" t="s">
        <v>168</v>
      </c>
      <c r="C68" s="13" t="s">
        <v>169</v>
      </c>
      <c r="D68" s="3">
        <v>289</v>
      </c>
      <c r="E68" s="1">
        <v>284.8</v>
      </c>
      <c r="F68" s="1" t="s">
        <v>476</v>
      </c>
      <c r="H68" s="8">
        <f>ROUND(E68*723.968,-3)</f>
        <v>206000</v>
      </c>
      <c r="J68" s="10">
        <f t="shared" si="4"/>
        <v>1.03</v>
      </c>
      <c r="K68" s="10"/>
      <c r="L68" s="10"/>
      <c r="M68" s="9">
        <f>ROUND(296495,-3)</f>
        <v>296000</v>
      </c>
      <c r="N68" s="10" t="s">
        <v>410</v>
      </c>
      <c r="O68" s="8">
        <f>ROUND(233533,-3)</f>
        <v>234000</v>
      </c>
      <c r="P68" t="s">
        <v>381</v>
      </c>
      <c r="Q68" s="8">
        <f>ROUND(243400,-3)</f>
        <v>243000</v>
      </c>
      <c r="S68" s="68">
        <f>H68/M68</f>
        <v>0.69594594594594594</v>
      </c>
      <c r="T68" s="71">
        <f>H68/O68</f>
        <v>0.88034188034188032</v>
      </c>
      <c r="U68" s="58">
        <f>H68/Q68</f>
        <v>0.84773662551440332</v>
      </c>
    </row>
    <row r="69" spans="1:23" ht="17" x14ac:dyDescent="0.2">
      <c r="A69" s="14">
        <v>9113980</v>
      </c>
      <c r="B69" t="s">
        <v>173</v>
      </c>
      <c r="C69" t="s">
        <v>80</v>
      </c>
      <c r="D69" s="3">
        <v>163</v>
      </c>
      <c r="E69" s="1">
        <v>65</v>
      </c>
      <c r="F69" s="1" t="s">
        <v>476</v>
      </c>
      <c r="H69" s="8">
        <f>ROUND(E69*723.968,-2)</f>
        <v>47100</v>
      </c>
      <c r="J69" s="10">
        <f t="shared" si="4"/>
        <v>0.23549999999999999</v>
      </c>
      <c r="K69" s="10"/>
      <c r="L69" s="10"/>
      <c r="M69" s="10"/>
      <c r="N69" s="10"/>
    </row>
    <row r="70" spans="1:23" ht="17" x14ac:dyDescent="0.2">
      <c r="A70" s="14">
        <v>9114500</v>
      </c>
      <c r="B70" t="s">
        <v>62</v>
      </c>
      <c r="C70" t="s">
        <v>175</v>
      </c>
      <c r="D70" s="3">
        <v>1011</v>
      </c>
      <c r="E70" s="1">
        <v>605.20000000000005</v>
      </c>
      <c r="F70" s="1" t="s">
        <v>476</v>
      </c>
      <c r="H70" s="8">
        <f>ROUND(E70*723.968,-3)</f>
        <v>438000</v>
      </c>
      <c r="J70" s="10">
        <f t="shared" si="4"/>
        <v>2.19</v>
      </c>
      <c r="K70" s="10"/>
      <c r="L70" s="10"/>
      <c r="M70" s="9">
        <f>ROUND(643024,-4)</f>
        <v>640000</v>
      </c>
      <c r="N70" s="10" t="s">
        <v>411</v>
      </c>
      <c r="O70" s="8">
        <f>ROUND(516102,-3)</f>
        <v>516000</v>
      </c>
      <c r="P70" t="s">
        <v>400</v>
      </c>
      <c r="Q70" s="8">
        <f>ROUND(545500,-3)</f>
        <v>546000</v>
      </c>
      <c r="S70" s="68">
        <f>H70/M70</f>
        <v>0.68437499999999996</v>
      </c>
      <c r="T70" s="98">
        <f>H70/O70</f>
        <v>0.84883720930232553</v>
      </c>
      <c r="U70" s="58">
        <f>H70/Q70</f>
        <v>0.80219780219780223</v>
      </c>
    </row>
    <row r="71" spans="1:23" ht="17" x14ac:dyDescent="0.2">
      <c r="A71" s="14">
        <v>9115500</v>
      </c>
      <c r="B71" t="s">
        <v>176</v>
      </c>
      <c r="C71" s="13" t="s">
        <v>179</v>
      </c>
      <c r="D71" s="3">
        <v>148</v>
      </c>
      <c r="E71" s="1">
        <v>57.4</v>
      </c>
      <c r="F71" s="1" t="s">
        <v>476</v>
      </c>
      <c r="H71" s="8">
        <f>ROUND(E71*723.968,-2)</f>
        <v>41600</v>
      </c>
      <c r="J71" s="10">
        <f t="shared" si="4"/>
        <v>0.20799999999999999</v>
      </c>
      <c r="K71" s="10"/>
      <c r="L71" s="10"/>
      <c r="M71" s="9">
        <f>ROUND(55697,-2)</f>
        <v>55700</v>
      </c>
      <c r="N71" s="10" t="s">
        <v>412</v>
      </c>
      <c r="O71" s="8">
        <f>ROUND(45308,-3)</f>
        <v>45000</v>
      </c>
      <c r="P71" t="s">
        <v>387</v>
      </c>
      <c r="Q71" s="8">
        <f>ROUND(45280,-2)</f>
        <v>45300</v>
      </c>
      <c r="S71" s="68">
        <f>H71/M71</f>
        <v>0.7468581687612208</v>
      </c>
      <c r="T71" s="71">
        <f>H71/O71</f>
        <v>0.9244444444444444</v>
      </c>
      <c r="U71" s="71">
        <f>H71/Q71</f>
        <v>0.91832229580573954</v>
      </c>
      <c r="W71" s="80" t="s">
        <v>427</v>
      </c>
    </row>
    <row r="72" spans="1:23" ht="17" x14ac:dyDescent="0.2">
      <c r="A72" s="14">
        <v>9118450</v>
      </c>
      <c r="B72" t="s">
        <v>177</v>
      </c>
      <c r="C72" t="s">
        <v>178</v>
      </c>
      <c r="D72" s="3">
        <v>334</v>
      </c>
      <c r="E72" s="1">
        <v>35</v>
      </c>
      <c r="F72" s="1" t="s">
        <v>476</v>
      </c>
      <c r="H72" s="8">
        <f>ROUND(E72*723.968,-2)</f>
        <v>25300</v>
      </c>
      <c r="J72" s="10">
        <f t="shared" si="4"/>
        <v>0.1265</v>
      </c>
      <c r="K72" s="10"/>
      <c r="L72" s="10"/>
      <c r="M72" s="10"/>
      <c r="N72" s="10"/>
    </row>
    <row r="73" spans="1:23" ht="17" x14ac:dyDescent="0.2">
      <c r="A73" s="14">
        <v>9119000</v>
      </c>
      <c r="B73" t="s">
        <v>176</v>
      </c>
      <c r="C73" s="13" t="s">
        <v>180</v>
      </c>
      <c r="D73" s="3">
        <v>1061</v>
      </c>
      <c r="E73" s="1">
        <v>141.30000000000001</v>
      </c>
      <c r="F73" s="1" t="s">
        <v>476</v>
      </c>
      <c r="H73" s="8">
        <f>ROUND(E73*723.968,-3)</f>
        <v>102000</v>
      </c>
      <c r="J73" s="10">
        <f t="shared" si="4"/>
        <v>0.51</v>
      </c>
      <c r="K73" s="10"/>
      <c r="L73" s="10"/>
      <c r="M73" s="10"/>
      <c r="N73" s="10"/>
      <c r="O73" s="8">
        <f>ROUND(136251,-4)</f>
        <v>140000</v>
      </c>
      <c r="P73" t="s">
        <v>387</v>
      </c>
      <c r="Q73" s="8">
        <f>ROUND(131000,-4)</f>
        <v>130000</v>
      </c>
      <c r="T73" s="72">
        <f>H73/O73</f>
        <v>0.72857142857142854</v>
      </c>
      <c r="U73" s="58">
        <f>H73/Q73</f>
        <v>0.7846153846153846</v>
      </c>
    </row>
    <row r="74" spans="1:23" ht="17" x14ac:dyDescent="0.2">
      <c r="A74" s="14">
        <v>9124500</v>
      </c>
      <c r="B74" t="s">
        <v>183</v>
      </c>
      <c r="C74" s="13" t="s">
        <v>184</v>
      </c>
      <c r="D74" s="3">
        <v>339</v>
      </c>
      <c r="E74" s="1">
        <v>210.9</v>
      </c>
      <c r="F74" s="1" t="s">
        <v>476</v>
      </c>
      <c r="H74" s="8">
        <f>ROUND(E74*723.968,-3)</f>
        <v>153000</v>
      </c>
      <c r="J74" s="10">
        <f t="shared" si="4"/>
        <v>0.76500000000000001</v>
      </c>
      <c r="K74" s="10"/>
      <c r="L74" s="10"/>
      <c r="M74" s="10"/>
      <c r="N74" s="10"/>
      <c r="O74" s="8">
        <f>ROUND(201118,-4)</f>
        <v>200000</v>
      </c>
      <c r="P74" t="s">
        <v>413</v>
      </c>
      <c r="Q74" s="8">
        <f>ROUND(192000,-4)</f>
        <v>190000</v>
      </c>
      <c r="T74" s="58">
        <f>H74/O74</f>
        <v>0.76500000000000001</v>
      </c>
      <c r="U74" s="58">
        <f>H74/Q74</f>
        <v>0.80526315789473679</v>
      </c>
    </row>
    <row r="75" spans="1:23" ht="17" x14ac:dyDescent="0.2">
      <c r="A75" s="14">
        <v>9126000</v>
      </c>
      <c r="B75" t="s">
        <v>181</v>
      </c>
      <c r="C75" s="13" t="s">
        <v>182</v>
      </c>
      <c r="D75" s="3">
        <v>66.7</v>
      </c>
      <c r="E75" s="1">
        <v>88.9</v>
      </c>
      <c r="F75" s="1" t="s">
        <v>476</v>
      </c>
      <c r="H75" s="8">
        <f>ROUND(E75*723.968,-2)</f>
        <v>64400</v>
      </c>
      <c r="J75" s="10">
        <f t="shared" si="4"/>
        <v>0.32200000000000001</v>
      </c>
      <c r="K75" s="10"/>
      <c r="L75" s="10"/>
      <c r="M75" s="10"/>
      <c r="N75" s="10"/>
    </row>
    <row r="76" spans="1:23" ht="17" x14ac:dyDescent="0.2">
      <c r="A76" s="14">
        <v>9128000</v>
      </c>
      <c r="B76" t="s">
        <v>62</v>
      </c>
      <c r="C76" t="s">
        <v>79</v>
      </c>
      <c r="D76" s="3">
        <v>3971</v>
      </c>
      <c r="E76" s="1">
        <v>843.8</v>
      </c>
      <c r="F76" s="1" t="s">
        <v>476</v>
      </c>
      <c r="H76" s="8">
        <f>ROUND(E76*723.968,-3)</f>
        <v>611000</v>
      </c>
      <c r="J76" s="10">
        <f t="shared" si="4"/>
        <v>3.0550000000000002</v>
      </c>
      <c r="K76" s="10"/>
      <c r="L76" s="10"/>
      <c r="M76" s="9">
        <f>ROUND(1332482,-5)</f>
        <v>1300000</v>
      </c>
      <c r="N76" s="10" t="s">
        <v>382</v>
      </c>
      <c r="O76" s="8">
        <f>ROUND(867896,-4)</f>
        <v>870000</v>
      </c>
      <c r="P76" t="s">
        <v>380</v>
      </c>
      <c r="Q76" s="8">
        <v>944000</v>
      </c>
      <c r="S76" s="82">
        <f>H76/M76</f>
        <v>0.47</v>
      </c>
      <c r="T76" s="72">
        <f>H76/O76</f>
        <v>0.70229885057471264</v>
      </c>
      <c r="U76" s="73">
        <f>H76/Q76</f>
        <v>0.6472457627118644</v>
      </c>
      <c r="W76" s="80" t="s">
        <v>428</v>
      </c>
    </row>
    <row r="77" spans="1:23" ht="17" x14ac:dyDescent="0.2">
      <c r="A77" s="14">
        <v>9132500</v>
      </c>
      <c r="B77" t="s">
        <v>78</v>
      </c>
      <c r="C77" t="s">
        <v>185</v>
      </c>
      <c r="D77" s="3">
        <v>55</v>
      </c>
      <c r="E77" s="1">
        <v>386.2</v>
      </c>
      <c r="F77" s="1" t="s">
        <v>476</v>
      </c>
      <c r="H77" s="8">
        <f>ROUND(E77*723.968,-3)</f>
        <v>280000</v>
      </c>
      <c r="J77" s="10">
        <f t="shared" si="4"/>
        <v>1.4</v>
      </c>
      <c r="K77" s="10"/>
      <c r="L77" s="10"/>
      <c r="M77" s="10"/>
      <c r="N77" s="10"/>
      <c r="O77" s="8">
        <f>ROUND(326387,-4)</f>
        <v>330000</v>
      </c>
      <c r="P77" t="s">
        <v>384</v>
      </c>
      <c r="T77" s="58">
        <f>H77/O77</f>
        <v>0.84848484848484851</v>
      </c>
    </row>
    <row r="78" spans="1:23" ht="17" x14ac:dyDescent="0.2">
      <c r="A78" s="14">
        <v>9144250</v>
      </c>
      <c r="B78" t="s">
        <v>62</v>
      </c>
      <c r="C78" s="13" t="s">
        <v>67</v>
      </c>
      <c r="D78" s="3">
        <v>5636</v>
      </c>
      <c r="E78" s="1">
        <v>1418.7</v>
      </c>
      <c r="F78" s="1" t="s">
        <v>476</v>
      </c>
      <c r="H78" s="8">
        <f>ROUND(E78*723.968,-4)</f>
        <v>1030000</v>
      </c>
      <c r="J78" s="10">
        <f t="shared" si="4"/>
        <v>5.15</v>
      </c>
      <c r="K78" s="10"/>
      <c r="L78" s="10"/>
      <c r="M78" s="10"/>
      <c r="N78" s="10"/>
    </row>
    <row r="79" spans="1:23" x14ac:dyDescent="0.2">
      <c r="A79" s="14">
        <v>9145000</v>
      </c>
      <c r="B79" t="s">
        <v>186</v>
      </c>
      <c r="C79" s="13" t="s">
        <v>477</v>
      </c>
      <c r="D79" s="3">
        <v>42</v>
      </c>
      <c r="E79" s="1"/>
      <c r="F79" s="1"/>
      <c r="H79" s="8"/>
      <c r="J79" s="10"/>
      <c r="K79" s="10"/>
      <c r="L79" s="10"/>
      <c r="M79" s="9">
        <v>65500</v>
      </c>
      <c r="N79" s="10" t="s">
        <v>478</v>
      </c>
    </row>
    <row r="80" spans="1:23" x14ac:dyDescent="0.2">
      <c r="A80" s="14">
        <v>9146000</v>
      </c>
      <c r="B80" t="s">
        <v>186</v>
      </c>
      <c r="C80" s="13" t="s">
        <v>479</v>
      </c>
      <c r="D80" s="3">
        <v>75.2</v>
      </c>
      <c r="E80" s="1"/>
      <c r="F80" s="1"/>
      <c r="H80" s="8"/>
      <c r="J80" s="10"/>
      <c r="K80" s="10"/>
      <c r="L80" s="10"/>
      <c r="M80" s="9">
        <v>118000</v>
      </c>
      <c r="N80" s="10" t="s">
        <v>480</v>
      </c>
      <c r="S80" s="166">
        <f>H81/M80</f>
        <v>0.75423728813559321</v>
      </c>
    </row>
    <row r="81" spans="1:21" ht="17" x14ac:dyDescent="0.2">
      <c r="A81" s="14">
        <v>9146020</v>
      </c>
      <c r="B81" t="s">
        <v>186</v>
      </c>
      <c r="C81" s="13" t="s">
        <v>191</v>
      </c>
      <c r="D81" s="3">
        <v>76.900000000000006</v>
      </c>
      <c r="E81" s="1">
        <v>122.9</v>
      </c>
      <c r="F81" s="1" t="s">
        <v>481</v>
      </c>
      <c r="H81" s="8">
        <f>ROUND(E81*723.968,-2)</f>
        <v>89000</v>
      </c>
      <c r="J81" s="10">
        <f t="shared" ref="J81:J95" si="5">H81/100000/2</f>
        <v>0.44500000000000001</v>
      </c>
      <c r="K81" s="10"/>
      <c r="L81" s="10"/>
      <c r="M81" s="10"/>
      <c r="N81" s="10"/>
      <c r="S81" s="166"/>
    </row>
    <row r="82" spans="1:21" ht="17" x14ac:dyDescent="0.2">
      <c r="A82" s="14">
        <v>9146200</v>
      </c>
      <c r="B82" t="s">
        <v>186</v>
      </c>
      <c r="C82" s="13" t="s">
        <v>190</v>
      </c>
      <c r="D82" s="3">
        <v>149</v>
      </c>
      <c r="E82" s="1">
        <v>153</v>
      </c>
      <c r="F82" s="1" t="s">
        <v>476</v>
      </c>
      <c r="H82" s="8">
        <f>ROUND(E82*723.968,-3)</f>
        <v>111000</v>
      </c>
      <c r="J82" s="10">
        <f t="shared" si="5"/>
        <v>0.55500000000000005</v>
      </c>
      <c r="K82" s="10"/>
      <c r="L82" s="10"/>
      <c r="M82" s="10"/>
      <c r="N82" s="10"/>
    </row>
    <row r="83" spans="1:21" ht="17" x14ac:dyDescent="0.2">
      <c r="A83" s="14">
        <v>9147000</v>
      </c>
      <c r="B83" t="s">
        <v>189</v>
      </c>
      <c r="C83" s="13" t="s">
        <v>190</v>
      </c>
      <c r="D83" s="3">
        <v>97.2</v>
      </c>
      <c r="E83" s="1">
        <v>29.4</v>
      </c>
      <c r="F83" s="1" t="s">
        <v>476</v>
      </c>
      <c r="H83" s="8">
        <f>ROUND(E83*723.968,-2)</f>
        <v>21300</v>
      </c>
      <c r="J83" s="10">
        <f t="shared" si="5"/>
        <v>0.1065</v>
      </c>
      <c r="K83" s="10"/>
      <c r="L83" s="10"/>
      <c r="M83" s="9">
        <f>ROUND(38457,-2)</f>
        <v>38500</v>
      </c>
      <c r="N83" s="10" t="s">
        <v>414</v>
      </c>
      <c r="S83" s="81">
        <f>H83/M83</f>
        <v>0.55324675324675321</v>
      </c>
    </row>
    <row r="84" spans="1:21" ht="17" x14ac:dyDescent="0.2">
      <c r="A84" s="14">
        <v>9147025</v>
      </c>
      <c r="B84" t="s">
        <v>186</v>
      </c>
      <c r="C84" s="13" t="s">
        <v>188</v>
      </c>
      <c r="D84" s="3">
        <v>265</v>
      </c>
      <c r="E84" s="1">
        <v>183.4</v>
      </c>
      <c r="F84" s="1" t="s">
        <v>476</v>
      </c>
      <c r="H84" s="8">
        <f>ROUND(E84*723.968,-3)</f>
        <v>133000</v>
      </c>
      <c r="J84" s="10">
        <f t="shared" si="5"/>
        <v>0.66500000000000004</v>
      </c>
      <c r="K84" s="10"/>
      <c r="L84" s="10"/>
      <c r="M84" s="10"/>
      <c r="N84" s="10"/>
    </row>
    <row r="85" spans="1:21" ht="17" x14ac:dyDescent="0.2">
      <c r="A85" s="14">
        <v>9147500</v>
      </c>
      <c r="B85" t="s">
        <v>186</v>
      </c>
      <c r="C85" s="13" t="s">
        <v>187</v>
      </c>
      <c r="D85" s="3">
        <v>448</v>
      </c>
      <c r="E85" s="1">
        <v>220.5</v>
      </c>
      <c r="F85" s="1" t="s">
        <v>476</v>
      </c>
      <c r="H85" s="8">
        <f>ROUND(E85*723.968,-3)</f>
        <v>160000</v>
      </c>
      <c r="J85" s="10">
        <f t="shared" si="5"/>
        <v>0.8</v>
      </c>
      <c r="K85" s="10"/>
      <c r="L85" s="10"/>
      <c r="M85" s="10"/>
      <c r="N85" s="10"/>
      <c r="Q85" s="8">
        <f>ROUND(201400,-4)</f>
        <v>200000</v>
      </c>
      <c r="R85" s="141"/>
      <c r="S85" s="67"/>
      <c r="U85" s="58">
        <f>H85/Q85</f>
        <v>0.8</v>
      </c>
    </row>
    <row r="86" spans="1:21" ht="17" x14ac:dyDescent="0.2">
      <c r="A86" s="14">
        <v>9149500</v>
      </c>
      <c r="B86" t="s">
        <v>186</v>
      </c>
      <c r="C86" s="13" t="s">
        <v>67</v>
      </c>
      <c r="D86" s="3">
        <v>1114</v>
      </c>
      <c r="E86" s="1">
        <v>312.7</v>
      </c>
      <c r="F86" s="1" t="s">
        <v>476</v>
      </c>
      <c r="H86" s="8">
        <f>ROUND(E86*723.968,-3)</f>
        <v>226000</v>
      </c>
      <c r="J86" s="10">
        <f t="shared" si="5"/>
        <v>1.1299999999999999</v>
      </c>
      <c r="K86" s="10"/>
      <c r="L86" s="10"/>
      <c r="M86" s="10"/>
      <c r="N86" s="10"/>
      <c r="O86" s="8">
        <f>ROUND(236132,-3)</f>
        <v>236000</v>
      </c>
      <c r="P86" t="s">
        <v>409</v>
      </c>
      <c r="T86" s="87">
        <f>H86/O86</f>
        <v>0.9576271186440678</v>
      </c>
    </row>
    <row r="87" spans="1:21" ht="18" thickBot="1" x14ac:dyDescent="0.25">
      <c r="A87" s="14">
        <v>9152500</v>
      </c>
      <c r="B87" t="s">
        <v>62</v>
      </c>
      <c r="C87" t="s">
        <v>63</v>
      </c>
      <c r="D87" s="3">
        <v>7923</v>
      </c>
      <c r="E87" s="17">
        <v>1986.3</v>
      </c>
      <c r="F87" s="1" t="s">
        <v>476</v>
      </c>
      <c r="H87" s="8">
        <f>ROUND(E87*723.968,-4)</f>
        <v>1440000</v>
      </c>
      <c r="J87" s="10">
        <f t="shared" si="5"/>
        <v>7.2</v>
      </c>
      <c r="K87" s="10"/>
      <c r="L87" s="10"/>
      <c r="M87" s="9">
        <f>ROUND(2403625,-5)</f>
        <v>2400000</v>
      </c>
      <c r="N87" s="10" t="s">
        <v>406</v>
      </c>
      <c r="O87" s="8">
        <f>ROUND(1772190,-5)</f>
        <v>1800000</v>
      </c>
      <c r="P87" t="s">
        <v>380</v>
      </c>
      <c r="Q87" s="8">
        <f>ROUND(1884000,-5)</f>
        <v>1900000</v>
      </c>
      <c r="R87" s="141"/>
      <c r="S87" s="97">
        <f>H87/M87</f>
        <v>0.6</v>
      </c>
      <c r="T87" s="58">
        <f>H87/O87</f>
        <v>0.8</v>
      </c>
      <c r="U87" s="58">
        <f>H87/Q87</f>
        <v>0.75789473684210529</v>
      </c>
    </row>
    <row r="88" spans="1:21" ht="19" thickTop="1" thickBot="1" x14ac:dyDescent="0.25">
      <c r="A88" s="14">
        <v>9163500</v>
      </c>
      <c r="B88" t="s">
        <v>48</v>
      </c>
      <c r="C88" t="s">
        <v>59</v>
      </c>
      <c r="D88" s="3">
        <v>17849</v>
      </c>
      <c r="E88" s="16">
        <v>5245.2</v>
      </c>
      <c r="F88" s="1" t="s">
        <v>476</v>
      </c>
      <c r="H88" s="8">
        <f>ROUND(E88*723.968,-4)</f>
        <v>3800000</v>
      </c>
      <c r="J88" s="10">
        <f t="shared" si="5"/>
        <v>19</v>
      </c>
      <c r="K88" s="10"/>
      <c r="L88" s="10"/>
      <c r="M88" s="10"/>
      <c r="N88" s="10"/>
    </row>
    <row r="89" spans="1:21" ht="18" thickTop="1" x14ac:dyDescent="0.2">
      <c r="A89" s="2">
        <v>9165000</v>
      </c>
      <c r="B89" t="s">
        <v>49</v>
      </c>
      <c r="C89" t="s">
        <v>54</v>
      </c>
      <c r="D89" s="3">
        <v>106</v>
      </c>
      <c r="E89" s="1">
        <v>112.1</v>
      </c>
      <c r="F89" s="1" t="s">
        <v>476</v>
      </c>
      <c r="H89" s="8">
        <f>ROUND(E89*723.968,-2)</f>
        <v>81200</v>
      </c>
      <c r="J89" s="10">
        <f t="shared" si="5"/>
        <v>0.40600000000000003</v>
      </c>
      <c r="K89" s="10"/>
      <c r="L89" s="10"/>
      <c r="M89" s="10"/>
      <c r="N89" s="10"/>
    </row>
    <row r="90" spans="1:21" ht="17" x14ac:dyDescent="0.2">
      <c r="A90" s="104">
        <v>9166500</v>
      </c>
      <c r="B90" s="105" t="s">
        <v>49</v>
      </c>
      <c r="C90" s="121" t="s">
        <v>52</v>
      </c>
      <c r="D90" s="3">
        <v>504</v>
      </c>
      <c r="E90" s="1">
        <v>327.3</v>
      </c>
      <c r="F90" s="1" t="s">
        <v>476</v>
      </c>
      <c r="H90" s="8">
        <f>ROUND(E90*723.968,-3)</f>
        <v>237000</v>
      </c>
      <c r="J90" s="10">
        <f t="shared" si="5"/>
        <v>1.1850000000000001</v>
      </c>
      <c r="K90" s="10"/>
      <c r="L90" s="10"/>
      <c r="M90" s="9">
        <f>ROUND(425744,-4)</f>
        <v>430000</v>
      </c>
      <c r="N90" s="10" t="s">
        <v>382</v>
      </c>
      <c r="O90" s="8">
        <f>ROUND(324453,-4)</f>
        <v>320000</v>
      </c>
      <c r="P90" t="s">
        <v>380</v>
      </c>
      <c r="Q90" s="8">
        <f>ROUND(356400,-4)</f>
        <v>360000</v>
      </c>
      <c r="S90" s="81">
        <f>H90/M90</f>
        <v>0.55116279069767438</v>
      </c>
      <c r="T90" s="72">
        <f>H90/O90</f>
        <v>0.74062499999999998</v>
      </c>
      <c r="U90" s="72">
        <f>H90/Q90</f>
        <v>0.65833333333333333</v>
      </c>
    </row>
    <row r="91" spans="1:21" ht="17" x14ac:dyDescent="0.2">
      <c r="A91" s="14">
        <v>9166950</v>
      </c>
      <c r="B91" t="s">
        <v>192</v>
      </c>
      <c r="C91" s="13" t="s">
        <v>193</v>
      </c>
      <c r="D91" s="3">
        <v>71.2</v>
      </c>
      <c r="E91" s="1">
        <v>11.3</v>
      </c>
      <c r="F91" s="1" t="s">
        <v>476</v>
      </c>
      <c r="H91" s="8">
        <f>ROUND(E91*723.968,-1)</f>
        <v>8180</v>
      </c>
      <c r="J91" s="10">
        <f t="shared" si="5"/>
        <v>4.0899999999999999E-2</v>
      </c>
      <c r="K91" s="10"/>
      <c r="L91" s="10"/>
      <c r="M91" s="10"/>
      <c r="N91" s="10"/>
    </row>
    <row r="92" spans="1:21" ht="17" x14ac:dyDescent="0.2">
      <c r="A92" s="2">
        <v>9169500</v>
      </c>
      <c r="B92" t="s">
        <v>49</v>
      </c>
      <c r="C92" s="13" t="s">
        <v>53</v>
      </c>
      <c r="D92" s="3">
        <v>2025</v>
      </c>
      <c r="E92" s="1">
        <v>124.8</v>
      </c>
      <c r="F92" s="1" t="s">
        <v>476</v>
      </c>
      <c r="H92" s="8">
        <f>ROUND(E92*723.968,-2)</f>
        <v>90400</v>
      </c>
      <c r="J92" s="10">
        <f t="shared" si="5"/>
        <v>0.45200000000000001</v>
      </c>
      <c r="K92" s="10"/>
      <c r="L92" s="10"/>
      <c r="M92" s="10"/>
      <c r="N92" s="10"/>
    </row>
    <row r="93" spans="1:21" ht="17" x14ac:dyDescent="0.2">
      <c r="A93" s="2">
        <v>9171100</v>
      </c>
      <c r="B93" t="s">
        <v>49</v>
      </c>
      <c r="C93" s="13" t="s">
        <v>60</v>
      </c>
      <c r="D93" s="3">
        <v>2147</v>
      </c>
      <c r="E93" s="1">
        <v>127.9</v>
      </c>
      <c r="F93" s="1" t="s">
        <v>476</v>
      </c>
      <c r="H93" s="8">
        <f>ROUND(E93*723.968,-2)</f>
        <v>92600</v>
      </c>
      <c r="J93" s="10">
        <f t="shared" si="5"/>
        <v>0.46300000000000002</v>
      </c>
      <c r="K93" s="10"/>
      <c r="L93" s="10"/>
      <c r="M93" s="10"/>
      <c r="N93" s="10"/>
    </row>
    <row r="94" spans="1:21" ht="34" x14ac:dyDescent="0.2">
      <c r="A94" s="110">
        <v>9172500</v>
      </c>
      <c r="B94" s="109" t="s">
        <v>55</v>
      </c>
      <c r="C94" s="111" t="s">
        <v>56</v>
      </c>
      <c r="D94" s="3">
        <v>309</v>
      </c>
      <c r="E94" s="1">
        <v>205.3</v>
      </c>
      <c r="F94" s="1" t="s">
        <v>476</v>
      </c>
      <c r="H94" s="8">
        <f>ROUND(E94*723.968,-3)</f>
        <v>149000</v>
      </c>
      <c r="J94" s="10">
        <f t="shared" si="5"/>
        <v>0.745</v>
      </c>
      <c r="K94" s="10"/>
      <c r="L94" s="10"/>
      <c r="M94" s="9">
        <f>ROUND(225263,-4)</f>
        <v>230000</v>
      </c>
      <c r="N94" s="10" t="s">
        <v>429</v>
      </c>
      <c r="O94" s="8">
        <f>ROUND(170731,-3)</f>
        <v>171000</v>
      </c>
      <c r="P94" s="22" t="s">
        <v>430</v>
      </c>
      <c r="Q94" s="8">
        <f>ROUND(187600,-3)</f>
        <v>188000</v>
      </c>
      <c r="S94" s="81">
        <f>H94/M94</f>
        <v>0.64782608695652177</v>
      </c>
      <c r="T94" s="93">
        <f>H94/O94</f>
        <v>0.87134502923976609</v>
      </c>
      <c r="U94" s="85">
        <f>H94/Q94</f>
        <v>0.79255319148936165</v>
      </c>
    </row>
    <row r="95" spans="1:21" ht="17" x14ac:dyDescent="0.2">
      <c r="A95" s="14">
        <v>9174600</v>
      </c>
      <c r="B95" t="s">
        <v>55</v>
      </c>
      <c r="C95" t="s">
        <v>58</v>
      </c>
      <c r="D95" s="4">
        <v>743</v>
      </c>
      <c r="E95" s="1">
        <v>202.1</v>
      </c>
      <c r="F95" s="1" t="s">
        <v>476</v>
      </c>
      <c r="H95" s="8">
        <f>ROUND(E95*723.968,-3)</f>
        <v>146000</v>
      </c>
      <c r="J95" s="10">
        <f t="shared" si="5"/>
        <v>0.73</v>
      </c>
      <c r="K95" s="10"/>
      <c r="L95" s="10"/>
      <c r="M95" s="10"/>
      <c r="N95" s="10"/>
    </row>
    <row r="96" spans="1:21" x14ac:dyDescent="0.2">
      <c r="A96" s="114">
        <v>9175500</v>
      </c>
      <c r="B96" s="105" t="s">
        <v>55</v>
      </c>
      <c r="C96" s="121" t="s">
        <v>359</v>
      </c>
      <c r="D96" s="4">
        <v>1080</v>
      </c>
      <c r="E96" s="1"/>
      <c r="H96" s="8"/>
      <c r="J96" s="10"/>
      <c r="K96" s="10"/>
      <c r="L96" s="10"/>
      <c r="M96" s="9">
        <f>ROUND(287373,-4)</f>
        <v>290000</v>
      </c>
      <c r="N96" s="10" t="s">
        <v>431</v>
      </c>
      <c r="O96" s="8">
        <f>ROUND(315529,-3)</f>
        <v>316000</v>
      </c>
      <c r="P96" t="s">
        <v>432</v>
      </c>
      <c r="Q96" s="8">
        <f>ROUND(254300,-3)</f>
        <v>254000</v>
      </c>
      <c r="S96" s="171">
        <f>H97/M96</f>
        <v>0.64137931034482754</v>
      </c>
      <c r="T96" s="171">
        <f>H97/O96</f>
        <v>0.58860759493670889</v>
      </c>
      <c r="U96" s="167">
        <f>H97/Q96</f>
        <v>0.73228346456692917</v>
      </c>
    </row>
    <row r="97" spans="1:21" ht="17" x14ac:dyDescent="0.2">
      <c r="A97" s="104">
        <v>9177000</v>
      </c>
      <c r="B97" s="105" t="s">
        <v>55</v>
      </c>
      <c r="C97" s="121" t="s">
        <v>57</v>
      </c>
      <c r="D97" s="3">
        <v>1500</v>
      </c>
      <c r="E97" s="1">
        <v>257.5</v>
      </c>
      <c r="F97" s="1" t="s">
        <v>476</v>
      </c>
      <c r="H97" s="8">
        <f>ROUND(E97*723.968,-3)</f>
        <v>186000</v>
      </c>
      <c r="J97" s="10">
        <f>H97/100000/2</f>
        <v>0.93</v>
      </c>
      <c r="K97" s="10"/>
      <c r="L97" s="10"/>
      <c r="M97" s="10"/>
      <c r="N97" s="10"/>
      <c r="S97" s="171"/>
      <c r="T97" s="171"/>
      <c r="U97" s="167"/>
    </row>
    <row r="98" spans="1:21" ht="17" thickBot="1" x14ac:dyDescent="0.25">
      <c r="A98" s="2">
        <v>9179500</v>
      </c>
      <c r="B98" t="s">
        <v>49</v>
      </c>
      <c r="C98" s="13" t="s">
        <v>360</v>
      </c>
      <c r="D98" s="3">
        <v>4350</v>
      </c>
      <c r="E98" s="1"/>
      <c r="F98" s="1"/>
      <c r="H98" s="8"/>
      <c r="J98" s="10"/>
      <c r="K98" s="10"/>
      <c r="L98" s="10"/>
      <c r="M98" s="10"/>
      <c r="N98" s="10"/>
      <c r="O98" s="8">
        <f>ROUND(777291,-3)</f>
        <v>777000</v>
      </c>
      <c r="P98" t="s">
        <v>408</v>
      </c>
      <c r="Q98" s="8">
        <f>ROUND(683900,-3)</f>
        <v>684000</v>
      </c>
      <c r="T98" s="169">
        <f>H99/O98</f>
        <v>0.38610038610038611</v>
      </c>
      <c r="U98" s="169">
        <f>H99/Q99</f>
        <v>0.44052863436123346</v>
      </c>
    </row>
    <row r="99" spans="1:21" ht="19" thickTop="1" thickBot="1" x14ac:dyDescent="0.25">
      <c r="A99" s="161">
        <v>9180000</v>
      </c>
      <c r="B99" s="52" t="s">
        <v>49</v>
      </c>
      <c r="C99" s="52" t="s">
        <v>51</v>
      </c>
      <c r="D99" s="3">
        <v>4580</v>
      </c>
      <c r="E99" s="15">
        <v>414.8</v>
      </c>
      <c r="F99" s="1" t="s">
        <v>476</v>
      </c>
      <c r="H99" s="8">
        <f>ROUND(E99*723.968,-3)</f>
        <v>300000</v>
      </c>
      <c r="J99" s="10">
        <f>H99/100000/2</f>
        <v>1.5</v>
      </c>
      <c r="K99" s="10"/>
      <c r="L99" s="10"/>
      <c r="M99" s="10"/>
      <c r="N99" s="10"/>
      <c r="Q99" s="8">
        <f>ROUND(681000,-3)</f>
        <v>681000</v>
      </c>
      <c r="R99" s="141"/>
      <c r="S99" s="67"/>
      <c r="T99" s="169"/>
      <c r="U99" s="169"/>
    </row>
    <row r="100" spans="1:21" ht="53" thickTop="1" thickBot="1" x14ac:dyDescent="0.25">
      <c r="A100" s="104">
        <v>9185000</v>
      </c>
      <c r="B100" s="105" t="s">
        <v>48</v>
      </c>
      <c r="C100" s="105" t="s">
        <v>50</v>
      </c>
      <c r="D100" s="160">
        <v>24100</v>
      </c>
      <c r="E100" s="15">
        <v>5446.9</v>
      </c>
      <c r="F100" s="1" t="s">
        <v>476</v>
      </c>
      <c r="H100" s="49">
        <f>ROUND(E100*723.968,-4)</f>
        <v>3940000</v>
      </c>
      <c r="J100" s="10">
        <f>H100/100000/2</f>
        <v>19.7</v>
      </c>
      <c r="K100" s="9">
        <f>ROUND(7162000,-5)</f>
        <v>7200000</v>
      </c>
      <c r="L100" s="79" t="s">
        <v>450</v>
      </c>
      <c r="M100" s="9">
        <f>ROUND(7135100,-4)</f>
        <v>7140000</v>
      </c>
      <c r="N100" s="79" t="s">
        <v>405</v>
      </c>
      <c r="O100" s="49">
        <f>ROUND(5317473,-5)</f>
        <v>5300000</v>
      </c>
      <c r="P100" t="s">
        <v>380</v>
      </c>
      <c r="Q100" s="49">
        <f>ROUND(5534000,-5)</f>
        <v>5500000</v>
      </c>
      <c r="R100" s="141"/>
      <c r="S100" s="89">
        <f>H100/M100</f>
        <v>0.55182072829131656</v>
      </c>
      <c r="T100" s="68">
        <f>H100/O100</f>
        <v>0.74339622641509429</v>
      </c>
      <c r="U100" s="68">
        <f>H100/Q100</f>
        <v>0.71636363636363631</v>
      </c>
    </row>
    <row r="101" spans="1:21" ht="18" thickTop="1" x14ac:dyDescent="0.2">
      <c r="A101" s="14">
        <v>9183500</v>
      </c>
      <c r="B101" t="s">
        <v>194</v>
      </c>
      <c r="C101" t="s">
        <v>195</v>
      </c>
      <c r="D101" s="3">
        <v>26.8</v>
      </c>
      <c r="E101" s="1">
        <v>8.8000000000000007</v>
      </c>
      <c r="F101" s="1" t="s">
        <v>476</v>
      </c>
      <c r="H101" s="8">
        <f>ROUND(E101*723.968,-2)</f>
        <v>6400</v>
      </c>
      <c r="J101" s="10">
        <f>H101/100000/2</f>
        <v>3.2000000000000001E-2</v>
      </c>
      <c r="K101" s="10"/>
      <c r="L101" s="10"/>
      <c r="M101" s="10"/>
      <c r="N101" s="10"/>
    </row>
    <row r="102" spans="1:21" ht="17" x14ac:dyDescent="0.2">
      <c r="A102" s="14">
        <v>9185600</v>
      </c>
      <c r="B102" t="s">
        <v>48</v>
      </c>
      <c r="C102" s="13" t="s">
        <v>459</v>
      </c>
      <c r="D102" s="3">
        <v>25406</v>
      </c>
      <c r="E102" s="1">
        <v>5206.3</v>
      </c>
      <c r="F102" s="1" t="s">
        <v>482</v>
      </c>
      <c r="H102" s="8">
        <f>ROUND(E102*723.968,-4)</f>
        <v>3770000</v>
      </c>
      <c r="J102" s="10">
        <f>H102/100000/2</f>
        <v>18.850000000000001</v>
      </c>
      <c r="K102" s="10"/>
      <c r="L102" s="10"/>
      <c r="M102" s="10"/>
      <c r="N102" s="10"/>
    </row>
    <row r="103" spans="1:21" s="134" customFormat="1" ht="9" customHeight="1" x14ac:dyDescent="0.2">
      <c r="A103" s="133"/>
      <c r="D103" s="135"/>
      <c r="E103" s="136"/>
      <c r="H103" s="137"/>
      <c r="J103" s="138"/>
      <c r="K103" s="138"/>
      <c r="L103" s="138"/>
      <c r="M103" s="138"/>
      <c r="N103" s="138"/>
      <c r="Q103" s="137"/>
      <c r="S103" s="139"/>
      <c r="T103" s="140"/>
      <c r="U103" s="140"/>
    </row>
    <row r="104" spans="1:21" ht="17" x14ac:dyDescent="0.2">
      <c r="A104" s="112">
        <v>9188500</v>
      </c>
      <c r="B104" s="109" t="s">
        <v>0</v>
      </c>
      <c r="C104" s="109" t="s">
        <v>196</v>
      </c>
      <c r="D104" s="4">
        <v>468</v>
      </c>
      <c r="E104" s="1">
        <v>452.9</v>
      </c>
      <c r="F104" s="1" t="s">
        <v>476</v>
      </c>
      <c r="H104" s="8">
        <f>ROUND(E104*723.968,-3)</f>
        <v>328000</v>
      </c>
      <c r="J104" s="10">
        <f>H104/100000/2</f>
        <v>1.64</v>
      </c>
      <c r="K104" s="10"/>
      <c r="L104" s="10"/>
      <c r="M104" s="10"/>
      <c r="N104" s="10"/>
      <c r="O104" s="8">
        <f>ROUND(350035, -2)</f>
        <v>350000</v>
      </c>
      <c r="P104" t="s">
        <v>433</v>
      </c>
      <c r="Q104" s="8">
        <f>ROUND(391200,-3)</f>
        <v>391000</v>
      </c>
      <c r="R104" s="141"/>
      <c r="S104" s="67"/>
      <c r="T104" s="71">
        <f>H104/O104</f>
        <v>0.93714285714285717</v>
      </c>
      <c r="U104" s="58">
        <f>H104/Q104</f>
        <v>0.83887468030690537</v>
      </c>
    </row>
    <row r="105" spans="1:21" x14ac:dyDescent="0.2">
      <c r="A105" s="14">
        <v>9189000</v>
      </c>
      <c r="B105" t="s">
        <v>131</v>
      </c>
      <c r="C105" t="s">
        <v>196</v>
      </c>
      <c r="D105" s="4">
        <v>141</v>
      </c>
      <c r="E105" s="1"/>
      <c r="H105" s="8"/>
      <c r="J105" s="10"/>
      <c r="K105" s="10"/>
      <c r="L105" s="10"/>
      <c r="M105" s="10"/>
      <c r="N105" s="10"/>
      <c r="Q105" s="8">
        <f>ROUND(27380,-3)</f>
        <v>27000</v>
      </c>
      <c r="R105" s="141"/>
      <c r="S105" s="67"/>
      <c r="U105" s="69"/>
    </row>
    <row r="106" spans="1:21" x14ac:dyDescent="0.2">
      <c r="A106" s="14">
        <v>9190000</v>
      </c>
      <c r="B106" t="s">
        <v>341</v>
      </c>
      <c r="C106" t="s">
        <v>196</v>
      </c>
      <c r="D106" s="4">
        <v>124</v>
      </c>
      <c r="E106" s="1"/>
      <c r="H106" s="8"/>
      <c r="J106" s="10"/>
      <c r="K106" s="10"/>
      <c r="L106" s="10"/>
      <c r="M106" s="10"/>
      <c r="N106" s="10"/>
      <c r="O106" s="8">
        <f>ROUND(42075,-3)</f>
        <v>42000</v>
      </c>
      <c r="P106" t="s">
        <v>433</v>
      </c>
      <c r="Q106" s="8">
        <f>ROUND(53610,-3)</f>
        <v>54000</v>
      </c>
      <c r="R106" s="141"/>
      <c r="S106" s="67"/>
      <c r="U106" s="69"/>
    </row>
    <row r="107" spans="1:21" x14ac:dyDescent="0.2">
      <c r="A107" s="14">
        <v>9190500</v>
      </c>
      <c r="B107" t="s">
        <v>341</v>
      </c>
      <c r="C107" s="13" t="s">
        <v>516</v>
      </c>
      <c r="D107" s="4">
        <v>173</v>
      </c>
      <c r="E107" s="1"/>
      <c r="H107" s="8"/>
      <c r="J107" s="10"/>
      <c r="K107" s="10"/>
      <c r="L107" s="10"/>
      <c r="M107" s="9">
        <v>82300</v>
      </c>
      <c r="N107" s="10" t="s">
        <v>517</v>
      </c>
      <c r="O107" s="8"/>
      <c r="R107" s="141"/>
      <c r="S107" s="67"/>
      <c r="U107" s="69"/>
    </row>
    <row r="108" spans="1:21" x14ac:dyDescent="0.2">
      <c r="A108" s="14">
        <v>9191000</v>
      </c>
      <c r="B108" t="s">
        <v>0</v>
      </c>
      <c r="C108" s="13" t="s">
        <v>196</v>
      </c>
      <c r="D108" s="4">
        <v>932</v>
      </c>
      <c r="E108" s="1"/>
      <c r="H108" s="8"/>
      <c r="J108" s="10"/>
      <c r="K108" s="10"/>
      <c r="L108" s="10"/>
      <c r="M108" s="9">
        <v>527000</v>
      </c>
      <c r="N108" s="10" t="s">
        <v>518</v>
      </c>
      <c r="O108" s="8"/>
      <c r="R108" s="141"/>
      <c r="S108" s="67"/>
      <c r="U108" s="69"/>
    </row>
    <row r="109" spans="1:21" x14ac:dyDescent="0.2">
      <c r="A109" s="14">
        <v>9191500</v>
      </c>
      <c r="B109" t="s">
        <v>342</v>
      </c>
      <c r="C109" t="s">
        <v>196</v>
      </c>
      <c r="D109" s="4">
        <v>202</v>
      </c>
      <c r="E109" s="1"/>
      <c r="H109" s="8"/>
      <c r="J109" s="10"/>
      <c r="K109" s="10"/>
      <c r="L109" s="10"/>
      <c r="M109" s="10"/>
      <c r="N109" s="10"/>
      <c r="O109" s="8">
        <f>ROUND(40147,-3)</f>
        <v>40000</v>
      </c>
      <c r="P109" t="s">
        <v>409</v>
      </c>
      <c r="Q109" s="8">
        <f>ROUND(53970,-3)</f>
        <v>54000</v>
      </c>
      <c r="R109" s="141"/>
      <c r="S109" s="67"/>
      <c r="U109" s="69"/>
    </row>
    <row r="110" spans="1:21" x14ac:dyDescent="0.2">
      <c r="A110" s="35">
        <v>9196500</v>
      </c>
      <c r="B110" t="s">
        <v>197</v>
      </c>
      <c r="C110" t="s">
        <v>198</v>
      </c>
      <c r="D110" s="4">
        <v>75.8</v>
      </c>
      <c r="E110" s="1">
        <v>165.7</v>
      </c>
      <c r="F110" t="s">
        <v>476</v>
      </c>
      <c r="H110" s="8">
        <f>ROUND(E110*723.968,-3)</f>
        <v>120000</v>
      </c>
      <c r="J110" s="10">
        <f>H110/100000/2</f>
        <v>0.6</v>
      </c>
      <c r="K110" s="10"/>
      <c r="L110" s="10"/>
      <c r="M110" s="10"/>
      <c r="N110" s="10"/>
    </row>
    <row r="111" spans="1:21" ht="34" x14ac:dyDescent="0.2">
      <c r="A111" s="35">
        <v>9197000</v>
      </c>
      <c r="B111" t="s">
        <v>197</v>
      </c>
      <c r="C111" t="s">
        <v>520</v>
      </c>
      <c r="D111" s="4">
        <v>114</v>
      </c>
      <c r="E111" s="1"/>
      <c r="H111" s="8"/>
      <c r="J111" s="10"/>
      <c r="K111" s="10"/>
      <c r="L111" s="10"/>
      <c r="M111" s="9">
        <v>143000</v>
      </c>
      <c r="N111" s="96" t="s">
        <v>521</v>
      </c>
    </row>
    <row r="112" spans="1:21" x14ac:dyDescent="0.2">
      <c r="A112" s="35">
        <v>9197500</v>
      </c>
      <c r="B112" t="s">
        <v>197</v>
      </c>
      <c r="C112" t="s">
        <v>522</v>
      </c>
      <c r="D112" s="4">
        <v>118</v>
      </c>
      <c r="E112" s="1"/>
      <c r="H112" s="8"/>
      <c r="J112" s="10"/>
      <c r="K112" s="10"/>
      <c r="L112" s="10"/>
      <c r="M112" s="9">
        <v>152000</v>
      </c>
      <c r="N112" s="1">
        <v>1906</v>
      </c>
    </row>
    <row r="113" spans="1:21" ht="17" x14ac:dyDescent="0.2">
      <c r="A113" s="35">
        <v>9198000</v>
      </c>
      <c r="B113" t="s">
        <v>197</v>
      </c>
      <c r="C113" s="13" t="s">
        <v>523</v>
      </c>
      <c r="D113" s="4">
        <v>118</v>
      </c>
      <c r="E113" s="1"/>
      <c r="H113" s="8"/>
      <c r="J113" s="10"/>
      <c r="K113" s="10"/>
      <c r="L113" s="10"/>
      <c r="M113" s="9">
        <v>114000</v>
      </c>
      <c r="N113" s="1" t="s">
        <v>524</v>
      </c>
    </row>
    <row r="114" spans="1:21" ht="17" x14ac:dyDescent="0.2">
      <c r="A114" s="35">
        <v>9199000</v>
      </c>
      <c r="B114" t="s">
        <v>525</v>
      </c>
      <c r="C114" s="13" t="s">
        <v>526</v>
      </c>
      <c r="D114" s="4">
        <v>126</v>
      </c>
      <c r="E114" s="1"/>
      <c r="H114" s="8"/>
      <c r="J114" s="10"/>
      <c r="K114" s="10"/>
      <c r="L114" s="10"/>
      <c r="M114" s="9">
        <v>91400</v>
      </c>
      <c r="N114" s="1" t="s">
        <v>527</v>
      </c>
    </row>
    <row r="115" spans="1:21" x14ac:dyDescent="0.2">
      <c r="A115" s="35">
        <v>9200000</v>
      </c>
      <c r="B115" t="s">
        <v>528</v>
      </c>
      <c r="C115" s="13" t="s">
        <v>529</v>
      </c>
      <c r="D115" s="4">
        <v>38</v>
      </c>
      <c r="E115" s="1"/>
      <c r="H115" s="8"/>
      <c r="J115" s="10"/>
      <c r="K115" s="10"/>
      <c r="L115" s="10"/>
      <c r="M115" s="9">
        <v>30000</v>
      </c>
      <c r="N115" s="1">
        <v>1905</v>
      </c>
    </row>
    <row r="116" spans="1:21" x14ac:dyDescent="0.2">
      <c r="A116" s="35">
        <v>9201000</v>
      </c>
      <c r="B116" t="s">
        <v>199</v>
      </c>
      <c r="C116" t="s">
        <v>343</v>
      </c>
      <c r="D116" s="4">
        <v>552</v>
      </c>
      <c r="E116" s="1"/>
      <c r="H116" s="8"/>
      <c r="J116" s="10"/>
      <c r="K116" s="10"/>
      <c r="L116" s="10"/>
      <c r="M116" s="9">
        <f>ROUND(312802,-4)</f>
        <v>310000</v>
      </c>
      <c r="N116" s="10" t="s">
        <v>434</v>
      </c>
      <c r="O116" s="8">
        <f>ROUND(258000,-3)</f>
        <v>258000</v>
      </c>
      <c r="P116" t="s">
        <v>380</v>
      </c>
      <c r="Q116" s="8">
        <f>ROUND(290500,-4)</f>
        <v>290000</v>
      </c>
    </row>
    <row r="117" spans="1:21" ht="34" x14ac:dyDescent="0.2">
      <c r="A117" s="35">
        <v>9202500</v>
      </c>
      <c r="B117" t="s">
        <v>530</v>
      </c>
      <c r="C117" t="s">
        <v>343</v>
      </c>
      <c r="D117" s="4">
        <v>135</v>
      </c>
      <c r="E117" s="1"/>
      <c r="H117" s="8"/>
      <c r="J117" s="10"/>
      <c r="K117" s="10"/>
      <c r="L117" s="10"/>
      <c r="M117" s="9">
        <v>127000</v>
      </c>
      <c r="N117" s="96" t="s">
        <v>531</v>
      </c>
      <c r="O117" s="8"/>
    </row>
    <row r="118" spans="1:21" x14ac:dyDescent="0.2">
      <c r="A118" s="35">
        <v>9203000</v>
      </c>
      <c r="B118" t="s">
        <v>318</v>
      </c>
      <c r="C118" t="s">
        <v>344</v>
      </c>
      <c r="D118" s="4">
        <v>79</v>
      </c>
      <c r="E118" s="1"/>
      <c r="H118" s="8"/>
      <c r="J118" s="10"/>
      <c r="K118" s="10"/>
      <c r="L118" s="10"/>
      <c r="M118" s="10"/>
      <c r="N118" s="10"/>
      <c r="O118" s="8">
        <f>ROUND(70396,-3)</f>
        <v>70000</v>
      </c>
      <c r="P118" t="s">
        <v>409</v>
      </c>
      <c r="Q118" s="8">
        <f>ROUND(76790,-3)</f>
        <v>77000</v>
      </c>
    </row>
    <row r="119" spans="1:21" ht="34" x14ac:dyDescent="0.2">
      <c r="A119" s="35">
        <v>9204500</v>
      </c>
      <c r="B119" t="s">
        <v>318</v>
      </c>
      <c r="C119" s="13" t="s">
        <v>317</v>
      </c>
      <c r="D119" s="4">
        <v>348</v>
      </c>
      <c r="E119" s="1"/>
      <c r="H119" s="8"/>
      <c r="J119" s="10"/>
      <c r="K119" s="10"/>
      <c r="L119" s="10"/>
      <c r="M119" s="9">
        <v>131000</v>
      </c>
      <c r="N119" s="96" t="s">
        <v>532</v>
      </c>
      <c r="Q119" s="8">
        <f>ROUND(120300,-4)</f>
        <v>120000</v>
      </c>
      <c r="R119" s="141"/>
      <c r="S119" s="67"/>
    </row>
    <row r="120" spans="1:21" x14ac:dyDescent="0.2">
      <c r="A120" s="14">
        <v>9205000</v>
      </c>
      <c r="B120" t="s">
        <v>199</v>
      </c>
      <c r="C120" t="s">
        <v>200</v>
      </c>
      <c r="D120" s="4">
        <v>1230</v>
      </c>
      <c r="E120" s="1">
        <v>668.7</v>
      </c>
      <c r="F120" t="s">
        <v>458</v>
      </c>
      <c r="H120" s="8">
        <f>ROUND(E120*723.968,-3)</f>
        <v>484000</v>
      </c>
      <c r="J120" s="10">
        <f>H120/100000/2</f>
        <v>2.42</v>
      </c>
      <c r="K120" s="10"/>
      <c r="L120" s="10"/>
      <c r="M120" s="10"/>
      <c r="N120" s="10"/>
    </row>
    <row r="121" spans="1:21" x14ac:dyDescent="0.2">
      <c r="A121" s="14">
        <v>9205500</v>
      </c>
      <c r="B121" t="s">
        <v>519</v>
      </c>
      <c r="C121" t="s">
        <v>319</v>
      </c>
      <c r="D121" s="4">
        <v>58</v>
      </c>
      <c r="E121" s="1"/>
      <c r="H121" s="8"/>
      <c r="J121" s="10"/>
      <c r="K121" s="10"/>
      <c r="L121" s="10"/>
      <c r="M121" s="9">
        <v>49500</v>
      </c>
      <c r="N121" s="1">
        <v>1916</v>
      </c>
      <c r="Q121" s="8">
        <f>ROUND(43250,-3)</f>
        <v>43000</v>
      </c>
      <c r="R121" s="141"/>
      <c r="S121" s="67"/>
    </row>
    <row r="122" spans="1:21" x14ac:dyDescent="0.2">
      <c r="A122" s="14">
        <v>9208500</v>
      </c>
      <c r="B122" t="s">
        <v>320</v>
      </c>
      <c r="C122" t="s">
        <v>321</v>
      </c>
      <c r="D122" s="4">
        <v>172</v>
      </c>
      <c r="E122" s="1"/>
      <c r="H122" s="8"/>
      <c r="J122" s="10"/>
      <c r="K122" s="10"/>
      <c r="L122" s="10"/>
      <c r="M122" s="10"/>
      <c r="N122" s="10"/>
      <c r="Q122" s="8">
        <f>ROUND(71290,-3)</f>
        <v>71000</v>
      </c>
      <c r="R122" s="141"/>
      <c r="S122" s="67"/>
    </row>
    <row r="123" spans="1:21" ht="17" x14ac:dyDescent="0.2">
      <c r="A123" s="110">
        <v>9209400</v>
      </c>
      <c r="B123" s="109" t="s">
        <v>0</v>
      </c>
      <c r="C123" s="109" t="s">
        <v>18</v>
      </c>
      <c r="D123" s="4">
        <v>3910</v>
      </c>
      <c r="E123" s="59">
        <v>1360.9</v>
      </c>
      <c r="F123" s="1" t="s">
        <v>476</v>
      </c>
      <c r="H123" s="8">
        <f>ROUND(E123*723.968,-3)</f>
        <v>985000</v>
      </c>
      <c r="J123" s="10">
        <f>H123/100000/2</f>
        <v>4.9249999999999998</v>
      </c>
      <c r="K123" s="10"/>
      <c r="L123" s="10"/>
      <c r="M123" s="10"/>
      <c r="N123" s="10"/>
      <c r="U123" s="166">
        <f>H123/Q124</f>
        <v>0.84188034188034189</v>
      </c>
    </row>
    <row r="124" spans="1:21" x14ac:dyDescent="0.2">
      <c r="A124" s="110">
        <v>9209500</v>
      </c>
      <c r="B124" s="109" t="s">
        <v>0</v>
      </c>
      <c r="C124" s="109" t="s">
        <v>17</v>
      </c>
      <c r="D124" s="4">
        <v>3970</v>
      </c>
      <c r="E124" s="59"/>
      <c r="F124" s="1"/>
      <c r="H124" s="8"/>
      <c r="J124" s="10"/>
      <c r="K124" s="10"/>
      <c r="L124" s="10"/>
      <c r="M124" s="10"/>
      <c r="N124" s="10"/>
      <c r="Q124" s="8">
        <f>ROUND(1166000,-4)</f>
        <v>1170000</v>
      </c>
      <c r="R124" s="141"/>
      <c r="S124" s="67"/>
      <c r="U124" s="166"/>
    </row>
    <row r="125" spans="1:21" ht="17" x14ac:dyDescent="0.2">
      <c r="A125" s="2">
        <v>9210500</v>
      </c>
      <c r="B125" t="s">
        <v>16</v>
      </c>
      <c r="C125" t="s">
        <v>17</v>
      </c>
      <c r="D125" s="4">
        <v>152</v>
      </c>
      <c r="E125" s="59">
        <v>67.900000000000006</v>
      </c>
      <c r="F125" s="1" t="s">
        <v>476</v>
      </c>
      <c r="H125" s="8">
        <f>ROUND(E125*723.968,-2)</f>
        <v>49200</v>
      </c>
      <c r="J125" s="10">
        <f>H125/100000/2</f>
        <v>0.246</v>
      </c>
      <c r="K125" s="10"/>
      <c r="L125" s="10"/>
      <c r="M125" s="10"/>
      <c r="N125" s="10"/>
      <c r="R125" s="141"/>
      <c r="S125" s="67"/>
    </row>
    <row r="126" spans="1:21" ht="17" thickBot="1" x14ac:dyDescent="0.25">
      <c r="A126" s="2">
        <v>9211000</v>
      </c>
      <c r="B126" t="s">
        <v>16</v>
      </c>
      <c r="C126" t="s">
        <v>17</v>
      </c>
      <c r="D126" s="4">
        <v>224</v>
      </c>
      <c r="E126" s="59"/>
      <c r="F126" s="1"/>
      <c r="H126" s="8"/>
      <c r="J126" s="10"/>
      <c r="K126" s="10"/>
      <c r="L126" s="10"/>
      <c r="M126" s="9">
        <f>ROUND(68940,-2)</f>
        <v>68900</v>
      </c>
      <c r="N126" s="10" t="s">
        <v>435</v>
      </c>
      <c r="O126" s="8">
        <f>ROUND(38587,-3)</f>
        <v>39000</v>
      </c>
      <c r="P126" t="s">
        <v>433</v>
      </c>
      <c r="Q126" s="8">
        <f>ROUND(49480,-3)</f>
        <v>49000</v>
      </c>
      <c r="R126" s="141"/>
      <c r="S126" s="67"/>
      <c r="U126" s="69"/>
    </row>
    <row r="127" spans="1:21" ht="19" thickTop="1" thickBot="1" x14ac:dyDescent="0.25">
      <c r="A127" s="149">
        <v>9211200</v>
      </c>
      <c r="B127" s="150" t="s">
        <v>0</v>
      </c>
      <c r="C127" s="151" t="s">
        <v>19</v>
      </c>
      <c r="D127" s="4">
        <v>4280</v>
      </c>
      <c r="E127" s="152">
        <v>1369.2</v>
      </c>
      <c r="F127" s="1" t="s">
        <v>476</v>
      </c>
      <c r="H127" s="8">
        <f>ROUND(E127*723.968,-3)</f>
        <v>991000</v>
      </c>
      <c r="J127" s="10">
        <f>H127/100000/2</f>
        <v>4.9550000000000001</v>
      </c>
      <c r="K127" s="10"/>
      <c r="L127" s="10"/>
      <c r="M127" s="10"/>
      <c r="N127" s="10"/>
      <c r="U127" s="75"/>
    </row>
    <row r="128" spans="1:21" ht="17" thickTop="1" x14ac:dyDescent="0.2">
      <c r="A128" s="2">
        <v>9212500</v>
      </c>
      <c r="B128" t="s">
        <v>345</v>
      </c>
      <c r="C128" t="s">
        <v>344</v>
      </c>
      <c r="D128" s="4">
        <v>94</v>
      </c>
      <c r="F128" s="1"/>
      <c r="H128" s="8"/>
      <c r="J128" s="10"/>
      <c r="K128" s="10"/>
      <c r="L128" s="10"/>
      <c r="M128" s="10"/>
      <c r="N128" s="10"/>
      <c r="Q128" s="8">
        <f>ROUND(61940,-3)</f>
        <v>62000</v>
      </c>
      <c r="U128" s="75"/>
    </row>
    <row r="129" spans="1:21" ht="51" x14ac:dyDescent="0.2">
      <c r="A129" s="2">
        <v>9213500</v>
      </c>
      <c r="B129" t="s">
        <v>345</v>
      </c>
      <c r="C129" t="s">
        <v>346</v>
      </c>
      <c r="D129" s="4">
        <v>322</v>
      </c>
      <c r="F129" s="1"/>
      <c r="H129" s="8"/>
      <c r="J129" s="10"/>
      <c r="K129" s="10"/>
      <c r="L129" s="10"/>
      <c r="M129" s="9">
        <f>ROUND(75888,-2)</f>
        <v>75900</v>
      </c>
      <c r="N129" s="79" t="s">
        <v>436</v>
      </c>
      <c r="O129" s="8">
        <f>ROUND(43872,-3)</f>
        <v>44000</v>
      </c>
      <c r="P129" t="s">
        <v>437</v>
      </c>
      <c r="Q129" s="8">
        <f>ROUND(62740,-3)</f>
        <v>63000</v>
      </c>
      <c r="U129" s="75"/>
    </row>
    <row r="130" spans="1:21" x14ac:dyDescent="0.2">
      <c r="A130" s="2">
        <v>9214000</v>
      </c>
      <c r="B130" t="s">
        <v>347</v>
      </c>
      <c r="C130" t="s">
        <v>348</v>
      </c>
      <c r="D130" s="4">
        <v>21</v>
      </c>
      <c r="F130" s="1"/>
      <c r="H130" s="8"/>
      <c r="J130" s="10"/>
      <c r="K130" s="10"/>
      <c r="L130" s="10"/>
      <c r="M130" s="10"/>
      <c r="N130" s="10"/>
      <c r="Q130" s="8">
        <v>15580</v>
      </c>
      <c r="U130" s="75"/>
    </row>
    <row r="131" spans="1:21" ht="35" thickBot="1" x14ac:dyDescent="0.25">
      <c r="A131" s="2">
        <v>9216500</v>
      </c>
      <c r="B131" t="s">
        <v>0</v>
      </c>
      <c r="C131" s="13" t="s">
        <v>533</v>
      </c>
      <c r="D131" s="4">
        <v>7670</v>
      </c>
      <c r="F131" s="1"/>
      <c r="H131" s="8"/>
      <c r="J131" s="10"/>
      <c r="K131" s="10"/>
      <c r="L131" s="10"/>
      <c r="M131" s="9">
        <v>1440000</v>
      </c>
      <c r="N131" s="96" t="s">
        <v>534</v>
      </c>
      <c r="U131" s="75"/>
    </row>
    <row r="132" spans="1:21" ht="19" thickTop="1" thickBot="1" x14ac:dyDescent="0.25">
      <c r="A132" s="146">
        <v>9217000</v>
      </c>
      <c r="B132" s="147" t="s">
        <v>0</v>
      </c>
      <c r="C132" s="148" t="s">
        <v>20</v>
      </c>
      <c r="D132" s="4">
        <v>9740</v>
      </c>
      <c r="E132" s="88">
        <v>1379.9</v>
      </c>
      <c r="F132" s="1" t="s">
        <v>458</v>
      </c>
      <c r="H132" s="8">
        <f>ROUND(E132*723.968,-3)</f>
        <v>999000</v>
      </c>
      <c r="J132" s="10">
        <f>H132/100000/2</f>
        <v>4.9950000000000001</v>
      </c>
      <c r="K132" s="10"/>
      <c r="L132" s="10"/>
      <c r="M132" s="10"/>
      <c r="N132" s="10"/>
      <c r="Q132" s="8">
        <f>ROUND(1305000,-4)</f>
        <v>1310000</v>
      </c>
      <c r="U132" s="58">
        <f>H132/Q132</f>
        <v>0.76259541984732826</v>
      </c>
    </row>
    <row r="133" spans="1:21" ht="18" thickTop="1" x14ac:dyDescent="0.2">
      <c r="A133" s="14">
        <v>9217900</v>
      </c>
      <c r="B133" t="s">
        <v>12</v>
      </c>
      <c r="C133" t="s">
        <v>201</v>
      </c>
      <c r="D133" s="4">
        <v>130</v>
      </c>
      <c r="E133" s="88">
        <v>145.6</v>
      </c>
      <c r="F133" s="1" t="s">
        <v>458</v>
      </c>
      <c r="H133" s="8">
        <f>ROUND(E133*723.968,-3)</f>
        <v>105000</v>
      </c>
      <c r="J133" s="10">
        <f>H133/100000/2</f>
        <v>0.52500000000000002</v>
      </c>
      <c r="K133" s="10"/>
      <c r="L133" s="10"/>
      <c r="M133" s="10"/>
      <c r="N133" s="10"/>
    </row>
    <row r="134" spans="1:21" x14ac:dyDescent="0.2">
      <c r="A134" s="14">
        <v>9219000</v>
      </c>
      <c r="B134" t="s">
        <v>12</v>
      </c>
      <c r="C134" t="s">
        <v>536</v>
      </c>
      <c r="D134" s="4">
        <v>261</v>
      </c>
      <c r="E134" s="88"/>
      <c r="F134" s="1"/>
      <c r="H134" s="8"/>
      <c r="J134" s="10"/>
      <c r="K134" s="10"/>
      <c r="L134" s="10"/>
      <c r="M134" s="9">
        <v>83700</v>
      </c>
      <c r="N134" s="10" t="s">
        <v>537</v>
      </c>
    </row>
    <row r="135" spans="1:21" ht="17" x14ac:dyDescent="0.2">
      <c r="A135" s="14">
        <v>9220000</v>
      </c>
      <c r="B135" t="s">
        <v>202</v>
      </c>
      <c r="C135" t="s">
        <v>201</v>
      </c>
      <c r="D135" s="4">
        <v>53</v>
      </c>
      <c r="E135" s="88">
        <v>45.7</v>
      </c>
      <c r="F135" s="1" t="s">
        <v>466</v>
      </c>
      <c r="H135" s="8">
        <f>ROUND(E135*723.968,-3)</f>
        <v>33000</v>
      </c>
      <c r="J135" s="10">
        <f>H135/100000/2</f>
        <v>0.16500000000000001</v>
      </c>
      <c r="K135" s="10"/>
      <c r="L135" s="10"/>
      <c r="M135" s="10"/>
      <c r="N135" s="10"/>
      <c r="O135" s="8">
        <f>ROUND(33411,-2)</f>
        <v>33400</v>
      </c>
      <c r="P135" t="s">
        <v>439</v>
      </c>
      <c r="T135" s="87">
        <f>H135/O135</f>
        <v>0.9880239520958084</v>
      </c>
    </row>
    <row r="136" spans="1:21" x14ac:dyDescent="0.2">
      <c r="A136" s="14">
        <v>9221500</v>
      </c>
      <c r="B136" t="s">
        <v>322</v>
      </c>
      <c r="C136" s="13" t="s">
        <v>323</v>
      </c>
      <c r="D136" s="4">
        <v>192</v>
      </c>
      <c r="E136" s="36"/>
      <c r="F136" s="1"/>
      <c r="H136" s="8"/>
      <c r="J136" s="10"/>
      <c r="K136" s="10"/>
      <c r="L136" s="10"/>
      <c r="M136" s="10"/>
      <c r="N136" s="10"/>
      <c r="O136" s="8">
        <f>ROUND(37502,-3)</f>
        <v>38000</v>
      </c>
      <c r="P136" t="s">
        <v>404</v>
      </c>
      <c r="Q136" s="8">
        <f>ROUND(38030,-3)</f>
        <v>38000</v>
      </c>
      <c r="R136" s="141"/>
      <c r="S136" s="67"/>
    </row>
    <row r="137" spans="1:21" x14ac:dyDescent="0.2">
      <c r="A137" s="14">
        <v>9222000</v>
      </c>
      <c r="B137" t="s">
        <v>12</v>
      </c>
      <c r="C137" s="13" t="s">
        <v>324</v>
      </c>
      <c r="D137" s="4">
        <v>821</v>
      </c>
      <c r="E137" s="36"/>
      <c r="F137" s="1"/>
      <c r="H137" s="8"/>
      <c r="J137" s="10"/>
      <c r="K137" s="10"/>
      <c r="L137" s="10"/>
      <c r="M137" s="10"/>
      <c r="N137" s="10"/>
      <c r="O137" s="8">
        <f>ROUND(95395,-3)</f>
        <v>95000</v>
      </c>
      <c r="P137" t="s">
        <v>387</v>
      </c>
      <c r="Q137" s="8">
        <f>ROUND(95630,-3)</f>
        <v>96000</v>
      </c>
      <c r="R137" s="141"/>
      <c r="S137" s="67"/>
    </row>
    <row r="138" spans="1:21" ht="17" x14ac:dyDescent="0.2">
      <c r="A138" s="114">
        <v>9223000</v>
      </c>
      <c r="B138" s="105" t="s">
        <v>203</v>
      </c>
      <c r="C138" s="105" t="s">
        <v>204</v>
      </c>
      <c r="D138" s="4">
        <v>128</v>
      </c>
      <c r="E138" s="88">
        <v>81.5</v>
      </c>
      <c r="F138" s="1" t="s">
        <v>476</v>
      </c>
      <c r="H138" s="8">
        <f>ROUND(E138*723.968,-1)</f>
        <v>59000</v>
      </c>
      <c r="J138" s="10">
        <f>H138/100000/2</f>
        <v>0.29499999999999998</v>
      </c>
      <c r="K138" s="10"/>
      <c r="L138" s="10"/>
      <c r="M138" s="10"/>
      <c r="N138" s="10"/>
      <c r="Q138" s="8">
        <f>ROUND(81860,-2)</f>
        <v>81900</v>
      </c>
      <c r="R138" s="141"/>
      <c r="S138" s="67"/>
      <c r="U138" s="72">
        <f>H138/Q138</f>
        <v>0.72039072039072038</v>
      </c>
    </row>
    <row r="139" spans="1:21" x14ac:dyDescent="0.2">
      <c r="A139" s="2">
        <v>9223500</v>
      </c>
      <c r="B139" t="s">
        <v>203</v>
      </c>
      <c r="C139" t="s">
        <v>204</v>
      </c>
      <c r="D139" s="4">
        <v>298</v>
      </c>
      <c r="O139" s="8">
        <f>ROUND(118097,-4)</f>
        <v>120000</v>
      </c>
      <c r="P139" t="s">
        <v>438</v>
      </c>
      <c r="Q139" s="8">
        <f>ROUND(108700,-4)</f>
        <v>110000</v>
      </c>
      <c r="R139" s="141"/>
      <c r="S139" s="67"/>
    </row>
    <row r="140" spans="1:21" x14ac:dyDescent="0.2">
      <c r="A140" s="2">
        <v>9224000</v>
      </c>
      <c r="B140" t="s">
        <v>203</v>
      </c>
      <c r="C140" s="13" t="s">
        <v>535</v>
      </c>
      <c r="D140" s="4">
        <v>386</v>
      </c>
      <c r="M140" s="8">
        <v>126000</v>
      </c>
      <c r="N140" t="s">
        <v>431</v>
      </c>
      <c r="O140" s="8"/>
      <c r="R140" s="141"/>
      <c r="S140" s="67"/>
    </row>
    <row r="141" spans="1:21" x14ac:dyDescent="0.2">
      <c r="A141" s="104">
        <v>9224700</v>
      </c>
      <c r="B141" s="105" t="s">
        <v>12</v>
      </c>
      <c r="C141" s="105" t="s">
        <v>13</v>
      </c>
      <c r="D141" s="4">
        <v>3100</v>
      </c>
      <c r="E141" s="117">
        <v>226.7</v>
      </c>
      <c r="F141" t="s">
        <v>460</v>
      </c>
      <c r="H141" s="8">
        <f>ROUND(E141*723.968,-3)</f>
        <v>164000</v>
      </c>
      <c r="J141" s="10">
        <f>H141/100000/2</f>
        <v>0.82</v>
      </c>
      <c r="K141" s="10"/>
      <c r="L141" s="10"/>
      <c r="M141" s="10"/>
      <c r="N141" s="10"/>
      <c r="T141" s="167">
        <f>H141/O142</f>
        <v>0.66666666666666663</v>
      </c>
      <c r="U141" s="167">
        <f>H141/Q142</f>
        <v>0.65600000000000003</v>
      </c>
    </row>
    <row r="142" spans="1:21" x14ac:dyDescent="0.2">
      <c r="A142" s="114">
        <v>9225000</v>
      </c>
      <c r="B142" s="105" t="s">
        <v>12</v>
      </c>
      <c r="C142" s="105" t="s">
        <v>325</v>
      </c>
      <c r="D142" s="4">
        <v>3670</v>
      </c>
      <c r="E142" s="36"/>
      <c r="F142" s="1"/>
      <c r="H142" s="8"/>
      <c r="J142" s="10"/>
      <c r="K142" s="9">
        <v>400000</v>
      </c>
      <c r="L142" s="10" t="s">
        <v>585</v>
      </c>
      <c r="M142" s="10"/>
      <c r="N142" s="10"/>
      <c r="O142" s="8">
        <f>ROUND(245642,-3)</f>
        <v>246000</v>
      </c>
      <c r="P142" t="s">
        <v>401</v>
      </c>
      <c r="Q142" s="8">
        <f>ROUND(249900,-3)</f>
        <v>250000</v>
      </c>
      <c r="R142" s="141"/>
      <c r="S142" s="67"/>
      <c r="T142" s="167"/>
      <c r="U142" s="167"/>
    </row>
    <row r="143" spans="1:21" x14ac:dyDescent="0.2">
      <c r="A143" s="14">
        <v>9225500</v>
      </c>
      <c r="B143" t="s">
        <v>0</v>
      </c>
      <c r="C143" t="s">
        <v>326</v>
      </c>
      <c r="D143" s="4">
        <v>14300</v>
      </c>
      <c r="E143" s="36"/>
      <c r="F143" s="1"/>
      <c r="H143" s="8"/>
      <c r="J143" s="10"/>
      <c r="K143" s="10"/>
      <c r="L143" s="10"/>
      <c r="M143" s="10"/>
      <c r="N143" s="10"/>
      <c r="O143" s="8">
        <f>ROUND(1308683,-5)</f>
        <v>1300000</v>
      </c>
      <c r="P143" t="s">
        <v>380</v>
      </c>
      <c r="Q143" s="8">
        <f>ROUND(1553000,-5)</f>
        <v>1600000</v>
      </c>
      <c r="R143" s="141"/>
      <c r="S143" s="67"/>
    </row>
    <row r="144" spans="1:21" x14ac:dyDescent="0.2">
      <c r="A144" s="14">
        <v>9226000</v>
      </c>
      <c r="B144" t="s">
        <v>11</v>
      </c>
      <c r="C144" t="s">
        <v>349</v>
      </c>
      <c r="D144" s="4">
        <v>56</v>
      </c>
      <c r="E144" s="36"/>
      <c r="F144" s="1"/>
      <c r="H144" s="8"/>
      <c r="J144" s="10"/>
      <c r="K144" s="10"/>
      <c r="L144" s="10"/>
      <c r="M144" s="10"/>
      <c r="N144" s="10"/>
      <c r="O144" s="8">
        <f>ROUND(27764,-3)</f>
        <v>28000</v>
      </c>
      <c r="P144" t="s">
        <v>438</v>
      </c>
      <c r="Q144" s="8">
        <f>ROUND(31590,-3)</f>
        <v>32000</v>
      </c>
      <c r="R144" s="141"/>
      <c r="S144" s="67"/>
    </row>
    <row r="145" spans="1:21" x14ac:dyDescent="0.2">
      <c r="A145" s="110">
        <v>9229500</v>
      </c>
      <c r="B145" s="109" t="s">
        <v>11</v>
      </c>
      <c r="C145" s="109" t="s">
        <v>14</v>
      </c>
      <c r="D145" s="4">
        <v>520</v>
      </c>
      <c r="E145" s="117">
        <v>74.599999999999994</v>
      </c>
      <c r="F145" t="s">
        <v>481</v>
      </c>
      <c r="H145" s="8">
        <f>ROUND(E145*723.968,-2)</f>
        <v>54000</v>
      </c>
      <c r="J145" s="10">
        <f>H145/100000/2</f>
        <v>0.27</v>
      </c>
      <c r="K145" s="10"/>
      <c r="L145" s="10"/>
      <c r="M145" s="9">
        <f>ROUND(104975,-3)</f>
        <v>105000</v>
      </c>
      <c r="N145" s="46">
        <v>1929</v>
      </c>
      <c r="O145" s="8">
        <f>ROUND(55503,-2)</f>
        <v>55500</v>
      </c>
      <c r="P145" t="s">
        <v>380</v>
      </c>
      <c r="Q145" s="8">
        <f>ROUND(65850,-2)</f>
        <v>65900</v>
      </c>
      <c r="R145" s="141"/>
      <c r="S145" s="78">
        <f>H145/M145</f>
        <v>0.51428571428571423</v>
      </c>
      <c r="T145" s="87">
        <f>H145/O145</f>
        <v>0.97297297297297303</v>
      </c>
      <c r="U145" s="58">
        <f>H145/Q145</f>
        <v>0.81942336874051591</v>
      </c>
    </row>
    <row r="146" spans="1:21" x14ac:dyDescent="0.2">
      <c r="A146" s="2">
        <v>9232500</v>
      </c>
      <c r="B146" t="s">
        <v>350</v>
      </c>
      <c r="C146" t="s">
        <v>14</v>
      </c>
      <c r="D146" s="4">
        <v>111</v>
      </c>
      <c r="E146" s="60"/>
      <c r="H146" s="8"/>
      <c r="J146" s="10"/>
      <c r="K146" s="10"/>
      <c r="L146" s="10"/>
      <c r="M146" s="10"/>
      <c r="N146" s="10"/>
      <c r="Q146" s="8">
        <f>ROUND(17750,-3)</f>
        <v>18000</v>
      </c>
      <c r="R146" s="141"/>
      <c r="S146" s="67"/>
      <c r="U146" s="69"/>
    </row>
    <row r="147" spans="1:21" ht="17" thickBot="1" x14ac:dyDescent="0.25">
      <c r="A147" s="2">
        <v>9234000</v>
      </c>
      <c r="B147" t="s">
        <v>351</v>
      </c>
      <c r="C147" t="s">
        <v>14</v>
      </c>
      <c r="D147" s="4">
        <v>110</v>
      </c>
      <c r="E147" s="60"/>
      <c r="H147" s="8"/>
      <c r="J147" s="10"/>
      <c r="K147" s="10"/>
      <c r="L147" s="10"/>
      <c r="M147" s="10"/>
      <c r="N147" s="10"/>
      <c r="Q147" s="8">
        <f>ROUND(46080,-3)</f>
        <v>46000</v>
      </c>
      <c r="R147" s="141"/>
      <c r="S147" s="67"/>
      <c r="U147" s="69"/>
    </row>
    <row r="148" spans="1:21" ht="18" thickTop="1" thickBot="1" x14ac:dyDescent="0.25">
      <c r="A148" s="143">
        <v>9234500</v>
      </c>
      <c r="B148" s="144" t="s">
        <v>0</v>
      </c>
      <c r="C148" s="145" t="s">
        <v>15</v>
      </c>
      <c r="D148" s="4">
        <v>15090</v>
      </c>
      <c r="E148" s="7">
        <v>1699.6</v>
      </c>
      <c r="F148" t="s">
        <v>476</v>
      </c>
      <c r="H148" s="8">
        <f>ROUND(E148*723.968,-4)</f>
        <v>1230000</v>
      </c>
      <c r="J148" s="10">
        <f>H148/100000/2</f>
        <v>6.15</v>
      </c>
      <c r="K148" s="10"/>
      <c r="L148" s="10"/>
      <c r="M148" s="10"/>
      <c r="N148" s="10"/>
      <c r="Q148" s="8">
        <f>ROUND(1645000,-4)</f>
        <v>1650000</v>
      </c>
      <c r="R148" s="141"/>
      <c r="S148" s="67"/>
      <c r="T148" s="71">
        <f>H148/(O143+O145)</f>
        <v>0.90741423828845447</v>
      </c>
      <c r="U148" s="72">
        <f>H148/Q148</f>
        <v>0.74545454545454548</v>
      </c>
    </row>
    <row r="149" spans="1:21" ht="17" thickTop="1" x14ac:dyDescent="0.2">
      <c r="A149" s="2">
        <v>9235000</v>
      </c>
      <c r="B149" t="s">
        <v>0</v>
      </c>
      <c r="C149" s="13" t="s">
        <v>515</v>
      </c>
      <c r="D149" s="48">
        <v>15700</v>
      </c>
      <c r="E149" s="7"/>
      <c r="H149" s="49"/>
      <c r="J149" s="10"/>
      <c r="K149" s="10"/>
      <c r="L149" s="10"/>
      <c r="M149" s="9">
        <v>1260000</v>
      </c>
      <c r="N149">
        <v>1915</v>
      </c>
      <c r="Q149" s="49"/>
      <c r="R149" s="141"/>
      <c r="S149" s="67"/>
      <c r="T149" s="69"/>
      <c r="U149" s="69"/>
    </row>
    <row r="150" spans="1:21" x14ac:dyDescent="0.2">
      <c r="A150" s="14">
        <v>9237450</v>
      </c>
      <c r="B150" t="s">
        <v>8</v>
      </c>
      <c r="C150" t="s">
        <v>206</v>
      </c>
      <c r="D150" s="4">
        <v>206</v>
      </c>
      <c r="E150" s="7">
        <v>65.099999999999994</v>
      </c>
      <c r="F150" t="s">
        <v>476</v>
      </c>
      <c r="H150" s="8">
        <f>ROUND(E150*723.968,-2)</f>
        <v>47100</v>
      </c>
      <c r="J150" s="10">
        <f>H150/100000/2</f>
        <v>0.23549999999999999</v>
      </c>
      <c r="K150" s="10"/>
      <c r="L150" s="10"/>
      <c r="M150" s="10"/>
      <c r="N150" s="10"/>
    </row>
    <row r="151" spans="1:21" x14ac:dyDescent="0.2">
      <c r="A151" s="112">
        <v>9237500</v>
      </c>
      <c r="B151" s="109" t="s">
        <v>8</v>
      </c>
      <c r="C151" s="109" t="s">
        <v>207</v>
      </c>
      <c r="D151" s="4">
        <v>228</v>
      </c>
      <c r="E151" s="7">
        <v>67.7</v>
      </c>
      <c r="F151" t="s">
        <v>476</v>
      </c>
      <c r="H151" s="8">
        <f>ROUND(E151*723.968,-2)</f>
        <v>49000</v>
      </c>
      <c r="J151" s="10">
        <f>H151/100000/2</f>
        <v>0.245</v>
      </c>
      <c r="K151" s="10"/>
      <c r="L151" s="10"/>
      <c r="M151" s="10"/>
      <c r="N151" s="10"/>
      <c r="Q151" s="8">
        <f>ROUND(63250,-2)</f>
        <v>63300</v>
      </c>
      <c r="U151" s="58">
        <f>H151/Q151</f>
        <v>0.77409162717219593</v>
      </c>
    </row>
    <row r="152" spans="1:21" x14ac:dyDescent="0.2">
      <c r="A152" s="14">
        <v>9238900</v>
      </c>
      <c r="B152" t="s">
        <v>208</v>
      </c>
      <c r="C152" t="s">
        <v>209</v>
      </c>
      <c r="D152" s="4">
        <v>25.6</v>
      </c>
      <c r="E152" s="7">
        <v>62.7</v>
      </c>
      <c r="F152" t="s">
        <v>476</v>
      </c>
      <c r="H152" s="8">
        <f>ROUND(E152*723.968,-2)</f>
        <v>45400</v>
      </c>
      <c r="J152" s="10">
        <f>H152/100000/2</f>
        <v>0.22700000000000001</v>
      </c>
      <c r="K152" s="10"/>
      <c r="L152" s="10"/>
      <c r="M152" s="10"/>
      <c r="N152" s="10"/>
    </row>
    <row r="153" spans="1:21" x14ac:dyDescent="0.2">
      <c r="A153" s="115">
        <v>9239500</v>
      </c>
      <c r="B153" s="103" t="s">
        <v>8</v>
      </c>
      <c r="C153" s="116" t="s">
        <v>210</v>
      </c>
      <c r="D153" s="4">
        <v>567</v>
      </c>
      <c r="E153" s="7">
        <v>415.5</v>
      </c>
      <c r="F153" t="s">
        <v>476</v>
      </c>
      <c r="H153" s="8">
        <f>ROUND(E153*723.968,-3)</f>
        <v>301000</v>
      </c>
      <c r="J153" s="10">
        <f>H153/100000/2</f>
        <v>1.5049999999999999</v>
      </c>
      <c r="K153" s="10"/>
      <c r="L153" s="10"/>
      <c r="M153" s="9">
        <f>ROUND(389308,-3)</f>
        <v>389000</v>
      </c>
      <c r="N153" s="10" t="s">
        <v>382</v>
      </c>
      <c r="O153" s="8">
        <f>ROUND(304968,-3)</f>
        <v>305000</v>
      </c>
      <c r="P153" t="s">
        <v>380</v>
      </c>
      <c r="Q153" s="8">
        <f>ROUND(341900,-3)</f>
        <v>342000</v>
      </c>
      <c r="R153" s="141"/>
      <c r="S153" s="90">
        <f>H153/M153</f>
        <v>0.77377892030848328</v>
      </c>
      <c r="T153" s="87">
        <f>H153/O153</f>
        <v>0.9868852459016394</v>
      </c>
      <c r="U153" s="71">
        <f>H153/Q153</f>
        <v>0.88011695906432752</v>
      </c>
    </row>
    <row r="154" spans="1:21" x14ac:dyDescent="0.2">
      <c r="A154" s="14">
        <v>9241000</v>
      </c>
      <c r="B154" t="s">
        <v>211</v>
      </c>
      <c r="C154" s="13" t="s">
        <v>352</v>
      </c>
      <c r="D154" s="4">
        <v>206</v>
      </c>
      <c r="E154" s="7"/>
      <c r="H154" s="8"/>
      <c r="J154" s="10"/>
      <c r="K154" s="10"/>
      <c r="L154" s="10"/>
      <c r="M154" s="9">
        <f>ROUND(284574,-4)</f>
        <v>280000</v>
      </c>
      <c r="N154" s="10" t="s">
        <v>443</v>
      </c>
      <c r="O154" s="8">
        <f>ROUND(240719,-4)</f>
        <v>240000</v>
      </c>
      <c r="P154" t="s">
        <v>433</v>
      </c>
      <c r="Q154" s="8">
        <f>ROUND(257900,-3)</f>
        <v>258000</v>
      </c>
      <c r="R154" s="141"/>
      <c r="S154" s="67"/>
      <c r="U154" s="69"/>
    </row>
    <row r="155" spans="1:21" ht="34" x14ac:dyDescent="0.2">
      <c r="A155" s="115">
        <v>9242500</v>
      </c>
      <c r="B155" s="103" t="s">
        <v>211</v>
      </c>
      <c r="C155" s="116" t="s">
        <v>212</v>
      </c>
      <c r="D155" s="4">
        <v>448</v>
      </c>
      <c r="E155" s="7">
        <v>504.9</v>
      </c>
      <c r="F155" s="1" t="s">
        <v>484</v>
      </c>
      <c r="H155" s="8">
        <f>ROUND(E155*723.968,-3)</f>
        <v>366000</v>
      </c>
      <c r="J155" s="10">
        <f>H155/100000/2</f>
        <v>1.83</v>
      </c>
      <c r="K155" s="10"/>
      <c r="L155" s="10"/>
      <c r="M155" s="9">
        <f>ROUND(431401,-3)</f>
        <v>431000</v>
      </c>
      <c r="N155" s="10" t="s">
        <v>444</v>
      </c>
      <c r="Q155" s="8">
        <f>ROUND(394100,-3)</f>
        <v>394000</v>
      </c>
      <c r="S155" s="85">
        <f>H155/M155</f>
        <v>0.84918793503480283</v>
      </c>
      <c r="U155" s="93">
        <f>H155/Q155</f>
        <v>0.92893401015228427</v>
      </c>
    </row>
    <row r="156" spans="1:21" ht="17" x14ac:dyDescent="0.2">
      <c r="A156" s="14">
        <v>9244490</v>
      </c>
      <c r="B156" t="s">
        <v>8</v>
      </c>
      <c r="C156" s="13" t="s">
        <v>213</v>
      </c>
      <c r="D156" s="4">
        <v>1575</v>
      </c>
      <c r="E156" s="7">
        <v>1159.2</v>
      </c>
      <c r="F156" s="1" t="s">
        <v>483</v>
      </c>
      <c r="H156" s="8">
        <f>ROUND(E156*723.968,-3)</f>
        <v>839000</v>
      </c>
      <c r="J156" s="10">
        <f>H156/100000/2</f>
        <v>4.1950000000000003</v>
      </c>
      <c r="K156" s="10"/>
      <c r="L156" s="10"/>
      <c r="M156" s="10"/>
      <c r="N156" s="10"/>
    </row>
    <row r="157" spans="1:21" ht="17" x14ac:dyDescent="0.2">
      <c r="A157" s="14">
        <v>9246200</v>
      </c>
      <c r="B157" t="s">
        <v>214</v>
      </c>
      <c r="C157" s="13" t="s">
        <v>213</v>
      </c>
      <c r="D157" s="4">
        <v>171</v>
      </c>
      <c r="E157" s="7">
        <v>98</v>
      </c>
      <c r="F157" s="1" t="s">
        <v>476</v>
      </c>
      <c r="H157" s="8">
        <f>ROUND(E157*723.968,-2)</f>
        <v>70900</v>
      </c>
      <c r="J157" s="10">
        <f>H157/100000/2</f>
        <v>0.35449999999999998</v>
      </c>
      <c r="K157" s="10"/>
      <c r="L157" s="10"/>
      <c r="M157" s="10"/>
      <c r="N157" s="10"/>
    </row>
    <row r="158" spans="1:21" x14ac:dyDescent="0.2">
      <c r="A158" s="14">
        <v>9247000</v>
      </c>
      <c r="B158" t="s">
        <v>353</v>
      </c>
      <c r="C158" s="13" t="s">
        <v>354</v>
      </c>
      <c r="D158" s="4">
        <v>258</v>
      </c>
      <c r="E158" s="7"/>
      <c r="F158" s="1"/>
      <c r="H158" s="8"/>
      <c r="J158" s="10"/>
      <c r="K158" s="10"/>
      <c r="L158" s="10"/>
      <c r="M158" s="9">
        <f>ROUND(44806,-2)</f>
        <v>44800</v>
      </c>
      <c r="N158" s="10" t="s">
        <v>445</v>
      </c>
      <c r="O158" s="8">
        <f>ROUND(33393,-3)</f>
        <v>33000</v>
      </c>
      <c r="P158" t="s">
        <v>446</v>
      </c>
      <c r="Q158" s="8">
        <f>ROUND(41440,-3)</f>
        <v>41000</v>
      </c>
    </row>
    <row r="159" spans="1:21" ht="17" thickBot="1" x14ac:dyDescent="0.25">
      <c r="A159" s="2">
        <v>9247600</v>
      </c>
      <c r="B159" t="s">
        <v>8</v>
      </c>
      <c r="C159" t="s">
        <v>10</v>
      </c>
      <c r="D159" s="4">
        <v>2128</v>
      </c>
      <c r="E159" s="19">
        <v>1198.4000000000001</v>
      </c>
      <c r="F159" t="s">
        <v>476</v>
      </c>
      <c r="H159" s="8">
        <f>ROUND(E159*723.968,-3)</f>
        <v>868000</v>
      </c>
      <c r="J159" s="10">
        <f>H159/100000/2</f>
        <v>4.34</v>
      </c>
      <c r="K159" s="10"/>
      <c r="L159" s="10"/>
      <c r="M159" s="10"/>
      <c r="N159" s="10"/>
    </row>
    <row r="160" spans="1:21" ht="18" thickTop="1" thickBot="1" x14ac:dyDescent="0.25">
      <c r="A160" s="153">
        <v>9251000</v>
      </c>
      <c r="B160" s="154" t="s">
        <v>8</v>
      </c>
      <c r="C160" s="155" t="s">
        <v>26</v>
      </c>
      <c r="D160" s="4">
        <v>3383</v>
      </c>
      <c r="E160" s="37">
        <v>1392.7</v>
      </c>
      <c r="F160" t="s">
        <v>476</v>
      </c>
      <c r="H160" s="8">
        <f>ROUND(E160*723.968,-4)</f>
        <v>1010000</v>
      </c>
      <c r="J160" s="10">
        <f>H160/100000/2</f>
        <v>5.05</v>
      </c>
      <c r="K160" s="10"/>
      <c r="L160" s="10"/>
      <c r="M160" s="9">
        <f>ROUND(1401546,-5)</f>
        <v>1400000</v>
      </c>
      <c r="N160" s="10" t="s">
        <v>447</v>
      </c>
      <c r="O160" s="8">
        <f>ROUND(1025765,-5)</f>
        <v>1000000</v>
      </c>
      <c r="P160" t="s">
        <v>380</v>
      </c>
      <c r="Q160" s="8">
        <f>ROUND(1152000,-4)</f>
        <v>1150000</v>
      </c>
      <c r="S160" s="68">
        <f>H160/M160</f>
        <v>0.72142857142857142</v>
      </c>
      <c r="T160" s="87">
        <f>H160/O160</f>
        <v>1.01</v>
      </c>
      <c r="U160" s="71">
        <f>H160/Q160</f>
        <v>0.87826086956521743</v>
      </c>
    </row>
    <row r="161" spans="1:21" ht="17" thickTop="1" x14ac:dyDescent="0.2">
      <c r="A161" s="112">
        <v>9253000</v>
      </c>
      <c r="B161" s="109" t="s">
        <v>9</v>
      </c>
      <c r="C161" s="109" t="s">
        <v>215</v>
      </c>
      <c r="D161" s="4">
        <v>252</v>
      </c>
      <c r="E161" s="37">
        <v>218.7</v>
      </c>
      <c r="F161" t="s">
        <v>481</v>
      </c>
      <c r="H161" s="8">
        <f>ROUND(E161*723.968,-3)</f>
        <v>158000</v>
      </c>
      <c r="J161" s="10">
        <f>H161/100000/2</f>
        <v>0.79</v>
      </c>
      <c r="K161" s="10"/>
      <c r="L161" s="10"/>
      <c r="M161" s="10"/>
      <c r="N161" s="10"/>
      <c r="O161" s="8">
        <f>ROUND(168974,-3)</f>
        <v>169000</v>
      </c>
      <c r="P161" t="s">
        <v>446</v>
      </c>
      <c r="Q161" s="8">
        <f>ROUND(188400,-3)</f>
        <v>188000</v>
      </c>
      <c r="T161" s="71">
        <f>H161/O161</f>
        <v>0.9349112426035503</v>
      </c>
      <c r="U161" s="58">
        <f>H161/Q161</f>
        <v>0.84042553191489366</v>
      </c>
    </row>
    <row r="162" spans="1:21" x14ac:dyDescent="0.2">
      <c r="A162" s="115">
        <v>9255000</v>
      </c>
      <c r="B162" s="103" t="s">
        <v>216</v>
      </c>
      <c r="C162" s="103" t="s">
        <v>215</v>
      </c>
      <c r="D162" s="4">
        <v>151</v>
      </c>
      <c r="E162" s="37">
        <v>74.5</v>
      </c>
      <c r="F162" t="s">
        <v>476</v>
      </c>
      <c r="H162" s="8">
        <f>ROUND(E162*723.968,-2)</f>
        <v>53900</v>
      </c>
      <c r="J162" s="10">
        <f>H162/100000/2</f>
        <v>0.26950000000000002</v>
      </c>
      <c r="K162" s="10"/>
      <c r="L162" s="10"/>
      <c r="M162" s="10"/>
      <c r="N162" s="10"/>
      <c r="O162" s="8">
        <f>ROUND(52588,-2)</f>
        <v>52600</v>
      </c>
      <c r="P162" t="s">
        <v>433</v>
      </c>
      <c r="Q162" s="8">
        <f>ROUND(60850,-2)</f>
        <v>60900</v>
      </c>
      <c r="T162" s="87">
        <f>H162/O162</f>
        <v>1.0247148288973384</v>
      </c>
      <c r="U162" s="71">
        <f>H162/Q162</f>
        <v>0.88505747126436785</v>
      </c>
    </row>
    <row r="163" spans="1:21" x14ac:dyDescent="0.2">
      <c r="A163" s="14">
        <v>9255500</v>
      </c>
      <c r="B163" t="s">
        <v>314</v>
      </c>
      <c r="C163" t="s">
        <v>315</v>
      </c>
      <c r="D163" s="4">
        <v>189</v>
      </c>
      <c r="E163" s="37"/>
      <c r="H163" s="8"/>
      <c r="J163" s="10"/>
      <c r="K163" s="10"/>
      <c r="L163" s="10"/>
      <c r="M163" s="10"/>
      <c r="N163" s="10"/>
      <c r="O163" s="8">
        <f>ROUND(36054,-3)</f>
        <v>36000</v>
      </c>
      <c r="P163">
        <v>1941</v>
      </c>
      <c r="Q163" s="8">
        <f>ROUND(36800,-2)</f>
        <v>36800</v>
      </c>
    </row>
    <row r="164" spans="1:21" ht="34" x14ac:dyDescent="0.2">
      <c r="A164" s="14">
        <v>9256500</v>
      </c>
      <c r="B164" t="s">
        <v>314</v>
      </c>
      <c r="C164" s="13" t="s">
        <v>538</v>
      </c>
      <c r="D164" s="4">
        <v>354</v>
      </c>
      <c r="E164" s="37"/>
      <c r="H164" s="8"/>
      <c r="J164" s="10"/>
      <c r="K164" s="10"/>
      <c r="L164" s="10"/>
      <c r="M164" s="9">
        <v>110000</v>
      </c>
      <c r="N164" s="96" t="s">
        <v>539</v>
      </c>
      <c r="O164" s="8"/>
    </row>
    <row r="165" spans="1:21" x14ac:dyDescent="0.2">
      <c r="A165" s="14">
        <v>9257000</v>
      </c>
      <c r="B165" t="s">
        <v>9</v>
      </c>
      <c r="C165" t="s">
        <v>313</v>
      </c>
      <c r="D165" s="4">
        <v>988</v>
      </c>
      <c r="E165" s="37"/>
      <c r="H165" s="8"/>
      <c r="J165" s="10"/>
      <c r="K165" s="10"/>
      <c r="L165" s="10"/>
      <c r="M165" s="9">
        <f>ROUND(453326,-4)</f>
        <v>450000</v>
      </c>
      <c r="N165" s="10" t="s">
        <v>448</v>
      </c>
      <c r="O165" s="8">
        <f>ROUND(347149,-4)</f>
        <v>350000</v>
      </c>
      <c r="P165" t="s">
        <v>409</v>
      </c>
      <c r="Q165" s="8">
        <f>ROUND(396300,-4)</f>
        <v>400000</v>
      </c>
    </row>
    <row r="166" spans="1:21" x14ac:dyDescent="0.2">
      <c r="A166" s="14">
        <v>9258000</v>
      </c>
      <c r="B166" t="s">
        <v>312</v>
      </c>
      <c r="C166" t="s">
        <v>313</v>
      </c>
      <c r="D166" s="4">
        <v>24</v>
      </c>
      <c r="E166" s="37"/>
      <c r="H166" s="8"/>
      <c r="J166" s="10"/>
      <c r="K166" s="10"/>
      <c r="L166" s="10"/>
      <c r="M166" s="10"/>
      <c r="N166" s="10"/>
      <c r="Q166" s="8">
        <f>ROUND(8550,-2)</f>
        <v>8600</v>
      </c>
    </row>
    <row r="167" spans="1:21" ht="17" thickBot="1" x14ac:dyDescent="0.25">
      <c r="A167" s="2">
        <v>9258980</v>
      </c>
      <c r="B167" t="s">
        <v>21</v>
      </c>
      <c r="C167" t="s">
        <v>22</v>
      </c>
      <c r="D167" s="4">
        <v>1200</v>
      </c>
      <c r="E167" s="118">
        <v>17.7</v>
      </c>
      <c r="F167" t="s">
        <v>205</v>
      </c>
      <c r="H167" s="8">
        <f>ROUND(E167*723.968,-3)</f>
        <v>13000</v>
      </c>
      <c r="J167" s="10">
        <f>H167/100000/2</f>
        <v>6.5000000000000002E-2</v>
      </c>
      <c r="K167" s="10"/>
      <c r="L167" s="10"/>
      <c r="M167" s="10"/>
      <c r="N167" s="10"/>
    </row>
    <row r="168" spans="1:21" ht="18" thickTop="1" thickBot="1" x14ac:dyDescent="0.25">
      <c r="A168" s="146">
        <v>9260000</v>
      </c>
      <c r="B168" s="147" t="s">
        <v>9</v>
      </c>
      <c r="C168" s="148" t="s">
        <v>24</v>
      </c>
      <c r="D168" s="4">
        <v>4034</v>
      </c>
      <c r="E168" s="156">
        <v>475.6</v>
      </c>
      <c r="F168" t="s">
        <v>476</v>
      </c>
      <c r="H168" s="8">
        <f>ROUND(E168*723.968,-3)</f>
        <v>344000</v>
      </c>
      <c r="J168" s="10">
        <f>H168/100000/2</f>
        <v>1.72</v>
      </c>
      <c r="K168" s="10"/>
      <c r="L168" s="10"/>
      <c r="M168" s="9">
        <f>ROUND(536723,-4)</f>
        <v>540000</v>
      </c>
      <c r="N168" s="10" t="s">
        <v>449</v>
      </c>
      <c r="O168" s="8">
        <f>ROUND(395967,-3)</f>
        <v>396000</v>
      </c>
      <c r="P168" t="s">
        <v>380</v>
      </c>
      <c r="Q168" s="8">
        <f>ROUND(450600,-3)</f>
        <v>451000</v>
      </c>
      <c r="S168" s="81">
        <f>H168/M168</f>
        <v>0.63703703703703707</v>
      </c>
      <c r="T168" s="71">
        <f>H168/O168</f>
        <v>0.86868686868686873</v>
      </c>
      <c r="U168" s="58">
        <f>H168/Q168</f>
        <v>0.7627494456762749</v>
      </c>
    </row>
    <row r="169" spans="1:21" ht="17" thickTop="1" x14ac:dyDescent="0.2">
      <c r="A169" s="2">
        <v>9260050</v>
      </c>
      <c r="B169" t="s">
        <v>8</v>
      </c>
      <c r="C169" t="s">
        <v>25</v>
      </c>
      <c r="D169" s="4">
        <v>7931</v>
      </c>
      <c r="E169" s="7">
        <v>1854.2</v>
      </c>
      <c r="F169" t="s">
        <v>476</v>
      </c>
      <c r="H169" s="8">
        <f>ROUND(E169*723.968,-4)</f>
        <v>1340000</v>
      </c>
      <c r="J169" s="10">
        <f>H169/100000/2</f>
        <v>6.7</v>
      </c>
      <c r="K169" s="10" t="s">
        <v>584</v>
      </c>
      <c r="L169" s="10" t="s">
        <v>585</v>
      </c>
      <c r="M169" s="10"/>
      <c r="N169" s="10"/>
      <c r="U169" s="69"/>
    </row>
    <row r="170" spans="1:21" x14ac:dyDescent="0.2">
      <c r="A170" s="110">
        <v>9261000</v>
      </c>
      <c r="B170" s="109" t="s">
        <v>0</v>
      </c>
      <c r="C170" s="109" t="s">
        <v>28</v>
      </c>
      <c r="D170" s="4">
        <v>25400</v>
      </c>
      <c r="E170" s="50">
        <v>3659</v>
      </c>
      <c r="F170" t="s">
        <v>476</v>
      </c>
      <c r="H170" s="8">
        <f>ROUND(E170*723.968,-4)</f>
        <v>2650000</v>
      </c>
      <c r="J170" s="10">
        <f>H170/100000/2</f>
        <v>13.25</v>
      </c>
      <c r="K170" s="10"/>
      <c r="L170" s="10"/>
      <c r="M170" s="10"/>
      <c r="N170" s="10"/>
      <c r="O170" s="8">
        <f>ROUND(3507384,-4)</f>
        <v>3510000</v>
      </c>
      <c r="P170" t="s">
        <v>403</v>
      </c>
      <c r="Q170" s="8">
        <f>ROUND(3338000,-5)</f>
        <v>3300000</v>
      </c>
      <c r="T170" s="58">
        <f>H170/O170</f>
        <v>0.75498575498575493</v>
      </c>
      <c r="U170" s="58">
        <f>H170/Q170</f>
        <v>0.80303030303030298</v>
      </c>
    </row>
    <row r="171" spans="1:21" x14ac:dyDescent="0.2">
      <c r="A171" s="102">
        <v>9261700</v>
      </c>
      <c r="B171" s="103" t="s">
        <v>29</v>
      </c>
      <c r="C171" s="103" t="s">
        <v>30</v>
      </c>
      <c r="D171" s="4">
        <v>77</v>
      </c>
      <c r="E171" s="50">
        <v>34.4</v>
      </c>
      <c r="F171" t="s">
        <v>476</v>
      </c>
      <c r="H171" s="8">
        <f>ROUND(E171*723.968,-2)</f>
        <v>24900</v>
      </c>
      <c r="J171" s="10">
        <f>H171/100000/2</f>
        <v>0.1245</v>
      </c>
      <c r="K171" s="10"/>
      <c r="L171" s="10"/>
      <c r="M171" s="10"/>
      <c r="N171" s="10"/>
      <c r="T171" s="165">
        <f>H171/O172</f>
        <v>0.88928571428571423</v>
      </c>
      <c r="U171" s="165">
        <f>H171/Q172</f>
        <v>0.88928571428571423</v>
      </c>
    </row>
    <row r="172" spans="1:21" x14ac:dyDescent="0.2">
      <c r="A172" s="102">
        <v>9262000</v>
      </c>
      <c r="B172" s="103" t="s">
        <v>311</v>
      </c>
      <c r="C172" s="103" t="s">
        <v>30</v>
      </c>
      <c r="D172" s="4">
        <v>82</v>
      </c>
      <c r="E172" s="50"/>
      <c r="H172" s="8"/>
      <c r="J172" s="10"/>
      <c r="K172" s="10"/>
      <c r="L172" s="10"/>
      <c r="M172" s="10"/>
      <c r="N172" s="10"/>
      <c r="O172" s="8">
        <f>ROUND(28481,-3)</f>
        <v>28000</v>
      </c>
      <c r="Q172" s="8">
        <f>ROUND(27890,-3)</f>
        <v>28000</v>
      </c>
      <c r="T172" s="165"/>
      <c r="U172" s="165"/>
    </row>
    <row r="173" spans="1:21" x14ac:dyDescent="0.2">
      <c r="A173" s="2">
        <v>9263500</v>
      </c>
      <c r="B173" t="s">
        <v>311</v>
      </c>
      <c r="C173" t="s">
        <v>30</v>
      </c>
      <c r="D173" s="4">
        <v>255</v>
      </c>
      <c r="E173" s="50"/>
      <c r="H173" s="8"/>
      <c r="J173" s="10"/>
      <c r="K173" s="10"/>
      <c r="L173" s="10"/>
      <c r="M173" s="10"/>
      <c r="N173" s="10"/>
      <c r="Q173" s="8">
        <f>ROUND(16950,-3)</f>
        <v>17000</v>
      </c>
    </row>
    <row r="174" spans="1:21" x14ac:dyDescent="0.2">
      <c r="A174" s="104">
        <v>9266500</v>
      </c>
      <c r="B174" s="105" t="s">
        <v>31</v>
      </c>
      <c r="C174" s="105" t="s">
        <v>30</v>
      </c>
      <c r="D174" s="4">
        <v>101</v>
      </c>
      <c r="E174" s="50">
        <v>76.8</v>
      </c>
      <c r="F174" t="s">
        <v>476</v>
      </c>
      <c r="H174" s="8">
        <f>ROUND(E174*723.968,-2)</f>
        <v>55600</v>
      </c>
      <c r="J174" s="10">
        <f>H174/100000/2</f>
        <v>0.27800000000000002</v>
      </c>
      <c r="K174" s="10"/>
      <c r="L174" s="10"/>
      <c r="M174" s="9">
        <f>ROUND(89198,-2)</f>
        <v>89200</v>
      </c>
      <c r="N174" s="10" t="s">
        <v>434</v>
      </c>
      <c r="O174" s="8">
        <f>ROUND(68086,-3)</f>
        <v>68000</v>
      </c>
      <c r="P174" t="s">
        <v>380</v>
      </c>
      <c r="Q174" s="8">
        <f>ROUND(76790,-3)</f>
        <v>77000</v>
      </c>
      <c r="S174" s="81">
        <f>H174/M174</f>
        <v>0.62331838565022424</v>
      </c>
      <c r="T174" s="58">
        <f>H174/O174</f>
        <v>0.81764705882352939</v>
      </c>
      <c r="U174" s="72">
        <f>H174/Q174</f>
        <v>0.7220779220779221</v>
      </c>
    </row>
    <row r="175" spans="1:21" ht="17" thickBot="1" x14ac:dyDescent="0.25">
      <c r="A175" s="2">
        <v>9271500</v>
      </c>
      <c r="B175" t="s">
        <v>31</v>
      </c>
      <c r="C175" t="s">
        <v>28</v>
      </c>
      <c r="D175" s="4">
        <v>386</v>
      </c>
      <c r="E175" s="50"/>
      <c r="H175" s="8"/>
      <c r="J175" s="10"/>
      <c r="K175" s="10"/>
      <c r="L175" s="10"/>
      <c r="M175" s="10"/>
      <c r="N175" s="10"/>
      <c r="O175" s="8">
        <f>ROUND(59076,-3)</f>
        <v>59000</v>
      </c>
      <c r="P175" t="s">
        <v>403</v>
      </c>
      <c r="Q175" s="8">
        <f>ROUND(51580,-3)</f>
        <v>52000</v>
      </c>
    </row>
    <row r="176" spans="1:21" ht="18" thickTop="1" thickBot="1" x14ac:dyDescent="0.25">
      <c r="A176" s="2">
        <v>9272400</v>
      </c>
      <c r="B176" t="s">
        <v>0</v>
      </c>
      <c r="C176" t="s">
        <v>27</v>
      </c>
      <c r="D176" s="4">
        <v>26800</v>
      </c>
      <c r="E176" s="119">
        <v>4232.2</v>
      </c>
      <c r="F176" t="s">
        <v>465</v>
      </c>
      <c r="H176" s="8">
        <f>ROUND(E176*723.968,-4)</f>
        <v>3060000</v>
      </c>
      <c r="J176" s="10">
        <f>H176/100000/2</f>
        <v>15.3</v>
      </c>
      <c r="K176" s="10"/>
      <c r="L176" s="10"/>
      <c r="M176" s="10"/>
      <c r="N176" s="10"/>
    </row>
    <row r="177" spans="1:21" ht="17" thickTop="1" x14ac:dyDescent="0.2">
      <c r="A177" s="2">
        <v>9274000</v>
      </c>
      <c r="B177" t="s">
        <v>512</v>
      </c>
      <c r="C177" t="s">
        <v>310</v>
      </c>
      <c r="D177" s="4">
        <v>78</v>
      </c>
      <c r="E177" s="39"/>
      <c r="H177" s="8"/>
      <c r="J177" s="10"/>
      <c r="K177" s="10"/>
      <c r="L177" s="10"/>
      <c r="M177" s="9">
        <f>ROUND(107799,-4)</f>
        <v>110000</v>
      </c>
      <c r="N177" s="10" t="s">
        <v>453</v>
      </c>
      <c r="O177" s="8">
        <f>ROUND(75944,-3)</f>
        <v>76000</v>
      </c>
      <c r="P177" t="s">
        <v>403</v>
      </c>
      <c r="Q177" s="8">
        <f>ROUND(24560,-3)</f>
        <v>25000</v>
      </c>
    </row>
    <row r="178" spans="1:21" x14ac:dyDescent="0.2">
      <c r="A178" s="2">
        <v>9276500</v>
      </c>
      <c r="B178" t="s">
        <v>511</v>
      </c>
      <c r="C178" t="s">
        <v>310</v>
      </c>
      <c r="D178" s="4">
        <v>19</v>
      </c>
      <c r="E178" s="39"/>
      <c r="H178" s="8"/>
      <c r="J178" s="10"/>
      <c r="K178" s="10"/>
      <c r="L178" s="10"/>
      <c r="M178" s="9">
        <v>10400</v>
      </c>
      <c r="N178" s="14">
        <v>1923</v>
      </c>
      <c r="O178" s="8"/>
    </row>
    <row r="179" spans="1:21" x14ac:dyDescent="0.2">
      <c r="A179" s="2">
        <v>9275500</v>
      </c>
      <c r="B179" t="s">
        <v>309</v>
      </c>
      <c r="C179" t="s">
        <v>310</v>
      </c>
      <c r="D179" s="4">
        <v>61</v>
      </c>
      <c r="E179" s="39"/>
      <c r="H179" s="8"/>
      <c r="J179" s="10"/>
      <c r="K179" s="10"/>
      <c r="L179" s="10"/>
      <c r="M179" s="10"/>
      <c r="N179" s="10"/>
      <c r="Q179" s="8">
        <f>ROUND(34410,-3)</f>
        <v>34000</v>
      </c>
    </row>
    <row r="180" spans="1:21" x14ac:dyDescent="0.2">
      <c r="A180" s="112">
        <v>9277500</v>
      </c>
      <c r="B180" s="109" t="s">
        <v>2</v>
      </c>
      <c r="C180" s="109" t="s">
        <v>230</v>
      </c>
      <c r="D180" s="4">
        <v>353</v>
      </c>
      <c r="E180" s="39">
        <v>123.5</v>
      </c>
      <c r="F180" t="s">
        <v>458</v>
      </c>
      <c r="H180" s="8">
        <f>ROUND(E180*723.968,-2)</f>
        <v>89400</v>
      </c>
      <c r="J180" s="10">
        <f>H180/100000/2</f>
        <v>0.44700000000000001</v>
      </c>
      <c r="K180" s="10"/>
      <c r="L180" s="10"/>
      <c r="M180" s="9">
        <f>ROUND(177109,-3)</f>
        <v>177000</v>
      </c>
      <c r="N180" s="10" t="s">
        <v>454</v>
      </c>
      <c r="O180" s="8">
        <f>ROUND(136508,-3)</f>
        <v>137000</v>
      </c>
      <c r="P180" t="s">
        <v>380</v>
      </c>
      <c r="Q180" s="8">
        <f>ROUND(115200,-3)</f>
        <v>115000</v>
      </c>
      <c r="S180" s="82">
        <f>H180/M180</f>
        <v>0.5050847457627119</v>
      </c>
      <c r="T180" s="72">
        <f>H180/O180</f>
        <v>0.6525547445255474</v>
      </c>
      <c r="U180" s="58">
        <f>H180/Q180</f>
        <v>0.77739130434782611</v>
      </c>
    </row>
    <row r="181" spans="1:21" ht="34" x14ac:dyDescent="0.2">
      <c r="A181" s="14">
        <v>9277501</v>
      </c>
      <c r="B181" s="22" t="s">
        <v>507</v>
      </c>
      <c r="C181" t="s">
        <v>230</v>
      </c>
      <c r="D181" s="4">
        <v>356</v>
      </c>
      <c r="E181" s="39"/>
      <c r="H181" s="8"/>
      <c r="J181" s="10"/>
      <c r="K181" s="10"/>
      <c r="L181" s="10"/>
      <c r="M181" s="9">
        <v>177000</v>
      </c>
      <c r="N181" s="10" t="s">
        <v>454</v>
      </c>
      <c r="O181" s="8"/>
      <c r="S181" s="56"/>
      <c r="T181" s="69"/>
      <c r="U181" s="69"/>
    </row>
    <row r="182" spans="1:21" x14ac:dyDescent="0.2">
      <c r="A182" s="113">
        <v>9279000</v>
      </c>
      <c r="B182" s="52" t="s">
        <v>229</v>
      </c>
      <c r="C182" s="52" t="s">
        <v>224</v>
      </c>
      <c r="D182" s="4">
        <v>149</v>
      </c>
      <c r="E182" s="39">
        <v>78.3</v>
      </c>
      <c r="F182" t="s">
        <v>476</v>
      </c>
      <c r="H182" s="8">
        <f>ROUND(E182*723.968,-2)</f>
        <v>56700</v>
      </c>
      <c r="J182" s="10">
        <f>H182/100000/2</f>
        <v>0.28349999999999997</v>
      </c>
      <c r="K182" s="10"/>
      <c r="L182" s="10"/>
      <c r="M182" s="10"/>
      <c r="N182" s="10"/>
      <c r="Q182" s="8">
        <v>136900</v>
      </c>
      <c r="U182" s="74">
        <f>H182/Q182</f>
        <v>0.41417092768444119</v>
      </c>
    </row>
    <row r="183" spans="1:21" x14ac:dyDescent="0.2">
      <c r="A183" s="113">
        <v>9279150</v>
      </c>
      <c r="B183" s="52" t="s">
        <v>509</v>
      </c>
      <c r="C183" s="52" t="s">
        <v>226</v>
      </c>
      <c r="D183" s="48">
        <v>623</v>
      </c>
      <c r="E183" s="39">
        <v>128.80000000000001</v>
      </c>
      <c r="F183" t="s">
        <v>510</v>
      </c>
      <c r="H183" s="8">
        <f>ROUND(E183*723.968,-2)</f>
        <v>93200</v>
      </c>
      <c r="J183" s="10">
        <f>H183/100000/2</f>
        <v>0.46600000000000003</v>
      </c>
      <c r="K183" s="10"/>
      <c r="L183" s="10"/>
      <c r="M183" s="10"/>
      <c r="N183" s="10"/>
      <c r="Q183" s="49"/>
      <c r="S183" s="172">
        <f>H183/M184</f>
        <v>0.28944099378881988</v>
      </c>
      <c r="U183" s="169">
        <f>H183/Q184</f>
        <v>0.39829059829059826</v>
      </c>
    </row>
    <row r="184" spans="1:21" x14ac:dyDescent="0.2">
      <c r="A184" s="113">
        <v>9279500</v>
      </c>
      <c r="B184" s="52" t="s">
        <v>2</v>
      </c>
      <c r="C184" s="53" t="s">
        <v>307</v>
      </c>
      <c r="D184" s="4">
        <v>660</v>
      </c>
      <c r="E184" s="39"/>
      <c r="H184" s="8"/>
      <c r="J184" s="10"/>
      <c r="K184" s="10"/>
      <c r="L184" s="10"/>
      <c r="M184" s="9">
        <v>322000</v>
      </c>
      <c r="N184" s="10" t="s">
        <v>508</v>
      </c>
      <c r="Q184" s="8">
        <v>234000</v>
      </c>
      <c r="S184" s="172"/>
      <c r="U184" s="169"/>
    </row>
    <row r="185" spans="1:21" ht="34" x14ac:dyDescent="0.2">
      <c r="A185" s="14">
        <v>9279501</v>
      </c>
      <c r="B185" s="22" t="s">
        <v>507</v>
      </c>
      <c r="C185" s="13" t="s">
        <v>307</v>
      </c>
      <c r="D185" s="4">
        <v>660</v>
      </c>
      <c r="E185" s="39"/>
      <c r="H185" s="8"/>
      <c r="J185" s="10"/>
      <c r="K185" s="10"/>
      <c r="L185" s="10"/>
      <c r="M185" s="9">
        <v>322000</v>
      </c>
      <c r="N185" s="10" t="s">
        <v>431</v>
      </c>
    </row>
    <row r="186" spans="1:21" x14ac:dyDescent="0.2">
      <c r="A186" s="14">
        <v>9285000</v>
      </c>
      <c r="B186" t="s">
        <v>225</v>
      </c>
      <c r="C186" t="s">
        <v>308</v>
      </c>
      <c r="D186" s="4">
        <v>212</v>
      </c>
      <c r="E186" s="39"/>
      <c r="H186" s="8"/>
      <c r="J186" s="10"/>
      <c r="K186" s="10"/>
      <c r="L186" s="10"/>
      <c r="M186" s="10"/>
      <c r="N186" s="10"/>
      <c r="Q186" s="8">
        <v>23910</v>
      </c>
    </row>
    <row r="187" spans="1:21" x14ac:dyDescent="0.2">
      <c r="A187" s="14">
        <v>9285900</v>
      </c>
      <c r="B187" t="s">
        <v>225</v>
      </c>
      <c r="C187" t="s">
        <v>228</v>
      </c>
      <c r="D187" s="4">
        <v>372</v>
      </c>
      <c r="E187" s="39">
        <v>62.3</v>
      </c>
      <c r="F187" t="s">
        <v>485</v>
      </c>
      <c r="H187" s="8">
        <f>ROUND(E187*723.968,-2)</f>
        <v>45100</v>
      </c>
      <c r="J187" s="10">
        <f>H187/100000/2</f>
        <v>0.22550000000000001</v>
      </c>
      <c r="K187" s="10"/>
      <c r="L187" s="10"/>
      <c r="M187" s="10"/>
      <c r="N187" s="10"/>
    </row>
    <row r="188" spans="1:21" x14ac:dyDescent="0.2">
      <c r="A188" s="14">
        <v>9286500</v>
      </c>
      <c r="B188" t="s">
        <v>513</v>
      </c>
      <c r="C188" t="s">
        <v>228</v>
      </c>
      <c r="D188" s="4">
        <v>89</v>
      </c>
      <c r="E188" s="39"/>
      <c r="H188" s="8"/>
      <c r="J188" s="10"/>
      <c r="K188" s="10"/>
      <c r="L188" s="10"/>
      <c r="M188" s="9">
        <v>13500</v>
      </c>
      <c r="N188" s="10" t="s">
        <v>514</v>
      </c>
    </row>
    <row r="189" spans="1:21" ht="34" x14ac:dyDescent="0.2">
      <c r="A189" s="114">
        <v>9288000</v>
      </c>
      <c r="B189" s="105" t="s">
        <v>227</v>
      </c>
      <c r="C189" s="105" t="s">
        <v>228</v>
      </c>
      <c r="D189" s="4">
        <v>140</v>
      </c>
      <c r="E189" s="39">
        <v>39.4</v>
      </c>
      <c r="F189" s="22" t="s">
        <v>486</v>
      </c>
      <c r="H189" s="8">
        <f>ROUND(E189*723.968,-2)</f>
        <v>28500</v>
      </c>
      <c r="J189" s="10">
        <f>H189/100000/2</f>
        <v>0.14249999999999999</v>
      </c>
      <c r="K189" s="10"/>
      <c r="L189" s="10"/>
      <c r="M189" s="10"/>
      <c r="N189" s="10"/>
      <c r="Q189" s="8">
        <v>38980</v>
      </c>
      <c r="U189" s="72">
        <f>H189/Q189</f>
        <v>0.73114417650076957</v>
      </c>
    </row>
    <row r="190" spans="1:21" x14ac:dyDescent="0.2">
      <c r="A190" s="112">
        <v>9288180</v>
      </c>
      <c r="B190" s="109" t="s">
        <v>225</v>
      </c>
      <c r="C190" s="109" t="s">
        <v>226</v>
      </c>
      <c r="D190" s="4">
        <v>917</v>
      </c>
      <c r="E190" s="39">
        <v>119</v>
      </c>
      <c r="F190" t="s">
        <v>476</v>
      </c>
      <c r="H190" s="8">
        <f>ROUND(E190*723.968,-2)</f>
        <v>86200</v>
      </c>
      <c r="J190" s="10">
        <f>H190/100000/2</f>
        <v>0.43099999999999999</v>
      </c>
      <c r="K190" s="10"/>
      <c r="L190" s="10"/>
      <c r="M190" s="10"/>
      <c r="N190" s="10"/>
      <c r="S190" s="171">
        <f>H190/M191</f>
        <v>0.57466666666666666</v>
      </c>
      <c r="U190" s="166">
        <f>H190/Q191</f>
        <v>0.75813544415127532</v>
      </c>
    </row>
    <row r="191" spans="1:21" x14ac:dyDescent="0.2">
      <c r="A191" s="112">
        <v>9288500</v>
      </c>
      <c r="B191" s="109" t="s">
        <v>225</v>
      </c>
      <c r="C191" s="111" t="s">
        <v>307</v>
      </c>
      <c r="D191" s="4">
        <v>1066</v>
      </c>
      <c r="E191" s="39"/>
      <c r="H191" s="8"/>
      <c r="J191" s="10"/>
      <c r="K191" s="10"/>
      <c r="L191" s="10"/>
      <c r="M191" s="9">
        <v>150000</v>
      </c>
      <c r="N191" s="10" t="s">
        <v>434</v>
      </c>
      <c r="Q191" s="8">
        <v>113700</v>
      </c>
      <c r="S191" s="171"/>
      <c r="U191" s="166"/>
    </row>
    <row r="192" spans="1:21" x14ac:dyDescent="0.2">
      <c r="A192" s="115">
        <v>9289500</v>
      </c>
      <c r="B192" s="103" t="s">
        <v>183</v>
      </c>
      <c r="C192" s="103" t="s">
        <v>224</v>
      </c>
      <c r="D192" s="4">
        <v>77.900000000000006</v>
      </c>
      <c r="E192" s="39">
        <v>101.9</v>
      </c>
      <c r="F192" t="s">
        <v>476</v>
      </c>
      <c r="H192" s="8">
        <f>ROUND(E192*723.968,-2)</f>
        <v>73800</v>
      </c>
      <c r="J192" s="10">
        <f>H192/100000/2</f>
        <v>0.36899999999999999</v>
      </c>
      <c r="K192" s="10"/>
      <c r="L192" s="10"/>
      <c r="M192" s="10"/>
      <c r="N192" s="10"/>
      <c r="Q192" s="8">
        <v>84040</v>
      </c>
      <c r="U192" s="71">
        <f>H192/Q192</f>
        <v>0.87815326035221319</v>
      </c>
    </row>
    <row r="193" spans="1:21" x14ac:dyDescent="0.2">
      <c r="A193" s="14">
        <v>9291000</v>
      </c>
      <c r="B193" t="s">
        <v>183</v>
      </c>
      <c r="C193" t="s">
        <v>224</v>
      </c>
      <c r="D193" s="4">
        <v>112</v>
      </c>
      <c r="E193" s="39">
        <v>112.4</v>
      </c>
      <c r="F193" t="s">
        <v>476</v>
      </c>
      <c r="H193" s="8">
        <f>ROUND(E193*723.968,-2)</f>
        <v>81400</v>
      </c>
      <c r="J193" s="10">
        <f>H193/100000/2</f>
        <v>0.40699999999999997</v>
      </c>
      <c r="K193" s="10"/>
      <c r="L193" s="10"/>
      <c r="M193" s="10"/>
      <c r="N193" s="10"/>
      <c r="O193" s="28">
        <v>93300</v>
      </c>
      <c r="P193" t="s">
        <v>395</v>
      </c>
      <c r="T193" s="71">
        <f>H193/O193</f>
        <v>0.872454448017149</v>
      </c>
    </row>
    <row r="194" spans="1:21" x14ac:dyDescent="0.2">
      <c r="A194" s="14">
        <v>9292000</v>
      </c>
      <c r="B194" t="s">
        <v>222</v>
      </c>
      <c r="C194" t="s">
        <v>223</v>
      </c>
      <c r="D194" s="4">
        <v>114</v>
      </c>
      <c r="E194" s="39">
        <v>91.8</v>
      </c>
      <c r="F194" t="s">
        <v>476</v>
      </c>
      <c r="H194" s="8">
        <f>ROUND(E194*723.968,-2)</f>
        <v>66500</v>
      </c>
      <c r="J194" s="10">
        <f>H194/100000/2</f>
        <v>0.33250000000000002</v>
      </c>
      <c r="K194" s="10"/>
      <c r="L194" s="10"/>
      <c r="M194" s="10"/>
      <c r="N194" s="10"/>
    </row>
    <row r="195" spans="1:21" x14ac:dyDescent="0.2">
      <c r="A195" s="112">
        <v>9292500</v>
      </c>
      <c r="B195" s="109" t="s">
        <v>222</v>
      </c>
      <c r="C195" s="109" t="s">
        <v>223</v>
      </c>
      <c r="D195" s="4">
        <v>132</v>
      </c>
      <c r="E195" s="39">
        <v>127.8</v>
      </c>
      <c r="F195" t="s">
        <v>476</v>
      </c>
      <c r="H195" s="8">
        <f>ROUND(E195*723.968,-2)</f>
        <v>92500</v>
      </c>
      <c r="J195" s="10">
        <f>H195/100000/2</f>
        <v>0.46250000000000002</v>
      </c>
      <c r="K195" s="10"/>
      <c r="L195" s="10"/>
      <c r="M195" s="10"/>
      <c r="N195" s="10"/>
      <c r="Q195" s="8">
        <v>109400</v>
      </c>
      <c r="U195" s="58">
        <f>H195/Q195</f>
        <v>0.84552102376599636</v>
      </c>
    </row>
    <row r="196" spans="1:21" x14ac:dyDescent="0.2">
      <c r="A196" s="14">
        <v>9294000</v>
      </c>
      <c r="B196" t="s">
        <v>183</v>
      </c>
      <c r="C196" t="s">
        <v>355</v>
      </c>
      <c r="D196" s="4">
        <v>418</v>
      </c>
      <c r="E196" s="39"/>
      <c r="H196" s="8"/>
      <c r="J196" s="10"/>
      <c r="K196" s="10"/>
      <c r="L196" s="10"/>
      <c r="M196" s="10"/>
      <c r="N196" s="10"/>
      <c r="Q196" s="8">
        <v>50490</v>
      </c>
      <c r="U196" s="69"/>
    </row>
    <row r="197" spans="1:21" x14ac:dyDescent="0.2">
      <c r="A197" s="14">
        <v>9294500</v>
      </c>
      <c r="B197" t="s">
        <v>183</v>
      </c>
      <c r="C197" t="s">
        <v>506</v>
      </c>
      <c r="D197" s="4">
        <v>484</v>
      </c>
      <c r="E197" s="39"/>
      <c r="H197" s="8"/>
      <c r="J197" s="10"/>
      <c r="K197" s="10"/>
      <c r="L197" s="10"/>
      <c r="M197" s="9">
        <v>123000</v>
      </c>
      <c r="N197" s="10" t="s">
        <v>464</v>
      </c>
      <c r="U197" s="69"/>
    </row>
    <row r="198" spans="1:21" x14ac:dyDescent="0.2">
      <c r="A198" s="113">
        <v>9295000</v>
      </c>
      <c r="B198" s="52" t="s">
        <v>2</v>
      </c>
      <c r="C198" s="53" t="s">
        <v>221</v>
      </c>
      <c r="D198" s="4">
        <v>2643</v>
      </c>
      <c r="E198" s="39">
        <v>211.3</v>
      </c>
      <c r="F198" t="s">
        <v>458</v>
      </c>
      <c r="H198" s="8">
        <f>ROUND(E198*723.968,-3)</f>
        <v>153000</v>
      </c>
      <c r="J198" s="10">
        <f>H198/100000/2</f>
        <v>0.76500000000000001</v>
      </c>
      <c r="K198" s="10"/>
      <c r="L198" s="10"/>
      <c r="M198" s="9">
        <v>561000</v>
      </c>
      <c r="N198" s="10" t="s">
        <v>464</v>
      </c>
      <c r="O198" s="28">
        <v>318000</v>
      </c>
      <c r="P198" t="s">
        <v>380</v>
      </c>
      <c r="Q198" s="8">
        <v>368000</v>
      </c>
      <c r="S198" s="91">
        <f>H198/M198</f>
        <v>0.27272727272727271</v>
      </c>
      <c r="T198" s="76">
        <f>H198/O198</f>
        <v>0.48113207547169812</v>
      </c>
      <c r="U198" s="74">
        <f>H198/Q198</f>
        <v>0.41576086956521741</v>
      </c>
    </row>
    <row r="199" spans="1:21" x14ac:dyDescent="0.2">
      <c r="A199" s="2">
        <v>9295100</v>
      </c>
      <c r="B199" t="s">
        <v>2</v>
      </c>
      <c r="C199" t="s">
        <v>217</v>
      </c>
      <c r="D199" s="4">
        <v>2710</v>
      </c>
      <c r="E199" s="86">
        <v>198.8</v>
      </c>
      <c r="F199" t="s">
        <v>476</v>
      </c>
      <c r="H199" s="8">
        <f>ROUND(E199*723.968,-3)</f>
        <v>144000</v>
      </c>
      <c r="J199" s="10">
        <f>H199/100000/2</f>
        <v>0.72</v>
      </c>
      <c r="M199" s="10"/>
      <c r="N199" s="10"/>
    </row>
    <row r="200" spans="1:21" x14ac:dyDescent="0.2">
      <c r="A200" s="2">
        <v>9295500</v>
      </c>
      <c r="B200" t="s">
        <v>3</v>
      </c>
      <c r="C200" t="s">
        <v>220</v>
      </c>
      <c r="D200" s="4">
        <v>33</v>
      </c>
      <c r="E200" s="86"/>
      <c r="H200" s="8"/>
      <c r="J200" s="10"/>
      <c r="K200" s="10"/>
      <c r="L200" s="10"/>
      <c r="M200" s="10"/>
      <c r="N200" s="10"/>
      <c r="Q200" s="8">
        <v>35930</v>
      </c>
      <c r="S200" s="56"/>
    </row>
    <row r="201" spans="1:21" x14ac:dyDescent="0.2">
      <c r="A201" s="114">
        <v>9296800</v>
      </c>
      <c r="B201" s="105" t="s">
        <v>3</v>
      </c>
      <c r="C201" s="105" t="s">
        <v>220</v>
      </c>
      <c r="D201" s="4">
        <v>157</v>
      </c>
      <c r="E201" s="38">
        <v>132.9</v>
      </c>
      <c r="F201" t="s">
        <v>476</v>
      </c>
      <c r="H201" s="8">
        <f>ROUND(E201*723.968,-2)</f>
        <v>96200</v>
      </c>
      <c r="J201" s="10">
        <f>H201/100000/2</f>
        <v>0.48099999999999998</v>
      </c>
      <c r="K201" s="10"/>
      <c r="L201" s="10"/>
      <c r="M201" s="10"/>
      <c r="N201" s="10"/>
      <c r="S201" s="167">
        <f>H201/M202</f>
        <v>0.70735294117647063</v>
      </c>
      <c r="U201" s="167">
        <f>H201/Q202</f>
        <v>0.69508670520231219</v>
      </c>
    </row>
    <row r="202" spans="1:21" x14ac:dyDescent="0.2">
      <c r="A202" s="114">
        <v>9297000</v>
      </c>
      <c r="B202" s="105" t="s">
        <v>3</v>
      </c>
      <c r="C202" s="105" t="s">
        <v>220</v>
      </c>
      <c r="D202" s="4">
        <v>163</v>
      </c>
      <c r="E202" s="38"/>
      <c r="H202" s="8"/>
      <c r="J202" s="10"/>
      <c r="K202" s="10"/>
      <c r="L202" s="10"/>
      <c r="M202" s="9">
        <v>136000</v>
      </c>
      <c r="N202" s="14">
        <v>1926</v>
      </c>
      <c r="Q202" s="8">
        <v>138400</v>
      </c>
      <c r="S202" s="167"/>
      <c r="U202" s="167"/>
    </row>
    <row r="203" spans="1:21" x14ac:dyDescent="0.2">
      <c r="A203" s="14">
        <v>9297500</v>
      </c>
      <c r="B203" t="s">
        <v>3</v>
      </c>
      <c r="C203" t="s">
        <v>219</v>
      </c>
      <c r="D203" s="4">
        <v>218</v>
      </c>
      <c r="E203" s="38"/>
      <c r="H203" s="8"/>
      <c r="J203" s="10"/>
      <c r="K203" s="10"/>
      <c r="L203" s="10"/>
      <c r="M203" s="9">
        <v>130000</v>
      </c>
      <c r="N203" s="10" t="s">
        <v>505</v>
      </c>
      <c r="U203" s="56"/>
    </row>
    <row r="204" spans="1:21" x14ac:dyDescent="0.2">
      <c r="A204" s="112">
        <v>9299500</v>
      </c>
      <c r="B204" s="109" t="s">
        <v>218</v>
      </c>
      <c r="C204" s="109" t="s">
        <v>219</v>
      </c>
      <c r="D204" s="4">
        <v>109</v>
      </c>
      <c r="E204" s="38">
        <v>98.9</v>
      </c>
      <c r="F204" t="s">
        <v>476</v>
      </c>
      <c r="H204" s="8">
        <f>ROUND(E204*723.968,-2)</f>
        <v>71600</v>
      </c>
      <c r="J204" s="10">
        <f>H204/100000/2</f>
        <v>0.35799999999999998</v>
      </c>
      <c r="K204" s="10"/>
      <c r="L204" s="10"/>
      <c r="M204" s="10"/>
      <c r="N204" s="10"/>
      <c r="O204" s="28">
        <v>80400</v>
      </c>
      <c r="P204" t="s">
        <v>380</v>
      </c>
      <c r="Q204" s="8">
        <v>89830</v>
      </c>
      <c r="T204" s="71">
        <f>H204/O204</f>
        <v>0.89054726368159209</v>
      </c>
      <c r="U204" s="58">
        <f>H204/Q204</f>
        <v>0.79706111544027602</v>
      </c>
    </row>
    <row r="205" spans="1:21" x14ac:dyDescent="0.2">
      <c r="A205" s="14">
        <v>9300500</v>
      </c>
      <c r="B205" t="s">
        <v>3</v>
      </c>
      <c r="C205" s="13" t="s">
        <v>306</v>
      </c>
      <c r="D205" s="4">
        <v>557</v>
      </c>
      <c r="E205" s="38"/>
      <c r="H205" s="8"/>
      <c r="J205" s="10"/>
      <c r="K205" s="10"/>
      <c r="L205" s="10"/>
      <c r="M205" s="9">
        <v>136000</v>
      </c>
      <c r="N205">
        <v>1910</v>
      </c>
      <c r="Q205" s="8">
        <v>66720</v>
      </c>
    </row>
    <row r="206" spans="1:21" ht="17" thickBot="1" x14ac:dyDescent="0.25">
      <c r="A206" s="2">
        <v>9301500</v>
      </c>
      <c r="B206" t="s">
        <v>3</v>
      </c>
      <c r="C206" s="13" t="s">
        <v>487</v>
      </c>
      <c r="D206" s="4">
        <v>1064</v>
      </c>
      <c r="E206" s="86">
        <v>88.9</v>
      </c>
      <c r="F206" t="s">
        <v>476</v>
      </c>
      <c r="H206" s="8">
        <f>ROUND(E206*723.968,-2)</f>
        <v>64400</v>
      </c>
      <c r="J206" s="10">
        <f>H206/100000/2</f>
        <v>0.32200000000000001</v>
      </c>
      <c r="K206" s="10"/>
      <c r="L206" s="10"/>
      <c r="M206" s="10"/>
      <c r="N206" s="10"/>
    </row>
    <row r="207" spans="1:21" ht="18" thickTop="1" thickBot="1" x14ac:dyDescent="0.25">
      <c r="A207" s="157">
        <v>9302000</v>
      </c>
      <c r="B207" s="158" t="s">
        <v>2</v>
      </c>
      <c r="C207" s="159" t="s">
        <v>32</v>
      </c>
      <c r="D207" s="4">
        <v>3790</v>
      </c>
      <c r="E207" s="39">
        <v>303.60000000000002</v>
      </c>
      <c r="F207" t="s">
        <v>458</v>
      </c>
      <c r="H207" s="8">
        <f>ROUND(E207*723.968,-3)</f>
        <v>220000</v>
      </c>
      <c r="J207" s="10">
        <f>H207/100000/2</f>
        <v>1.1000000000000001</v>
      </c>
      <c r="K207" s="10">
        <v>700000</v>
      </c>
      <c r="L207" s="10" t="s">
        <v>585</v>
      </c>
      <c r="M207" s="10"/>
      <c r="N207" s="10"/>
      <c r="O207" s="28">
        <v>483000</v>
      </c>
      <c r="P207" t="s">
        <v>395</v>
      </c>
      <c r="Q207" s="8">
        <v>555700</v>
      </c>
      <c r="T207" s="76">
        <f>H207/O207</f>
        <v>0.45548654244306419</v>
      </c>
      <c r="U207" s="74">
        <f>H207/Q207</f>
        <v>0.39589706676264169</v>
      </c>
    </row>
    <row r="208" spans="1:21" ht="17" thickTop="1" x14ac:dyDescent="0.2">
      <c r="A208" s="2">
        <v>9302800</v>
      </c>
      <c r="B208" t="s">
        <v>502</v>
      </c>
      <c r="C208" t="s">
        <v>358</v>
      </c>
      <c r="D208" s="48">
        <v>220</v>
      </c>
      <c r="E208" s="39"/>
      <c r="H208" s="49"/>
      <c r="J208" s="10"/>
      <c r="K208" s="10"/>
      <c r="L208" s="10"/>
      <c r="M208" s="9">
        <v>253000</v>
      </c>
      <c r="N208" s="10" t="s">
        <v>504</v>
      </c>
      <c r="O208" s="28"/>
      <c r="Q208" s="49"/>
      <c r="T208" s="69"/>
      <c r="U208" s="69"/>
    </row>
    <row r="209" spans="1:21" ht="34" x14ac:dyDescent="0.2">
      <c r="A209" s="110">
        <v>9303000</v>
      </c>
      <c r="B209" s="109" t="s">
        <v>502</v>
      </c>
      <c r="C209" s="111" t="s">
        <v>356</v>
      </c>
      <c r="D209" s="48">
        <v>259</v>
      </c>
      <c r="E209" s="39">
        <v>257.5</v>
      </c>
      <c r="F209" s="14">
        <v>2001</v>
      </c>
      <c r="H209" s="8">
        <f>ROUND(E209*723.968,-3)</f>
        <v>186000</v>
      </c>
      <c r="J209" s="10">
        <f>H209/100000/2</f>
        <v>0.93</v>
      </c>
      <c r="K209" s="10"/>
      <c r="L209" s="10"/>
      <c r="M209" s="9">
        <v>251000</v>
      </c>
      <c r="N209" s="79" t="s">
        <v>503</v>
      </c>
      <c r="Q209" s="49">
        <v>239800</v>
      </c>
      <c r="S209" s="68">
        <f>H209/M209</f>
        <v>0.74103585657370519</v>
      </c>
      <c r="U209" s="85">
        <f>H209/Q209</f>
        <v>0.77564637197664721</v>
      </c>
    </row>
    <row r="210" spans="1:21" ht="34" x14ac:dyDescent="0.2">
      <c r="A210" s="2">
        <v>9303500</v>
      </c>
      <c r="B210" t="s">
        <v>357</v>
      </c>
      <c r="C210" s="13" t="s">
        <v>358</v>
      </c>
      <c r="D210" s="48">
        <v>152</v>
      </c>
      <c r="E210" s="39"/>
      <c r="H210" s="49"/>
      <c r="J210" s="10"/>
      <c r="K210" s="10"/>
      <c r="L210" s="10"/>
      <c r="M210" s="9">
        <v>207000</v>
      </c>
      <c r="N210" s="79" t="s">
        <v>501</v>
      </c>
      <c r="Q210" s="49">
        <v>205000</v>
      </c>
      <c r="U210" s="69"/>
    </row>
    <row r="211" spans="1:21" x14ac:dyDescent="0.2">
      <c r="A211" s="2">
        <v>9304000</v>
      </c>
      <c r="B211" t="s">
        <v>357</v>
      </c>
      <c r="C211" s="13" t="s">
        <v>356</v>
      </c>
      <c r="D211" s="48">
        <v>177</v>
      </c>
      <c r="E211" s="39"/>
      <c r="H211" s="49"/>
      <c r="J211" s="10"/>
      <c r="K211" s="10"/>
      <c r="L211" s="10"/>
      <c r="M211" s="9">
        <v>225000</v>
      </c>
      <c r="N211">
        <v>1920</v>
      </c>
      <c r="Q211" s="49"/>
      <c r="U211" s="69"/>
    </row>
    <row r="212" spans="1:21" x14ac:dyDescent="0.2">
      <c r="A212" s="35">
        <v>9304200</v>
      </c>
      <c r="B212" t="s">
        <v>1</v>
      </c>
      <c r="C212" t="s">
        <v>231</v>
      </c>
      <c r="D212" s="4">
        <v>648</v>
      </c>
      <c r="E212" s="39">
        <v>490.8</v>
      </c>
      <c r="F212" t="s">
        <v>476</v>
      </c>
      <c r="H212" s="8">
        <f>ROUND(E212*723.968,-3)</f>
        <v>355000</v>
      </c>
      <c r="J212" s="10">
        <f t="shared" ref="J212:J217" si="6">H212/100000/2</f>
        <v>1.7749999999999999</v>
      </c>
      <c r="K212" s="10"/>
      <c r="L212" s="10"/>
      <c r="M212" s="10"/>
      <c r="N212" s="10"/>
    </row>
    <row r="213" spans="1:21" x14ac:dyDescent="0.2">
      <c r="A213" s="108">
        <v>9304500</v>
      </c>
      <c r="B213" s="109" t="s">
        <v>1</v>
      </c>
      <c r="C213" s="109" t="s">
        <v>231</v>
      </c>
      <c r="D213" s="4">
        <v>760</v>
      </c>
      <c r="E213" s="39">
        <v>539.79999999999995</v>
      </c>
      <c r="F213" t="s">
        <v>476</v>
      </c>
      <c r="H213" s="8">
        <f>ROUND(E213*723.968,-3)</f>
        <v>391000</v>
      </c>
      <c r="J213" s="10">
        <f t="shared" si="6"/>
        <v>1.9550000000000001</v>
      </c>
      <c r="K213" s="9">
        <v>475000</v>
      </c>
      <c r="L213" s="10" t="s">
        <v>585</v>
      </c>
      <c r="M213" s="9">
        <v>497000</v>
      </c>
      <c r="N213" s="10" t="s">
        <v>463</v>
      </c>
      <c r="O213" s="28">
        <v>426000</v>
      </c>
      <c r="P213" t="s">
        <v>380</v>
      </c>
      <c r="Q213" s="8">
        <v>462200</v>
      </c>
      <c r="S213" s="85">
        <f>H213/M213</f>
        <v>0.78672032193158958</v>
      </c>
      <c r="T213" s="71">
        <f>H213/O213</f>
        <v>0.9178403755868545</v>
      </c>
      <c r="U213" s="58">
        <f>H213/Q213</f>
        <v>0.845954132410212</v>
      </c>
    </row>
    <row r="214" spans="1:21" x14ac:dyDescent="0.2">
      <c r="A214" s="35">
        <v>9304800</v>
      </c>
      <c r="B214" t="s">
        <v>1</v>
      </c>
      <c r="C214" t="s">
        <v>232</v>
      </c>
      <c r="D214" s="4">
        <v>1042</v>
      </c>
      <c r="E214" s="39">
        <v>577.79999999999995</v>
      </c>
      <c r="F214" t="s">
        <v>476</v>
      </c>
      <c r="H214" s="8">
        <f>ROUND(E214*723.968,-3)</f>
        <v>418000</v>
      </c>
      <c r="J214" s="10">
        <f t="shared" si="6"/>
        <v>2.09</v>
      </c>
      <c r="K214" s="10"/>
      <c r="L214" s="10"/>
      <c r="M214" s="10"/>
      <c r="N214" s="10"/>
    </row>
    <row r="215" spans="1:21" x14ac:dyDescent="0.2">
      <c r="A215" s="14">
        <v>9306255</v>
      </c>
      <c r="B215" t="s">
        <v>233</v>
      </c>
      <c r="C215" t="s">
        <v>234</v>
      </c>
      <c r="D215" s="4">
        <v>262</v>
      </c>
      <c r="E215" s="39">
        <v>1.44</v>
      </c>
      <c r="F215" t="s">
        <v>476</v>
      </c>
      <c r="H215" s="8">
        <f>ROUND(E215*723.968,-1)</f>
        <v>1040</v>
      </c>
      <c r="J215" s="10">
        <f t="shared" si="6"/>
        <v>5.1999999999999998E-3</v>
      </c>
      <c r="K215" s="10"/>
      <c r="L215" s="10"/>
      <c r="M215" s="10"/>
      <c r="N215" s="10"/>
    </row>
    <row r="216" spans="1:21" x14ac:dyDescent="0.2">
      <c r="A216" s="2">
        <v>9306290</v>
      </c>
      <c r="B216" t="s">
        <v>1</v>
      </c>
      <c r="C216" t="s">
        <v>23</v>
      </c>
      <c r="D216" s="4">
        <v>2530</v>
      </c>
      <c r="E216">
        <v>589.4</v>
      </c>
      <c r="F216" t="s">
        <v>476</v>
      </c>
      <c r="H216" s="8">
        <f>ROUND(E216*723.968,-3)</f>
        <v>427000</v>
      </c>
      <c r="J216" s="10">
        <f t="shared" si="6"/>
        <v>2.1349999999999998</v>
      </c>
      <c r="K216" s="10"/>
      <c r="L216" s="10"/>
      <c r="M216" s="10"/>
      <c r="N216" s="10"/>
    </row>
    <row r="217" spans="1:21" x14ac:dyDescent="0.2">
      <c r="A217" s="104">
        <v>9306500</v>
      </c>
      <c r="B217" s="105" t="s">
        <v>1</v>
      </c>
      <c r="C217" s="105" t="s">
        <v>33</v>
      </c>
      <c r="D217" s="4">
        <v>4020</v>
      </c>
      <c r="E217" s="61">
        <v>570.9</v>
      </c>
      <c r="F217" t="s">
        <v>476</v>
      </c>
      <c r="H217" s="8">
        <f>ROUND(E217*723.968,-3)</f>
        <v>413000</v>
      </c>
      <c r="J217" s="10">
        <f t="shared" si="6"/>
        <v>2.0649999999999999</v>
      </c>
      <c r="K217" s="9">
        <v>500000</v>
      </c>
      <c r="L217" s="10" t="s">
        <v>585</v>
      </c>
      <c r="M217" s="9">
        <v>697000</v>
      </c>
      <c r="N217" s="10" t="s">
        <v>462</v>
      </c>
      <c r="O217" s="28">
        <v>488000</v>
      </c>
      <c r="P217" t="s">
        <v>380</v>
      </c>
      <c r="Q217" s="8">
        <v>553500</v>
      </c>
      <c r="S217" s="81">
        <f>H217/M217</f>
        <v>0.59253945480631276</v>
      </c>
      <c r="T217" s="58">
        <f>H217/O217</f>
        <v>0.84631147540983609</v>
      </c>
      <c r="U217" s="72">
        <f>H217/Q217</f>
        <v>0.74616079494128273</v>
      </c>
    </row>
    <row r="218" spans="1:21" x14ac:dyDescent="0.2">
      <c r="A218" s="2">
        <v>9307000</v>
      </c>
      <c r="B218" t="s">
        <v>0</v>
      </c>
      <c r="C218" t="s">
        <v>191</v>
      </c>
      <c r="D218" s="4">
        <v>35500</v>
      </c>
      <c r="E218" s="61"/>
      <c r="H218" s="8"/>
      <c r="J218" s="10"/>
      <c r="K218" s="10"/>
      <c r="L218" s="10"/>
      <c r="M218" s="10"/>
      <c r="N218" s="10"/>
      <c r="Q218" s="8">
        <v>4508000</v>
      </c>
    </row>
    <row r="219" spans="1:21" x14ac:dyDescent="0.2">
      <c r="A219" s="2">
        <v>9311500</v>
      </c>
      <c r="B219" t="s">
        <v>6</v>
      </c>
      <c r="C219" t="s">
        <v>500</v>
      </c>
      <c r="D219" s="4">
        <v>155</v>
      </c>
      <c r="E219" s="61"/>
      <c r="H219" s="8"/>
      <c r="J219" s="10"/>
      <c r="K219" s="10"/>
      <c r="L219" s="10"/>
      <c r="M219" s="9">
        <v>53700</v>
      </c>
      <c r="N219">
        <v>1929</v>
      </c>
    </row>
    <row r="220" spans="1:21" ht="17" thickBot="1" x14ac:dyDescent="0.25">
      <c r="A220" s="107">
        <v>9314500</v>
      </c>
      <c r="B220" s="6" t="s">
        <v>6</v>
      </c>
      <c r="C220" s="6" t="s">
        <v>34</v>
      </c>
      <c r="D220" s="4">
        <v>1540</v>
      </c>
      <c r="E220" s="61">
        <v>68.7</v>
      </c>
      <c r="F220" t="s">
        <v>476</v>
      </c>
      <c r="H220" s="8">
        <f>ROUND(E220*723.968,-2)</f>
        <v>49700</v>
      </c>
      <c r="J220" s="10">
        <f t="shared" ref="J220" si="7">H220/100000/2</f>
        <v>0.2485</v>
      </c>
      <c r="K220" s="9">
        <v>180000</v>
      </c>
      <c r="L220" s="10" t="s">
        <v>585</v>
      </c>
      <c r="M220" s="10"/>
      <c r="N220" s="10"/>
      <c r="O220" s="28">
        <v>57000</v>
      </c>
      <c r="P220" t="s">
        <v>403</v>
      </c>
      <c r="Q220" s="8">
        <v>84040</v>
      </c>
      <c r="T220" s="71">
        <f>H220/O220</f>
        <v>0.87192982456140355</v>
      </c>
      <c r="U220" s="73">
        <f>H220/Q220</f>
        <v>0.59138505473584002</v>
      </c>
    </row>
    <row r="221" spans="1:21" ht="36" thickTop="1" thickBot="1" x14ac:dyDescent="0.25">
      <c r="A221" s="104">
        <v>9315000</v>
      </c>
      <c r="B221" s="105" t="s">
        <v>0</v>
      </c>
      <c r="C221" s="105" t="s">
        <v>35</v>
      </c>
      <c r="D221" s="48">
        <v>44850</v>
      </c>
      <c r="E221" s="106">
        <v>4509.3999999999996</v>
      </c>
      <c r="F221" t="s">
        <v>476</v>
      </c>
      <c r="H221" s="49">
        <f>ROUND(E221*723.968,-4)</f>
        <v>3260000</v>
      </c>
      <c r="J221" s="10">
        <f>H221/100000/2</f>
        <v>16.3</v>
      </c>
      <c r="K221" s="9">
        <f>ROUND(6168000,-5)</f>
        <v>6200000</v>
      </c>
      <c r="L221" s="79" t="s">
        <v>451</v>
      </c>
      <c r="M221" s="9">
        <f>ROUND(5706829,-4)</f>
        <v>5710000</v>
      </c>
      <c r="N221" s="10" t="s">
        <v>406</v>
      </c>
      <c r="O221" s="49">
        <f>ROUND(3917608,-5)</f>
        <v>3900000</v>
      </c>
      <c r="P221" t="s">
        <v>380</v>
      </c>
      <c r="Q221" s="49">
        <f>ROUND(4558000,-4)</f>
        <v>4560000</v>
      </c>
      <c r="S221" s="81">
        <f>H221/M221</f>
        <v>0.57092819614711032</v>
      </c>
      <c r="T221" s="85">
        <f>H221/O221</f>
        <v>0.83589743589743593</v>
      </c>
      <c r="U221" s="68">
        <f>H221/Q221</f>
        <v>0.71491228070175439</v>
      </c>
    </row>
    <row r="222" spans="1:21" ht="17" thickTop="1" x14ac:dyDescent="0.2">
      <c r="A222" s="2">
        <v>9317997</v>
      </c>
      <c r="B222" t="s">
        <v>495</v>
      </c>
      <c r="C222" t="s">
        <v>497</v>
      </c>
      <c r="D222" s="48">
        <v>178</v>
      </c>
      <c r="E222" s="100">
        <v>54.7</v>
      </c>
      <c r="F222" t="s">
        <v>499</v>
      </c>
      <c r="H222" s="8">
        <f>ROUND(E222*723.968,-2)</f>
        <v>39600</v>
      </c>
      <c r="J222" s="10">
        <f>H222/100000/2</f>
        <v>0.19800000000000001</v>
      </c>
      <c r="K222" s="9"/>
      <c r="L222" s="79"/>
      <c r="M222" s="9"/>
      <c r="N222" s="10"/>
      <c r="O222" s="49"/>
      <c r="Q222" s="49"/>
      <c r="S222" s="163">
        <f>H222/M223</f>
        <v>0.45205479452054792</v>
      </c>
      <c r="T222" s="170"/>
      <c r="U222" s="170"/>
    </row>
    <row r="223" spans="1:21" ht="68" x14ac:dyDescent="0.2">
      <c r="A223" s="2">
        <v>9318000</v>
      </c>
      <c r="B223" t="s">
        <v>495</v>
      </c>
      <c r="C223" t="s">
        <v>497</v>
      </c>
      <c r="D223" s="48">
        <v>187</v>
      </c>
      <c r="E223" s="100"/>
      <c r="H223" s="49"/>
      <c r="J223" s="10"/>
      <c r="K223" s="9"/>
      <c r="L223" s="79"/>
      <c r="M223" s="9">
        <v>87600</v>
      </c>
      <c r="N223" s="79" t="s">
        <v>498</v>
      </c>
      <c r="O223" s="49"/>
      <c r="Q223" s="49"/>
      <c r="S223" s="163"/>
      <c r="T223" s="170"/>
      <c r="U223" s="170"/>
    </row>
    <row r="224" spans="1:21" ht="34" x14ac:dyDescent="0.2">
      <c r="A224" s="2">
        <v>9318500</v>
      </c>
      <c r="B224" t="s">
        <v>495</v>
      </c>
      <c r="C224" t="s">
        <v>491</v>
      </c>
      <c r="D224" s="48">
        <v>325</v>
      </c>
      <c r="E224" s="100"/>
      <c r="H224" s="49"/>
      <c r="J224" s="10"/>
      <c r="K224" s="9"/>
      <c r="L224" s="79"/>
      <c r="M224" s="9">
        <v>50800</v>
      </c>
      <c r="N224" s="79" t="s">
        <v>496</v>
      </c>
      <c r="O224" s="49"/>
      <c r="Q224" s="49"/>
      <c r="S224" s="56"/>
      <c r="T224" s="56"/>
      <c r="U224" s="56"/>
    </row>
    <row r="225" spans="1:21" ht="34" x14ac:dyDescent="0.2">
      <c r="A225" s="2">
        <v>9324500</v>
      </c>
      <c r="B225" t="s">
        <v>342</v>
      </c>
      <c r="C225" t="s">
        <v>493</v>
      </c>
      <c r="D225" s="48">
        <v>208</v>
      </c>
      <c r="E225" s="100"/>
      <c r="H225" s="49"/>
      <c r="J225" s="10"/>
      <c r="K225" s="9"/>
      <c r="L225" s="79"/>
      <c r="M225" s="9">
        <v>85900</v>
      </c>
      <c r="N225" s="79" t="s">
        <v>494</v>
      </c>
      <c r="O225" s="49"/>
      <c r="Q225" s="49"/>
      <c r="S225" s="56"/>
      <c r="T225" s="56"/>
      <c r="U225" s="56"/>
    </row>
    <row r="226" spans="1:21" x14ac:dyDescent="0.2">
      <c r="A226" s="102">
        <v>9326500</v>
      </c>
      <c r="B226" s="103" t="s">
        <v>5</v>
      </c>
      <c r="C226" s="103" t="s">
        <v>37</v>
      </c>
      <c r="D226" s="48">
        <v>138</v>
      </c>
      <c r="E226">
        <v>55.4</v>
      </c>
      <c r="F226" t="s">
        <v>476</v>
      </c>
      <c r="H226" s="8">
        <f>ROUND(E226*723.968,-2)</f>
        <v>40100</v>
      </c>
      <c r="J226" s="11">
        <v>0.25</v>
      </c>
      <c r="M226" s="49">
        <v>57500</v>
      </c>
      <c r="N226" t="s">
        <v>461</v>
      </c>
      <c r="O226" s="28">
        <v>47900</v>
      </c>
      <c r="P226" t="s">
        <v>401</v>
      </c>
      <c r="Q226" s="49">
        <v>45570</v>
      </c>
      <c r="S226" s="68">
        <f>H226/M226</f>
        <v>0.69739130434782604</v>
      </c>
      <c r="T226" s="58">
        <f>H226/O226</f>
        <v>0.83716075156576197</v>
      </c>
      <c r="U226" s="71">
        <f>H226/Q226</f>
        <v>0.87996488918147908</v>
      </c>
    </row>
    <row r="227" spans="1:21" x14ac:dyDescent="0.2">
      <c r="A227" s="2">
        <v>9327500</v>
      </c>
      <c r="B227" t="s">
        <v>5</v>
      </c>
      <c r="C227" t="s">
        <v>491</v>
      </c>
      <c r="D227" s="48">
        <v>210</v>
      </c>
      <c r="H227" s="8"/>
      <c r="J227" s="11"/>
      <c r="M227" s="49">
        <v>34200</v>
      </c>
      <c r="N227" s="10" t="s">
        <v>492</v>
      </c>
      <c r="O227" s="28"/>
      <c r="Q227" s="49"/>
      <c r="S227" s="56"/>
      <c r="T227" s="69"/>
      <c r="U227" s="69"/>
    </row>
    <row r="228" spans="1:21" x14ac:dyDescent="0.2">
      <c r="A228" s="101">
        <v>9328500</v>
      </c>
      <c r="B228" s="54" t="s">
        <v>4</v>
      </c>
      <c r="C228" s="54" t="s">
        <v>36</v>
      </c>
      <c r="D228" s="4">
        <v>1628</v>
      </c>
      <c r="E228" s="41">
        <v>67.5</v>
      </c>
      <c r="F228" t="s">
        <v>476</v>
      </c>
      <c r="H228" s="8">
        <f>ROUND(E228*723.968,-2)</f>
        <v>48900</v>
      </c>
      <c r="J228" s="10">
        <f>H228/100000/2</f>
        <v>0.2445</v>
      </c>
      <c r="K228" s="9">
        <v>230000</v>
      </c>
      <c r="L228" s="10" t="s">
        <v>585</v>
      </c>
      <c r="M228" s="9">
        <v>197000</v>
      </c>
      <c r="N228" s="10" t="s">
        <v>445</v>
      </c>
      <c r="O228" s="28">
        <v>94000</v>
      </c>
      <c r="P228" t="s">
        <v>438</v>
      </c>
      <c r="Q228" s="8">
        <v>102100</v>
      </c>
      <c r="S228" s="94">
        <f>H228/M228</f>
        <v>0.2482233502538071</v>
      </c>
      <c r="T228" s="76">
        <f>H228/O228</f>
        <v>0.52021276595744681</v>
      </c>
      <c r="U228" s="76">
        <f>H228/Q228</f>
        <v>0.47894221351616062</v>
      </c>
    </row>
    <row r="229" spans="1:21" x14ac:dyDescent="0.2">
      <c r="A229" s="2">
        <v>9328910</v>
      </c>
      <c r="B229" t="s">
        <v>4</v>
      </c>
      <c r="C229" t="s">
        <v>325</v>
      </c>
      <c r="D229" s="4">
        <v>3123</v>
      </c>
      <c r="E229" s="41">
        <v>64.400000000000006</v>
      </c>
      <c r="F229" t="s">
        <v>482</v>
      </c>
      <c r="H229" s="8">
        <f>ROUND(E229*723.968,-2)</f>
        <v>46600</v>
      </c>
      <c r="J229" s="10">
        <f>H229/100000/2</f>
        <v>0.23300000000000001</v>
      </c>
      <c r="K229" s="10"/>
      <c r="L229" s="10"/>
      <c r="M229" s="10"/>
      <c r="N229" s="10"/>
    </row>
    <row r="230" spans="1:21" x14ac:dyDescent="0.2">
      <c r="A230" s="2">
        <v>9328920</v>
      </c>
      <c r="B230" t="s">
        <v>0</v>
      </c>
      <c r="C230" t="s">
        <v>489</v>
      </c>
      <c r="D230" s="4">
        <v>48560</v>
      </c>
      <c r="E230" s="41">
        <v>4839.7</v>
      </c>
      <c r="F230" t="s">
        <v>490</v>
      </c>
      <c r="H230" s="49">
        <f>ROUND(E230*723.968,-4)</f>
        <v>3500000</v>
      </c>
      <c r="J230" s="10">
        <f>H230/100000/2</f>
        <v>17.5</v>
      </c>
      <c r="K230" s="10"/>
      <c r="L230" s="10"/>
      <c r="M230" s="10"/>
      <c r="N230" s="10"/>
    </row>
    <row r="231" spans="1:21" s="134" customFormat="1" ht="10" customHeight="1" x14ac:dyDescent="0.2">
      <c r="A231" s="133"/>
      <c r="D231" s="135"/>
      <c r="E231" s="162"/>
      <c r="H231" s="137"/>
      <c r="J231" s="138"/>
      <c r="K231" s="138"/>
      <c r="L231" s="138"/>
      <c r="M231" s="138"/>
      <c r="N231" s="138"/>
      <c r="Q231" s="137"/>
      <c r="S231" s="139"/>
      <c r="T231" s="140"/>
      <c r="U231" s="140"/>
    </row>
    <row r="232" spans="1:21" ht="34" x14ac:dyDescent="0.2">
      <c r="A232" s="14">
        <v>9333500</v>
      </c>
      <c r="B232" t="s">
        <v>265</v>
      </c>
      <c r="C232" t="s">
        <v>264</v>
      </c>
      <c r="D232" s="4">
        <v>4159</v>
      </c>
      <c r="E232" s="41">
        <v>99.1</v>
      </c>
      <c r="F232" s="22" t="s">
        <v>488</v>
      </c>
      <c r="H232" s="8">
        <f>ROUND(E232*723.968,-2)</f>
        <v>71700</v>
      </c>
      <c r="J232" s="10">
        <f>H232/100000/2</f>
        <v>0.35849999999999999</v>
      </c>
      <c r="K232" s="10"/>
      <c r="L232" s="10"/>
      <c r="M232" s="10"/>
      <c r="N232" s="10"/>
    </row>
    <row r="233" spans="1:21" x14ac:dyDescent="0.2">
      <c r="A233" s="14">
        <v>9335000</v>
      </c>
      <c r="B233" t="s">
        <v>48</v>
      </c>
      <c r="C233" s="13" t="s">
        <v>581</v>
      </c>
      <c r="D233" s="4">
        <v>76600</v>
      </c>
      <c r="E233" s="41"/>
      <c r="F233" s="22"/>
      <c r="H233" s="8"/>
      <c r="J233" s="10"/>
      <c r="K233" s="10"/>
      <c r="L233" s="10"/>
      <c r="M233" s="10"/>
      <c r="N233" s="10"/>
      <c r="O233" s="8">
        <v>11000000</v>
      </c>
      <c r="P233" t="s">
        <v>401</v>
      </c>
      <c r="Q233" s="8">
        <v>10220000</v>
      </c>
    </row>
    <row r="234" spans="1:21" ht="17" x14ac:dyDescent="0.2">
      <c r="A234" s="14">
        <v>9337000</v>
      </c>
      <c r="B234" t="s">
        <v>197</v>
      </c>
      <c r="C234" t="s">
        <v>267</v>
      </c>
      <c r="D234" s="130">
        <v>68.099999999999994</v>
      </c>
      <c r="E234" s="41">
        <v>4.59</v>
      </c>
      <c r="F234" s="22" t="s">
        <v>476</v>
      </c>
      <c r="H234" s="8">
        <f>ROUND(E234*723.968,-1)</f>
        <v>3320</v>
      </c>
      <c r="J234" s="10">
        <f>H234/100000/2</f>
        <v>1.66E-2</v>
      </c>
      <c r="K234" s="10"/>
      <c r="L234" s="10"/>
      <c r="M234" s="10"/>
      <c r="N234" s="10"/>
    </row>
    <row r="235" spans="1:21" x14ac:dyDescent="0.2">
      <c r="A235" s="127">
        <v>9337500</v>
      </c>
      <c r="B235" s="6" t="s">
        <v>266</v>
      </c>
      <c r="C235" s="6" t="s">
        <v>267</v>
      </c>
      <c r="D235" s="4">
        <v>320</v>
      </c>
      <c r="E235" s="41">
        <v>8.3000000000000007</v>
      </c>
      <c r="F235" t="s">
        <v>458</v>
      </c>
      <c r="H235" s="8">
        <f>ROUND(E235*723.968,-1)</f>
        <v>6010</v>
      </c>
      <c r="J235" s="10">
        <f>H235/100000/2</f>
        <v>3.005E-2</v>
      </c>
      <c r="K235" s="10"/>
      <c r="L235" s="10"/>
      <c r="M235" s="10"/>
      <c r="N235" s="10"/>
      <c r="Q235" s="8">
        <v>9560</v>
      </c>
      <c r="U235" s="73">
        <f>H235/Q235</f>
        <v>0.62866108786610875</v>
      </c>
    </row>
    <row r="236" spans="1:21" x14ac:dyDescent="0.2">
      <c r="A236" s="14">
        <v>9338900</v>
      </c>
      <c r="B236" t="s">
        <v>579</v>
      </c>
      <c r="C236" t="s">
        <v>343</v>
      </c>
      <c r="D236" s="130">
        <v>62.7</v>
      </c>
      <c r="E236" s="41">
        <v>10.4</v>
      </c>
      <c r="F236" t="s">
        <v>580</v>
      </c>
      <c r="H236" s="8">
        <f>ROUND(E236*723.968,-1)</f>
        <v>7530</v>
      </c>
      <c r="J236" s="10">
        <f>H236/100000/2</f>
        <v>3.7650000000000003E-2</v>
      </c>
      <c r="K236" s="10"/>
      <c r="L236" s="10"/>
      <c r="M236" s="10"/>
      <c r="N236" s="10"/>
    </row>
    <row r="237" spans="1:21" x14ac:dyDescent="0.2">
      <c r="A237" s="14">
        <v>9339000</v>
      </c>
      <c r="B237" t="s">
        <v>530</v>
      </c>
      <c r="C237" t="s">
        <v>343</v>
      </c>
      <c r="D237" s="4">
        <v>173</v>
      </c>
      <c r="E237" s="41">
        <v>38.9</v>
      </c>
      <c r="F237" t="s">
        <v>578</v>
      </c>
      <c r="H237" s="8">
        <f>ROUND(E237*723.968,-1)</f>
        <v>28160</v>
      </c>
      <c r="J237" s="10">
        <f>H237/100000/2</f>
        <v>0.14080000000000001</v>
      </c>
      <c r="K237" s="10"/>
      <c r="L237" s="10"/>
      <c r="M237" s="10"/>
      <c r="N237" s="10"/>
    </row>
    <row r="238" spans="1:21" s="134" customFormat="1" ht="8" customHeight="1" x14ac:dyDescent="0.2">
      <c r="A238" s="140"/>
      <c r="D238" s="135"/>
      <c r="Q238" s="137"/>
      <c r="S238" s="139"/>
      <c r="T238" s="140"/>
      <c r="U238" s="140"/>
    </row>
    <row r="239" spans="1:21" x14ac:dyDescent="0.2">
      <c r="A239" s="14">
        <v>9339900</v>
      </c>
      <c r="B239" t="s">
        <v>340</v>
      </c>
      <c r="C239" t="s">
        <v>328</v>
      </c>
      <c r="D239" s="4">
        <v>64</v>
      </c>
      <c r="E239">
        <v>51.4</v>
      </c>
      <c r="F239" t="s">
        <v>510</v>
      </c>
    </row>
    <row r="240" spans="1:21" x14ac:dyDescent="0.2">
      <c r="A240" s="14">
        <v>9340000</v>
      </c>
      <c r="B240" t="s">
        <v>340</v>
      </c>
      <c r="C240" t="s">
        <v>328</v>
      </c>
      <c r="D240" s="4">
        <v>87</v>
      </c>
      <c r="H240" s="8">
        <f>ROUND(E239*723.968,-2)</f>
        <v>37200</v>
      </c>
      <c r="J240" s="10">
        <f>H240/100000/2</f>
        <v>0.186</v>
      </c>
      <c r="Q240" s="8">
        <v>97800</v>
      </c>
    </row>
    <row r="241" spans="1:21" x14ac:dyDescent="0.2">
      <c r="A241" s="14">
        <v>9340500</v>
      </c>
      <c r="B241" t="s">
        <v>329</v>
      </c>
      <c r="C241" t="s">
        <v>328</v>
      </c>
      <c r="D241" s="4">
        <v>41</v>
      </c>
      <c r="Q241" s="8">
        <v>64110</v>
      </c>
    </row>
    <row r="242" spans="1:21" x14ac:dyDescent="0.2">
      <c r="A242" s="14">
        <v>9341500</v>
      </c>
      <c r="B242" t="s">
        <v>329</v>
      </c>
      <c r="C242" t="s">
        <v>328</v>
      </c>
      <c r="D242" s="4">
        <v>85</v>
      </c>
    </row>
    <row r="243" spans="1:21" x14ac:dyDescent="0.2">
      <c r="A243" s="112">
        <v>9342500</v>
      </c>
      <c r="B243" s="109" t="s">
        <v>85</v>
      </c>
      <c r="C243" s="111" t="s">
        <v>235</v>
      </c>
      <c r="D243" s="4">
        <v>281</v>
      </c>
      <c r="E243">
        <v>327.2</v>
      </c>
      <c r="F243" t="s">
        <v>476</v>
      </c>
      <c r="H243" s="8">
        <f>ROUND(E243*723.968,-3)</f>
        <v>237000</v>
      </c>
      <c r="J243" s="10">
        <f>H243/100000/2</f>
        <v>1.1850000000000001</v>
      </c>
      <c r="K243" s="10"/>
      <c r="L243" s="10"/>
      <c r="M243" s="10"/>
      <c r="N243" s="10"/>
      <c r="O243" s="132">
        <v>293000</v>
      </c>
      <c r="P243" s="14" t="s">
        <v>455</v>
      </c>
      <c r="Q243" s="8">
        <v>292000</v>
      </c>
      <c r="R243" s="141"/>
      <c r="S243" s="67"/>
      <c r="T243" s="85">
        <f>H243/O243</f>
        <v>0.80887372013651881</v>
      </c>
      <c r="U243" s="58">
        <f>H243/Q243</f>
        <v>0.81164383561643838</v>
      </c>
    </row>
    <row r="244" spans="1:21" x14ac:dyDescent="0.2">
      <c r="A244" s="14">
        <v>9346000</v>
      </c>
      <c r="B244" t="s">
        <v>330</v>
      </c>
      <c r="C244" s="13" t="s">
        <v>331</v>
      </c>
      <c r="D244" s="4">
        <v>172</v>
      </c>
      <c r="H244" s="8"/>
      <c r="J244" s="10"/>
      <c r="K244" s="10"/>
      <c r="L244" s="10"/>
      <c r="M244" s="10"/>
      <c r="N244" s="10"/>
      <c r="Q244" s="8">
        <v>118800</v>
      </c>
      <c r="R244" s="141"/>
      <c r="S244" s="67"/>
      <c r="U244" s="69"/>
    </row>
    <row r="245" spans="1:21" x14ac:dyDescent="0.2">
      <c r="A245" s="14">
        <v>9346400</v>
      </c>
      <c r="B245" t="s">
        <v>85</v>
      </c>
      <c r="C245" t="s">
        <v>236</v>
      </c>
      <c r="D245" s="4">
        <v>1250</v>
      </c>
      <c r="E245">
        <v>461.1</v>
      </c>
      <c r="F245" t="s">
        <v>476</v>
      </c>
      <c r="H245" s="8">
        <f>ROUND(E245*723.968,-3)</f>
        <v>334000</v>
      </c>
      <c r="J245" s="10">
        <f>H245/100000/2</f>
        <v>1.67</v>
      </c>
      <c r="K245" s="10"/>
      <c r="L245" s="10"/>
      <c r="M245" s="10"/>
      <c r="N245" s="10"/>
    </row>
    <row r="246" spans="1:21" x14ac:dyDescent="0.2">
      <c r="A246" s="14">
        <v>9349500</v>
      </c>
      <c r="B246" t="s">
        <v>242</v>
      </c>
      <c r="C246" t="s">
        <v>332</v>
      </c>
      <c r="D246" s="4">
        <v>371</v>
      </c>
      <c r="H246" s="40"/>
      <c r="J246" s="10"/>
      <c r="K246" s="10"/>
      <c r="L246" s="10"/>
      <c r="M246" s="10"/>
      <c r="N246" s="10"/>
      <c r="Q246" s="8">
        <v>275300</v>
      </c>
    </row>
    <row r="247" spans="1:21" x14ac:dyDescent="0.2">
      <c r="A247" s="14">
        <v>9349800</v>
      </c>
      <c r="B247" t="s">
        <v>242</v>
      </c>
      <c r="C247" t="s">
        <v>243</v>
      </c>
      <c r="D247" s="4">
        <v>653</v>
      </c>
      <c r="E247">
        <v>322.89999999999998</v>
      </c>
      <c r="F247" t="s">
        <v>476</v>
      </c>
      <c r="H247" s="8">
        <f>ROUND(E247*723.968,-3)</f>
        <v>234000</v>
      </c>
      <c r="J247" s="10">
        <f>H247/100000/2</f>
        <v>1.17</v>
      </c>
      <c r="K247" s="10"/>
      <c r="L247" s="10"/>
      <c r="M247" s="10"/>
      <c r="N247" s="10"/>
    </row>
    <row r="248" spans="1:21" x14ac:dyDescent="0.2">
      <c r="A248" s="14">
        <v>9350500</v>
      </c>
      <c r="B248" t="s">
        <v>85</v>
      </c>
      <c r="C248" s="13" t="s">
        <v>333</v>
      </c>
      <c r="D248" s="4">
        <v>1990</v>
      </c>
      <c r="H248" s="40"/>
      <c r="J248" s="10"/>
      <c r="K248" s="10"/>
      <c r="L248" s="10"/>
      <c r="M248" s="10"/>
      <c r="N248" s="10"/>
      <c r="Q248" s="8">
        <v>875100</v>
      </c>
    </row>
    <row r="249" spans="1:21" x14ac:dyDescent="0.2">
      <c r="A249" s="14">
        <v>9352800</v>
      </c>
      <c r="B249" t="s">
        <v>239</v>
      </c>
      <c r="C249" s="13" t="s">
        <v>238</v>
      </c>
      <c r="D249" s="4">
        <v>130</v>
      </c>
      <c r="E249">
        <v>159.9</v>
      </c>
      <c r="F249" t="s">
        <v>540</v>
      </c>
      <c r="H249" s="40"/>
      <c r="J249" s="10"/>
      <c r="K249" s="10"/>
      <c r="L249" s="10"/>
      <c r="M249" s="10"/>
      <c r="N249" s="10"/>
    </row>
    <row r="250" spans="1:21" x14ac:dyDescent="0.2">
      <c r="A250" s="14">
        <v>9352900</v>
      </c>
      <c r="B250" t="s">
        <v>237</v>
      </c>
      <c r="C250" t="s">
        <v>238</v>
      </c>
      <c r="D250" s="4">
        <v>72.5</v>
      </c>
      <c r="E250">
        <v>129.69999999999999</v>
      </c>
      <c r="F250" t="s">
        <v>476</v>
      </c>
      <c r="H250" s="8">
        <f>ROUND(E250*723.968,-2)</f>
        <v>93900</v>
      </c>
      <c r="J250" s="10">
        <f>H250/100000/2</f>
        <v>0.46949999999999997</v>
      </c>
      <c r="K250" s="10"/>
      <c r="L250" s="10"/>
      <c r="M250" s="10"/>
      <c r="N250" s="10"/>
    </row>
    <row r="251" spans="1:21" x14ac:dyDescent="0.2">
      <c r="A251" s="14">
        <v>9353500</v>
      </c>
      <c r="B251" t="s">
        <v>239</v>
      </c>
      <c r="C251" t="s">
        <v>238</v>
      </c>
      <c r="D251" s="4">
        <v>270</v>
      </c>
      <c r="H251" s="40"/>
      <c r="J251" s="10"/>
      <c r="K251" s="10"/>
      <c r="L251" s="10"/>
      <c r="M251" s="8">
        <v>297000</v>
      </c>
      <c r="N251" s="10" t="s">
        <v>541</v>
      </c>
      <c r="Q251" s="8">
        <v>287600</v>
      </c>
    </row>
    <row r="252" spans="1:21" x14ac:dyDescent="0.2">
      <c r="A252" s="14">
        <v>9353800</v>
      </c>
      <c r="B252" t="s">
        <v>239</v>
      </c>
      <c r="C252" t="s">
        <v>240</v>
      </c>
      <c r="D252" s="4">
        <v>340</v>
      </c>
      <c r="E252">
        <v>104.3</v>
      </c>
      <c r="F252" t="s">
        <v>476</v>
      </c>
      <c r="H252" s="8">
        <f>ROUND(E252*723.968,-2)</f>
        <v>75500</v>
      </c>
      <c r="J252" s="10">
        <f>H252/100000/2</f>
        <v>0.3775</v>
      </c>
      <c r="K252" s="10"/>
      <c r="L252" s="10"/>
      <c r="M252" s="10"/>
      <c r="N252" s="10"/>
    </row>
    <row r="253" spans="1:21" x14ac:dyDescent="0.2">
      <c r="A253" s="127">
        <v>9354500</v>
      </c>
      <c r="B253" s="6" t="s">
        <v>239</v>
      </c>
      <c r="C253" s="57" t="s">
        <v>241</v>
      </c>
      <c r="D253" s="4">
        <v>519</v>
      </c>
      <c r="E253">
        <v>173.4</v>
      </c>
      <c r="F253" t="s">
        <v>476</v>
      </c>
      <c r="H253" s="8">
        <f>ROUND(E253*723.968,-3)</f>
        <v>126000</v>
      </c>
      <c r="J253" s="10">
        <f>H253/100000/2</f>
        <v>0.63</v>
      </c>
      <c r="K253" s="10"/>
      <c r="L253" s="10"/>
      <c r="M253" s="10"/>
      <c r="N253" s="10"/>
      <c r="Q253" s="95">
        <v>226800</v>
      </c>
      <c r="R253" s="142"/>
      <c r="S253" s="67"/>
      <c r="U253" s="73">
        <f>H253/Q253</f>
        <v>0.55555555555555558</v>
      </c>
    </row>
    <row r="254" spans="1:21" x14ac:dyDescent="0.2">
      <c r="A254" s="14">
        <v>9355000</v>
      </c>
      <c r="B254" t="s">
        <v>334</v>
      </c>
      <c r="C254" s="13" t="s">
        <v>241</v>
      </c>
      <c r="D254" s="48">
        <v>58</v>
      </c>
      <c r="E254">
        <v>27.9</v>
      </c>
      <c r="F254" t="s">
        <v>542</v>
      </c>
      <c r="H254" s="8">
        <f>ROUND(E254*723.968,-2)</f>
        <v>20200</v>
      </c>
      <c r="J254" s="10"/>
      <c r="K254" s="10"/>
      <c r="L254" s="10"/>
      <c r="M254" s="10"/>
      <c r="N254" s="10"/>
      <c r="Q254" s="95"/>
      <c r="R254" s="142"/>
      <c r="S254" s="67"/>
      <c r="U254" s="56"/>
    </row>
    <row r="255" spans="1:21" x14ac:dyDescent="0.2">
      <c r="A255" s="122">
        <v>9355500</v>
      </c>
      <c r="B255" s="54" t="s">
        <v>85</v>
      </c>
      <c r="C255" s="54" t="s">
        <v>89</v>
      </c>
      <c r="D255" s="4">
        <v>3260</v>
      </c>
      <c r="E255">
        <v>711.7</v>
      </c>
      <c r="F255" t="s">
        <v>458</v>
      </c>
      <c r="H255" s="8">
        <f>ROUND(E255*723.968,-3)</f>
        <v>515000</v>
      </c>
      <c r="J255" s="10">
        <f>H255/100000/2</f>
        <v>2.5750000000000002</v>
      </c>
      <c r="K255" s="10"/>
      <c r="L255" s="10"/>
      <c r="M255" s="10"/>
      <c r="N255" s="10"/>
      <c r="T255" s="163">
        <f>H255/O256</f>
        <v>0.47685185185185186</v>
      </c>
      <c r="U255" s="163">
        <f>H255/Q256</f>
        <v>0.4681818181818182</v>
      </c>
    </row>
    <row r="256" spans="1:21" x14ac:dyDescent="0.2">
      <c r="A256" s="122">
        <v>9356500</v>
      </c>
      <c r="B256" s="54" t="s">
        <v>85</v>
      </c>
      <c r="C256" s="54" t="s">
        <v>327</v>
      </c>
      <c r="D256" s="4">
        <v>3560</v>
      </c>
      <c r="H256" s="8"/>
      <c r="J256" s="10"/>
      <c r="K256" s="10"/>
      <c r="L256" s="10"/>
      <c r="M256" s="10"/>
      <c r="N256" s="10"/>
      <c r="O256" s="4">
        <v>1080000</v>
      </c>
      <c r="P256" s="14" t="s">
        <v>380</v>
      </c>
      <c r="Q256" s="8">
        <v>1100000</v>
      </c>
      <c r="R256" s="141"/>
      <c r="S256" s="67"/>
      <c r="T256" s="163"/>
      <c r="U256" s="163"/>
    </row>
    <row r="257" spans="1:21" x14ac:dyDescent="0.2">
      <c r="A257" s="14">
        <v>9357000</v>
      </c>
      <c r="B257" t="s">
        <v>85</v>
      </c>
      <c r="C257" s="13" t="s">
        <v>571</v>
      </c>
      <c r="D257" s="48">
        <v>5350</v>
      </c>
      <c r="E257">
        <v>404.1</v>
      </c>
      <c r="F257">
        <v>2021</v>
      </c>
      <c r="H257" s="8">
        <f>ROUND(E257*723.968,-3)</f>
        <v>293000</v>
      </c>
      <c r="J257" s="10">
        <f>H257/100000/2</f>
        <v>1.4650000000000001</v>
      </c>
      <c r="K257" s="10"/>
      <c r="L257" s="10"/>
      <c r="M257" s="10"/>
      <c r="N257" s="10"/>
      <c r="O257" s="49"/>
      <c r="Q257" s="49"/>
      <c r="R257" s="141"/>
      <c r="S257" s="67"/>
      <c r="T257" s="56"/>
      <c r="U257" s="56"/>
    </row>
    <row r="258" spans="1:21" x14ac:dyDescent="0.2">
      <c r="A258" s="14">
        <v>9357500</v>
      </c>
      <c r="B258" t="s">
        <v>92</v>
      </c>
      <c r="C258" s="13" t="s">
        <v>335</v>
      </c>
      <c r="D258" s="48">
        <v>56</v>
      </c>
      <c r="H258" s="49"/>
      <c r="J258" s="10"/>
      <c r="K258" s="10"/>
      <c r="L258" s="10"/>
      <c r="M258" s="10"/>
      <c r="N258" s="10"/>
      <c r="Q258" s="49">
        <v>84760</v>
      </c>
      <c r="R258" s="141"/>
      <c r="S258" s="67"/>
      <c r="U258" s="56"/>
    </row>
    <row r="259" spans="1:21" x14ac:dyDescent="0.2">
      <c r="A259" s="14">
        <v>9358000</v>
      </c>
      <c r="B259" t="s">
        <v>92</v>
      </c>
      <c r="C259" s="13" t="s">
        <v>244</v>
      </c>
      <c r="D259" s="4">
        <v>70.599999999999994</v>
      </c>
      <c r="E259">
        <v>114.5</v>
      </c>
      <c r="F259" t="s">
        <v>476</v>
      </c>
      <c r="H259" s="8">
        <f>ROUND(E259*723.968,-2)</f>
        <v>82900</v>
      </c>
      <c r="J259" s="10">
        <f>H259/100000/2</f>
        <v>0.41449999999999998</v>
      </c>
      <c r="K259" s="10"/>
      <c r="L259" s="10"/>
      <c r="M259" s="10"/>
      <c r="N259" s="10"/>
    </row>
    <row r="260" spans="1:21" x14ac:dyDescent="0.2">
      <c r="A260" s="14">
        <v>9358550</v>
      </c>
      <c r="B260" t="s">
        <v>245</v>
      </c>
      <c r="C260" s="13" t="s">
        <v>244</v>
      </c>
      <c r="D260" s="4">
        <v>20.100000000000001</v>
      </c>
      <c r="E260">
        <v>35.6</v>
      </c>
      <c r="F260" t="s">
        <v>476</v>
      </c>
      <c r="H260" s="8">
        <f>ROUND(E260*723.968,-2)</f>
        <v>25800</v>
      </c>
      <c r="J260" s="10">
        <f>H260/100000/2</f>
        <v>0.129</v>
      </c>
      <c r="K260" s="10"/>
      <c r="L260" s="10"/>
      <c r="M260" s="10"/>
      <c r="N260" s="10"/>
    </row>
    <row r="261" spans="1:21" x14ac:dyDescent="0.2">
      <c r="A261" s="115">
        <v>9359000</v>
      </c>
      <c r="B261" s="103" t="s">
        <v>246</v>
      </c>
      <c r="C261" s="116" t="s">
        <v>336</v>
      </c>
      <c r="D261" s="4">
        <v>44</v>
      </c>
      <c r="H261" s="8"/>
      <c r="J261" s="10"/>
      <c r="K261" s="10"/>
      <c r="L261" s="10"/>
      <c r="M261" s="10"/>
      <c r="N261" s="10"/>
      <c r="Q261" s="8">
        <v>76070</v>
      </c>
      <c r="U261" s="165">
        <f>H262/Q261</f>
        <v>0.89785723675561979</v>
      </c>
    </row>
    <row r="262" spans="1:21" x14ac:dyDescent="0.2">
      <c r="A262" s="115">
        <v>9359010</v>
      </c>
      <c r="B262" s="103" t="s">
        <v>246</v>
      </c>
      <c r="C262" s="116" t="s">
        <v>244</v>
      </c>
      <c r="D262" s="4">
        <v>52.3</v>
      </c>
      <c r="E262">
        <v>94.3</v>
      </c>
      <c r="F262" t="s">
        <v>476</v>
      </c>
      <c r="H262" s="8">
        <f>ROUND(E262*723.968,-2)</f>
        <v>68300</v>
      </c>
      <c r="J262" s="10">
        <f>H262/100000/2</f>
        <v>0.34150000000000003</v>
      </c>
      <c r="K262" s="10"/>
      <c r="L262" s="10"/>
      <c r="M262" s="10"/>
      <c r="N262" s="10"/>
      <c r="U262" s="165"/>
    </row>
    <row r="263" spans="1:21" x14ac:dyDescent="0.2">
      <c r="A263" s="14">
        <v>9359020</v>
      </c>
      <c r="B263" t="s">
        <v>92</v>
      </c>
      <c r="C263" s="13" t="s">
        <v>247</v>
      </c>
      <c r="D263" s="4">
        <v>146</v>
      </c>
      <c r="E263">
        <v>251.3</v>
      </c>
      <c r="F263" t="s">
        <v>476</v>
      </c>
      <c r="H263" s="8">
        <f>ROUND(E263*723.968,-3)</f>
        <v>182000</v>
      </c>
      <c r="J263" s="10">
        <f>H263/100000/2</f>
        <v>0.91</v>
      </c>
      <c r="K263" s="10"/>
      <c r="L263" s="10"/>
      <c r="M263" s="10"/>
      <c r="N263" s="10"/>
    </row>
    <row r="264" spans="1:21" x14ac:dyDescent="0.2">
      <c r="A264" s="14">
        <v>9359080</v>
      </c>
      <c r="B264" t="s">
        <v>556</v>
      </c>
      <c r="C264" s="13" t="s">
        <v>557</v>
      </c>
      <c r="D264" s="4">
        <v>25.6</v>
      </c>
      <c r="E264">
        <v>40.9</v>
      </c>
      <c r="F264" t="s">
        <v>558</v>
      </c>
      <c r="H264" s="8">
        <f>ROUND(E264*723.968,-2)</f>
        <v>29600</v>
      </c>
      <c r="J264" s="10">
        <f>H264/100000/2</f>
        <v>0.14799999999999999</v>
      </c>
      <c r="K264" s="10"/>
      <c r="L264" s="10"/>
      <c r="M264" s="10"/>
      <c r="N264" s="10"/>
    </row>
    <row r="265" spans="1:21" x14ac:dyDescent="0.2">
      <c r="A265" s="14">
        <v>9395082</v>
      </c>
      <c r="B265" t="s">
        <v>556</v>
      </c>
      <c r="C265" s="13" t="s">
        <v>557</v>
      </c>
      <c r="D265" s="4">
        <v>25.6</v>
      </c>
      <c r="E265">
        <v>34.299999999999997</v>
      </c>
      <c r="F265" t="s">
        <v>558</v>
      </c>
      <c r="H265" s="8">
        <f>ROUND(E265*723.968,-2)</f>
        <v>24800</v>
      </c>
      <c r="J265" s="10">
        <f>H265/100000/2</f>
        <v>0.124</v>
      </c>
      <c r="K265" s="10"/>
      <c r="L265" s="10"/>
      <c r="M265" s="10"/>
      <c r="N265" s="10"/>
    </row>
    <row r="266" spans="1:21" x14ac:dyDescent="0.2">
      <c r="A266" s="14">
        <v>9359500</v>
      </c>
      <c r="B266" t="s">
        <v>92</v>
      </c>
      <c r="C266" s="13" t="s">
        <v>559</v>
      </c>
      <c r="D266" s="4">
        <v>338</v>
      </c>
      <c r="E266">
        <v>474.4</v>
      </c>
      <c r="F266" t="s">
        <v>560</v>
      </c>
      <c r="H266" s="8">
        <f>ROUND(E266*723.968,-3)</f>
        <v>343000</v>
      </c>
      <c r="J266" s="10">
        <f>H266/100000/2</f>
        <v>1.7150000000000001</v>
      </c>
      <c r="K266" s="10"/>
      <c r="L266" s="10"/>
      <c r="M266" s="10"/>
      <c r="N266" s="10"/>
    </row>
    <row r="267" spans="1:21" x14ac:dyDescent="0.2">
      <c r="A267" s="14">
        <v>9361000</v>
      </c>
      <c r="B267" t="s">
        <v>337</v>
      </c>
      <c r="C267" s="13" t="s">
        <v>338</v>
      </c>
      <c r="D267" s="4">
        <v>172</v>
      </c>
      <c r="H267" s="8"/>
      <c r="J267" s="10"/>
      <c r="K267" s="10"/>
      <c r="L267" s="10"/>
      <c r="M267" s="9">
        <v>122000</v>
      </c>
      <c r="N267" s="10" t="s">
        <v>561</v>
      </c>
      <c r="Q267" s="8">
        <v>106500</v>
      </c>
    </row>
    <row r="268" spans="1:21" ht="34" x14ac:dyDescent="0.2">
      <c r="A268" s="112">
        <v>9361500</v>
      </c>
      <c r="B268" s="109" t="s">
        <v>92</v>
      </c>
      <c r="C268" s="111" t="s">
        <v>93</v>
      </c>
      <c r="D268" s="4">
        <v>701</v>
      </c>
      <c r="E268">
        <v>685.2</v>
      </c>
      <c r="F268" t="s">
        <v>476</v>
      </c>
      <c r="H268" s="8">
        <f>ROUND(E268*723.968,-3)</f>
        <v>496000</v>
      </c>
      <c r="J268" s="10">
        <f t="shared" ref="J268:J287" si="8">H268/100000/2</f>
        <v>2.48</v>
      </c>
      <c r="K268" s="10"/>
      <c r="L268" s="10"/>
      <c r="M268" s="9">
        <v>725000</v>
      </c>
      <c r="N268" s="79" t="s">
        <v>473</v>
      </c>
      <c r="O268" s="28">
        <v>580000</v>
      </c>
      <c r="P268" t="s">
        <v>380</v>
      </c>
      <c r="Q268" s="8">
        <v>622300</v>
      </c>
      <c r="R268" s="141"/>
      <c r="S268" s="92">
        <f>H268/M268</f>
        <v>0.68413793103448273</v>
      </c>
      <c r="T268" s="93">
        <f t="shared" ref="T268:T285" si="9">H268/O268</f>
        <v>0.85517241379310349</v>
      </c>
      <c r="U268" s="85">
        <f>H268/Q268</f>
        <v>0.79704322673951467</v>
      </c>
    </row>
    <row r="269" spans="1:21" ht="17" x14ac:dyDescent="0.2">
      <c r="A269" s="14">
        <v>9362000</v>
      </c>
      <c r="B269" t="s">
        <v>562</v>
      </c>
      <c r="C269" s="13" t="s">
        <v>554</v>
      </c>
      <c r="D269" s="4">
        <v>66</v>
      </c>
      <c r="H269" s="8"/>
      <c r="J269" s="10"/>
      <c r="K269" s="10"/>
      <c r="L269" s="10"/>
      <c r="M269" s="9">
        <v>15700</v>
      </c>
      <c r="N269" s="79" t="s">
        <v>541</v>
      </c>
      <c r="O269" s="28"/>
      <c r="R269" s="141"/>
      <c r="S269" s="120"/>
      <c r="T269" s="56"/>
      <c r="U269" s="56"/>
    </row>
    <row r="270" spans="1:21" x14ac:dyDescent="0.2">
      <c r="A270" s="14">
        <v>9362520</v>
      </c>
      <c r="B270" t="s">
        <v>92</v>
      </c>
      <c r="C270" s="13" t="s">
        <v>554</v>
      </c>
      <c r="D270" s="4">
        <v>775</v>
      </c>
      <c r="E270">
        <v>656.1</v>
      </c>
      <c r="F270" t="s">
        <v>563</v>
      </c>
      <c r="H270" s="8">
        <f>ROUND(E270*723.968,-3)</f>
        <v>475000</v>
      </c>
      <c r="J270" s="10">
        <f t="shared" si="8"/>
        <v>2.375</v>
      </c>
      <c r="K270" s="10"/>
      <c r="L270" s="10"/>
      <c r="M270" s="9"/>
      <c r="N270" s="79"/>
      <c r="O270" s="28"/>
      <c r="R270" s="141"/>
      <c r="S270" s="120"/>
      <c r="T270" s="56"/>
      <c r="U270" s="56"/>
    </row>
    <row r="271" spans="1:21" x14ac:dyDescent="0.2">
      <c r="A271" s="14">
        <v>9362550</v>
      </c>
      <c r="B271" t="s">
        <v>564</v>
      </c>
      <c r="C271" s="13" t="s">
        <v>554</v>
      </c>
      <c r="D271" s="4">
        <v>6.45</v>
      </c>
      <c r="E271">
        <v>0.8</v>
      </c>
      <c r="F271" t="s">
        <v>565</v>
      </c>
      <c r="H271" s="8">
        <f>E271*723.968</f>
        <v>579.17439999999999</v>
      </c>
      <c r="J271" s="70">
        <f t="shared" si="8"/>
        <v>2.8958719999999999E-3</v>
      </c>
      <c r="K271" s="10"/>
      <c r="L271" s="10"/>
      <c r="M271" s="9"/>
      <c r="N271" s="79"/>
      <c r="O271" s="28"/>
      <c r="R271" s="141"/>
      <c r="S271" s="120"/>
      <c r="T271" s="56"/>
      <c r="U271" s="56"/>
    </row>
    <row r="272" spans="1:21" ht="51" x14ac:dyDescent="0.2">
      <c r="A272" s="14">
        <v>9363000</v>
      </c>
      <c r="B272" t="s">
        <v>553</v>
      </c>
      <c r="C272" s="13" t="s">
        <v>554</v>
      </c>
      <c r="D272" s="4">
        <v>97</v>
      </c>
      <c r="H272" s="8"/>
      <c r="J272" s="10"/>
      <c r="K272" s="10"/>
      <c r="L272" s="10"/>
      <c r="M272" s="9">
        <v>113000</v>
      </c>
      <c r="N272" s="96" t="s">
        <v>555</v>
      </c>
      <c r="O272" s="28"/>
      <c r="R272" s="141"/>
      <c r="S272" s="120"/>
      <c r="T272" s="56"/>
      <c r="U272" s="56"/>
    </row>
    <row r="273" spans="1:21" x14ac:dyDescent="0.2">
      <c r="A273" s="14">
        <v>9363500</v>
      </c>
      <c r="B273" t="s">
        <v>92</v>
      </c>
      <c r="C273" s="13" t="s">
        <v>249</v>
      </c>
      <c r="D273" s="4">
        <v>1090</v>
      </c>
      <c r="E273">
        <v>779.8</v>
      </c>
      <c r="F273" t="s">
        <v>460</v>
      </c>
      <c r="H273" s="8">
        <f>ROUND(E273*723.968,-3)</f>
        <v>565000</v>
      </c>
      <c r="J273" s="10">
        <f t="shared" si="8"/>
        <v>2.8250000000000002</v>
      </c>
      <c r="K273" s="10"/>
      <c r="L273" s="10"/>
      <c r="M273" s="10"/>
      <c r="N273" s="10"/>
      <c r="O273" s="28">
        <v>739000</v>
      </c>
      <c r="P273" t="s">
        <v>381</v>
      </c>
      <c r="T273" s="85">
        <f t="shared" si="9"/>
        <v>0.76454668470906628</v>
      </c>
    </row>
    <row r="274" spans="1:21" x14ac:dyDescent="0.2">
      <c r="A274" s="14">
        <v>9364010</v>
      </c>
      <c r="B274" t="s">
        <v>92</v>
      </c>
      <c r="C274" s="13" t="s">
        <v>569</v>
      </c>
      <c r="D274" s="4">
        <v>1301</v>
      </c>
      <c r="E274">
        <v>722</v>
      </c>
      <c r="F274" t="s">
        <v>570</v>
      </c>
      <c r="H274" s="8"/>
      <c r="J274" s="10"/>
      <c r="K274" s="10"/>
      <c r="L274" s="10"/>
      <c r="M274" s="10"/>
      <c r="N274" s="10"/>
      <c r="O274" s="28"/>
      <c r="T274" s="56"/>
    </row>
    <row r="275" spans="1:21" ht="34" x14ac:dyDescent="0.2">
      <c r="A275" s="114">
        <v>9364500</v>
      </c>
      <c r="B275" s="105" t="s">
        <v>92</v>
      </c>
      <c r="C275" s="121" t="s">
        <v>91</v>
      </c>
      <c r="D275" s="4">
        <v>1360</v>
      </c>
      <c r="E275">
        <v>694</v>
      </c>
      <c r="F275" t="s">
        <v>460</v>
      </c>
      <c r="H275" s="8">
        <f>ROUND(E275*723.968,-3)</f>
        <v>502000</v>
      </c>
      <c r="J275" s="10">
        <f t="shared" si="8"/>
        <v>2.5099999999999998</v>
      </c>
      <c r="K275" s="10"/>
      <c r="L275" s="10"/>
      <c r="M275" s="9">
        <v>922000</v>
      </c>
      <c r="N275" s="96" t="s">
        <v>472</v>
      </c>
      <c r="O275" s="28">
        <v>633000</v>
      </c>
      <c r="P275" t="s">
        <v>471</v>
      </c>
      <c r="Q275" s="8">
        <v>703500</v>
      </c>
      <c r="R275" s="141"/>
      <c r="S275" s="78">
        <f>H275/M275</f>
        <v>0.54446854663774402</v>
      </c>
      <c r="T275" s="85">
        <f t="shared" si="9"/>
        <v>0.79304897314375988</v>
      </c>
      <c r="U275" s="68">
        <f>H275/Q275</f>
        <v>0.71357498223169868</v>
      </c>
    </row>
    <row r="276" spans="1:21" x14ac:dyDescent="0.2">
      <c r="A276" s="122">
        <v>9365000</v>
      </c>
      <c r="B276" s="54" t="s">
        <v>85</v>
      </c>
      <c r="C276" s="55" t="s">
        <v>91</v>
      </c>
      <c r="D276" s="4">
        <v>7240</v>
      </c>
      <c r="E276">
        <v>1358.3</v>
      </c>
      <c r="F276" t="s">
        <v>460</v>
      </c>
      <c r="H276" s="8">
        <f>ROUND(E276*723.968,-3)</f>
        <v>983000</v>
      </c>
      <c r="J276" s="10">
        <f t="shared" si="8"/>
        <v>4.915</v>
      </c>
      <c r="K276" s="10"/>
      <c r="L276" s="10"/>
      <c r="M276" s="10"/>
      <c r="N276" s="10"/>
      <c r="O276" s="28">
        <v>1780000</v>
      </c>
      <c r="P276" t="s">
        <v>471</v>
      </c>
      <c r="Q276" s="8">
        <v>1876000</v>
      </c>
      <c r="R276" s="141"/>
      <c r="S276" s="67"/>
      <c r="T276" s="81">
        <f t="shared" si="9"/>
        <v>0.55224719101123598</v>
      </c>
      <c r="U276" s="76">
        <f>H276/Q276</f>
        <v>0.52398720682302768</v>
      </c>
    </row>
    <row r="277" spans="1:21" x14ac:dyDescent="0.2">
      <c r="A277" s="114">
        <v>9365500</v>
      </c>
      <c r="B277" s="105" t="s">
        <v>94</v>
      </c>
      <c r="C277" s="121" t="s">
        <v>339</v>
      </c>
      <c r="D277" s="48">
        <v>34</v>
      </c>
      <c r="E277">
        <v>31.8</v>
      </c>
      <c r="F277" t="s">
        <v>469</v>
      </c>
      <c r="H277" s="8">
        <f>ROUND(E277*723.968,-2)</f>
        <v>23000</v>
      </c>
      <c r="J277" s="10">
        <f t="shared" si="8"/>
        <v>0.115</v>
      </c>
      <c r="K277" s="10"/>
      <c r="L277" s="10"/>
      <c r="M277" s="9">
        <v>39500</v>
      </c>
      <c r="N277" s="10" t="s">
        <v>431</v>
      </c>
      <c r="O277" s="28">
        <v>32200</v>
      </c>
      <c r="P277" t="s">
        <v>380</v>
      </c>
      <c r="Q277" s="49">
        <v>34990</v>
      </c>
      <c r="R277" s="141"/>
      <c r="S277" s="89">
        <f>H277/M277</f>
        <v>0.58227848101265822</v>
      </c>
      <c r="T277" s="68">
        <f t="shared" si="9"/>
        <v>0.7142857142857143</v>
      </c>
      <c r="U277" s="72">
        <f>H277/Q277</f>
        <v>0.65733066590454414</v>
      </c>
    </row>
    <row r="278" spans="1:21" x14ac:dyDescent="0.2">
      <c r="A278" s="14">
        <v>9366000</v>
      </c>
      <c r="B278" t="s">
        <v>551</v>
      </c>
      <c r="C278" s="13" t="s">
        <v>552</v>
      </c>
      <c r="D278" s="48">
        <v>66</v>
      </c>
      <c r="H278" s="49"/>
      <c r="J278" s="10"/>
      <c r="K278" s="10"/>
      <c r="L278" s="10"/>
      <c r="M278" s="9">
        <v>9190</v>
      </c>
      <c r="N278" s="14">
        <v>1929</v>
      </c>
      <c r="O278" s="28"/>
      <c r="Q278" s="49"/>
      <c r="R278" s="141"/>
      <c r="S278" s="120"/>
      <c r="T278" s="56"/>
      <c r="U278" s="69"/>
    </row>
    <row r="279" spans="1:21" x14ac:dyDescent="0.2">
      <c r="A279" s="122">
        <v>9366500</v>
      </c>
      <c r="B279" s="54" t="s">
        <v>94</v>
      </c>
      <c r="C279" s="55" t="s">
        <v>96</v>
      </c>
      <c r="D279" s="4">
        <v>331</v>
      </c>
      <c r="E279">
        <v>17.7</v>
      </c>
      <c r="F279" t="s">
        <v>469</v>
      </c>
      <c r="H279" s="8">
        <f>ROUND(E279*723.968,-2)</f>
        <v>12800</v>
      </c>
      <c r="J279" s="10">
        <f t="shared" si="8"/>
        <v>6.4000000000000001E-2</v>
      </c>
      <c r="K279" s="10"/>
      <c r="L279" s="10"/>
      <c r="M279" s="9">
        <v>31400</v>
      </c>
      <c r="N279" s="10" t="s">
        <v>470</v>
      </c>
      <c r="O279" s="28">
        <v>25700</v>
      </c>
      <c r="P279" t="s">
        <v>380</v>
      </c>
      <c r="Q279" s="8">
        <v>27890</v>
      </c>
      <c r="R279" s="141"/>
      <c r="S279" s="77">
        <f>H279/M279</f>
        <v>0.40764331210191085</v>
      </c>
      <c r="T279" s="82">
        <f t="shared" si="9"/>
        <v>0.49805447470817121</v>
      </c>
      <c r="U279" s="76">
        <f>H279/Q279</f>
        <v>0.45894585873072785</v>
      </c>
    </row>
    <row r="280" spans="1:21" ht="34" x14ac:dyDescent="0.2">
      <c r="A280" s="14">
        <v>9367000</v>
      </c>
      <c r="B280" t="s">
        <v>94</v>
      </c>
      <c r="C280" s="13" t="s">
        <v>566</v>
      </c>
      <c r="D280" s="48">
        <v>351</v>
      </c>
      <c r="E280">
        <v>8.5500000000000007</v>
      </c>
      <c r="F280" s="1" t="s">
        <v>567</v>
      </c>
      <c r="H280" s="8">
        <f>ROUND(E280*723.968,-1)</f>
        <v>6190</v>
      </c>
      <c r="J280" s="10">
        <f t="shared" si="8"/>
        <v>3.0949999999999998E-2</v>
      </c>
      <c r="K280" s="10"/>
      <c r="L280" s="10"/>
      <c r="M280" s="9"/>
      <c r="N280" s="10"/>
      <c r="O280" s="28"/>
      <c r="Q280" s="49"/>
      <c r="R280" s="141"/>
      <c r="S280" s="120"/>
      <c r="T280" s="56"/>
      <c r="U280" s="69"/>
    </row>
    <row r="281" spans="1:21" ht="34" x14ac:dyDescent="0.2">
      <c r="A281" s="14">
        <v>9367500</v>
      </c>
      <c r="B281" t="s">
        <v>94</v>
      </c>
      <c r="C281" s="13" t="s">
        <v>95</v>
      </c>
      <c r="D281" s="4">
        <v>583</v>
      </c>
      <c r="E281">
        <v>7</v>
      </c>
      <c r="F281" s="22" t="s">
        <v>468</v>
      </c>
      <c r="H281" s="8">
        <f>ROUND(E281*723.968,-1)</f>
        <v>5070</v>
      </c>
      <c r="J281" s="10">
        <f t="shared" si="8"/>
        <v>2.5350000000000001E-2</v>
      </c>
      <c r="K281" s="10"/>
      <c r="L281" s="10"/>
      <c r="M281" s="10"/>
      <c r="N281" s="10"/>
      <c r="O281" s="28">
        <v>26900</v>
      </c>
      <c r="P281" t="s">
        <v>409</v>
      </c>
      <c r="T281" s="94">
        <f t="shared" si="9"/>
        <v>0.18847583643122676</v>
      </c>
    </row>
    <row r="282" spans="1:21" ht="17" x14ac:dyDescent="0.2">
      <c r="A282" s="14">
        <v>9367540</v>
      </c>
      <c r="B282" t="s">
        <v>85</v>
      </c>
      <c r="C282" s="13" t="s">
        <v>228</v>
      </c>
      <c r="D282" s="4">
        <v>7950</v>
      </c>
      <c r="E282">
        <v>987</v>
      </c>
      <c r="F282" s="22" t="s">
        <v>568</v>
      </c>
      <c r="H282" s="8"/>
      <c r="J282" s="10"/>
      <c r="K282" s="10"/>
      <c r="L282" s="10"/>
      <c r="M282" s="10"/>
      <c r="N282" s="10"/>
      <c r="O282" s="28"/>
      <c r="T282" s="128"/>
    </row>
    <row r="283" spans="1:21" x14ac:dyDescent="0.2">
      <c r="A283" s="122">
        <v>9368000</v>
      </c>
      <c r="B283" s="54" t="s">
        <v>85</v>
      </c>
      <c r="C283" s="55" t="s">
        <v>90</v>
      </c>
      <c r="D283" s="4">
        <v>12900</v>
      </c>
      <c r="E283" s="20">
        <v>1255.3</v>
      </c>
      <c r="F283" t="s">
        <v>476</v>
      </c>
      <c r="H283" s="8">
        <f>ROUND(E283*723.968,-3)</f>
        <v>909000</v>
      </c>
      <c r="J283" s="10">
        <f t="shared" si="8"/>
        <v>4.5449999999999999</v>
      </c>
      <c r="K283" s="9">
        <v>3000000</v>
      </c>
      <c r="L283" s="9" t="s">
        <v>442</v>
      </c>
      <c r="M283" s="10"/>
      <c r="N283" s="10"/>
      <c r="O283" s="28">
        <v>1950000</v>
      </c>
      <c r="P283" t="s">
        <v>381</v>
      </c>
      <c r="Q283" s="8">
        <v>1941000</v>
      </c>
      <c r="R283" s="141"/>
      <c r="S283" s="67"/>
      <c r="T283" s="82">
        <f t="shared" si="9"/>
        <v>0.46615384615384614</v>
      </c>
      <c r="U283" s="76">
        <f>H283/Q283</f>
        <v>0.46831530139103555</v>
      </c>
    </row>
    <row r="284" spans="1:21" x14ac:dyDescent="0.2">
      <c r="A284" s="14">
        <v>9370600</v>
      </c>
      <c r="B284" t="s">
        <v>250</v>
      </c>
      <c r="C284" s="13" t="s">
        <v>549</v>
      </c>
      <c r="D284" s="48">
        <v>162</v>
      </c>
      <c r="E284">
        <v>26.8</v>
      </c>
      <c r="F284" t="s">
        <v>550</v>
      </c>
      <c r="H284" s="8">
        <f>ROUND(E284*723.968,-2)</f>
        <v>19400</v>
      </c>
      <c r="J284" s="10">
        <f t="shared" si="8"/>
        <v>9.7000000000000003E-2</v>
      </c>
      <c r="K284" s="9"/>
      <c r="L284" s="9"/>
      <c r="M284" s="10"/>
      <c r="N284" s="10"/>
      <c r="O284" s="28"/>
      <c r="Q284" s="49"/>
      <c r="R284" s="141"/>
      <c r="S284" s="67"/>
      <c r="T284" s="56"/>
      <c r="U284" s="69"/>
    </row>
    <row r="285" spans="1:21" x14ac:dyDescent="0.2">
      <c r="A285" s="113">
        <v>9371000</v>
      </c>
      <c r="B285" s="52" t="s">
        <v>250</v>
      </c>
      <c r="C285" s="53" t="s">
        <v>251</v>
      </c>
      <c r="D285" s="4">
        <v>526</v>
      </c>
      <c r="E285">
        <v>28.1</v>
      </c>
      <c r="F285" t="s">
        <v>476</v>
      </c>
      <c r="H285" s="8">
        <f>ROUND(E285*723.968,-2)</f>
        <v>20300</v>
      </c>
      <c r="J285" s="10">
        <f t="shared" si="8"/>
        <v>0.10150000000000001</v>
      </c>
      <c r="K285" s="10"/>
      <c r="L285" s="10"/>
      <c r="M285" s="9">
        <v>49200</v>
      </c>
      <c r="N285" s="10" t="s">
        <v>449</v>
      </c>
      <c r="O285" s="28">
        <v>40600</v>
      </c>
      <c r="P285" t="s">
        <v>467</v>
      </c>
      <c r="Q285" s="8">
        <v>45210</v>
      </c>
      <c r="R285" s="141"/>
      <c r="S285" s="77">
        <f>H285/M285</f>
        <v>0.41260162601626016</v>
      </c>
      <c r="T285" s="82">
        <f t="shared" si="9"/>
        <v>0.5</v>
      </c>
      <c r="U285" s="74">
        <f>H285/Q285</f>
        <v>0.44901570449015704</v>
      </c>
    </row>
    <row r="286" spans="1:21" ht="51" x14ac:dyDescent="0.2">
      <c r="A286" s="14">
        <v>9371010</v>
      </c>
      <c r="B286" t="s">
        <v>85</v>
      </c>
      <c r="C286" s="13" t="s">
        <v>252</v>
      </c>
      <c r="D286" s="4">
        <v>14600</v>
      </c>
      <c r="E286">
        <v>1258.9000000000001</v>
      </c>
      <c r="F286" s="22" t="s">
        <v>548</v>
      </c>
      <c r="H286" s="8">
        <f>ROUND(E286*723.968,-3)</f>
        <v>911000</v>
      </c>
      <c r="J286" s="10">
        <f t="shared" si="8"/>
        <v>4.5549999999999997</v>
      </c>
      <c r="K286" s="10"/>
      <c r="L286" s="10"/>
      <c r="M286" s="10"/>
      <c r="N286" s="10"/>
    </row>
    <row r="287" spans="1:21" ht="17" x14ac:dyDescent="0.2">
      <c r="A287" s="14">
        <v>9371492</v>
      </c>
      <c r="B287" t="s">
        <v>253</v>
      </c>
      <c r="C287" s="13" t="s">
        <v>254</v>
      </c>
      <c r="D287" s="4">
        <v>34.5</v>
      </c>
      <c r="E287">
        <v>6.74</v>
      </c>
      <c r="F287" s="22" t="s">
        <v>476</v>
      </c>
      <c r="H287" s="8">
        <f>ROUND(E287*723.968,-1)</f>
        <v>4880</v>
      </c>
      <c r="J287" s="10">
        <f t="shared" si="8"/>
        <v>2.4400000000000002E-2</v>
      </c>
      <c r="K287" s="10"/>
      <c r="L287" s="10"/>
      <c r="M287" s="10"/>
      <c r="N287" s="10"/>
    </row>
    <row r="288" spans="1:21" x14ac:dyDescent="0.2">
      <c r="A288" s="112">
        <v>9371500</v>
      </c>
      <c r="B288" s="109" t="s">
        <v>255</v>
      </c>
      <c r="C288" s="111" t="s">
        <v>254</v>
      </c>
      <c r="D288" s="4">
        <v>230</v>
      </c>
      <c r="F288" s="22"/>
      <c r="H288" s="8"/>
      <c r="J288" s="10"/>
      <c r="K288" s="10"/>
      <c r="L288" s="10"/>
      <c r="M288" s="9">
        <v>47400</v>
      </c>
      <c r="N288" s="10" t="s">
        <v>547</v>
      </c>
      <c r="Q288" s="8">
        <v>38760</v>
      </c>
      <c r="S288" s="171">
        <f>H289/M288</f>
        <v>0.63502109704641352</v>
      </c>
      <c r="U288" s="166">
        <f>H289/Q288</f>
        <v>0.77657378740970073</v>
      </c>
    </row>
    <row r="289" spans="1:21" ht="17" x14ac:dyDescent="0.2">
      <c r="A289" s="112">
        <v>9371520</v>
      </c>
      <c r="B289" s="109" t="s">
        <v>255</v>
      </c>
      <c r="C289" s="111" t="s">
        <v>254</v>
      </c>
      <c r="D289" s="4">
        <v>234</v>
      </c>
      <c r="E289">
        <v>41.6</v>
      </c>
      <c r="F289" s="22" t="s">
        <v>476</v>
      </c>
      <c r="H289" s="8">
        <f>ROUND(E289*723.968,-2)</f>
        <v>30100</v>
      </c>
      <c r="J289" s="10">
        <f t="shared" ref="J289:J301" si="10">H289/100000/2</f>
        <v>0.15049999999999999</v>
      </c>
      <c r="K289" s="10"/>
      <c r="L289" s="10"/>
      <c r="M289" s="10"/>
      <c r="N289" s="10"/>
      <c r="S289" s="171"/>
      <c r="U289" s="166"/>
    </row>
    <row r="290" spans="1:21" ht="34" x14ac:dyDescent="0.2">
      <c r="A290" s="124">
        <v>9372000</v>
      </c>
      <c r="B290" s="125" t="s">
        <v>255</v>
      </c>
      <c r="C290" s="126" t="s">
        <v>59</v>
      </c>
      <c r="D290" s="4">
        <v>345</v>
      </c>
      <c r="E290">
        <v>37.1</v>
      </c>
      <c r="F290" s="22" t="s">
        <v>546</v>
      </c>
      <c r="H290" s="8">
        <f>ROUND(E290*723.968,-2)</f>
        <v>26900</v>
      </c>
      <c r="J290" s="10">
        <f t="shared" si="10"/>
        <v>0.13450000000000001</v>
      </c>
      <c r="K290" s="10"/>
      <c r="L290" s="10"/>
      <c r="M290" s="10"/>
      <c r="N290" s="10"/>
      <c r="Q290" s="8">
        <v>26300</v>
      </c>
      <c r="R290" s="141"/>
      <c r="S290" s="67"/>
      <c r="U290" s="87">
        <f>H290/Q290</f>
        <v>1.0228136882129277</v>
      </c>
    </row>
    <row r="291" spans="1:21" ht="17" x14ac:dyDescent="0.2">
      <c r="A291" s="14">
        <v>9372400</v>
      </c>
      <c r="B291" t="s">
        <v>575</v>
      </c>
      <c r="C291" s="13" t="s">
        <v>573</v>
      </c>
      <c r="D291" s="129">
        <v>2.72</v>
      </c>
      <c r="E291">
        <v>1.23</v>
      </c>
      <c r="F291" s="22" t="s">
        <v>574</v>
      </c>
      <c r="H291" s="8">
        <f>E291*723.968</f>
        <v>890.48063999999999</v>
      </c>
      <c r="J291" s="70">
        <f t="shared" si="10"/>
        <v>4.4524031999999998E-3</v>
      </c>
      <c r="K291" s="10"/>
      <c r="L291" s="10"/>
      <c r="M291" s="10"/>
      <c r="N291" s="10"/>
      <c r="Q291" s="49"/>
      <c r="R291" s="141"/>
      <c r="S291" s="67"/>
      <c r="U291" s="69"/>
    </row>
    <row r="292" spans="1:21" ht="17" x14ac:dyDescent="0.2">
      <c r="A292" s="14">
        <v>9376800</v>
      </c>
      <c r="B292" t="s">
        <v>334</v>
      </c>
      <c r="C292" s="13" t="s">
        <v>573</v>
      </c>
      <c r="D292" s="129">
        <v>2.5499999999999998</v>
      </c>
      <c r="E292">
        <v>0.9</v>
      </c>
      <c r="F292" s="22" t="s">
        <v>574</v>
      </c>
      <c r="H292" s="8">
        <f>E292*723.968</f>
        <v>651.57119999999998</v>
      </c>
      <c r="J292" s="70">
        <f t="shared" si="10"/>
        <v>3.2578559999999999E-3</v>
      </c>
      <c r="K292" s="10"/>
      <c r="L292" s="10"/>
      <c r="M292" s="10"/>
      <c r="N292" s="10"/>
      <c r="Q292" s="49"/>
      <c r="R292" s="141"/>
      <c r="S292" s="67"/>
      <c r="U292" s="69"/>
    </row>
    <row r="293" spans="1:21" ht="17" x14ac:dyDescent="0.2">
      <c r="A293" s="14">
        <v>9378170</v>
      </c>
      <c r="B293" t="s">
        <v>572</v>
      </c>
      <c r="C293" s="13" t="s">
        <v>573</v>
      </c>
      <c r="D293" s="129">
        <v>8.64</v>
      </c>
      <c r="E293">
        <v>1.1200000000000001</v>
      </c>
      <c r="F293" s="22" t="s">
        <v>476</v>
      </c>
      <c r="H293" s="8">
        <f>E293*723.968</f>
        <v>810.84415999999999</v>
      </c>
      <c r="J293" s="70">
        <f t="shared" si="10"/>
        <v>4.0542208000000001E-3</v>
      </c>
      <c r="K293" s="10"/>
      <c r="L293" s="10"/>
      <c r="M293" s="10"/>
      <c r="N293" s="10"/>
      <c r="Q293" s="49"/>
      <c r="R293" s="141"/>
      <c r="S293" s="67"/>
      <c r="U293" s="69"/>
    </row>
    <row r="294" spans="1:21" ht="17" x14ac:dyDescent="0.2">
      <c r="A294" s="14">
        <v>9378490</v>
      </c>
      <c r="B294" t="s">
        <v>543</v>
      </c>
      <c r="C294" s="13" t="s">
        <v>544</v>
      </c>
      <c r="D294" s="4">
        <v>97</v>
      </c>
      <c r="E294">
        <v>0.8</v>
      </c>
      <c r="F294" s="22" t="s">
        <v>545</v>
      </c>
      <c r="H294" s="8">
        <f>E294*723.968</f>
        <v>579.17439999999999</v>
      </c>
      <c r="J294" s="70">
        <f t="shared" si="10"/>
        <v>2.8958719999999999E-3</v>
      </c>
      <c r="K294" s="10"/>
      <c r="L294" s="10"/>
      <c r="M294" s="10"/>
      <c r="N294" s="10"/>
      <c r="R294" s="141"/>
      <c r="S294" s="67"/>
      <c r="U294" s="123"/>
    </row>
    <row r="295" spans="1:21" ht="17" x14ac:dyDescent="0.2">
      <c r="A295" s="14">
        <v>9378630</v>
      </c>
      <c r="B295" t="s">
        <v>576</v>
      </c>
      <c r="C295" s="13" t="s">
        <v>577</v>
      </c>
      <c r="D295" s="131">
        <v>3.77</v>
      </c>
      <c r="E295">
        <v>0.6</v>
      </c>
      <c r="F295" s="22" t="s">
        <v>476</v>
      </c>
      <c r="H295" s="8">
        <f>E295*723.968</f>
        <v>434.38079999999997</v>
      </c>
      <c r="J295" s="70">
        <f t="shared" si="10"/>
        <v>2.1719039999999997E-3</v>
      </c>
      <c r="K295" s="10"/>
      <c r="L295" s="10"/>
      <c r="M295" s="10"/>
      <c r="N295" s="10"/>
      <c r="R295" s="141"/>
      <c r="S295" s="67"/>
      <c r="U295" s="123"/>
    </row>
    <row r="296" spans="1:21" ht="34" x14ac:dyDescent="0.2">
      <c r="A296" s="122">
        <v>9379500</v>
      </c>
      <c r="B296" s="54" t="s">
        <v>85</v>
      </c>
      <c r="C296" s="54" t="s">
        <v>248</v>
      </c>
      <c r="D296" s="48">
        <v>23000</v>
      </c>
      <c r="E296">
        <v>1335.4</v>
      </c>
      <c r="F296" t="s">
        <v>476</v>
      </c>
      <c r="H296" s="49">
        <f>ROUND(E296*723.968,-3)</f>
        <v>967000</v>
      </c>
      <c r="J296" s="10">
        <f t="shared" si="10"/>
        <v>4.835</v>
      </c>
      <c r="K296" s="9">
        <f>ROUND(2630000,-5)</f>
        <v>2600000</v>
      </c>
      <c r="L296" s="79" t="s">
        <v>451</v>
      </c>
      <c r="M296" s="9">
        <f>ROUND(2475971,-4)</f>
        <v>2480000</v>
      </c>
      <c r="N296" s="10" t="s">
        <v>452</v>
      </c>
      <c r="O296" s="49">
        <f>ROUND(1907844,-4)</f>
        <v>1910000</v>
      </c>
      <c r="P296" t="s">
        <v>380</v>
      </c>
      <c r="Q296" s="49">
        <f>ROUND(2028000,-4)</f>
        <v>2030000</v>
      </c>
      <c r="R296" s="141"/>
      <c r="S296" s="77">
        <f>H296/M296</f>
        <v>0.38991935483870965</v>
      </c>
      <c r="T296" s="82">
        <f>H296/O296</f>
        <v>0.50628272251308903</v>
      </c>
      <c r="U296" s="82">
        <f>H296/Q296</f>
        <v>0.47635467980295565</v>
      </c>
    </row>
    <row r="297" spans="1:21" s="134" customFormat="1" ht="10" customHeight="1" x14ac:dyDescent="0.2">
      <c r="A297" s="140"/>
      <c r="D297" s="135"/>
      <c r="H297" s="137"/>
      <c r="J297" s="138"/>
      <c r="K297" s="138"/>
      <c r="L297" s="138"/>
      <c r="M297" s="138"/>
      <c r="N297" s="138"/>
      <c r="Q297" s="137"/>
      <c r="S297" s="139"/>
      <c r="T297" s="140"/>
      <c r="U297" s="140"/>
    </row>
    <row r="298" spans="1:21" x14ac:dyDescent="0.2">
      <c r="A298" s="104">
        <v>9380000</v>
      </c>
      <c r="B298" s="105" t="s">
        <v>48</v>
      </c>
      <c r="C298" s="121" t="s">
        <v>87</v>
      </c>
      <c r="D298" s="48">
        <v>111800</v>
      </c>
      <c r="E298">
        <v>12064.1</v>
      </c>
      <c r="F298" t="s">
        <v>586</v>
      </c>
      <c r="H298" s="49">
        <f>E298*723.968</f>
        <v>8734022.3487999998</v>
      </c>
      <c r="J298" s="10">
        <f t="shared" si="10"/>
        <v>43.670111743999996</v>
      </c>
      <c r="K298" s="10"/>
      <c r="L298" s="10"/>
      <c r="M298" s="10">
        <v>15200000</v>
      </c>
      <c r="N298" s="10" t="s">
        <v>449</v>
      </c>
      <c r="O298" s="9">
        <v>11700000</v>
      </c>
      <c r="P298" s="9" t="s">
        <v>380</v>
      </c>
      <c r="Q298" s="49">
        <v>12710000</v>
      </c>
      <c r="R298" s="141"/>
      <c r="S298" s="89">
        <f>H298/M298</f>
        <v>0.57460673347368418</v>
      </c>
      <c r="T298" s="58">
        <f>H298/O298</f>
        <v>0.74649763664957258</v>
      </c>
      <c r="U298" s="72">
        <f>H298/Q298</f>
        <v>0.68717721076317861</v>
      </c>
    </row>
    <row r="299" spans="1:21" x14ac:dyDescent="0.2">
      <c r="A299" s="110">
        <v>9382000</v>
      </c>
      <c r="B299" s="109" t="s">
        <v>84</v>
      </c>
      <c r="C299" s="111" t="s">
        <v>86</v>
      </c>
      <c r="D299" s="4">
        <v>1410</v>
      </c>
      <c r="E299">
        <v>24.4</v>
      </c>
      <c r="F299" t="s">
        <v>476</v>
      </c>
      <c r="H299" s="8">
        <f>ROUND(E299*723.968,-2)</f>
        <v>17700</v>
      </c>
      <c r="J299" s="10">
        <f t="shared" si="10"/>
        <v>8.8499999999999995E-2</v>
      </c>
      <c r="K299" s="10"/>
      <c r="L299" s="10"/>
      <c r="M299" s="8">
        <v>29500</v>
      </c>
      <c r="N299" t="s">
        <v>462</v>
      </c>
      <c r="O299" s="8">
        <v>22800</v>
      </c>
      <c r="P299" t="s">
        <v>380</v>
      </c>
      <c r="Q299" s="8">
        <v>23110</v>
      </c>
      <c r="R299" s="141"/>
      <c r="S299" s="89">
        <f>H299/M299</f>
        <v>0.6</v>
      </c>
      <c r="T299" s="58">
        <f>H299/O299</f>
        <v>0.77631578947368418</v>
      </c>
      <c r="U299" s="58">
        <f>H299/Q299</f>
        <v>0.76590220683686716</v>
      </c>
    </row>
    <row r="300" spans="1:21" x14ac:dyDescent="0.2">
      <c r="A300" s="14">
        <v>9402000</v>
      </c>
      <c r="B300" t="s">
        <v>257</v>
      </c>
      <c r="C300" s="13" t="s">
        <v>259</v>
      </c>
      <c r="D300" s="4">
        <v>26091</v>
      </c>
      <c r="E300">
        <v>128.30000000000001</v>
      </c>
      <c r="H300" s="8">
        <f>E300*723.968</f>
        <v>92885.094400000002</v>
      </c>
      <c r="J300" s="10">
        <f t="shared" si="10"/>
        <v>0.46442547200000001</v>
      </c>
      <c r="K300" s="10"/>
      <c r="L300" s="10"/>
      <c r="M300" s="10"/>
      <c r="N300" s="10"/>
    </row>
    <row r="301" spans="1:21" x14ac:dyDescent="0.2">
      <c r="A301" s="14">
        <v>9402500</v>
      </c>
      <c r="B301" t="s">
        <v>48</v>
      </c>
      <c r="C301" t="s">
        <v>260</v>
      </c>
      <c r="D301" s="4">
        <v>137641</v>
      </c>
      <c r="E301">
        <v>12761.9</v>
      </c>
      <c r="F301" t="s">
        <v>476</v>
      </c>
      <c r="H301" s="8">
        <f>E301*723.968</f>
        <v>9239207.2192000002</v>
      </c>
      <c r="J301" s="10">
        <f t="shared" si="10"/>
        <v>46.196036096</v>
      </c>
      <c r="K301" s="10"/>
      <c r="L301" s="10"/>
      <c r="M301" s="10"/>
      <c r="N301" s="10"/>
    </row>
    <row r="302" spans="1:21" x14ac:dyDescent="0.2">
      <c r="A302" s="14">
        <v>9404200</v>
      </c>
      <c r="B302" t="s">
        <v>48</v>
      </c>
      <c r="C302" t="s">
        <v>256</v>
      </c>
      <c r="D302" s="4">
        <v>144460</v>
      </c>
      <c r="E302">
        <v>13236.2</v>
      </c>
      <c r="F302" t="s">
        <v>476</v>
      </c>
      <c r="H302" s="8">
        <f>ROUND(E302*723.968,-4)</f>
        <v>9580000</v>
      </c>
      <c r="J302" s="10">
        <f>H302/100000/2</f>
        <v>47.9</v>
      </c>
      <c r="K302" s="10"/>
      <c r="L302" s="10"/>
      <c r="M302" s="10"/>
      <c r="N302" s="10"/>
    </row>
    <row r="303" spans="1:21" x14ac:dyDescent="0.2">
      <c r="A303" s="14">
        <v>9415000</v>
      </c>
      <c r="B303" t="s">
        <v>258</v>
      </c>
      <c r="C303" s="13" t="s">
        <v>261</v>
      </c>
      <c r="D303" s="4">
        <v>5090</v>
      </c>
      <c r="E303">
        <v>209.1</v>
      </c>
      <c r="H303" s="8">
        <f>E303*723.968</f>
        <v>151381.70879999999</v>
      </c>
      <c r="J303" s="10">
        <f>H303/100000/2</f>
        <v>0.75690854399999996</v>
      </c>
      <c r="K303" s="10"/>
      <c r="L303" s="10"/>
      <c r="M303" s="10"/>
      <c r="N303" s="10"/>
    </row>
    <row r="304" spans="1:21" x14ac:dyDescent="0.2">
      <c r="A304" s="14">
        <v>9421500</v>
      </c>
      <c r="B304" t="s">
        <v>262</v>
      </c>
      <c r="C304" t="s">
        <v>263</v>
      </c>
      <c r="D304" s="4">
        <v>171700</v>
      </c>
      <c r="E304">
        <v>13116.7</v>
      </c>
      <c r="F304" t="s">
        <v>88</v>
      </c>
      <c r="H304" s="8">
        <f t="shared" ref="H304:H309" si="11">ROUND(E304*723.968,-4)</f>
        <v>9500000</v>
      </c>
      <c r="J304" s="10">
        <f t="shared" ref="J304:J309" si="12">H304/100000/2</f>
        <v>47.5</v>
      </c>
      <c r="K304" s="10"/>
      <c r="L304" s="10"/>
      <c r="M304" s="10"/>
      <c r="N304" s="10"/>
      <c r="O304" s="8">
        <f>ROUND(10485663,-5)</f>
        <v>10500000</v>
      </c>
      <c r="P304" t="s">
        <v>381</v>
      </c>
      <c r="T304" s="71">
        <f>H304/O304</f>
        <v>0.90476190476190477</v>
      </c>
    </row>
    <row r="305" spans="1:20" x14ac:dyDescent="0.2">
      <c r="A305" s="14">
        <v>9423000</v>
      </c>
      <c r="B305" t="s">
        <v>262</v>
      </c>
      <c r="C305" t="s">
        <v>361</v>
      </c>
      <c r="D305" s="4">
        <v>173300</v>
      </c>
      <c r="E305">
        <v>13107.1</v>
      </c>
      <c r="F305" t="s">
        <v>476</v>
      </c>
      <c r="H305" s="8">
        <f t="shared" si="11"/>
        <v>9490000</v>
      </c>
      <c r="J305" s="10">
        <f t="shared" si="12"/>
        <v>47.45</v>
      </c>
      <c r="K305" s="10"/>
      <c r="L305" s="10"/>
      <c r="M305" s="9">
        <f>ROUND(20169749,-5)</f>
        <v>20200000</v>
      </c>
      <c r="N305" s="10" t="s">
        <v>456</v>
      </c>
      <c r="S305" s="82">
        <f>H305/M305</f>
        <v>0.46980198019801978</v>
      </c>
    </row>
    <row r="306" spans="1:20" x14ac:dyDescent="0.2">
      <c r="A306" s="14">
        <v>9427520</v>
      </c>
      <c r="B306" t="s">
        <v>262</v>
      </c>
      <c r="C306" t="s">
        <v>362</v>
      </c>
      <c r="D306" s="4">
        <v>182700</v>
      </c>
      <c r="E306">
        <v>9187.1</v>
      </c>
      <c r="F306" t="s">
        <v>476</v>
      </c>
      <c r="H306" s="8">
        <f>ROUND(E306*723.968,-4)</f>
        <v>6650000</v>
      </c>
      <c r="J306" s="10">
        <f t="shared" si="12"/>
        <v>33.25</v>
      </c>
      <c r="K306" s="10"/>
      <c r="L306" s="10"/>
      <c r="M306" s="10"/>
      <c r="N306" s="10"/>
      <c r="O306" s="8">
        <f>ROUND(10432637,-5)</f>
        <v>10400000</v>
      </c>
      <c r="P306" t="s">
        <v>455</v>
      </c>
      <c r="T306" s="73">
        <f>H306/O306</f>
        <v>0.63942307692307687</v>
      </c>
    </row>
    <row r="307" spans="1:20" x14ac:dyDescent="0.2">
      <c r="A307" s="14">
        <v>9429100</v>
      </c>
      <c r="B307" t="s">
        <v>262</v>
      </c>
      <c r="C307" t="s">
        <v>457</v>
      </c>
      <c r="D307" s="4">
        <v>182200</v>
      </c>
      <c r="E307">
        <v>7138</v>
      </c>
      <c r="F307" t="s">
        <v>476</v>
      </c>
      <c r="H307" s="8">
        <f>ROUND(E307*723.968,-4)</f>
        <v>5170000</v>
      </c>
      <c r="J307" s="10">
        <f t="shared" si="12"/>
        <v>25.85</v>
      </c>
      <c r="K307" s="10"/>
      <c r="L307" s="10"/>
      <c r="M307" s="10"/>
      <c r="N307" s="10"/>
      <c r="O307" s="8"/>
      <c r="T307" s="73"/>
    </row>
    <row r="308" spans="1:20" x14ac:dyDescent="0.2">
      <c r="A308" s="14">
        <v>9427520</v>
      </c>
      <c r="B308" t="s">
        <v>262</v>
      </c>
      <c r="C308" t="s">
        <v>363</v>
      </c>
      <c r="D308" s="4">
        <v>188500</v>
      </c>
      <c r="E308">
        <v>7674.1</v>
      </c>
      <c r="F308" t="s">
        <v>476</v>
      </c>
      <c r="H308" s="8">
        <f t="shared" si="11"/>
        <v>5560000</v>
      </c>
      <c r="J308" s="10">
        <f t="shared" si="12"/>
        <v>27.8</v>
      </c>
      <c r="K308" s="10"/>
      <c r="L308" s="10"/>
      <c r="M308" s="10"/>
      <c r="N308" s="10"/>
    </row>
    <row r="309" spans="1:20" x14ac:dyDescent="0.2">
      <c r="A309" s="14">
        <v>9522000</v>
      </c>
      <c r="B309" t="s">
        <v>262</v>
      </c>
      <c r="C309" t="s">
        <v>364</v>
      </c>
      <c r="D309" s="4">
        <v>246700</v>
      </c>
      <c r="E309">
        <v>1968.3</v>
      </c>
      <c r="F309" t="s">
        <v>476</v>
      </c>
      <c r="H309" s="8">
        <f t="shared" si="11"/>
        <v>1420000</v>
      </c>
      <c r="J309" s="10">
        <f t="shared" si="12"/>
        <v>7.1</v>
      </c>
      <c r="K309" s="10"/>
      <c r="L309" s="10"/>
      <c r="M309" s="10"/>
      <c r="N309" s="10"/>
    </row>
    <row r="313" spans="1:20" x14ac:dyDescent="0.2">
      <c r="H313" s="8">
        <f>ROUND(E313*723.968,-1)</f>
        <v>0</v>
      </c>
    </row>
  </sheetData>
  <mergeCells count="31">
    <mergeCell ref="U288:U289"/>
    <mergeCell ref="U141:U142"/>
    <mergeCell ref="T141:T142"/>
    <mergeCell ref="T171:T172"/>
    <mergeCell ref="S80:S81"/>
    <mergeCell ref="T98:T99"/>
    <mergeCell ref="S222:S223"/>
    <mergeCell ref="T222:T223"/>
    <mergeCell ref="S96:S97"/>
    <mergeCell ref="T96:T97"/>
    <mergeCell ref="S201:S202"/>
    <mergeCell ref="S183:S184"/>
    <mergeCell ref="U183:U184"/>
    <mergeCell ref="S190:S191"/>
    <mergeCell ref="S288:S289"/>
    <mergeCell ref="U261:U262"/>
    <mergeCell ref="U13:U14"/>
    <mergeCell ref="U255:U256"/>
    <mergeCell ref="U123:U124"/>
    <mergeCell ref="U171:U172"/>
    <mergeCell ref="U190:U191"/>
    <mergeCell ref="U201:U202"/>
    <mergeCell ref="U96:U97"/>
    <mergeCell ref="U98:U99"/>
    <mergeCell ref="U222:U223"/>
    <mergeCell ref="T255:T256"/>
    <mergeCell ref="S25:S26"/>
    <mergeCell ref="T25:T26"/>
    <mergeCell ref="U25:U26"/>
    <mergeCell ref="T57:T58"/>
    <mergeCell ref="U57:U58"/>
  </mergeCells>
  <phoneticPr fontId="8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1D52-7825-3A46-BE01-8473D95DC3E9}">
  <dimension ref="A1:W30"/>
  <sheetViews>
    <sheetView workbookViewId="0">
      <selection activeCell="D16" sqref="D16"/>
    </sheetView>
  </sheetViews>
  <sheetFormatPr baseColWidth="10" defaultRowHeight="16" x14ac:dyDescent="0.2"/>
  <cols>
    <col min="1" max="1" width="26.33203125" customWidth="1"/>
    <col min="2" max="2" width="12" customWidth="1"/>
    <col min="3" max="4" width="11.6640625" bestFit="1" customWidth="1"/>
    <col min="5" max="5" width="12.6640625" customWidth="1"/>
    <col min="6" max="6" width="12.5" customWidth="1"/>
    <col min="7" max="7" width="12.6640625" customWidth="1"/>
    <col min="8" max="8" width="12.83203125" customWidth="1"/>
    <col min="9" max="10" width="13.1640625" customWidth="1"/>
    <col min="11" max="11" width="13.6640625" customWidth="1"/>
    <col min="12" max="12" width="13.33203125" customWidth="1"/>
    <col min="13" max="13" width="12.6640625" customWidth="1"/>
    <col min="14" max="14" width="13" customWidth="1"/>
    <col min="15" max="15" width="13.33203125" customWidth="1"/>
    <col min="16" max="16" width="13.1640625" customWidth="1"/>
    <col min="17" max="17" width="12.6640625" customWidth="1"/>
    <col min="18" max="18" width="13" customWidth="1"/>
    <col min="19" max="19" width="13.1640625" customWidth="1"/>
    <col min="20" max="20" width="14.33203125" bestFit="1" customWidth="1"/>
    <col min="21" max="21" width="13" bestFit="1" customWidth="1"/>
    <col min="22" max="22" width="11.5" bestFit="1" customWidth="1"/>
  </cols>
  <sheetData>
    <row r="1" spans="1:23" x14ac:dyDescent="0.2">
      <c r="A1" t="s">
        <v>272</v>
      </c>
    </row>
    <row r="2" spans="1:23" x14ac:dyDescent="0.2">
      <c r="A2" t="s">
        <v>271</v>
      </c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  <c r="U2" t="s">
        <v>280</v>
      </c>
      <c r="V2" t="s">
        <v>269</v>
      </c>
    </row>
    <row r="3" spans="1:23" x14ac:dyDescent="0.2">
      <c r="A3" t="s">
        <v>270</v>
      </c>
      <c r="B3">
        <v>3678.7</v>
      </c>
      <c r="C3">
        <v>3665.45</v>
      </c>
      <c r="D3">
        <v>3627.1</v>
      </c>
      <c r="E3">
        <v>3603.73</v>
      </c>
      <c r="F3">
        <v>3571.07</v>
      </c>
      <c r="G3">
        <v>3602.2</v>
      </c>
      <c r="H3">
        <v>3602.08</v>
      </c>
      <c r="I3">
        <v>3602.27</v>
      </c>
      <c r="J3">
        <v>3628.19</v>
      </c>
      <c r="K3">
        <v>3636.36</v>
      </c>
      <c r="L3">
        <v>3634</v>
      </c>
      <c r="M3">
        <v>3654.08</v>
      </c>
      <c r="N3">
        <v>3621.56</v>
      </c>
      <c r="O3">
        <v>3590.48</v>
      </c>
      <c r="P3">
        <v>3605.53</v>
      </c>
      <c r="Q3">
        <v>3607.5</v>
      </c>
      <c r="R3">
        <v>3611.92</v>
      </c>
      <c r="S3">
        <v>3629.45</v>
      </c>
      <c r="T3">
        <v>3594.68</v>
      </c>
      <c r="V3" s="8">
        <f>ROUND(AVERAGE(B3:T3),-1)</f>
        <v>3620</v>
      </c>
    </row>
    <row r="4" spans="1:23" x14ac:dyDescent="0.2">
      <c r="A4" t="s">
        <v>268</v>
      </c>
      <c r="T4" s="8"/>
    </row>
    <row r="5" spans="1:23" ht="34" x14ac:dyDescent="0.2">
      <c r="A5" s="1" t="s">
        <v>274</v>
      </c>
      <c r="B5" s="8">
        <v>144500</v>
      </c>
      <c r="C5" s="8">
        <v>135000</v>
      </c>
      <c r="D5" s="8">
        <v>110200</v>
      </c>
      <c r="E5" s="8">
        <v>97200</v>
      </c>
      <c r="F5" s="8">
        <v>81500</v>
      </c>
      <c r="G5" s="8">
        <v>96400</v>
      </c>
      <c r="H5" s="8">
        <v>96400</v>
      </c>
      <c r="I5" s="8">
        <v>96500</v>
      </c>
      <c r="J5" s="8">
        <v>110000</v>
      </c>
      <c r="K5" s="8">
        <v>116000</v>
      </c>
      <c r="L5" s="8">
        <v>114400</v>
      </c>
      <c r="M5" s="8">
        <v>127100</v>
      </c>
      <c r="N5" s="8">
        <v>107000</v>
      </c>
      <c r="O5" s="8">
        <v>90700</v>
      </c>
      <c r="P5" s="8">
        <v>98300</v>
      </c>
      <c r="Q5" s="8">
        <v>99000</v>
      </c>
      <c r="R5" s="8">
        <v>101700</v>
      </c>
      <c r="S5" s="8">
        <v>111500</v>
      </c>
      <c r="T5" s="8">
        <v>92900</v>
      </c>
    </row>
    <row r="6" spans="1:23" x14ac:dyDescent="0.2">
      <c r="A6" s="14" t="s">
        <v>275</v>
      </c>
      <c r="B6" s="8">
        <f t="shared" ref="B6:T6" si="0">ROUND(B5*5.75,-3)</f>
        <v>831000</v>
      </c>
      <c r="C6" s="8">
        <f t="shared" si="0"/>
        <v>776000</v>
      </c>
      <c r="D6" s="8">
        <f t="shared" si="0"/>
        <v>634000</v>
      </c>
      <c r="E6" s="8">
        <f t="shared" si="0"/>
        <v>559000</v>
      </c>
      <c r="F6" s="8">
        <f t="shared" si="0"/>
        <v>469000</v>
      </c>
      <c r="G6" s="8">
        <f t="shared" si="0"/>
        <v>554000</v>
      </c>
      <c r="H6" s="8">
        <f t="shared" si="0"/>
        <v>554000</v>
      </c>
      <c r="I6" s="8">
        <f t="shared" si="0"/>
        <v>555000</v>
      </c>
      <c r="J6" s="8">
        <f t="shared" si="0"/>
        <v>633000</v>
      </c>
      <c r="K6" s="8">
        <f t="shared" si="0"/>
        <v>667000</v>
      </c>
      <c r="L6" s="8">
        <f t="shared" si="0"/>
        <v>658000</v>
      </c>
      <c r="M6" s="8">
        <f t="shared" si="0"/>
        <v>731000</v>
      </c>
      <c r="N6" s="8">
        <f t="shared" si="0"/>
        <v>615000</v>
      </c>
      <c r="O6" s="8">
        <f t="shared" si="0"/>
        <v>522000</v>
      </c>
      <c r="P6" s="8">
        <f t="shared" si="0"/>
        <v>565000</v>
      </c>
      <c r="Q6" s="8">
        <f t="shared" si="0"/>
        <v>569000</v>
      </c>
      <c r="R6" s="8">
        <f t="shared" si="0"/>
        <v>585000</v>
      </c>
      <c r="S6" s="8">
        <f t="shared" si="0"/>
        <v>641000</v>
      </c>
      <c r="T6" s="8">
        <f t="shared" si="0"/>
        <v>534000</v>
      </c>
      <c r="U6" s="8">
        <f>SUM(B6:T6)</f>
        <v>11652000</v>
      </c>
      <c r="V6" s="8">
        <f>ROUND(AVERAGE(B6:T6),-3)</f>
        <v>613000</v>
      </c>
      <c r="W6" s="9"/>
    </row>
    <row r="7" spans="1:23" x14ac:dyDescent="0.2">
      <c r="A7" t="s">
        <v>276</v>
      </c>
      <c r="B7" s="8">
        <f>B5*0.57</f>
        <v>82365</v>
      </c>
      <c r="C7" s="8">
        <f>C5*0.57</f>
        <v>76950</v>
      </c>
      <c r="D7" s="8">
        <f t="shared" ref="D7:T7" si="1">D5*0.57</f>
        <v>62813.999999999993</v>
      </c>
      <c r="E7" s="8">
        <f t="shared" si="1"/>
        <v>55403.999999999993</v>
      </c>
      <c r="F7" s="8">
        <f t="shared" si="1"/>
        <v>46454.999999999993</v>
      </c>
      <c r="G7" s="8">
        <f t="shared" si="1"/>
        <v>54947.999999999993</v>
      </c>
      <c r="H7" s="8">
        <f t="shared" si="1"/>
        <v>54947.999999999993</v>
      </c>
      <c r="I7" s="8">
        <f t="shared" si="1"/>
        <v>55004.999999999993</v>
      </c>
      <c r="J7" s="8">
        <f t="shared" si="1"/>
        <v>62699.999999999993</v>
      </c>
      <c r="K7" s="8">
        <f t="shared" si="1"/>
        <v>66120</v>
      </c>
      <c r="L7" s="8">
        <f t="shared" si="1"/>
        <v>65207.999999999993</v>
      </c>
      <c r="M7" s="8">
        <f t="shared" si="1"/>
        <v>72447</v>
      </c>
      <c r="N7" s="8">
        <f t="shared" si="1"/>
        <v>60989.999999999993</v>
      </c>
      <c r="O7" s="8">
        <f t="shared" si="1"/>
        <v>51698.999999999993</v>
      </c>
      <c r="P7" s="8">
        <f t="shared" si="1"/>
        <v>56030.999999999993</v>
      </c>
      <c r="Q7" s="8">
        <f t="shared" si="1"/>
        <v>56429.999999999993</v>
      </c>
      <c r="R7" s="8">
        <f t="shared" si="1"/>
        <v>57968.999999999993</v>
      </c>
      <c r="S7" s="8">
        <f t="shared" si="1"/>
        <v>63554.999999999993</v>
      </c>
      <c r="T7" s="8">
        <f t="shared" si="1"/>
        <v>52952.999999999993</v>
      </c>
      <c r="U7" s="8">
        <f>SUM(B7:T7)</f>
        <v>1154991</v>
      </c>
      <c r="V7" s="8">
        <f>ROUND(AVERAGE(B7:T7),-3)</f>
        <v>61000</v>
      </c>
    </row>
    <row r="9" spans="1:23" x14ac:dyDescent="0.2">
      <c r="A9" t="s">
        <v>277</v>
      </c>
      <c r="B9" s="8">
        <f>B5*4</f>
        <v>578000</v>
      </c>
      <c r="C9" s="8">
        <f t="shared" ref="C9:T9" si="2">C5*4</f>
        <v>540000</v>
      </c>
      <c r="D9" s="8">
        <f t="shared" si="2"/>
        <v>440800</v>
      </c>
      <c r="E9" s="8">
        <f t="shared" si="2"/>
        <v>388800</v>
      </c>
      <c r="F9" s="8">
        <f t="shared" si="2"/>
        <v>326000</v>
      </c>
      <c r="G9" s="8">
        <f t="shared" si="2"/>
        <v>385600</v>
      </c>
      <c r="H9" s="8">
        <f t="shared" si="2"/>
        <v>385600</v>
      </c>
      <c r="I9" s="8">
        <f t="shared" si="2"/>
        <v>386000</v>
      </c>
      <c r="J9" s="8">
        <f t="shared" si="2"/>
        <v>440000</v>
      </c>
      <c r="K9" s="8">
        <f t="shared" si="2"/>
        <v>464000</v>
      </c>
      <c r="L9" s="8">
        <f t="shared" si="2"/>
        <v>457600</v>
      </c>
      <c r="M9" s="8">
        <f t="shared" si="2"/>
        <v>508400</v>
      </c>
      <c r="N9" s="8">
        <f t="shared" si="2"/>
        <v>428000</v>
      </c>
      <c r="O9" s="8">
        <f t="shared" si="2"/>
        <v>362800</v>
      </c>
      <c r="P9" s="8">
        <f t="shared" si="2"/>
        <v>393200</v>
      </c>
      <c r="Q9" s="8">
        <f t="shared" si="2"/>
        <v>396000</v>
      </c>
      <c r="R9" s="8">
        <f t="shared" si="2"/>
        <v>406800</v>
      </c>
      <c r="S9" s="8">
        <f t="shared" si="2"/>
        <v>446000</v>
      </c>
      <c r="T9" s="8">
        <f t="shared" si="2"/>
        <v>371600</v>
      </c>
      <c r="U9" s="8">
        <f>SUM(B9:T9)</f>
        <v>8105200</v>
      </c>
      <c r="V9" s="8">
        <f>ROUND(AVERAGE(B9:T9),-3)</f>
        <v>427000</v>
      </c>
    </row>
    <row r="12" spans="1:23" x14ac:dyDescent="0.2">
      <c r="B12" t="s">
        <v>273</v>
      </c>
    </row>
    <row r="13" spans="1:23" x14ac:dyDescent="0.2">
      <c r="A13" s="43" t="s">
        <v>281</v>
      </c>
      <c r="B13" s="8">
        <v>22986100</v>
      </c>
    </row>
    <row r="14" spans="1:23" x14ac:dyDescent="0.2">
      <c r="A14" t="s">
        <v>278</v>
      </c>
      <c r="B14" s="8">
        <v>11027700</v>
      </c>
    </row>
    <row r="15" spans="1:23" x14ac:dyDescent="0.2">
      <c r="A15" t="s">
        <v>279</v>
      </c>
      <c r="B15" s="9">
        <f>B13-B14</f>
        <v>11958400</v>
      </c>
      <c r="D15" s="10">
        <f>B15/19</f>
        <v>629389.47368421056</v>
      </c>
    </row>
    <row r="16" spans="1:23" x14ac:dyDescent="0.2">
      <c r="B16" s="9"/>
    </row>
    <row r="17" spans="1:22" x14ac:dyDescent="0.2">
      <c r="B17" s="9"/>
    </row>
    <row r="18" spans="1:22" x14ac:dyDescent="0.2">
      <c r="A18" t="s">
        <v>283</v>
      </c>
      <c r="B18" s="19">
        <v>3844994.048</v>
      </c>
      <c r="C18" s="19">
        <v>3002295.2959999996</v>
      </c>
      <c r="D18" s="19">
        <v>1851186.176</v>
      </c>
      <c r="E18" s="19">
        <v>2736599.04</v>
      </c>
      <c r="F18" s="19">
        <v>2550539.264</v>
      </c>
      <c r="G18" s="19">
        <v>4937461.7599999998</v>
      </c>
      <c r="H18" s="19">
        <v>3926078.4639999997</v>
      </c>
      <c r="I18" s="19">
        <v>3937661.9519999996</v>
      </c>
      <c r="J18" s="19">
        <v>6342683.648</v>
      </c>
      <c r="K18" s="19">
        <v>5264695.2960000001</v>
      </c>
      <c r="L18" s="19">
        <v>4015850.4959999998</v>
      </c>
      <c r="M18" s="19">
        <v>6939233.2799999993</v>
      </c>
      <c r="N18" s="19">
        <v>2525924.352</v>
      </c>
      <c r="O18" s="19">
        <v>2470178.8159999996</v>
      </c>
      <c r="P18" s="19">
        <v>4947597.3119999999</v>
      </c>
      <c r="Q18" s="19">
        <v>4858549.2479999997</v>
      </c>
      <c r="R18" s="19">
        <v>4525523.9679999994</v>
      </c>
      <c r="S18" s="19">
        <v>4676109.3119999999</v>
      </c>
      <c r="T18" s="19">
        <v>2510721.0239999997</v>
      </c>
    </row>
    <row r="19" spans="1:22" x14ac:dyDescent="0.2">
      <c r="A19" t="s">
        <v>284</v>
      </c>
      <c r="B19" s="19">
        <v>3197042.6879999996</v>
      </c>
      <c r="C19" s="19">
        <v>2463663.1039999998</v>
      </c>
      <c r="D19" s="19">
        <v>1467483.1359999999</v>
      </c>
      <c r="E19" s="19">
        <v>2434704.3840000001</v>
      </c>
      <c r="F19" s="19">
        <v>1917791.2319999998</v>
      </c>
      <c r="G19" s="19">
        <v>4269239.2960000001</v>
      </c>
      <c r="H19" s="19">
        <v>3323013.1199999996</v>
      </c>
      <c r="I19" s="19">
        <v>2603388.9279999998</v>
      </c>
      <c r="J19" s="19">
        <v>3606808.5759999999</v>
      </c>
      <c r="K19" s="19">
        <v>3570610.176</v>
      </c>
      <c r="L19" s="19">
        <v>3388894.2079999996</v>
      </c>
      <c r="M19" s="19">
        <v>7355514.8799999999</v>
      </c>
      <c r="N19" s="19">
        <v>2670717.952</v>
      </c>
      <c r="O19" s="19">
        <v>1948921.8559999999</v>
      </c>
      <c r="P19" s="19">
        <v>3083379.7119999998</v>
      </c>
      <c r="Q19" s="19">
        <v>3388170.2399999998</v>
      </c>
      <c r="R19" s="19">
        <v>3966620.6719999998</v>
      </c>
      <c r="S19" s="19">
        <v>5073567.7439999999</v>
      </c>
      <c r="T19" s="19">
        <v>2940758.0159999998</v>
      </c>
    </row>
    <row r="20" spans="1:22" x14ac:dyDescent="0.2">
      <c r="A20" t="s">
        <v>286</v>
      </c>
      <c r="B20" s="44">
        <v>100.24</v>
      </c>
      <c r="C20" s="44">
        <v>10.24</v>
      </c>
      <c r="D20" s="19">
        <v>75.099999999999994</v>
      </c>
      <c r="E20" s="19">
        <v>67.5</v>
      </c>
      <c r="F20" s="19">
        <v>77.2</v>
      </c>
      <c r="G20" s="19">
        <v>132.19999999999999</v>
      </c>
      <c r="H20" s="19">
        <v>114.2</v>
      </c>
      <c r="I20" s="19">
        <v>203.9</v>
      </c>
      <c r="J20" s="19">
        <v>77.900000000000006</v>
      </c>
      <c r="K20" s="19">
        <v>58.3</v>
      </c>
      <c r="L20" s="19">
        <v>68.900000000000006</v>
      </c>
      <c r="M20" s="19">
        <v>156.30000000000001</v>
      </c>
      <c r="N20" s="19">
        <v>87.9</v>
      </c>
      <c r="O20" s="19">
        <v>146.19999999999999</v>
      </c>
      <c r="P20" s="44">
        <v>100.24</v>
      </c>
      <c r="Q20" s="19">
        <v>93.7</v>
      </c>
      <c r="R20" s="19">
        <v>109.5</v>
      </c>
      <c r="S20" s="19">
        <v>82.6</v>
      </c>
      <c r="T20" s="19">
        <v>52.5</v>
      </c>
    </row>
    <row r="21" spans="1:22" x14ac:dyDescent="0.2">
      <c r="A21" t="s">
        <v>287</v>
      </c>
      <c r="B21" s="19">
        <v>5436.9996799999999</v>
      </c>
      <c r="C21" s="19">
        <v>9701.1711999999989</v>
      </c>
      <c r="D21" s="19">
        <v>2381.8547199999998</v>
      </c>
      <c r="E21" s="19">
        <v>1455.1756799999998</v>
      </c>
      <c r="F21" s="19">
        <v>1708.5644799999998</v>
      </c>
      <c r="G21" s="19">
        <v>27076.403199999997</v>
      </c>
      <c r="H21" s="19">
        <v>11800.678400000001</v>
      </c>
      <c r="I21" s="19">
        <v>4850.5855999999994</v>
      </c>
      <c r="J21" s="19">
        <v>2635.24352</v>
      </c>
      <c r="K21" s="19">
        <v>1107.6710399999999</v>
      </c>
      <c r="L21" s="19">
        <v>4466.88256</v>
      </c>
      <c r="M21" s="19">
        <v>13031.423999999999</v>
      </c>
      <c r="N21" s="19">
        <v>6718.4230399999988</v>
      </c>
      <c r="O21" s="19">
        <v>6834.2579199999991</v>
      </c>
      <c r="P21" s="19">
        <v>2961.0291199999997</v>
      </c>
      <c r="Q21" s="19">
        <v>2389.0944</v>
      </c>
      <c r="R21" s="19">
        <v>5176.3711999999996</v>
      </c>
      <c r="S21" s="19">
        <v>5017.0982399999994</v>
      </c>
      <c r="T21" s="19">
        <v>1940.23424</v>
      </c>
    </row>
    <row r="22" spans="1:22" x14ac:dyDescent="0.2">
      <c r="A22" t="s">
        <v>285</v>
      </c>
      <c r="B22" s="19">
        <v>835459.07199999993</v>
      </c>
      <c r="C22" s="19">
        <v>1161244.672</v>
      </c>
      <c r="D22" s="19">
        <v>536822.272</v>
      </c>
      <c r="E22" s="19">
        <v>657652.53119999997</v>
      </c>
      <c r="F22" s="19">
        <v>710357.40159999998</v>
      </c>
      <c r="G22" s="19">
        <v>1660058.6239999998</v>
      </c>
      <c r="H22" s="19">
        <v>928126.97599999991</v>
      </c>
      <c r="I22" s="19">
        <v>1358887.936</v>
      </c>
      <c r="J22" s="19">
        <v>1877249.024</v>
      </c>
      <c r="K22" s="19">
        <v>938262.52799999993</v>
      </c>
      <c r="L22" s="19">
        <v>855006.20799999998</v>
      </c>
      <c r="M22" s="19">
        <v>896272.38399999996</v>
      </c>
      <c r="N22" s="19">
        <v>711732.94079999998</v>
      </c>
      <c r="O22" s="19">
        <v>664023.44960000005</v>
      </c>
      <c r="P22" s="19">
        <v>668439.65439999988</v>
      </c>
      <c r="Q22" s="19">
        <v>1009211.392</v>
      </c>
      <c r="R22" s="19">
        <v>1243053.0559999999</v>
      </c>
      <c r="S22" s="19">
        <v>1422597.1199999999</v>
      </c>
      <c r="T22" s="19">
        <v>481800.70399999997</v>
      </c>
    </row>
    <row r="23" spans="1:22" x14ac:dyDescent="0.2">
      <c r="A23" t="s">
        <v>288</v>
      </c>
      <c r="B23" s="19">
        <f>SUM(B18:B22)</f>
        <v>7883033.0476799998</v>
      </c>
      <c r="C23" s="19">
        <f t="shared" ref="C23:T23" si="3">SUM(C18:C22)</f>
        <v>6636914.4831999997</v>
      </c>
      <c r="D23" s="19">
        <f t="shared" si="3"/>
        <v>3857948.5387200001</v>
      </c>
      <c r="E23" s="19">
        <f t="shared" si="3"/>
        <v>5830478.630880001</v>
      </c>
      <c r="F23" s="19">
        <f t="shared" si="3"/>
        <v>5180473.6620799992</v>
      </c>
      <c r="G23" s="19">
        <f t="shared" si="3"/>
        <v>10893968.283199999</v>
      </c>
      <c r="H23" s="19">
        <f t="shared" si="3"/>
        <v>8189133.4383999985</v>
      </c>
      <c r="I23" s="19">
        <f t="shared" si="3"/>
        <v>7904993.301599999</v>
      </c>
      <c r="J23" s="19">
        <f t="shared" si="3"/>
        <v>11829454.391519999</v>
      </c>
      <c r="K23" s="19">
        <f t="shared" si="3"/>
        <v>9774733.9710399993</v>
      </c>
      <c r="L23" s="19">
        <f t="shared" si="3"/>
        <v>8264286.6945599997</v>
      </c>
      <c r="M23" s="19">
        <f t="shared" si="3"/>
        <v>15204208.268000001</v>
      </c>
      <c r="N23" s="19">
        <f t="shared" si="3"/>
        <v>5915181.5678399997</v>
      </c>
      <c r="O23" s="19">
        <f t="shared" si="3"/>
        <v>5090104.5795199992</v>
      </c>
      <c r="P23" s="19">
        <f t="shared" si="3"/>
        <v>8702477.9475200009</v>
      </c>
      <c r="Q23" s="19">
        <f t="shared" si="3"/>
        <v>9258413.6743999999</v>
      </c>
      <c r="R23" s="19">
        <f t="shared" si="3"/>
        <v>9740483.5671999995</v>
      </c>
      <c r="S23" s="19">
        <f t="shared" si="3"/>
        <v>11177373.874239998</v>
      </c>
      <c r="T23" s="19">
        <f t="shared" si="3"/>
        <v>5935272.4782399992</v>
      </c>
    </row>
    <row r="24" spans="1:22" x14ac:dyDescent="0.2">
      <c r="A24" t="s">
        <v>289</v>
      </c>
      <c r="B24" s="45">
        <v>82365</v>
      </c>
      <c r="C24" s="45">
        <v>76950</v>
      </c>
      <c r="D24" s="45">
        <v>62814</v>
      </c>
      <c r="E24" s="45">
        <v>55404</v>
      </c>
      <c r="F24" s="45">
        <v>46455</v>
      </c>
      <c r="G24" s="45">
        <v>54948</v>
      </c>
      <c r="H24" s="45">
        <v>54948</v>
      </c>
      <c r="I24" s="45">
        <v>55005</v>
      </c>
      <c r="J24" s="45">
        <v>62700</v>
      </c>
      <c r="K24" s="45">
        <v>66120</v>
      </c>
      <c r="L24" s="45">
        <v>65208</v>
      </c>
      <c r="M24" s="45">
        <v>72447</v>
      </c>
      <c r="N24" s="45">
        <v>60990</v>
      </c>
      <c r="O24" s="45">
        <v>51699</v>
      </c>
      <c r="P24" s="45">
        <v>56031</v>
      </c>
      <c r="Q24" s="45">
        <v>56430</v>
      </c>
      <c r="R24" s="45">
        <v>57969</v>
      </c>
      <c r="S24" s="45">
        <v>63555</v>
      </c>
      <c r="T24" s="45">
        <v>52953</v>
      </c>
    </row>
    <row r="26" spans="1:22" x14ac:dyDescent="0.2">
      <c r="A26" t="s">
        <v>290</v>
      </c>
      <c r="B26" s="8">
        <v>831000</v>
      </c>
      <c r="C26" s="8">
        <v>776000</v>
      </c>
      <c r="D26" s="8">
        <v>634000</v>
      </c>
      <c r="E26" s="8">
        <v>559000</v>
      </c>
      <c r="F26" s="8">
        <v>469000</v>
      </c>
      <c r="G26" s="8">
        <v>554000</v>
      </c>
      <c r="H26" s="8">
        <v>554000</v>
      </c>
      <c r="I26" s="8">
        <v>555000</v>
      </c>
      <c r="J26" s="8">
        <v>633000</v>
      </c>
      <c r="K26" s="8">
        <v>667000</v>
      </c>
      <c r="L26" s="8">
        <v>658000</v>
      </c>
      <c r="M26" s="8">
        <v>731000</v>
      </c>
      <c r="N26" s="8">
        <v>615000</v>
      </c>
      <c r="O26" s="8">
        <v>522000</v>
      </c>
      <c r="P26" s="8">
        <v>565000</v>
      </c>
      <c r="Q26" s="8">
        <v>569000</v>
      </c>
      <c r="R26" s="8">
        <v>585000</v>
      </c>
      <c r="S26" s="8">
        <v>641000</v>
      </c>
      <c r="T26" s="8">
        <v>534000</v>
      </c>
      <c r="V26" s="8">
        <f>ROUND(AVERAGE(B26:T26),-3)</f>
        <v>613000</v>
      </c>
    </row>
    <row r="27" spans="1:22" x14ac:dyDescent="0.2">
      <c r="A27" t="s">
        <v>282</v>
      </c>
      <c r="B27">
        <v>9498460.1600000001</v>
      </c>
      <c r="C27">
        <v>8340111.3599999994</v>
      </c>
      <c r="D27">
        <v>8340111.3599999994</v>
      </c>
      <c r="E27">
        <v>8361830.3999999994</v>
      </c>
      <c r="F27">
        <v>8311152.6399999997</v>
      </c>
      <c r="G27">
        <v>8361830.3999999994</v>
      </c>
      <c r="H27">
        <v>8492144.6399999987</v>
      </c>
      <c r="I27">
        <v>8398028.7999999989</v>
      </c>
      <c r="J27">
        <v>9136476.1600000001</v>
      </c>
      <c r="K27">
        <v>8398028.7999999989</v>
      </c>
      <c r="L27">
        <v>8419747.8399999999</v>
      </c>
      <c r="M27">
        <v>12727357.439999999</v>
      </c>
      <c r="N27">
        <v>9498460.1600000001</v>
      </c>
      <c r="O27">
        <v>8260474.8799999999</v>
      </c>
      <c r="P27">
        <v>7565465.5999999996</v>
      </c>
      <c r="Q27">
        <v>9136476.1600000001</v>
      </c>
      <c r="R27">
        <v>9093038.0800000001</v>
      </c>
      <c r="S27">
        <v>9150955.5199999996</v>
      </c>
      <c r="T27">
        <v>9158195.1999999993</v>
      </c>
    </row>
    <row r="29" spans="1:22" x14ac:dyDescent="0.2">
      <c r="A29" s="10" t="s">
        <v>291</v>
      </c>
      <c r="B29" s="9">
        <f>B23+B24-B26-B27</f>
        <v>-2364062.1123200003</v>
      </c>
      <c r="C29" s="9">
        <f t="shared" ref="C29:T29" si="4">C23+C24-C26-C27</f>
        <v>-2402246.8767999997</v>
      </c>
      <c r="D29" s="9">
        <f t="shared" si="4"/>
        <v>-5053348.8212799989</v>
      </c>
      <c r="E29" s="9">
        <f t="shared" si="4"/>
        <v>-3034947.7691199984</v>
      </c>
      <c r="F29" s="9">
        <f t="shared" si="4"/>
        <v>-3553223.9779200004</v>
      </c>
      <c r="G29" s="9">
        <f t="shared" si="4"/>
        <v>2033085.8832</v>
      </c>
      <c r="H29" s="9">
        <f t="shared" si="4"/>
        <v>-802063.20160000026</v>
      </c>
      <c r="I29" s="9">
        <f t="shared" si="4"/>
        <v>-993030.49839999992</v>
      </c>
      <c r="J29" s="9">
        <f t="shared" si="4"/>
        <v>2122678.231519999</v>
      </c>
      <c r="K29" s="9">
        <f t="shared" si="4"/>
        <v>775825.17104000039</v>
      </c>
      <c r="L29" s="9">
        <f t="shared" si="4"/>
        <v>-748253.14544000011</v>
      </c>
      <c r="M29" s="9">
        <f t="shared" si="4"/>
        <v>1818297.8280000016</v>
      </c>
      <c r="N29" s="9">
        <f t="shared" si="4"/>
        <v>-4137288.5921600005</v>
      </c>
      <c r="O29" s="9">
        <f t="shared" si="4"/>
        <v>-3640671.3004800007</v>
      </c>
      <c r="P29" s="9">
        <f t="shared" si="4"/>
        <v>628043.34752000123</v>
      </c>
      <c r="Q29" s="9">
        <f t="shared" si="4"/>
        <v>-390632.48560000025</v>
      </c>
      <c r="R29" s="9">
        <f t="shared" si="4"/>
        <v>120414.48719999939</v>
      </c>
      <c r="S29" s="9">
        <f t="shared" si="4"/>
        <v>1448973.3542399984</v>
      </c>
      <c r="T29" s="9">
        <f t="shared" si="4"/>
        <v>-3703969.7217600001</v>
      </c>
    </row>
    <row r="30" spans="1:22" x14ac:dyDescent="0.2">
      <c r="A30" t="s">
        <v>292</v>
      </c>
      <c r="B30" s="9">
        <f>B29</f>
        <v>-2364062.1123200003</v>
      </c>
      <c r="C30" s="9">
        <f>B30+C29</f>
        <v>-4766308.98912</v>
      </c>
      <c r="D30" s="9">
        <f t="shared" ref="D30:T30" si="5">C30+D29</f>
        <v>-9819657.810399998</v>
      </c>
      <c r="E30" s="9">
        <f t="shared" si="5"/>
        <v>-12854605.579519996</v>
      </c>
      <c r="F30" s="9">
        <f t="shared" si="5"/>
        <v>-16407829.557439998</v>
      </c>
      <c r="G30" s="9">
        <f t="shared" si="5"/>
        <v>-14374743.674239997</v>
      </c>
      <c r="H30" s="9">
        <f t="shared" si="5"/>
        <v>-15176806.875839997</v>
      </c>
      <c r="I30" s="9">
        <f t="shared" si="5"/>
        <v>-16169837.374239996</v>
      </c>
      <c r="J30" s="9">
        <f t="shared" si="5"/>
        <v>-14047159.142719997</v>
      </c>
      <c r="K30" s="9">
        <f t="shared" si="5"/>
        <v>-13271333.971679997</v>
      </c>
      <c r="L30" s="9">
        <f t="shared" si="5"/>
        <v>-14019587.117119998</v>
      </c>
      <c r="M30" s="9">
        <f t="shared" si="5"/>
        <v>-12201289.289119996</v>
      </c>
      <c r="N30" s="9">
        <f t="shared" si="5"/>
        <v>-16338577.881279998</v>
      </c>
      <c r="O30" s="9">
        <f t="shared" si="5"/>
        <v>-19979249.181759998</v>
      </c>
      <c r="P30" s="9">
        <f t="shared" si="5"/>
        <v>-19351205.834239997</v>
      </c>
      <c r="Q30" s="9">
        <f t="shared" si="5"/>
        <v>-19741838.319839999</v>
      </c>
      <c r="R30" s="9">
        <f t="shared" si="5"/>
        <v>-19621423.83264</v>
      </c>
      <c r="S30" s="9">
        <f t="shared" si="5"/>
        <v>-18172450.478399999</v>
      </c>
      <c r="T30" s="9">
        <f t="shared" si="5"/>
        <v>-21876420.20016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7532-8848-2A4C-B8D3-6947A0A87923}">
  <dimension ref="A1:R35"/>
  <sheetViews>
    <sheetView workbookViewId="0">
      <pane xSplit="21800" ySplit="2040" topLeftCell="Q9" activePane="bottomLeft"/>
      <selection sqref="A1:XFD2"/>
      <selection pane="topRight" activeCell="Q4" sqref="Q4"/>
      <selection pane="bottomLeft" activeCell="A16" sqref="A16:A34"/>
      <selection pane="bottomRight" activeCell="Q6" sqref="Q6"/>
    </sheetView>
  </sheetViews>
  <sheetFormatPr baseColWidth="10" defaultRowHeight="16" x14ac:dyDescent="0.2"/>
  <cols>
    <col min="8" max="8" width="10.83203125" style="22"/>
    <col min="13" max="13" width="12.5" customWidth="1"/>
    <col min="14" max="14" width="13.6640625" bestFit="1" customWidth="1"/>
    <col min="17" max="18" width="14" style="8" bestFit="1" customWidth="1"/>
  </cols>
  <sheetData>
    <row r="1" spans="1:18" ht="51" x14ac:dyDescent="0.2">
      <c r="A1" t="s">
        <v>294</v>
      </c>
      <c r="B1" t="s">
        <v>288</v>
      </c>
      <c r="C1" t="s">
        <v>289</v>
      </c>
      <c r="E1" t="s">
        <v>290</v>
      </c>
      <c r="F1" s="22" t="s">
        <v>282</v>
      </c>
      <c r="G1" s="22" t="s">
        <v>293</v>
      </c>
      <c r="I1" t="s">
        <v>295</v>
      </c>
      <c r="M1" s="22" t="s">
        <v>296</v>
      </c>
      <c r="N1" s="22" t="s">
        <v>297</v>
      </c>
      <c r="Q1" s="3" t="s">
        <v>371</v>
      </c>
      <c r="R1" s="3" t="s">
        <v>372</v>
      </c>
    </row>
    <row r="2" spans="1:18" x14ac:dyDescent="0.2">
      <c r="A2">
        <f t="shared" ref="A2:A4" si="0">A3-1</f>
        <v>1986</v>
      </c>
      <c r="F2" s="22"/>
      <c r="G2" s="22"/>
      <c r="M2" s="22"/>
      <c r="N2" s="22"/>
      <c r="Q2" s="8">
        <v>22696000</v>
      </c>
      <c r="R2" s="8">
        <v>24252000</v>
      </c>
    </row>
    <row r="3" spans="1:18" x14ac:dyDescent="0.2">
      <c r="A3">
        <f t="shared" si="0"/>
        <v>1987</v>
      </c>
      <c r="F3" s="22"/>
      <c r="G3" s="22"/>
      <c r="M3" s="22"/>
      <c r="N3" s="22"/>
      <c r="Q3" s="8">
        <v>22441000</v>
      </c>
      <c r="R3" s="8">
        <v>24403000</v>
      </c>
    </row>
    <row r="4" spans="1:18" x14ac:dyDescent="0.2">
      <c r="A4">
        <f t="shared" si="0"/>
        <v>1988</v>
      </c>
      <c r="F4" s="22"/>
      <c r="G4" s="22"/>
      <c r="M4" s="22"/>
      <c r="N4" s="22"/>
      <c r="Q4" s="8">
        <v>22087000</v>
      </c>
      <c r="R4" s="8">
        <v>22778000</v>
      </c>
    </row>
    <row r="5" spans="1:18" x14ac:dyDescent="0.2">
      <c r="A5">
        <f t="shared" ref="A5:A14" si="1">A6-1</f>
        <v>1989</v>
      </c>
      <c r="F5" s="22"/>
      <c r="G5" s="22"/>
      <c r="M5" s="22"/>
      <c r="N5" s="22"/>
      <c r="Q5" s="8">
        <v>19183000</v>
      </c>
      <c r="R5" s="8">
        <v>21503000</v>
      </c>
    </row>
    <row r="6" spans="1:18" x14ac:dyDescent="0.2">
      <c r="A6">
        <f t="shared" si="1"/>
        <v>1990</v>
      </c>
      <c r="F6" s="22"/>
      <c r="G6" s="22"/>
      <c r="M6" s="22"/>
      <c r="N6" s="22"/>
      <c r="Q6" s="8">
        <v>15723000</v>
      </c>
      <c r="R6" s="8">
        <v>20148000</v>
      </c>
    </row>
    <row r="7" spans="1:18" x14ac:dyDescent="0.2">
      <c r="A7">
        <f t="shared" si="1"/>
        <v>1991</v>
      </c>
      <c r="F7" s="22"/>
      <c r="G7" s="22"/>
      <c r="M7" s="22"/>
      <c r="N7" s="22"/>
      <c r="Q7" s="8">
        <v>14699000</v>
      </c>
      <c r="R7" s="8">
        <v>19233000</v>
      </c>
    </row>
    <row r="8" spans="1:18" x14ac:dyDescent="0.2">
      <c r="A8">
        <f t="shared" si="1"/>
        <v>1992</v>
      </c>
      <c r="F8" s="22"/>
      <c r="G8" s="22"/>
      <c r="M8" s="22"/>
      <c r="N8" s="22"/>
      <c r="Q8" s="8">
        <v>14085000</v>
      </c>
      <c r="R8" s="8">
        <v>19416000</v>
      </c>
    </row>
    <row r="9" spans="1:18" x14ac:dyDescent="0.2">
      <c r="A9">
        <f t="shared" si="1"/>
        <v>1993</v>
      </c>
      <c r="F9" s="22"/>
      <c r="G9" s="22"/>
      <c r="M9" s="22"/>
      <c r="N9" s="22"/>
      <c r="Q9" s="8">
        <v>18825000</v>
      </c>
      <c r="R9" s="8">
        <v>21379000</v>
      </c>
    </row>
    <row r="10" spans="1:18" x14ac:dyDescent="0.2">
      <c r="A10">
        <f t="shared" si="1"/>
        <v>1994</v>
      </c>
      <c r="F10" s="22"/>
      <c r="G10" s="22"/>
      <c r="M10" s="22"/>
      <c r="N10" s="22"/>
      <c r="Q10" s="8">
        <v>17772000</v>
      </c>
      <c r="R10" s="8">
        <v>19930000</v>
      </c>
    </row>
    <row r="11" spans="1:18" x14ac:dyDescent="0.2">
      <c r="A11">
        <f t="shared" si="1"/>
        <v>1995</v>
      </c>
      <c r="F11" s="22"/>
      <c r="G11" s="22"/>
      <c r="M11" s="22"/>
      <c r="N11" s="22"/>
      <c r="Q11" s="8">
        <v>22311000</v>
      </c>
      <c r="R11" s="8">
        <v>20714000</v>
      </c>
    </row>
    <row r="12" spans="1:18" x14ac:dyDescent="0.2">
      <c r="A12">
        <f t="shared" si="1"/>
        <v>1996</v>
      </c>
      <c r="F12" s="22"/>
      <c r="G12" s="22"/>
      <c r="M12" s="22"/>
      <c r="N12" s="22"/>
      <c r="Q12" s="8">
        <v>21155000</v>
      </c>
      <c r="R12" s="8">
        <v>21614000</v>
      </c>
    </row>
    <row r="13" spans="1:18" x14ac:dyDescent="0.2">
      <c r="A13">
        <f t="shared" si="1"/>
        <v>1997</v>
      </c>
      <c r="F13" s="22"/>
      <c r="G13" s="22"/>
      <c r="M13" s="22"/>
      <c r="N13" s="22"/>
      <c r="Q13" s="8">
        <v>22802000</v>
      </c>
      <c r="R13" s="8">
        <v>23769000</v>
      </c>
    </row>
    <row r="14" spans="1:18" x14ac:dyDescent="0.2">
      <c r="A14">
        <f t="shared" si="1"/>
        <v>1998</v>
      </c>
      <c r="F14" s="22"/>
      <c r="G14" s="22"/>
      <c r="M14" s="22"/>
      <c r="N14" s="22"/>
      <c r="Q14" s="8">
        <v>22404000</v>
      </c>
      <c r="R14" s="8">
        <v>25126000</v>
      </c>
    </row>
    <row r="15" spans="1:18" x14ac:dyDescent="0.2">
      <c r="A15">
        <f>A16-1</f>
        <v>1999</v>
      </c>
      <c r="F15" s="22"/>
      <c r="G15" s="22"/>
      <c r="Q15" s="8">
        <v>22997000</v>
      </c>
      <c r="R15" s="8">
        <v>24592000</v>
      </c>
    </row>
    <row r="16" spans="1:18" x14ac:dyDescent="0.2">
      <c r="A16">
        <v>2000</v>
      </c>
      <c r="B16">
        <v>7883033.0476799998</v>
      </c>
      <c r="C16">
        <v>82365</v>
      </c>
      <c r="E16">
        <v>831000</v>
      </c>
      <c r="F16">
        <v>9498460.1600000001</v>
      </c>
      <c r="G16">
        <v>-2364062.1123200003</v>
      </c>
      <c r="I16">
        <v>22986100</v>
      </c>
      <c r="K16">
        <f>J17</f>
        <v>-2055300</v>
      </c>
      <c r="M16" s="46">
        <v>-2364062.1123200003</v>
      </c>
      <c r="N16" s="46">
        <v>-2055300</v>
      </c>
      <c r="P16">
        <f>M16-N16</f>
        <v>-308762.11232000031</v>
      </c>
      <c r="Q16" s="8">
        <v>20939000</v>
      </c>
      <c r="R16" s="8">
        <v>22444000</v>
      </c>
    </row>
    <row r="17" spans="1:18" x14ac:dyDescent="0.2">
      <c r="A17">
        <v>2001</v>
      </c>
      <c r="B17">
        <v>6636914.4831999997</v>
      </c>
      <c r="C17">
        <v>76950</v>
      </c>
      <c r="E17">
        <v>776000</v>
      </c>
      <c r="F17">
        <v>8340111.3599999994</v>
      </c>
      <c r="G17">
        <v>-4766308.98912</v>
      </c>
      <c r="I17">
        <v>20930800</v>
      </c>
      <c r="J17">
        <f>I17-I16</f>
        <v>-2055300</v>
      </c>
      <c r="K17">
        <f t="shared" ref="K17:K34" si="2">K16+J18</f>
        <v>-3866100</v>
      </c>
      <c r="M17" s="46">
        <v>-2402246.8767999997</v>
      </c>
      <c r="N17" s="46">
        <v>-1810800</v>
      </c>
      <c r="P17">
        <f t="shared" ref="P17:P34" si="3">M17-N17</f>
        <v>-591446.87679999974</v>
      </c>
      <c r="Q17" s="8">
        <v>19135000</v>
      </c>
      <c r="R17" s="8">
        <v>19873000</v>
      </c>
    </row>
    <row r="18" spans="1:18" x14ac:dyDescent="0.2">
      <c r="A18">
        <v>2002</v>
      </c>
      <c r="B18">
        <v>3857948.5387200001</v>
      </c>
      <c r="C18">
        <v>62814</v>
      </c>
      <c r="E18">
        <v>634000</v>
      </c>
      <c r="F18">
        <v>8340111.3599999994</v>
      </c>
      <c r="G18">
        <v>-9819657.810399998</v>
      </c>
      <c r="I18">
        <v>19120000</v>
      </c>
      <c r="J18">
        <f t="shared" ref="J18:J35" si="4">I18-I17</f>
        <v>-1810800</v>
      </c>
      <c r="K18">
        <f t="shared" si="2"/>
        <v>-8516000</v>
      </c>
      <c r="M18" s="46">
        <v>-5053348.8212799989</v>
      </c>
      <c r="N18" s="46">
        <v>-4649900</v>
      </c>
      <c r="P18">
        <f t="shared" si="3"/>
        <v>-403448.82127999887</v>
      </c>
      <c r="Q18" s="8">
        <v>14468000</v>
      </c>
      <c r="R18" s="8">
        <v>17093000</v>
      </c>
    </row>
    <row r="19" spans="1:18" x14ac:dyDescent="0.2">
      <c r="A19">
        <v>2003</v>
      </c>
      <c r="B19">
        <v>5830478.630880001</v>
      </c>
      <c r="C19">
        <v>55404</v>
      </c>
      <c r="E19">
        <v>559000</v>
      </c>
      <c r="F19">
        <v>8361830.3999999994</v>
      </c>
      <c r="G19">
        <v>-12854605.579519996</v>
      </c>
      <c r="I19">
        <v>14470100</v>
      </c>
      <c r="J19">
        <f t="shared" si="4"/>
        <v>-4649900</v>
      </c>
      <c r="K19">
        <f t="shared" si="2"/>
        <v>-10877500</v>
      </c>
      <c r="M19" s="46">
        <v>-3034947.7691199984</v>
      </c>
      <c r="N19" s="46">
        <v>-2361500</v>
      </c>
      <c r="P19">
        <f t="shared" si="3"/>
        <v>-673447.76911999844</v>
      </c>
      <c r="Q19" s="8">
        <v>12110000</v>
      </c>
      <c r="R19" s="8">
        <v>15618000</v>
      </c>
    </row>
    <row r="20" spans="1:18" x14ac:dyDescent="0.2">
      <c r="A20">
        <v>2004</v>
      </c>
      <c r="B20">
        <v>5180473.6620799992</v>
      </c>
      <c r="C20">
        <v>46455</v>
      </c>
      <c r="E20">
        <v>469000</v>
      </c>
      <c r="F20">
        <v>8311152.6399999997</v>
      </c>
      <c r="G20">
        <v>-16407829.557439998</v>
      </c>
      <c r="I20">
        <v>12108600</v>
      </c>
      <c r="J20">
        <f t="shared" si="4"/>
        <v>-2361500</v>
      </c>
      <c r="K20">
        <f t="shared" si="2"/>
        <v>-13814200</v>
      </c>
      <c r="M20" s="46">
        <v>-3553223.9779200004</v>
      </c>
      <c r="N20" s="46">
        <v>-2936700</v>
      </c>
      <c r="P20">
        <f t="shared" si="3"/>
        <v>-616523.97792000044</v>
      </c>
      <c r="Q20" s="8">
        <v>9169000</v>
      </c>
      <c r="R20" s="8">
        <v>13937000</v>
      </c>
    </row>
    <row r="21" spans="1:18" x14ac:dyDescent="0.2">
      <c r="A21">
        <v>2005</v>
      </c>
      <c r="B21">
        <v>10893968.283199999</v>
      </c>
      <c r="C21">
        <v>54948</v>
      </c>
      <c r="E21">
        <v>554000</v>
      </c>
      <c r="F21">
        <v>8361830.3999999994</v>
      </c>
      <c r="G21">
        <v>-14374743.674239997</v>
      </c>
      <c r="I21">
        <v>9171900</v>
      </c>
      <c r="J21">
        <f t="shared" si="4"/>
        <v>-2936700</v>
      </c>
      <c r="K21">
        <f t="shared" si="2"/>
        <v>-11040300</v>
      </c>
      <c r="M21" s="46">
        <v>2033085.8832</v>
      </c>
      <c r="N21" s="46">
        <v>2773900</v>
      </c>
      <c r="P21">
        <f t="shared" si="3"/>
        <v>-740814.11679999996</v>
      </c>
      <c r="Q21" s="8">
        <v>11939000</v>
      </c>
      <c r="R21" s="8">
        <v>15215000</v>
      </c>
    </row>
    <row r="22" spans="1:18" x14ac:dyDescent="0.2">
      <c r="A22">
        <v>2006</v>
      </c>
      <c r="B22">
        <v>8189133.4383999985</v>
      </c>
      <c r="C22">
        <v>54948</v>
      </c>
      <c r="E22">
        <v>554000</v>
      </c>
      <c r="F22">
        <v>8492144.6399999987</v>
      </c>
      <c r="G22">
        <v>-15176806.875839997</v>
      </c>
      <c r="I22">
        <v>11945800</v>
      </c>
      <c r="J22">
        <f t="shared" si="4"/>
        <v>2773900</v>
      </c>
      <c r="K22">
        <f t="shared" si="2"/>
        <v>-11070200</v>
      </c>
      <c r="M22" s="46">
        <v>-802063.20160000026</v>
      </c>
      <c r="N22" s="46">
        <v>-29900</v>
      </c>
      <c r="P22">
        <f t="shared" si="3"/>
        <v>-772163.20160000026</v>
      </c>
      <c r="Q22" s="8">
        <v>11917000</v>
      </c>
      <c r="R22" s="8">
        <v>13887000</v>
      </c>
    </row>
    <row r="23" spans="1:18" x14ac:dyDescent="0.2">
      <c r="A23">
        <v>2007</v>
      </c>
      <c r="B23">
        <v>7904993.301599999</v>
      </c>
      <c r="C23">
        <v>55005</v>
      </c>
      <c r="E23">
        <v>555000</v>
      </c>
      <c r="F23">
        <v>8398028.7999999989</v>
      </c>
      <c r="G23">
        <v>-16169837.374239996</v>
      </c>
      <c r="I23">
        <v>11915900</v>
      </c>
      <c r="J23">
        <f t="shared" si="4"/>
        <v>-29900</v>
      </c>
      <c r="K23">
        <f t="shared" si="2"/>
        <v>-11060600</v>
      </c>
      <c r="M23" s="46">
        <v>-993030.49839999992</v>
      </c>
      <c r="N23" s="46">
        <v>9600</v>
      </c>
      <c r="P23">
        <f t="shared" si="3"/>
        <v>-1002630.4983999999</v>
      </c>
      <c r="Q23" s="8">
        <v>11929000</v>
      </c>
      <c r="R23" s="8">
        <v>12505000</v>
      </c>
    </row>
    <row r="24" spans="1:18" x14ac:dyDescent="0.2">
      <c r="A24">
        <v>2008</v>
      </c>
      <c r="B24">
        <v>11829454.391519999</v>
      </c>
      <c r="C24">
        <v>62700</v>
      </c>
      <c r="E24">
        <v>633000</v>
      </c>
      <c r="F24">
        <v>9136476.1600000001</v>
      </c>
      <c r="G24">
        <v>-14047159.142719997</v>
      </c>
      <c r="I24">
        <v>11925500</v>
      </c>
      <c r="J24">
        <f t="shared" si="4"/>
        <v>9600</v>
      </c>
      <c r="K24">
        <f t="shared" si="2"/>
        <v>-8488500</v>
      </c>
      <c r="M24" s="46">
        <v>2122678.231519999</v>
      </c>
      <c r="N24" s="46">
        <v>2572100</v>
      </c>
      <c r="P24">
        <f t="shared" si="3"/>
        <v>-449421.76848000102</v>
      </c>
      <c r="Q24" s="8">
        <v>14509000</v>
      </c>
      <c r="R24" s="8">
        <v>12013000</v>
      </c>
    </row>
    <row r="25" spans="1:18" x14ac:dyDescent="0.2">
      <c r="A25">
        <v>2009</v>
      </c>
      <c r="B25">
        <v>9774733.9710399993</v>
      </c>
      <c r="C25">
        <v>66120</v>
      </c>
      <c r="E25">
        <v>667000</v>
      </c>
      <c r="F25">
        <v>8398028.7999999989</v>
      </c>
      <c r="G25">
        <v>-13271333.971679997</v>
      </c>
      <c r="I25">
        <v>14497600</v>
      </c>
      <c r="J25">
        <f t="shared" si="4"/>
        <v>2572100</v>
      </c>
      <c r="K25">
        <f t="shared" si="2"/>
        <v>-7531200</v>
      </c>
      <c r="M25" s="46">
        <v>775825.17104000039</v>
      </c>
      <c r="N25" s="46">
        <v>957300</v>
      </c>
      <c r="P25">
        <f t="shared" si="3"/>
        <v>-181474.82895999961</v>
      </c>
      <c r="Q25" s="8">
        <v>15463000</v>
      </c>
      <c r="R25" s="8">
        <v>10933000</v>
      </c>
    </row>
    <row r="26" spans="1:18" x14ac:dyDescent="0.2">
      <c r="A26">
        <v>2010</v>
      </c>
      <c r="B26">
        <v>8264286.6945599997</v>
      </c>
      <c r="C26">
        <v>65208</v>
      </c>
      <c r="E26">
        <v>658000</v>
      </c>
      <c r="F26">
        <v>8419747.8399999999</v>
      </c>
      <c r="G26">
        <v>-14019587.117119998</v>
      </c>
      <c r="I26">
        <v>15454900</v>
      </c>
      <c r="J26">
        <f t="shared" si="4"/>
        <v>957300</v>
      </c>
      <c r="K26">
        <f t="shared" si="2"/>
        <v>-7725000</v>
      </c>
      <c r="M26" s="46">
        <v>-748253.14544000011</v>
      </c>
      <c r="N26" s="46">
        <v>-193800</v>
      </c>
      <c r="P26">
        <f t="shared" si="3"/>
        <v>-554453.14544000011</v>
      </c>
      <c r="Q26" s="8">
        <v>15267000</v>
      </c>
      <c r="R26" s="8">
        <v>10092000</v>
      </c>
    </row>
    <row r="27" spans="1:18" x14ac:dyDescent="0.2">
      <c r="A27">
        <v>2011</v>
      </c>
      <c r="B27">
        <v>15204208.268000001</v>
      </c>
      <c r="C27">
        <v>72447</v>
      </c>
      <c r="E27">
        <v>731000</v>
      </c>
      <c r="F27">
        <v>12727357.439999999</v>
      </c>
      <c r="G27">
        <v>-12201289.289119996</v>
      </c>
      <c r="I27">
        <v>15261100</v>
      </c>
      <c r="J27">
        <f t="shared" si="4"/>
        <v>-193800</v>
      </c>
      <c r="K27">
        <f t="shared" si="2"/>
        <v>-5408000</v>
      </c>
      <c r="M27" s="46">
        <v>1818297.8280000016</v>
      </c>
      <c r="N27" s="46">
        <v>2317000</v>
      </c>
      <c r="P27">
        <f t="shared" si="3"/>
        <v>-498702.17199999839</v>
      </c>
      <c r="Q27" s="8">
        <v>17593000</v>
      </c>
      <c r="R27" s="8">
        <v>12977000</v>
      </c>
    </row>
    <row r="28" spans="1:18" x14ac:dyDescent="0.2">
      <c r="A28">
        <v>2012</v>
      </c>
      <c r="B28">
        <v>5915181.5678399997</v>
      </c>
      <c r="C28">
        <v>60990</v>
      </c>
      <c r="E28">
        <v>615000</v>
      </c>
      <c r="F28">
        <v>9498460.1600000001</v>
      </c>
      <c r="G28">
        <v>-16338577.881279998</v>
      </c>
      <c r="I28">
        <v>17578100</v>
      </c>
      <c r="J28">
        <f t="shared" si="4"/>
        <v>2317000</v>
      </c>
      <c r="K28">
        <f t="shared" si="2"/>
        <v>-9065400</v>
      </c>
      <c r="M28" s="46">
        <v>-4137288.5921600005</v>
      </c>
      <c r="N28" s="46">
        <v>-3657400</v>
      </c>
      <c r="P28">
        <f t="shared" si="3"/>
        <v>-479888.59216000047</v>
      </c>
      <c r="Q28" s="8">
        <v>13929000</v>
      </c>
      <c r="R28" s="8">
        <v>13135000</v>
      </c>
    </row>
    <row r="29" spans="1:18" x14ac:dyDescent="0.2">
      <c r="A29">
        <v>2013</v>
      </c>
      <c r="B29">
        <v>5090104.5795199992</v>
      </c>
      <c r="C29">
        <v>51699</v>
      </c>
      <c r="E29">
        <v>522000</v>
      </c>
      <c r="F29">
        <v>8260474.8799999999</v>
      </c>
      <c r="G29">
        <v>-19979249.181759998</v>
      </c>
      <c r="I29">
        <v>13920700</v>
      </c>
      <c r="J29">
        <f t="shared" si="4"/>
        <v>-3657400</v>
      </c>
      <c r="K29">
        <f t="shared" si="2"/>
        <v>-12052100</v>
      </c>
      <c r="M29" s="46">
        <v>-3640671.3004800007</v>
      </c>
      <c r="N29" s="46">
        <v>-2986700</v>
      </c>
      <c r="P29">
        <f t="shared" si="3"/>
        <v>-653971.30048000067</v>
      </c>
      <c r="Q29" s="8">
        <v>10934000</v>
      </c>
      <c r="R29" s="8">
        <v>12362000</v>
      </c>
    </row>
    <row r="30" spans="1:18" x14ac:dyDescent="0.2">
      <c r="A30">
        <v>2014</v>
      </c>
      <c r="B30">
        <v>8702477.9475200009</v>
      </c>
      <c r="C30">
        <v>56031</v>
      </c>
      <c r="E30">
        <v>565000</v>
      </c>
      <c r="F30">
        <v>7565465.5999999996</v>
      </c>
      <c r="G30">
        <v>-19351205.834239997</v>
      </c>
      <c r="I30">
        <v>10934000</v>
      </c>
      <c r="J30">
        <f t="shared" si="4"/>
        <v>-2986700</v>
      </c>
      <c r="K30">
        <f t="shared" si="2"/>
        <v>-10687700</v>
      </c>
      <c r="M30" s="46">
        <v>628043.34752000123</v>
      </c>
      <c r="N30" s="46">
        <v>1364400</v>
      </c>
      <c r="P30">
        <f t="shared" si="3"/>
        <v>-736356.65247999877</v>
      </c>
      <c r="Q30" s="8">
        <v>12286000</v>
      </c>
      <c r="R30" s="8">
        <v>10121000</v>
      </c>
    </row>
    <row r="31" spans="1:18" x14ac:dyDescent="0.2">
      <c r="A31">
        <v>2015</v>
      </c>
      <c r="B31">
        <v>9258413.6743999999</v>
      </c>
      <c r="C31">
        <v>56430</v>
      </c>
      <c r="E31">
        <v>569000</v>
      </c>
      <c r="F31">
        <v>9136476.1600000001</v>
      </c>
      <c r="G31">
        <v>-19741838.319839999</v>
      </c>
      <c r="I31">
        <v>12298400</v>
      </c>
      <c r="J31">
        <f t="shared" si="4"/>
        <v>1364400</v>
      </c>
      <c r="K31">
        <f t="shared" si="2"/>
        <v>-10663100</v>
      </c>
      <c r="M31" s="46">
        <v>-390632.48560000025</v>
      </c>
      <c r="N31" s="46">
        <v>24600</v>
      </c>
      <c r="P31">
        <f t="shared" si="3"/>
        <v>-415232.48560000025</v>
      </c>
      <c r="Q31" s="8">
        <v>12333000</v>
      </c>
      <c r="R31" s="8">
        <v>9854000</v>
      </c>
    </row>
    <row r="32" spans="1:18" x14ac:dyDescent="0.2">
      <c r="A32">
        <v>2016</v>
      </c>
      <c r="B32">
        <v>9740483.5671999995</v>
      </c>
      <c r="C32">
        <v>57969</v>
      </c>
      <c r="E32">
        <v>585000</v>
      </c>
      <c r="F32">
        <v>9093038.0800000001</v>
      </c>
      <c r="G32">
        <v>-19621423.83264</v>
      </c>
      <c r="I32">
        <v>12323000</v>
      </c>
      <c r="J32">
        <f t="shared" si="4"/>
        <v>24600</v>
      </c>
      <c r="K32">
        <f t="shared" si="2"/>
        <v>-10163000</v>
      </c>
      <c r="M32" s="46">
        <v>120414.48719999939</v>
      </c>
      <c r="N32" s="46">
        <v>500100</v>
      </c>
      <c r="P32">
        <f t="shared" si="3"/>
        <v>-379685.51280000061</v>
      </c>
      <c r="Q32" s="8">
        <v>12824000</v>
      </c>
      <c r="R32" s="8">
        <v>9620000</v>
      </c>
    </row>
    <row r="33" spans="1:18" x14ac:dyDescent="0.2">
      <c r="A33">
        <v>2017</v>
      </c>
      <c r="B33">
        <v>11177373.874239998</v>
      </c>
      <c r="C33">
        <v>63555</v>
      </c>
      <c r="E33">
        <v>641000</v>
      </c>
      <c r="F33">
        <v>9150955.5199999996</v>
      </c>
      <c r="G33">
        <v>-18172450.478399999</v>
      </c>
      <c r="I33">
        <v>12823100</v>
      </c>
      <c r="J33">
        <f t="shared" si="4"/>
        <v>500100</v>
      </c>
      <c r="K33">
        <f t="shared" si="2"/>
        <v>-8310600</v>
      </c>
      <c r="M33" s="46">
        <v>1448973.3542399984</v>
      </c>
      <c r="N33" s="46">
        <v>1852400</v>
      </c>
      <c r="P33">
        <f t="shared" si="3"/>
        <v>-403426.64576000161</v>
      </c>
      <c r="Q33" s="8">
        <v>14664000</v>
      </c>
      <c r="R33" s="8">
        <v>10090000</v>
      </c>
    </row>
    <row r="34" spans="1:18" x14ac:dyDescent="0.2">
      <c r="A34">
        <v>2018</v>
      </c>
      <c r="B34">
        <v>5935272.4782399992</v>
      </c>
      <c r="C34">
        <v>52953</v>
      </c>
      <c r="E34">
        <v>534000</v>
      </c>
      <c r="F34">
        <v>9158195.1999999993</v>
      </c>
      <c r="G34">
        <v>-21876420.20016</v>
      </c>
      <c r="I34">
        <v>14675500</v>
      </c>
      <c r="J34">
        <f t="shared" si="4"/>
        <v>1852400</v>
      </c>
      <c r="K34">
        <f t="shared" si="2"/>
        <v>-11958400</v>
      </c>
      <c r="M34" s="46">
        <v>-3703969.7217600001</v>
      </c>
      <c r="N34" s="46">
        <v>-3647800</v>
      </c>
      <c r="P34">
        <f t="shared" si="3"/>
        <v>-56169.721760000102</v>
      </c>
      <c r="Q34" s="8">
        <v>11028000</v>
      </c>
      <c r="R34" s="8">
        <v>9870000</v>
      </c>
    </row>
    <row r="35" spans="1:18" x14ac:dyDescent="0.2">
      <c r="I35">
        <v>11027700</v>
      </c>
      <c r="J35">
        <f t="shared" si="4"/>
        <v>-3647800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238F2-CE6E-A04E-ADAA-6228A36FFBC8}">
  <dimension ref="A1:O34"/>
  <sheetViews>
    <sheetView workbookViewId="0">
      <selection activeCell="G1" sqref="G1"/>
    </sheetView>
  </sheetViews>
  <sheetFormatPr baseColWidth="10" defaultRowHeight="16" x14ac:dyDescent="0.2"/>
  <cols>
    <col min="7" max="7" width="14" bestFit="1" customWidth="1"/>
  </cols>
  <sheetData>
    <row r="1" spans="1:15" x14ac:dyDescent="0.2">
      <c r="A1" t="s">
        <v>47</v>
      </c>
      <c r="B1">
        <v>9404200</v>
      </c>
      <c r="C1">
        <v>60</v>
      </c>
      <c r="D1">
        <v>5370</v>
      </c>
      <c r="E1">
        <v>2000</v>
      </c>
      <c r="F1">
        <v>40.9</v>
      </c>
      <c r="G1" s="8">
        <f>F1*723.968</f>
        <v>29610.291199999996</v>
      </c>
      <c r="J1" t="s">
        <v>47</v>
      </c>
      <c r="K1">
        <v>9185600</v>
      </c>
      <c r="L1">
        <v>60</v>
      </c>
      <c r="M1">
        <v>142765</v>
      </c>
      <c r="N1">
        <v>2016</v>
      </c>
      <c r="O1">
        <v>6298</v>
      </c>
    </row>
    <row r="2" spans="1:15" x14ac:dyDescent="0.2">
      <c r="A2" t="s">
        <v>47</v>
      </c>
      <c r="B2">
        <v>9404200</v>
      </c>
      <c r="C2">
        <v>60</v>
      </c>
      <c r="D2">
        <v>5370</v>
      </c>
      <c r="E2">
        <v>2001</v>
      </c>
      <c r="F2">
        <v>43.6</v>
      </c>
      <c r="G2" s="8">
        <f t="shared" ref="G2:G20" si="0">F2*723.968</f>
        <v>31565.004799999999</v>
      </c>
      <c r="J2" t="s">
        <v>47</v>
      </c>
      <c r="K2">
        <v>9185600</v>
      </c>
      <c r="L2">
        <v>60</v>
      </c>
      <c r="M2">
        <v>142765</v>
      </c>
      <c r="N2">
        <v>2017</v>
      </c>
      <c r="O2">
        <v>6645</v>
      </c>
    </row>
    <row r="3" spans="1:15" x14ac:dyDescent="0.2">
      <c r="A3" t="s">
        <v>47</v>
      </c>
      <c r="B3">
        <v>9404200</v>
      </c>
      <c r="C3">
        <v>60</v>
      </c>
      <c r="D3">
        <v>5370</v>
      </c>
      <c r="E3">
        <v>2002</v>
      </c>
      <c r="F3">
        <v>18.3</v>
      </c>
      <c r="G3" s="8">
        <f t="shared" si="0"/>
        <v>13248.6144</v>
      </c>
      <c r="J3" t="s">
        <v>47</v>
      </c>
      <c r="K3">
        <v>9185600</v>
      </c>
      <c r="L3">
        <v>60</v>
      </c>
      <c r="M3">
        <v>142765</v>
      </c>
      <c r="N3">
        <v>2018</v>
      </c>
      <c r="O3">
        <v>3478</v>
      </c>
    </row>
    <row r="4" spans="1:15" x14ac:dyDescent="0.2">
      <c r="A4" t="s">
        <v>47</v>
      </c>
      <c r="B4">
        <v>9404200</v>
      </c>
      <c r="C4">
        <v>60</v>
      </c>
      <c r="D4">
        <v>5370</v>
      </c>
      <c r="E4">
        <v>2003</v>
      </c>
      <c r="F4">
        <v>11.8</v>
      </c>
      <c r="G4" s="8">
        <f t="shared" si="0"/>
        <v>8542.8224000000009</v>
      </c>
    </row>
    <row r="5" spans="1:15" x14ac:dyDescent="0.2">
      <c r="A5" t="s">
        <v>47</v>
      </c>
      <c r="B5">
        <v>9404200</v>
      </c>
      <c r="C5">
        <v>60</v>
      </c>
      <c r="D5">
        <v>5370</v>
      </c>
      <c r="E5">
        <v>2004</v>
      </c>
      <c r="F5">
        <v>15.7</v>
      </c>
      <c r="G5" s="8">
        <f t="shared" si="0"/>
        <v>11366.297599999998</v>
      </c>
      <c r="O5">
        <f>AVERAGE(O1:O3)</f>
        <v>5473.666666666667</v>
      </c>
    </row>
    <row r="6" spans="1:15" x14ac:dyDescent="0.2">
      <c r="A6" t="s">
        <v>47</v>
      </c>
      <c r="B6">
        <v>9404200</v>
      </c>
      <c r="C6">
        <v>60</v>
      </c>
      <c r="D6">
        <v>5370</v>
      </c>
      <c r="E6">
        <v>2005</v>
      </c>
      <c r="F6">
        <v>132.19999999999999</v>
      </c>
      <c r="G6" s="8">
        <f t="shared" si="0"/>
        <v>95708.569599999988</v>
      </c>
    </row>
    <row r="7" spans="1:15" x14ac:dyDescent="0.2">
      <c r="A7" t="s">
        <v>47</v>
      </c>
      <c r="B7">
        <v>9404200</v>
      </c>
      <c r="C7">
        <v>60</v>
      </c>
      <c r="D7">
        <v>5370</v>
      </c>
      <c r="E7">
        <v>2006</v>
      </c>
      <c r="F7">
        <v>12450</v>
      </c>
      <c r="G7" s="8">
        <f t="shared" si="0"/>
        <v>9013401.5999999996</v>
      </c>
    </row>
    <row r="8" spans="1:15" x14ac:dyDescent="0.2">
      <c r="A8" t="s">
        <v>47</v>
      </c>
      <c r="B8">
        <v>9404200</v>
      </c>
      <c r="C8">
        <v>60</v>
      </c>
      <c r="D8">
        <v>5370</v>
      </c>
      <c r="E8">
        <v>2007</v>
      </c>
      <c r="F8">
        <v>12710</v>
      </c>
      <c r="G8" s="8">
        <f t="shared" si="0"/>
        <v>9201633.2799999993</v>
      </c>
    </row>
    <row r="9" spans="1:15" x14ac:dyDescent="0.2">
      <c r="A9" t="s">
        <v>47</v>
      </c>
      <c r="B9">
        <v>9404200</v>
      </c>
      <c r="C9">
        <v>60</v>
      </c>
      <c r="D9">
        <v>5370</v>
      </c>
      <c r="E9">
        <v>2008</v>
      </c>
      <c r="F9">
        <v>13850</v>
      </c>
      <c r="G9" s="8">
        <f t="shared" si="0"/>
        <v>10026956.799999999</v>
      </c>
    </row>
    <row r="10" spans="1:15" x14ac:dyDescent="0.2">
      <c r="A10" t="s">
        <v>47</v>
      </c>
      <c r="B10">
        <v>9404200</v>
      </c>
      <c r="C10">
        <v>60</v>
      </c>
      <c r="D10">
        <v>5370</v>
      </c>
      <c r="E10">
        <v>2009</v>
      </c>
      <c r="F10">
        <v>12840</v>
      </c>
      <c r="G10" s="8">
        <f t="shared" si="0"/>
        <v>9295749.1199999992</v>
      </c>
    </row>
    <row r="11" spans="1:15" x14ac:dyDescent="0.2">
      <c r="A11" t="s">
        <v>47</v>
      </c>
      <c r="B11">
        <v>9404200</v>
      </c>
      <c r="C11">
        <v>60</v>
      </c>
      <c r="D11">
        <v>5370</v>
      </c>
      <c r="E11">
        <v>2010</v>
      </c>
      <c r="F11">
        <v>13100</v>
      </c>
      <c r="G11" s="8">
        <f t="shared" si="0"/>
        <v>9483980.7999999989</v>
      </c>
    </row>
    <row r="12" spans="1:15" x14ac:dyDescent="0.2">
      <c r="A12" t="s">
        <v>47</v>
      </c>
      <c r="B12">
        <v>9404200</v>
      </c>
      <c r="C12">
        <v>60</v>
      </c>
      <c r="D12">
        <v>5370</v>
      </c>
      <c r="E12">
        <v>2011</v>
      </c>
      <c r="F12">
        <v>18600</v>
      </c>
      <c r="G12" s="8">
        <f t="shared" si="0"/>
        <v>13465804.799999999</v>
      </c>
    </row>
    <row r="13" spans="1:15" x14ac:dyDescent="0.2">
      <c r="A13" t="s">
        <v>47</v>
      </c>
      <c r="B13">
        <v>9404200</v>
      </c>
      <c r="C13">
        <v>60</v>
      </c>
      <c r="D13">
        <v>5370</v>
      </c>
      <c r="E13">
        <v>2012</v>
      </c>
      <c r="F13">
        <v>14180</v>
      </c>
      <c r="G13" s="8">
        <f t="shared" si="0"/>
        <v>10265866.24</v>
      </c>
    </row>
    <row r="14" spans="1:15" x14ac:dyDescent="0.2">
      <c r="A14" t="s">
        <v>47</v>
      </c>
      <c r="B14">
        <v>9404200</v>
      </c>
      <c r="C14">
        <v>60</v>
      </c>
      <c r="D14">
        <v>5370</v>
      </c>
      <c r="E14">
        <v>2013</v>
      </c>
      <c r="F14">
        <v>12700</v>
      </c>
      <c r="G14" s="8">
        <f t="shared" si="0"/>
        <v>9194393.5999999996</v>
      </c>
    </row>
    <row r="15" spans="1:15" x14ac:dyDescent="0.2">
      <c r="A15" t="s">
        <v>47</v>
      </c>
      <c r="B15">
        <v>9404200</v>
      </c>
      <c r="C15">
        <v>60</v>
      </c>
      <c r="D15">
        <v>5370</v>
      </c>
      <c r="E15">
        <v>2014</v>
      </c>
      <c r="F15">
        <v>11560</v>
      </c>
      <c r="G15" s="8">
        <f t="shared" si="0"/>
        <v>8369070.0799999991</v>
      </c>
      <c r="J15" t="s">
        <v>47</v>
      </c>
      <c r="K15">
        <v>9146020</v>
      </c>
      <c r="L15">
        <v>60</v>
      </c>
      <c r="M15">
        <v>18974</v>
      </c>
      <c r="N15">
        <v>2002</v>
      </c>
      <c r="O15">
        <v>59.1</v>
      </c>
    </row>
    <row r="16" spans="1:15" x14ac:dyDescent="0.2">
      <c r="A16" t="s">
        <v>47</v>
      </c>
      <c r="B16">
        <v>9315000</v>
      </c>
      <c r="C16">
        <v>60</v>
      </c>
      <c r="D16">
        <v>143107</v>
      </c>
      <c r="E16">
        <v>2015</v>
      </c>
      <c r="F16">
        <v>4680</v>
      </c>
      <c r="G16" s="8">
        <f t="shared" si="0"/>
        <v>3388170.2399999998</v>
      </c>
      <c r="J16" t="s">
        <v>47</v>
      </c>
      <c r="K16">
        <v>9146020</v>
      </c>
      <c r="L16">
        <v>60</v>
      </c>
      <c r="M16">
        <v>18974</v>
      </c>
      <c r="N16">
        <v>2003</v>
      </c>
      <c r="O16">
        <v>108.9</v>
      </c>
    </row>
    <row r="17" spans="1:15" x14ac:dyDescent="0.2">
      <c r="A17" t="s">
        <v>47</v>
      </c>
      <c r="B17">
        <v>9315000</v>
      </c>
      <c r="C17">
        <v>60</v>
      </c>
      <c r="D17">
        <v>143107</v>
      </c>
      <c r="E17">
        <v>2016</v>
      </c>
      <c r="F17">
        <v>6298</v>
      </c>
      <c r="G17" s="8">
        <f t="shared" si="0"/>
        <v>4559550.4639999997</v>
      </c>
      <c r="J17" t="s">
        <v>47</v>
      </c>
      <c r="K17">
        <v>9146020</v>
      </c>
      <c r="L17">
        <v>60</v>
      </c>
      <c r="M17">
        <v>18974</v>
      </c>
      <c r="N17">
        <v>2004</v>
      </c>
      <c r="O17">
        <v>114.9</v>
      </c>
    </row>
    <row r="18" spans="1:15" x14ac:dyDescent="0.2">
      <c r="A18" t="s">
        <v>47</v>
      </c>
      <c r="B18">
        <v>9315000</v>
      </c>
      <c r="C18">
        <v>60</v>
      </c>
      <c r="D18">
        <v>143107</v>
      </c>
      <c r="E18">
        <v>2017</v>
      </c>
      <c r="F18">
        <v>6645</v>
      </c>
      <c r="G18" s="8">
        <f t="shared" si="0"/>
        <v>4810767.3599999994</v>
      </c>
      <c r="J18" t="s">
        <v>47</v>
      </c>
      <c r="K18">
        <v>9146020</v>
      </c>
      <c r="L18">
        <v>60</v>
      </c>
      <c r="M18">
        <v>18974</v>
      </c>
      <c r="N18">
        <v>2005</v>
      </c>
      <c r="O18">
        <v>147.1</v>
      </c>
    </row>
    <row r="19" spans="1:15" x14ac:dyDescent="0.2">
      <c r="A19" t="s">
        <v>47</v>
      </c>
      <c r="B19">
        <v>9315000</v>
      </c>
      <c r="C19">
        <v>60</v>
      </c>
      <c r="D19">
        <v>143107</v>
      </c>
      <c r="E19">
        <v>2018</v>
      </c>
      <c r="F19">
        <v>3478</v>
      </c>
      <c r="G19" s="8">
        <f t="shared" si="0"/>
        <v>2517960.7039999999</v>
      </c>
      <c r="J19" t="s">
        <v>47</v>
      </c>
      <c r="K19">
        <v>9146020</v>
      </c>
      <c r="L19">
        <v>60</v>
      </c>
      <c r="M19">
        <v>18974</v>
      </c>
      <c r="N19">
        <v>2006</v>
      </c>
      <c r="O19">
        <v>119.9</v>
      </c>
    </row>
    <row r="20" spans="1:15" x14ac:dyDescent="0.2">
      <c r="A20" t="s">
        <v>47</v>
      </c>
      <c r="B20">
        <v>9315000</v>
      </c>
      <c r="C20">
        <v>60</v>
      </c>
      <c r="D20">
        <v>143107</v>
      </c>
      <c r="E20">
        <v>2019</v>
      </c>
      <c r="F20">
        <v>5946</v>
      </c>
      <c r="G20" s="8">
        <f t="shared" si="0"/>
        <v>4304713.7280000001</v>
      </c>
      <c r="J20" t="s">
        <v>47</v>
      </c>
      <c r="K20">
        <v>9146020</v>
      </c>
      <c r="L20">
        <v>60</v>
      </c>
      <c r="M20">
        <v>18974</v>
      </c>
      <c r="N20">
        <v>2007</v>
      </c>
      <c r="O20">
        <v>158.1</v>
      </c>
    </row>
    <row r="21" spans="1:15" x14ac:dyDescent="0.2">
      <c r="F21" s="19">
        <f>AVERAGE(F16:F19)</f>
        <v>5275.25</v>
      </c>
      <c r="G21" s="8">
        <f>ROUND(AVERAGE(G1:G5),-3)</f>
        <v>19000</v>
      </c>
      <c r="J21" t="s">
        <v>47</v>
      </c>
      <c r="K21">
        <v>9146020</v>
      </c>
      <c r="L21">
        <v>60</v>
      </c>
      <c r="M21">
        <v>18974</v>
      </c>
      <c r="N21">
        <v>2008</v>
      </c>
      <c r="O21">
        <v>166.3</v>
      </c>
    </row>
    <row r="22" spans="1:15" x14ac:dyDescent="0.2">
      <c r="J22" t="s">
        <v>47</v>
      </c>
      <c r="K22">
        <v>9146020</v>
      </c>
      <c r="L22">
        <v>60</v>
      </c>
      <c r="M22">
        <v>18974</v>
      </c>
      <c r="N22">
        <v>2009</v>
      </c>
      <c r="O22">
        <v>130.69999999999999</v>
      </c>
    </row>
    <row r="23" spans="1:15" x14ac:dyDescent="0.2">
      <c r="A23" t="s">
        <v>47</v>
      </c>
      <c r="B23">
        <v>9168730</v>
      </c>
      <c r="C23">
        <v>60</v>
      </c>
      <c r="D23">
        <v>19100</v>
      </c>
      <c r="E23">
        <v>2000</v>
      </c>
      <c r="F23">
        <v>161.5</v>
      </c>
      <c r="J23" t="s">
        <v>47</v>
      </c>
      <c r="K23">
        <v>9146020</v>
      </c>
      <c r="L23">
        <v>60</v>
      </c>
      <c r="M23">
        <v>18974</v>
      </c>
      <c r="N23">
        <v>2010</v>
      </c>
      <c r="O23">
        <v>132.9</v>
      </c>
    </row>
    <row r="24" spans="1:15" x14ac:dyDescent="0.2">
      <c r="A24" t="s">
        <v>47</v>
      </c>
      <c r="B24">
        <v>9168730</v>
      </c>
      <c r="C24">
        <v>60</v>
      </c>
      <c r="D24">
        <v>19100</v>
      </c>
      <c r="E24">
        <v>2009</v>
      </c>
      <c r="F24">
        <v>120.2</v>
      </c>
      <c r="J24" t="s">
        <v>47</v>
      </c>
      <c r="K24">
        <v>9146020</v>
      </c>
      <c r="L24">
        <v>60</v>
      </c>
      <c r="M24">
        <v>18974</v>
      </c>
      <c r="N24">
        <v>2011</v>
      </c>
      <c r="O24">
        <v>157.5</v>
      </c>
    </row>
    <row r="25" spans="1:15" x14ac:dyDescent="0.2">
      <c r="A25" t="s">
        <v>47</v>
      </c>
      <c r="B25">
        <v>9168730</v>
      </c>
      <c r="C25">
        <v>60</v>
      </c>
      <c r="D25">
        <v>19100</v>
      </c>
      <c r="E25">
        <v>2010</v>
      </c>
      <c r="F25">
        <v>120.4</v>
      </c>
      <c r="J25" t="s">
        <v>47</v>
      </c>
      <c r="K25">
        <v>9146020</v>
      </c>
      <c r="L25">
        <v>60</v>
      </c>
      <c r="M25">
        <v>18974</v>
      </c>
      <c r="N25">
        <v>2012</v>
      </c>
      <c r="O25">
        <v>79.400000000000006</v>
      </c>
    </row>
    <row r="26" spans="1:15" x14ac:dyDescent="0.2">
      <c r="A26" t="s">
        <v>47</v>
      </c>
      <c r="B26">
        <v>9168730</v>
      </c>
      <c r="C26">
        <v>60</v>
      </c>
      <c r="D26">
        <v>19100</v>
      </c>
      <c r="E26">
        <v>2011</v>
      </c>
      <c r="F26">
        <v>136.9</v>
      </c>
      <c r="J26" t="s">
        <v>47</v>
      </c>
      <c r="K26">
        <v>9146020</v>
      </c>
      <c r="L26">
        <v>60</v>
      </c>
      <c r="M26">
        <v>18974</v>
      </c>
      <c r="N26">
        <v>2013</v>
      </c>
      <c r="O26">
        <v>89.8</v>
      </c>
    </row>
    <row r="27" spans="1:15" x14ac:dyDescent="0.2">
      <c r="A27" t="s">
        <v>47</v>
      </c>
      <c r="B27">
        <v>9168730</v>
      </c>
      <c r="C27">
        <v>60</v>
      </c>
      <c r="D27">
        <v>19100</v>
      </c>
      <c r="E27">
        <v>2012</v>
      </c>
      <c r="F27">
        <v>62</v>
      </c>
      <c r="J27" t="s">
        <v>47</v>
      </c>
      <c r="K27">
        <v>9146020</v>
      </c>
      <c r="L27">
        <v>60</v>
      </c>
      <c r="M27">
        <v>18974</v>
      </c>
      <c r="N27">
        <v>2014</v>
      </c>
      <c r="O27">
        <v>148.5</v>
      </c>
    </row>
    <row r="28" spans="1:15" x14ac:dyDescent="0.2">
      <c r="A28" t="s">
        <v>47</v>
      </c>
      <c r="B28">
        <v>9168730</v>
      </c>
      <c r="C28">
        <v>60</v>
      </c>
      <c r="D28">
        <v>19100</v>
      </c>
      <c r="E28">
        <v>2013</v>
      </c>
      <c r="F28">
        <v>30.8</v>
      </c>
      <c r="J28" t="s">
        <v>47</v>
      </c>
      <c r="K28">
        <v>9146020</v>
      </c>
      <c r="L28">
        <v>60</v>
      </c>
      <c r="M28">
        <v>18974</v>
      </c>
      <c r="N28">
        <v>2015</v>
      </c>
      <c r="O28">
        <v>130.4</v>
      </c>
    </row>
    <row r="29" spans="1:15" x14ac:dyDescent="0.2">
      <c r="A29" t="s">
        <v>47</v>
      </c>
      <c r="B29">
        <v>9168730</v>
      </c>
      <c r="C29">
        <v>60</v>
      </c>
      <c r="D29">
        <v>19100</v>
      </c>
      <c r="E29">
        <v>2014</v>
      </c>
      <c r="F29">
        <v>44.7</v>
      </c>
      <c r="J29" t="s">
        <v>47</v>
      </c>
      <c r="K29">
        <v>9146020</v>
      </c>
      <c r="L29">
        <v>60</v>
      </c>
      <c r="M29">
        <v>18974</v>
      </c>
      <c r="N29">
        <v>2016</v>
      </c>
      <c r="O29">
        <v>133.9</v>
      </c>
    </row>
    <row r="30" spans="1:15" x14ac:dyDescent="0.2">
      <c r="A30" t="s">
        <v>47</v>
      </c>
      <c r="B30">
        <v>9168730</v>
      </c>
      <c r="C30">
        <v>60</v>
      </c>
      <c r="D30">
        <v>19100</v>
      </c>
      <c r="E30">
        <v>2015</v>
      </c>
      <c r="F30">
        <v>52.3</v>
      </c>
      <c r="J30" t="s">
        <v>47</v>
      </c>
      <c r="K30">
        <v>9146020</v>
      </c>
      <c r="L30">
        <v>60</v>
      </c>
      <c r="M30">
        <v>18974</v>
      </c>
      <c r="N30">
        <v>2017</v>
      </c>
      <c r="O30">
        <v>154.69999999999999</v>
      </c>
    </row>
    <row r="31" spans="1:15" x14ac:dyDescent="0.2">
      <c r="A31" t="s">
        <v>47</v>
      </c>
      <c r="B31">
        <v>9168730</v>
      </c>
      <c r="C31">
        <v>60</v>
      </c>
      <c r="D31">
        <v>19100</v>
      </c>
      <c r="E31">
        <v>2016</v>
      </c>
      <c r="F31">
        <v>104.1</v>
      </c>
      <c r="J31" t="s">
        <v>47</v>
      </c>
      <c r="K31">
        <v>9146020</v>
      </c>
      <c r="L31">
        <v>60</v>
      </c>
      <c r="M31">
        <v>18974</v>
      </c>
      <c r="N31">
        <v>2018</v>
      </c>
      <c r="O31">
        <v>69.2</v>
      </c>
    </row>
    <row r="32" spans="1:15" x14ac:dyDescent="0.2">
      <c r="A32" t="s">
        <v>47</v>
      </c>
      <c r="B32">
        <v>9168730</v>
      </c>
      <c r="C32">
        <v>60</v>
      </c>
      <c r="D32">
        <v>19100</v>
      </c>
      <c r="E32">
        <v>2017</v>
      </c>
      <c r="F32">
        <v>349.4</v>
      </c>
      <c r="O32">
        <f>AVERAGE(O13:O31)</f>
        <v>123.60588235294119</v>
      </c>
    </row>
    <row r="34" spans="6:6" x14ac:dyDescent="0.2">
      <c r="F34">
        <f>AVERAGE(F23:F32)</f>
        <v>118.22999999999999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673BC-FB69-6F42-8E16-D5C1F195A819}">
  <dimension ref="A1:AO105"/>
  <sheetViews>
    <sheetView workbookViewId="0">
      <pane xSplit="3040" ySplit="1760" topLeftCell="Z57" activePane="bottomRight"/>
      <selection activeCell="V81" sqref="V81"/>
      <selection pane="topRight" activeCell="B1" sqref="B1:C1048576"/>
      <selection pane="bottomLeft" activeCell="A94" sqref="A94"/>
      <selection pane="bottomRight" activeCell="AO72" sqref="AO72"/>
    </sheetView>
  </sheetViews>
  <sheetFormatPr baseColWidth="10" defaultRowHeight="16" x14ac:dyDescent="0.2"/>
  <cols>
    <col min="1" max="1" width="21.5" customWidth="1"/>
    <col min="2" max="2" width="14" bestFit="1" customWidth="1"/>
    <col min="3" max="4" width="13.1640625" bestFit="1" customWidth="1"/>
    <col min="5" max="5" width="13.1640625" style="14" bestFit="1" customWidth="1"/>
    <col min="6" max="6" width="13" style="14" bestFit="1" customWidth="1"/>
    <col min="7" max="15" width="10.5" style="14" bestFit="1" customWidth="1"/>
    <col min="16" max="16" width="15.33203125" customWidth="1"/>
    <col min="17" max="17" width="10.5" style="8" bestFit="1" customWidth="1"/>
    <col min="18" max="22" width="10.5" bestFit="1" customWidth="1"/>
    <col min="24" max="28" width="13" bestFit="1" customWidth="1"/>
    <col min="32" max="34" width="13" bestFit="1" customWidth="1"/>
    <col min="35" max="35" width="13" customWidth="1"/>
    <col min="36" max="36" width="11.5" bestFit="1" customWidth="1"/>
    <col min="37" max="37" width="14" bestFit="1" customWidth="1"/>
  </cols>
  <sheetData>
    <row r="1" spans="1:41" x14ac:dyDescent="0.2">
      <c r="A1" s="21" t="s">
        <v>0</v>
      </c>
      <c r="B1" s="21"/>
      <c r="C1" s="21"/>
      <c r="D1" s="21"/>
    </row>
    <row r="3" spans="1:41" ht="34" x14ac:dyDescent="0.2">
      <c r="B3">
        <v>1986</v>
      </c>
      <c r="C3">
        <v>1987</v>
      </c>
      <c r="D3">
        <v>1988</v>
      </c>
      <c r="E3" s="14">
        <v>1989</v>
      </c>
      <c r="F3" s="14">
        <v>1990</v>
      </c>
      <c r="G3" s="14">
        <v>1991</v>
      </c>
      <c r="H3" s="14">
        <v>1992</v>
      </c>
      <c r="I3" s="14">
        <v>1993</v>
      </c>
      <c r="J3" s="14">
        <v>1994</v>
      </c>
      <c r="K3" s="14">
        <v>1995</v>
      </c>
      <c r="L3" s="14">
        <v>1996</v>
      </c>
      <c r="M3" s="14">
        <v>1997</v>
      </c>
      <c r="N3" s="14">
        <v>1998</v>
      </c>
      <c r="O3" s="14">
        <v>1999</v>
      </c>
      <c r="P3" s="1" t="s">
        <v>365</v>
      </c>
      <c r="Q3" s="30">
        <v>2000</v>
      </c>
      <c r="R3">
        <v>2001</v>
      </c>
      <c r="S3">
        <v>2002</v>
      </c>
      <c r="T3">
        <v>2003</v>
      </c>
      <c r="U3">
        <v>2004</v>
      </c>
      <c r="V3">
        <v>2005</v>
      </c>
      <c r="W3">
        <v>2006</v>
      </c>
      <c r="X3">
        <v>2007</v>
      </c>
      <c r="Y3">
        <v>2008</v>
      </c>
      <c r="Z3">
        <v>2009</v>
      </c>
      <c r="AA3">
        <v>2010</v>
      </c>
      <c r="AB3">
        <v>2011</v>
      </c>
      <c r="AC3">
        <v>2012</v>
      </c>
      <c r="AD3">
        <v>2013</v>
      </c>
      <c r="AE3">
        <v>2014</v>
      </c>
      <c r="AF3">
        <v>2015</v>
      </c>
      <c r="AG3">
        <v>2016</v>
      </c>
      <c r="AH3">
        <v>2017</v>
      </c>
      <c r="AI3">
        <v>2018</v>
      </c>
      <c r="AJ3" s="1" t="s">
        <v>316</v>
      </c>
      <c r="AK3" s="14" t="s">
        <v>46</v>
      </c>
    </row>
    <row r="4" spans="1:41" x14ac:dyDescent="0.2">
      <c r="A4" t="s">
        <v>39</v>
      </c>
    </row>
    <row r="5" spans="1:41" x14ac:dyDescent="0.2">
      <c r="A5" t="s">
        <v>82</v>
      </c>
      <c r="W5">
        <v>8.4</v>
      </c>
      <c r="X5">
        <v>7.5</v>
      </c>
      <c r="Y5">
        <v>8.4</v>
      </c>
      <c r="Z5">
        <v>8.1</v>
      </c>
      <c r="AA5">
        <v>7.6</v>
      </c>
      <c r="AB5">
        <v>7.2</v>
      </c>
      <c r="AC5">
        <v>8.4</v>
      </c>
      <c r="AD5">
        <v>8.4</v>
      </c>
      <c r="AE5">
        <v>6.8</v>
      </c>
      <c r="AF5">
        <v>7.4</v>
      </c>
      <c r="AG5">
        <v>8.1999999999999993</v>
      </c>
      <c r="AH5">
        <v>8.1999999999999993</v>
      </c>
      <c r="AI5">
        <v>8.4</v>
      </c>
      <c r="AJ5" s="20">
        <f>AVERAGE(Q5:AI5)</f>
        <v>7.9230769230769242</v>
      </c>
      <c r="AK5" s="8">
        <f>ROUND(AJ5*1000,-2)</f>
        <v>7900</v>
      </c>
      <c r="AL5" s="9">
        <f>AK5+AK11+AK17+AK22</f>
        <v>189900</v>
      </c>
      <c r="AM5" s="9">
        <f>AK5+AK6+AK7+AK8</f>
        <v>211300</v>
      </c>
      <c r="AO5" s="9">
        <f>AM5+AM11+AM17+AK22</f>
        <v>1461300</v>
      </c>
    </row>
    <row r="6" spans="1:41" x14ac:dyDescent="0.2">
      <c r="A6" t="s">
        <v>40</v>
      </c>
      <c r="Q6" s="8">
        <v>194</v>
      </c>
      <c r="R6">
        <v>180.9</v>
      </c>
      <c r="S6">
        <v>218.4</v>
      </c>
      <c r="T6">
        <v>184.2</v>
      </c>
      <c r="U6">
        <v>134.80000000000001</v>
      </c>
      <c r="V6">
        <v>121.9</v>
      </c>
      <c r="W6">
        <v>157</v>
      </c>
      <c r="X6">
        <v>162.19999999999999</v>
      </c>
      <c r="Y6">
        <v>166.4</v>
      </c>
      <c r="Z6">
        <v>223.7</v>
      </c>
      <c r="AA6">
        <v>206.4</v>
      </c>
      <c r="AB6">
        <v>200.7</v>
      </c>
      <c r="AC6">
        <v>259.8</v>
      </c>
      <c r="AD6">
        <v>184.5</v>
      </c>
      <c r="AE6">
        <v>157.1</v>
      </c>
      <c r="AF6">
        <v>172.1</v>
      </c>
      <c r="AG6">
        <v>175.4</v>
      </c>
      <c r="AH6">
        <v>168</v>
      </c>
      <c r="AI6">
        <v>204.4</v>
      </c>
      <c r="AJ6" s="20">
        <f>AVERAGE(Q6:AI6)</f>
        <v>182.73157894736846</v>
      </c>
      <c r="AK6" s="8">
        <f>ROUND(AJ6*1000,-4)</f>
        <v>180000</v>
      </c>
      <c r="AL6" s="9">
        <f>AK6+AK12+AK18</f>
        <v>1000000</v>
      </c>
      <c r="AN6" s="9"/>
    </row>
    <row r="7" spans="1:41" x14ac:dyDescent="0.2">
      <c r="A7" t="s">
        <v>41</v>
      </c>
      <c r="Q7" s="8">
        <v>17.8</v>
      </c>
      <c r="R7">
        <v>21.5</v>
      </c>
      <c r="S7">
        <v>21.4</v>
      </c>
      <c r="T7">
        <v>21.7</v>
      </c>
      <c r="U7">
        <v>21.6</v>
      </c>
      <c r="V7">
        <v>21.2</v>
      </c>
      <c r="W7">
        <v>22.2</v>
      </c>
      <c r="X7">
        <v>21.6</v>
      </c>
      <c r="Y7">
        <v>21.6</v>
      </c>
      <c r="Z7">
        <v>21.5</v>
      </c>
      <c r="AA7">
        <v>21.5</v>
      </c>
      <c r="AB7">
        <v>21.8</v>
      </c>
      <c r="AC7">
        <v>21.7</v>
      </c>
      <c r="AD7">
        <v>21.8</v>
      </c>
      <c r="AE7">
        <v>21.8</v>
      </c>
      <c r="AF7">
        <v>18.899999999999999</v>
      </c>
      <c r="AG7">
        <v>21.9</v>
      </c>
      <c r="AH7">
        <v>21.9</v>
      </c>
      <c r="AI7">
        <v>22</v>
      </c>
      <c r="AJ7" s="20">
        <f>AVERAGE(Q7:AI7)</f>
        <v>21.336842105263155</v>
      </c>
      <c r="AK7" s="8">
        <f>ROUND(AJ7*1000,-3)</f>
        <v>21000</v>
      </c>
      <c r="AL7" s="9">
        <f>AK7+AK13+AK19</f>
        <v>115000</v>
      </c>
    </row>
    <row r="8" spans="1:41" x14ac:dyDescent="0.2">
      <c r="A8" t="s">
        <v>43</v>
      </c>
      <c r="Q8" s="8">
        <v>1.8</v>
      </c>
      <c r="R8">
        <v>2.1</v>
      </c>
      <c r="S8">
        <v>0.9</v>
      </c>
      <c r="T8">
        <v>2.6</v>
      </c>
      <c r="U8">
        <v>1.9</v>
      </c>
      <c r="V8">
        <v>2.8</v>
      </c>
      <c r="W8">
        <v>2.8</v>
      </c>
      <c r="X8">
        <v>1.8</v>
      </c>
      <c r="Y8">
        <v>2.7</v>
      </c>
      <c r="Z8">
        <v>3</v>
      </c>
      <c r="AA8">
        <v>2.9</v>
      </c>
      <c r="AB8">
        <v>5.4</v>
      </c>
      <c r="AC8">
        <v>1.9</v>
      </c>
      <c r="AD8">
        <v>2.4</v>
      </c>
      <c r="AE8">
        <v>2.2999999999999998</v>
      </c>
      <c r="AF8">
        <v>2.1</v>
      </c>
      <c r="AG8">
        <v>3.3</v>
      </c>
      <c r="AH8">
        <v>3.3</v>
      </c>
      <c r="AI8">
        <v>0.4</v>
      </c>
      <c r="AJ8" s="19">
        <f>AVERAGE(Q8:AI8)</f>
        <v>2.4421052631578943</v>
      </c>
      <c r="AK8" s="8">
        <f>ROUND(AJ8*1000,-2)</f>
        <v>2400</v>
      </c>
      <c r="AL8" s="9"/>
    </row>
    <row r="10" spans="1:41" x14ac:dyDescent="0.2">
      <c r="A10" t="s">
        <v>44</v>
      </c>
    </row>
    <row r="11" spans="1:41" x14ac:dyDescent="0.2">
      <c r="A11" t="s">
        <v>82</v>
      </c>
      <c r="Q11" s="8">
        <v>72.8</v>
      </c>
      <c r="R11">
        <v>71.3</v>
      </c>
      <c r="S11">
        <v>68.400000000000006</v>
      </c>
      <c r="T11">
        <v>67.3</v>
      </c>
      <c r="U11">
        <v>65.599999999999994</v>
      </c>
      <c r="V11">
        <v>69.5</v>
      </c>
      <c r="W11">
        <v>70.8</v>
      </c>
      <c r="X11">
        <v>70.400000000000006</v>
      </c>
      <c r="Y11">
        <v>69.3</v>
      </c>
      <c r="Z11">
        <v>72.099999999999994</v>
      </c>
      <c r="AA11">
        <v>69.599999999999994</v>
      </c>
      <c r="AB11">
        <v>71.599999999999994</v>
      </c>
      <c r="AC11">
        <v>71.400000000000006</v>
      </c>
      <c r="AD11">
        <v>67.400000000000006</v>
      </c>
      <c r="AE11">
        <v>67.5</v>
      </c>
      <c r="AF11">
        <v>66.599999999999994</v>
      </c>
      <c r="AG11">
        <v>66.7</v>
      </c>
      <c r="AH11">
        <v>70.599999999999994</v>
      </c>
      <c r="AI11">
        <v>71.900000000000006</v>
      </c>
      <c r="AJ11" s="20">
        <f>AVERAGE(Q11:AI11)</f>
        <v>69.515789473684208</v>
      </c>
      <c r="AK11" s="8">
        <f>ROUND(AJ11*1000,-3)</f>
        <v>70000</v>
      </c>
      <c r="AM11" s="9">
        <f>AK11+AK12+AK13+AK14</f>
        <v>769000</v>
      </c>
    </row>
    <row r="12" spans="1:41" x14ac:dyDescent="0.2">
      <c r="A12" t="s">
        <v>40</v>
      </c>
      <c r="Q12" s="8">
        <v>433.6</v>
      </c>
      <c r="R12">
        <v>540.20000000000005</v>
      </c>
      <c r="S12">
        <v>408.3</v>
      </c>
      <c r="T12">
        <v>482.4</v>
      </c>
      <c r="U12">
        <v>459.4</v>
      </c>
      <c r="V12">
        <v>494.7</v>
      </c>
      <c r="W12">
        <v>534.1</v>
      </c>
      <c r="X12">
        <v>518.4</v>
      </c>
      <c r="Y12">
        <v>469.5</v>
      </c>
      <c r="Z12">
        <v>471.1</v>
      </c>
      <c r="AA12">
        <v>456.6</v>
      </c>
      <c r="AB12">
        <v>476.9</v>
      </c>
      <c r="AC12">
        <v>553.6</v>
      </c>
      <c r="AD12">
        <v>574.9</v>
      </c>
      <c r="AE12">
        <v>446.7</v>
      </c>
      <c r="AF12">
        <v>422.4</v>
      </c>
      <c r="AG12">
        <v>569.1</v>
      </c>
      <c r="AH12">
        <v>602.4</v>
      </c>
      <c r="AI12">
        <v>690.8</v>
      </c>
      <c r="AJ12" s="20">
        <f>AVERAGE(Q12:AI12)</f>
        <v>505.53157894736836</v>
      </c>
      <c r="AK12" s="8">
        <f>ROUND(AJ12*1000,-4)</f>
        <v>510000</v>
      </c>
    </row>
    <row r="13" spans="1:41" x14ac:dyDescent="0.2">
      <c r="A13" t="s">
        <v>41</v>
      </c>
      <c r="Q13" s="8">
        <v>49.8</v>
      </c>
      <c r="R13">
        <v>45.7</v>
      </c>
      <c r="S13">
        <v>48.6</v>
      </c>
      <c r="T13">
        <v>47.8</v>
      </c>
      <c r="U13">
        <v>48</v>
      </c>
      <c r="V13">
        <v>47.7</v>
      </c>
      <c r="W13">
        <v>48.1</v>
      </c>
      <c r="X13">
        <v>48.2</v>
      </c>
      <c r="Y13">
        <v>48.3</v>
      </c>
      <c r="Z13">
        <v>48.3</v>
      </c>
      <c r="AA13">
        <v>48.5</v>
      </c>
      <c r="AB13">
        <v>48.9</v>
      </c>
      <c r="AC13">
        <v>48.6</v>
      </c>
      <c r="AD13">
        <v>48.9</v>
      </c>
      <c r="AE13">
        <v>49.1</v>
      </c>
      <c r="AF13">
        <v>49.4</v>
      </c>
      <c r="AG13">
        <v>49.6</v>
      </c>
      <c r="AH13">
        <v>49.9</v>
      </c>
      <c r="AI13">
        <v>50.2</v>
      </c>
      <c r="AJ13" s="20">
        <f>AVERAGE(Q13:AI13)</f>
        <v>48.610526315789478</v>
      </c>
      <c r="AK13" s="8">
        <f>ROUND(AJ13*1000,-3)</f>
        <v>49000</v>
      </c>
    </row>
    <row r="14" spans="1:41" x14ac:dyDescent="0.2">
      <c r="A14" t="s">
        <v>42</v>
      </c>
      <c r="Q14" s="8">
        <v>146.69999999999999</v>
      </c>
      <c r="R14">
        <v>164.8</v>
      </c>
      <c r="S14">
        <v>171.1</v>
      </c>
      <c r="T14">
        <v>164.5</v>
      </c>
      <c r="U14">
        <v>153.9</v>
      </c>
      <c r="V14">
        <v>175.3</v>
      </c>
      <c r="W14">
        <v>117.7</v>
      </c>
      <c r="X14">
        <v>138.69999999999999</v>
      </c>
      <c r="Y14">
        <v>123.1</v>
      </c>
      <c r="Z14">
        <v>121</v>
      </c>
      <c r="AA14">
        <v>137.1</v>
      </c>
      <c r="AB14">
        <v>92.1</v>
      </c>
      <c r="AC14">
        <v>119.5</v>
      </c>
      <c r="AD14">
        <v>140.80000000000001</v>
      </c>
      <c r="AE14">
        <v>127.5</v>
      </c>
      <c r="AF14">
        <v>124.3</v>
      </c>
      <c r="AG14">
        <v>126.9</v>
      </c>
      <c r="AH14">
        <v>123.9</v>
      </c>
      <c r="AI14">
        <v>127.2</v>
      </c>
      <c r="AJ14" s="20">
        <f>AVERAGE(Q14:AI14)</f>
        <v>136.63684210526316</v>
      </c>
      <c r="AK14" s="8">
        <f>ROUND(AJ14*1000,-4)</f>
        <v>140000</v>
      </c>
      <c r="AL14" s="9">
        <f>AK14+AK20</f>
        <v>154000</v>
      </c>
    </row>
    <row r="16" spans="1:41" x14ac:dyDescent="0.2">
      <c r="A16" t="s">
        <v>45</v>
      </c>
    </row>
    <row r="17" spans="1:41" x14ac:dyDescent="0.2">
      <c r="A17" t="s">
        <v>82</v>
      </c>
      <c r="W17">
        <v>36.6</v>
      </c>
      <c r="X17">
        <v>34.1</v>
      </c>
      <c r="Y17">
        <v>35.799999999999997</v>
      </c>
      <c r="Z17">
        <v>36.4</v>
      </c>
      <c r="AA17">
        <v>32.4</v>
      </c>
      <c r="AB17">
        <v>35.5</v>
      </c>
      <c r="AC17">
        <v>37.4</v>
      </c>
      <c r="AD17">
        <v>35</v>
      </c>
      <c r="AE17">
        <v>34.5</v>
      </c>
      <c r="AF17">
        <v>37.200000000000003</v>
      </c>
      <c r="AG17">
        <v>37.9</v>
      </c>
      <c r="AH17">
        <v>38.1</v>
      </c>
      <c r="AI17">
        <v>35.700000000000003</v>
      </c>
      <c r="AJ17" s="20">
        <f>AVERAGE(Q17:AI17)</f>
        <v>35.892307692307696</v>
      </c>
      <c r="AK17" s="8">
        <f>ROUND(AJ17*1000,-3)</f>
        <v>36000</v>
      </c>
      <c r="AM17" s="9">
        <f>AK17+AK18+AK19+AK20</f>
        <v>405000</v>
      </c>
    </row>
    <row r="18" spans="1:41" x14ac:dyDescent="0.2">
      <c r="A18" s="12" t="s">
        <v>40</v>
      </c>
      <c r="B18" s="12"/>
      <c r="C18" s="12"/>
      <c r="D18" s="12"/>
      <c r="Q18" s="8">
        <v>324.10000000000002</v>
      </c>
      <c r="R18">
        <v>347.7</v>
      </c>
      <c r="S18">
        <v>354.7</v>
      </c>
      <c r="T18">
        <v>322.3</v>
      </c>
      <c r="U18">
        <v>290.60000000000002</v>
      </c>
      <c r="V18">
        <v>319.39999999999998</v>
      </c>
      <c r="W18">
        <v>218.7</v>
      </c>
      <c r="X18">
        <v>327.60000000000002</v>
      </c>
      <c r="Y18">
        <v>291.7</v>
      </c>
      <c r="Z18">
        <v>305.39999999999998</v>
      </c>
      <c r="AA18">
        <v>285.39999999999998</v>
      </c>
      <c r="AB18">
        <v>310.39999999999998</v>
      </c>
      <c r="AC18">
        <v>282.3</v>
      </c>
      <c r="AD18">
        <v>274.60000000000002</v>
      </c>
      <c r="AE18">
        <v>268</v>
      </c>
      <c r="AF18">
        <v>263.2</v>
      </c>
      <c r="AG18">
        <v>327.39999999999998</v>
      </c>
      <c r="AH18">
        <v>370.1</v>
      </c>
      <c r="AI18">
        <v>350</v>
      </c>
      <c r="AJ18" s="20">
        <f>AVERAGE(Q18:AI18)</f>
        <v>307.03157894736842</v>
      </c>
      <c r="AK18" s="8">
        <f>ROUND(AJ18*1000,-4)</f>
        <v>310000</v>
      </c>
    </row>
    <row r="19" spans="1:41" x14ac:dyDescent="0.2">
      <c r="A19" s="12" t="s">
        <v>41</v>
      </c>
      <c r="B19" s="12"/>
      <c r="C19" s="12"/>
      <c r="D19" s="12"/>
      <c r="Q19" s="8">
        <v>45.9</v>
      </c>
      <c r="R19">
        <v>46.3</v>
      </c>
      <c r="S19">
        <v>44.5</v>
      </c>
      <c r="T19">
        <v>44.3</v>
      </c>
      <c r="U19">
        <v>43.3</v>
      </c>
      <c r="V19">
        <v>43.6</v>
      </c>
      <c r="W19">
        <v>45.7</v>
      </c>
      <c r="X19">
        <v>42.9</v>
      </c>
      <c r="Y19">
        <v>43.7</v>
      </c>
      <c r="Z19">
        <v>43.6</v>
      </c>
      <c r="AA19">
        <v>45.2</v>
      </c>
      <c r="AB19">
        <v>45.1</v>
      </c>
      <c r="AC19">
        <v>45</v>
      </c>
      <c r="AD19">
        <v>45.2</v>
      </c>
      <c r="AE19">
        <v>45.3</v>
      </c>
      <c r="AF19">
        <v>45.4</v>
      </c>
      <c r="AG19">
        <v>45.6</v>
      </c>
      <c r="AH19">
        <v>45.6</v>
      </c>
      <c r="AI19">
        <v>45.6</v>
      </c>
      <c r="AJ19" s="20">
        <f>AVERAGE(Q19:AI19)</f>
        <v>44.831578947368428</v>
      </c>
      <c r="AK19" s="8">
        <f>ROUND(AJ19*1000,-3)</f>
        <v>45000</v>
      </c>
    </row>
    <row r="20" spans="1:41" x14ac:dyDescent="0.2">
      <c r="A20" s="12" t="s">
        <v>42</v>
      </c>
      <c r="B20" s="12"/>
      <c r="C20" s="12"/>
      <c r="D20" s="1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5"/>
      <c r="Q20" s="27">
        <v>17.2</v>
      </c>
      <c r="R20" s="5">
        <v>15</v>
      </c>
      <c r="S20" s="5">
        <v>11.1</v>
      </c>
      <c r="T20" s="5">
        <v>19.399999999999999</v>
      </c>
      <c r="U20" s="5">
        <v>16</v>
      </c>
      <c r="V20" s="5">
        <v>23.3</v>
      </c>
      <c r="W20" s="5">
        <v>19.8</v>
      </c>
      <c r="X20" s="5">
        <v>15.3</v>
      </c>
      <c r="Y20" s="5">
        <v>22</v>
      </c>
      <c r="Z20" s="5">
        <v>13</v>
      </c>
      <c r="AA20" s="5">
        <v>14.1</v>
      </c>
      <c r="AB20" s="5">
        <v>7.2</v>
      </c>
      <c r="AC20" s="5">
        <v>7.6</v>
      </c>
      <c r="AD20" s="5">
        <v>14.8</v>
      </c>
      <c r="AE20">
        <v>7.2</v>
      </c>
      <c r="AF20">
        <v>8.5</v>
      </c>
      <c r="AG20">
        <v>8.5</v>
      </c>
      <c r="AH20">
        <v>8.5</v>
      </c>
      <c r="AI20">
        <v>9.4</v>
      </c>
      <c r="AJ20" s="20">
        <f>AVERAGE(Q20:AI20)</f>
        <v>13.573684210526315</v>
      </c>
      <c r="AK20" s="8">
        <f>ROUND(AJ20*1000,-3)</f>
        <v>14000</v>
      </c>
    </row>
    <row r="22" spans="1:41" ht="34" x14ac:dyDescent="0.2">
      <c r="A22" s="18" t="s">
        <v>66</v>
      </c>
      <c r="B22" s="18"/>
      <c r="C22" s="18"/>
      <c r="D22" s="18"/>
      <c r="Q22" s="8">
        <v>76.2</v>
      </c>
      <c r="R22">
        <v>74.400000000000006</v>
      </c>
      <c r="S22">
        <v>69.8</v>
      </c>
      <c r="T22">
        <v>68.2</v>
      </c>
      <c r="U22">
        <v>68.2</v>
      </c>
      <c r="V22">
        <v>76.400000000000006</v>
      </c>
      <c r="W22">
        <v>76.5</v>
      </c>
      <c r="X22">
        <v>76.599999999999994</v>
      </c>
      <c r="Y22">
        <v>75.3</v>
      </c>
      <c r="Z22">
        <v>79.7</v>
      </c>
      <c r="AA22">
        <v>78.400000000000006</v>
      </c>
      <c r="AB22">
        <v>81.400000000000006</v>
      </c>
      <c r="AC22">
        <v>76.599999999999994</v>
      </c>
      <c r="AD22">
        <v>72.599999999999994</v>
      </c>
      <c r="AE22">
        <v>78.3</v>
      </c>
      <c r="AF22">
        <v>81.8</v>
      </c>
      <c r="AG22">
        <v>79.7</v>
      </c>
      <c r="AH22">
        <v>81.5</v>
      </c>
      <c r="AI22">
        <v>81.8</v>
      </c>
      <c r="AJ22" s="20">
        <f>AVERAGE(Q22:AI22)</f>
        <v>76.494736842105254</v>
      </c>
      <c r="AK22" s="8">
        <f>ROUND(AJ22*1000,-3)</f>
        <v>76000</v>
      </c>
      <c r="AN22" s="9"/>
    </row>
    <row r="26" spans="1:41" x14ac:dyDescent="0.2">
      <c r="A26" s="21" t="s">
        <v>81</v>
      </c>
      <c r="B26" s="21"/>
      <c r="C26" s="21"/>
      <c r="D26" s="21"/>
    </row>
    <row r="27" spans="1:41" x14ac:dyDescent="0.2">
      <c r="Q27" s="8">
        <v>2000</v>
      </c>
      <c r="R27">
        <v>2001</v>
      </c>
      <c r="S27">
        <v>2002</v>
      </c>
      <c r="T27">
        <v>2003</v>
      </c>
      <c r="U27">
        <v>2004</v>
      </c>
      <c r="V27">
        <v>2005</v>
      </c>
      <c r="W27">
        <v>2006</v>
      </c>
      <c r="X27">
        <v>2007</v>
      </c>
      <c r="Y27">
        <v>2008</v>
      </c>
      <c r="Z27">
        <v>2009</v>
      </c>
      <c r="AA27">
        <v>2010</v>
      </c>
      <c r="AB27">
        <v>2011</v>
      </c>
      <c r="AC27">
        <v>2012</v>
      </c>
      <c r="AD27">
        <v>2013</v>
      </c>
      <c r="AE27">
        <v>2014</v>
      </c>
      <c r="AF27">
        <v>2015</v>
      </c>
      <c r="AJ27" t="s">
        <v>46</v>
      </c>
    </row>
    <row r="28" spans="1:41" x14ac:dyDescent="0.2">
      <c r="A28" t="s">
        <v>39</v>
      </c>
    </row>
    <row r="29" spans="1:41" x14ac:dyDescent="0.2">
      <c r="A29" t="s">
        <v>82</v>
      </c>
      <c r="Q29" s="8">
        <v>73.8</v>
      </c>
      <c r="R29">
        <v>72.2</v>
      </c>
      <c r="S29">
        <v>63</v>
      </c>
      <c r="T29">
        <v>66</v>
      </c>
      <c r="U29">
        <v>69.099999999999994</v>
      </c>
      <c r="V29">
        <v>68.900000000000006</v>
      </c>
      <c r="W29">
        <v>73.2</v>
      </c>
      <c r="X29">
        <v>74.3</v>
      </c>
      <c r="Y29">
        <v>73.7</v>
      </c>
      <c r="Z29">
        <v>73.8</v>
      </c>
      <c r="AA29">
        <v>72.400000000000006</v>
      </c>
      <c r="AB29">
        <v>70.3</v>
      </c>
      <c r="AC29">
        <v>71.599999999999994</v>
      </c>
      <c r="AD29">
        <v>63.2</v>
      </c>
      <c r="AE29">
        <v>65.099999999999994</v>
      </c>
      <c r="AF29">
        <v>68</v>
      </c>
      <c r="AG29">
        <v>78.7</v>
      </c>
      <c r="AH29">
        <v>74.900000000000006</v>
      </c>
      <c r="AI29">
        <v>67.099999999999994</v>
      </c>
      <c r="AJ29" s="20">
        <f>AVERAGE(Q29:AI29)</f>
        <v>70.489473684210523</v>
      </c>
      <c r="AK29" s="8">
        <f>ROUND(AJ29*1000,-3)</f>
        <v>70000</v>
      </c>
      <c r="AN29" s="9">
        <f>AK29+AK36+AK40</f>
        <v>80300</v>
      </c>
      <c r="AO29" s="10">
        <f>(AK29+AK40)/AN29</f>
        <v>0.98132004981320053</v>
      </c>
    </row>
    <row r="30" spans="1:41" x14ac:dyDescent="0.2">
      <c r="A30" t="s">
        <v>40</v>
      </c>
      <c r="Q30" s="8">
        <v>1088.0999999999999</v>
      </c>
      <c r="R30">
        <v>1084.2</v>
      </c>
      <c r="S30">
        <v>1013.5</v>
      </c>
      <c r="T30">
        <v>953.8</v>
      </c>
      <c r="U30">
        <v>880.3</v>
      </c>
      <c r="V30">
        <v>813.2</v>
      </c>
      <c r="W30">
        <v>890.8</v>
      </c>
      <c r="X30">
        <v>1060.7</v>
      </c>
      <c r="Y30">
        <v>987.2</v>
      </c>
      <c r="Z30">
        <v>975.9</v>
      </c>
      <c r="AA30">
        <v>981.8</v>
      </c>
      <c r="AB30">
        <v>895.5</v>
      </c>
      <c r="AC30">
        <v>1122.5999999999999</v>
      </c>
      <c r="AD30">
        <v>808.6</v>
      </c>
      <c r="AE30">
        <v>722</v>
      </c>
      <c r="AF30">
        <v>671.3</v>
      </c>
      <c r="AG30">
        <v>1021</v>
      </c>
      <c r="AH30">
        <v>1043.4000000000001</v>
      </c>
      <c r="AI30">
        <v>1155.8</v>
      </c>
      <c r="AJ30" s="20">
        <f>AVERAGE(Q30:AI30)</f>
        <v>956.30000000000007</v>
      </c>
      <c r="AK30" s="8">
        <f>ROUND(AJ30*1000,-4)</f>
        <v>960000</v>
      </c>
      <c r="AN30" s="9">
        <f>AK30+AK37</f>
        <v>976000</v>
      </c>
      <c r="AO30" s="42">
        <f>AK30/AN30</f>
        <v>0.98360655737704916</v>
      </c>
    </row>
    <row r="31" spans="1:41" x14ac:dyDescent="0.2">
      <c r="A31" t="s">
        <v>41</v>
      </c>
      <c r="Q31" s="8">
        <v>32.299999999999997</v>
      </c>
      <c r="R31">
        <v>33.6</v>
      </c>
      <c r="S31">
        <v>34.6</v>
      </c>
      <c r="T31">
        <v>35.799999999999997</v>
      </c>
      <c r="U31">
        <v>37.1</v>
      </c>
      <c r="V31">
        <v>38.200000000000003</v>
      </c>
      <c r="W31">
        <v>36.4</v>
      </c>
      <c r="X31">
        <v>36.9</v>
      </c>
      <c r="Y31">
        <v>37.5</v>
      </c>
      <c r="Z31">
        <v>38.1</v>
      </c>
      <c r="AA31">
        <v>38.799999999999997</v>
      </c>
      <c r="AB31">
        <v>39.5</v>
      </c>
      <c r="AC31">
        <v>40.200000000000003</v>
      </c>
      <c r="AD31">
        <v>41</v>
      </c>
      <c r="AE31">
        <v>41.7</v>
      </c>
      <c r="AF31">
        <v>42.3</v>
      </c>
      <c r="AG31">
        <v>43.2</v>
      </c>
      <c r="AH31">
        <v>44</v>
      </c>
      <c r="AI31">
        <v>44.9</v>
      </c>
      <c r="AJ31" s="20">
        <f>AVERAGE(Q31:AI31)</f>
        <v>38.742105263157896</v>
      </c>
      <c r="AK31" s="8">
        <f t="shared" ref="AK31" si="0">ROUND(AJ31*1000,-3)</f>
        <v>39000</v>
      </c>
      <c r="AN31" s="9">
        <f>AK31+AK38</f>
        <v>41200</v>
      </c>
    </row>
    <row r="32" spans="1:41" x14ac:dyDescent="0.2">
      <c r="A32" t="s">
        <v>42</v>
      </c>
      <c r="Q32" s="8">
        <v>583.4</v>
      </c>
      <c r="R32">
        <v>627.70000000000005</v>
      </c>
      <c r="S32">
        <v>486.3</v>
      </c>
      <c r="T32">
        <v>484.5</v>
      </c>
      <c r="U32">
        <v>478.2</v>
      </c>
      <c r="V32">
        <v>443.7</v>
      </c>
      <c r="W32">
        <v>658.3</v>
      </c>
      <c r="X32">
        <v>517.5</v>
      </c>
      <c r="Y32">
        <v>673.4</v>
      </c>
      <c r="Z32">
        <v>553.6</v>
      </c>
      <c r="AA32">
        <v>458.5</v>
      </c>
      <c r="AB32">
        <v>640</v>
      </c>
      <c r="AC32">
        <v>555.5</v>
      </c>
      <c r="AD32">
        <v>455.6</v>
      </c>
      <c r="AE32">
        <v>449.8</v>
      </c>
      <c r="AF32">
        <v>291.3</v>
      </c>
      <c r="AG32">
        <v>450.9</v>
      </c>
      <c r="AH32">
        <v>541.1</v>
      </c>
      <c r="AI32">
        <v>494.1</v>
      </c>
      <c r="AJ32" s="20">
        <f>AVERAGE(Q32:AI32)</f>
        <v>518.07368421052627</v>
      </c>
      <c r="AK32" s="8">
        <f>ROUND(AJ32*1000,-4)</f>
        <v>520000</v>
      </c>
    </row>
    <row r="33" spans="1:41" x14ac:dyDescent="0.2">
      <c r="A33" t="s">
        <v>43</v>
      </c>
      <c r="Q33" s="8">
        <v>236.8</v>
      </c>
      <c r="R33">
        <v>230.5</v>
      </c>
      <c r="S33">
        <v>102.3</v>
      </c>
      <c r="T33">
        <v>167.4</v>
      </c>
      <c r="U33">
        <v>216.6</v>
      </c>
      <c r="V33">
        <v>201.7</v>
      </c>
      <c r="W33">
        <v>213.9</v>
      </c>
      <c r="X33">
        <v>220.6</v>
      </c>
      <c r="Y33">
        <v>235.8</v>
      </c>
      <c r="Z33">
        <v>207.3</v>
      </c>
      <c r="AA33">
        <v>217.4</v>
      </c>
      <c r="AB33">
        <v>283.3</v>
      </c>
      <c r="AC33">
        <v>287.3</v>
      </c>
      <c r="AD33">
        <v>164.4</v>
      </c>
      <c r="AE33">
        <v>253.4</v>
      </c>
      <c r="AF33">
        <v>230.7</v>
      </c>
      <c r="AG33">
        <v>249.6</v>
      </c>
      <c r="AH33">
        <v>266</v>
      </c>
      <c r="AI33">
        <v>208.8</v>
      </c>
      <c r="AJ33" s="20">
        <f>AVERAGE(Q33:AI33)</f>
        <v>220.72631578947369</v>
      </c>
      <c r="AK33" s="8">
        <f>ROUND(AJ33*1000,-4)</f>
        <v>220000</v>
      </c>
      <c r="AL33" s="9">
        <f>SUM(AK29:AK33)</f>
        <v>1809000</v>
      </c>
    </row>
    <row r="35" spans="1:41" x14ac:dyDescent="0.2">
      <c r="A35" t="s">
        <v>44</v>
      </c>
    </row>
    <row r="36" spans="1:41" x14ac:dyDescent="0.2">
      <c r="A36" t="s">
        <v>82</v>
      </c>
      <c r="Q36" s="8">
        <v>1.5</v>
      </c>
      <c r="R36">
        <v>1.5</v>
      </c>
      <c r="S36">
        <v>1.5</v>
      </c>
      <c r="T36">
        <v>1.5</v>
      </c>
      <c r="U36">
        <v>1.5</v>
      </c>
      <c r="V36">
        <v>1.4</v>
      </c>
      <c r="W36">
        <v>1.4</v>
      </c>
      <c r="X36">
        <v>1.5</v>
      </c>
      <c r="Y36">
        <v>1.5</v>
      </c>
      <c r="Z36">
        <v>1.5</v>
      </c>
      <c r="AA36">
        <v>1.4</v>
      </c>
      <c r="AB36">
        <v>1.5</v>
      </c>
      <c r="AC36">
        <v>1.5</v>
      </c>
      <c r="AD36">
        <v>1.5</v>
      </c>
      <c r="AE36">
        <v>1.4</v>
      </c>
      <c r="AF36">
        <v>1.4</v>
      </c>
      <c r="AG36">
        <v>1.5</v>
      </c>
      <c r="AH36">
        <v>1.5</v>
      </c>
      <c r="AI36">
        <v>1.5</v>
      </c>
      <c r="AJ36" s="20">
        <f>AVERAGE(Q36:AI36)</f>
        <v>1.4736842105263157</v>
      </c>
      <c r="AK36" s="8">
        <f>ROUND(AJ36*1000,-2)</f>
        <v>1500</v>
      </c>
      <c r="AO36" s="9"/>
    </row>
    <row r="37" spans="1:41" x14ac:dyDescent="0.2">
      <c r="A37" t="s">
        <v>40</v>
      </c>
      <c r="Q37" s="8">
        <v>14.3</v>
      </c>
      <c r="R37">
        <v>21.8</v>
      </c>
      <c r="S37">
        <v>10.1</v>
      </c>
      <c r="T37">
        <v>12.6</v>
      </c>
      <c r="U37">
        <v>12.4</v>
      </c>
      <c r="V37">
        <v>10.4</v>
      </c>
      <c r="W37">
        <v>2.2000000000000002</v>
      </c>
      <c r="X37">
        <v>19.100000000000001</v>
      </c>
      <c r="Y37">
        <v>17.399999999999999</v>
      </c>
      <c r="Z37">
        <v>14.5</v>
      </c>
      <c r="AA37">
        <v>27.4</v>
      </c>
      <c r="AB37">
        <v>19</v>
      </c>
      <c r="AC37">
        <v>19.3</v>
      </c>
      <c r="AD37">
        <v>21.6</v>
      </c>
      <c r="AE37">
        <v>21.2</v>
      </c>
      <c r="AF37">
        <v>9.3000000000000007</v>
      </c>
      <c r="AG37">
        <v>16.7</v>
      </c>
      <c r="AH37">
        <v>16.7</v>
      </c>
      <c r="AI37">
        <v>11.6</v>
      </c>
      <c r="AJ37" s="20">
        <f>AVERAGE(Q37:AI37)</f>
        <v>15.663157894736843</v>
      </c>
      <c r="AK37" s="8">
        <f t="shared" ref="AK37" si="1">ROUND(AJ37*1000,-3)</f>
        <v>16000</v>
      </c>
    </row>
    <row r="38" spans="1:41" x14ac:dyDescent="0.2">
      <c r="A38" t="s">
        <v>41</v>
      </c>
      <c r="Q38" s="8">
        <v>2.4</v>
      </c>
      <c r="R38">
        <v>2.4</v>
      </c>
      <c r="S38">
        <v>2.4</v>
      </c>
      <c r="T38">
        <v>2.4</v>
      </c>
      <c r="U38">
        <v>2.4</v>
      </c>
      <c r="V38">
        <v>2.4</v>
      </c>
      <c r="W38">
        <v>1.7</v>
      </c>
      <c r="X38">
        <v>2.2000000000000002</v>
      </c>
      <c r="Y38">
        <v>2.2000000000000002</v>
      </c>
      <c r="Z38">
        <v>2.1</v>
      </c>
      <c r="AA38">
        <v>2.1</v>
      </c>
      <c r="AB38">
        <v>2.1</v>
      </c>
      <c r="AC38">
        <v>2.1</v>
      </c>
      <c r="AD38">
        <v>2.2000000000000002</v>
      </c>
      <c r="AE38">
        <v>2.2000000000000002</v>
      </c>
      <c r="AF38">
        <v>2.2000000000000002</v>
      </c>
      <c r="AG38">
        <v>2.2000000000000002</v>
      </c>
      <c r="AH38">
        <v>2.2000000000000002</v>
      </c>
      <c r="AI38">
        <v>2.2000000000000002</v>
      </c>
      <c r="AJ38" s="20">
        <f>AVERAGE(Q38:AI38)</f>
        <v>2.2157894736842114</v>
      </c>
      <c r="AK38" s="8">
        <f>ROUND(AJ38*1000,-2)</f>
        <v>2200</v>
      </c>
      <c r="AL38" s="9">
        <f>SUM(AK36:AK38)</f>
        <v>19700</v>
      </c>
    </row>
    <row r="40" spans="1:41" x14ac:dyDescent="0.2">
      <c r="A40" t="s">
        <v>83</v>
      </c>
      <c r="Q40" s="8">
        <v>9.3000000000000007</v>
      </c>
      <c r="R40">
        <v>8.9</v>
      </c>
      <c r="S40">
        <v>7.3</v>
      </c>
      <c r="T40">
        <v>7.2</v>
      </c>
      <c r="U40">
        <v>8.6</v>
      </c>
      <c r="V40">
        <v>8.6</v>
      </c>
      <c r="W40">
        <v>9.6</v>
      </c>
      <c r="X40">
        <v>9.5</v>
      </c>
      <c r="Y40">
        <v>9</v>
      </c>
      <c r="Z40">
        <v>9.6</v>
      </c>
      <c r="AA40">
        <v>9.1999999999999993</v>
      </c>
      <c r="AB40">
        <v>9.3000000000000007</v>
      </c>
      <c r="AC40">
        <v>8</v>
      </c>
      <c r="AD40">
        <v>7.3</v>
      </c>
      <c r="AE40">
        <v>8.9</v>
      </c>
      <c r="AF40">
        <v>9.6999999999999993</v>
      </c>
      <c r="AG40">
        <v>9.4</v>
      </c>
      <c r="AH40">
        <v>9.6999999999999993</v>
      </c>
      <c r="AI40">
        <v>7.7</v>
      </c>
      <c r="AJ40" s="20">
        <f>AVERAGE(Q40:AI40)</f>
        <v>8.7789473684210506</v>
      </c>
      <c r="AK40" s="8">
        <f>ROUND(AJ40*1000,-2)</f>
        <v>8800</v>
      </c>
    </row>
    <row r="42" spans="1:41" x14ac:dyDescent="0.2">
      <c r="A42" s="21" t="s">
        <v>98</v>
      </c>
      <c r="B42" s="21"/>
      <c r="C42" s="21"/>
      <c r="D42" s="21"/>
    </row>
    <row r="43" spans="1:41" x14ac:dyDescent="0.2">
      <c r="A43" s="21"/>
      <c r="B43" s="21"/>
      <c r="C43" s="21"/>
      <c r="D43" s="21"/>
    </row>
    <row r="44" spans="1:41" x14ac:dyDescent="0.2">
      <c r="A44" s="23" t="s">
        <v>99</v>
      </c>
      <c r="B44" s="23"/>
      <c r="C44" s="23"/>
      <c r="D44" s="23"/>
    </row>
    <row r="45" spans="1:41" x14ac:dyDescent="0.2">
      <c r="A45" t="s">
        <v>82</v>
      </c>
      <c r="Q45" s="8">
        <v>4.5</v>
      </c>
      <c r="R45">
        <v>4.4000000000000004</v>
      </c>
      <c r="S45">
        <v>3.6</v>
      </c>
      <c r="T45">
        <v>3.8</v>
      </c>
      <c r="U45">
        <v>3.6</v>
      </c>
      <c r="V45">
        <v>3.5</v>
      </c>
      <c r="W45">
        <v>3.7</v>
      </c>
      <c r="X45">
        <v>3.5</v>
      </c>
      <c r="Y45">
        <v>3.5</v>
      </c>
      <c r="Z45">
        <v>3.8</v>
      </c>
      <c r="AA45">
        <v>3.3</v>
      </c>
      <c r="AB45">
        <v>3.6</v>
      </c>
      <c r="AC45">
        <v>3.9</v>
      </c>
      <c r="AD45">
        <v>3.6</v>
      </c>
      <c r="AE45">
        <v>3.6</v>
      </c>
      <c r="AF45">
        <v>2.9</v>
      </c>
      <c r="AG45">
        <v>3.5</v>
      </c>
      <c r="AH45">
        <v>3.8</v>
      </c>
      <c r="AI45">
        <v>3.8</v>
      </c>
      <c r="AJ45" s="20">
        <f>AVERAGE(Q45:AI45)</f>
        <v>3.6789473684210523</v>
      </c>
      <c r="AK45" s="8">
        <f>ROUND(AJ45*1000,-2)</f>
        <v>3700</v>
      </c>
      <c r="AL45" s="9">
        <f>AK45+AK50+AK57+AK63</f>
        <v>48300</v>
      </c>
    </row>
    <row r="46" spans="1:41" x14ac:dyDescent="0.2">
      <c r="A46" t="s">
        <v>40</v>
      </c>
      <c r="Q46" s="8">
        <v>1.8</v>
      </c>
      <c r="R46">
        <v>1.6</v>
      </c>
      <c r="S46">
        <v>1.3</v>
      </c>
      <c r="T46">
        <v>1.4</v>
      </c>
      <c r="U46">
        <v>1.7</v>
      </c>
      <c r="V46">
        <v>1.7</v>
      </c>
      <c r="W46">
        <v>1.6</v>
      </c>
      <c r="X46">
        <v>1.9</v>
      </c>
      <c r="Y46">
        <v>2.2000000000000002</v>
      </c>
      <c r="Z46">
        <v>2</v>
      </c>
      <c r="AA46">
        <v>2.8</v>
      </c>
      <c r="AB46">
        <v>2.6</v>
      </c>
      <c r="AC46">
        <v>1.5</v>
      </c>
      <c r="AD46">
        <v>2.4</v>
      </c>
      <c r="AE46">
        <v>2.1</v>
      </c>
      <c r="AF46">
        <v>2.5</v>
      </c>
      <c r="AG46">
        <v>2.6</v>
      </c>
      <c r="AH46">
        <v>2.6</v>
      </c>
      <c r="AI46">
        <v>2.4</v>
      </c>
      <c r="AJ46" s="20">
        <f>AVERAGE(Q46:AI46)</f>
        <v>2.0368421052631582</v>
      </c>
      <c r="AK46" s="8">
        <f>ROUND(AJ46*1000,-2)</f>
        <v>2000</v>
      </c>
      <c r="AL46" s="9">
        <f>AK46+AK51+AK58+AK64</f>
        <v>677000</v>
      </c>
    </row>
    <row r="47" spans="1:41" x14ac:dyDescent="0.2">
      <c r="A47" t="s">
        <v>41</v>
      </c>
      <c r="Q47" s="8">
        <v>33.9</v>
      </c>
      <c r="R47">
        <v>32.5</v>
      </c>
      <c r="S47">
        <v>33.5</v>
      </c>
      <c r="T47">
        <v>31.4</v>
      </c>
      <c r="U47">
        <v>32.200000000000003</v>
      </c>
      <c r="V47">
        <v>31.2</v>
      </c>
      <c r="W47">
        <v>31.6</v>
      </c>
      <c r="X47">
        <v>31.1</v>
      </c>
      <c r="Y47">
        <v>30</v>
      </c>
      <c r="Z47">
        <v>30.3</v>
      </c>
      <c r="AA47">
        <v>29.2</v>
      </c>
      <c r="AB47">
        <v>28.8</v>
      </c>
      <c r="AC47">
        <v>28.1</v>
      </c>
      <c r="AD47">
        <v>29.1</v>
      </c>
      <c r="AE47">
        <v>29.9</v>
      </c>
      <c r="AF47">
        <v>23.5</v>
      </c>
      <c r="AG47">
        <v>23.4</v>
      </c>
      <c r="AH47">
        <v>22.9</v>
      </c>
      <c r="AI47">
        <v>23.4</v>
      </c>
      <c r="AJ47" s="20">
        <f>AVERAGE(Q47:AI47)</f>
        <v>29.263157894736842</v>
      </c>
      <c r="AK47" s="8">
        <f t="shared" ref="AK47" si="2">ROUND(AJ47*1000,-3)</f>
        <v>29000</v>
      </c>
      <c r="AL47" s="9">
        <f>AK47+AK52+AK59+AK65</f>
        <v>102900</v>
      </c>
      <c r="AM47" s="9">
        <f>AK45+AK46+AK47</f>
        <v>34700</v>
      </c>
      <c r="AN47" s="9">
        <f>AM47+AM54+AM60+AM65</f>
        <v>689200</v>
      </c>
    </row>
    <row r="49" spans="1:39" x14ac:dyDescent="0.2">
      <c r="A49" s="23" t="s">
        <v>39</v>
      </c>
      <c r="B49" s="23"/>
      <c r="C49" s="23"/>
      <c r="D49" s="23"/>
    </row>
    <row r="50" spans="1:39" x14ac:dyDescent="0.2">
      <c r="A50" t="s">
        <v>82</v>
      </c>
      <c r="Q50" s="8">
        <v>9.3000000000000007</v>
      </c>
      <c r="R50">
        <v>11.5</v>
      </c>
      <c r="S50">
        <v>9.1</v>
      </c>
      <c r="T50">
        <v>10.199999999999999</v>
      </c>
      <c r="U50">
        <v>11.2</v>
      </c>
      <c r="V50">
        <v>10.4</v>
      </c>
      <c r="W50">
        <v>10.9</v>
      </c>
      <c r="X50">
        <v>11.5</v>
      </c>
      <c r="Y50">
        <v>10.7</v>
      </c>
      <c r="Z50">
        <v>11.7</v>
      </c>
      <c r="AA50">
        <v>10.4</v>
      </c>
      <c r="AB50">
        <v>11.5</v>
      </c>
      <c r="AC50">
        <v>11.2</v>
      </c>
      <c r="AD50">
        <v>9.9</v>
      </c>
      <c r="AE50">
        <v>11.7</v>
      </c>
      <c r="AF50">
        <v>9.9</v>
      </c>
      <c r="AG50">
        <v>11.7</v>
      </c>
      <c r="AH50">
        <v>11.8</v>
      </c>
      <c r="AI50">
        <v>8.9</v>
      </c>
      <c r="AJ50" s="20">
        <f>AVERAGE(Q50:AI50)</f>
        <v>10.710526315789474</v>
      </c>
      <c r="AK50" s="8">
        <f t="shared" ref="AK50" si="3">ROUND(AJ50*1000,-3)</f>
        <v>11000</v>
      </c>
    </row>
    <row r="51" spans="1:39" x14ac:dyDescent="0.2">
      <c r="A51" t="s">
        <v>40</v>
      </c>
      <c r="Q51" s="8">
        <v>364.7</v>
      </c>
      <c r="R51">
        <v>358.5</v>
      </c>
      <c r="S51">
        <v>323</v>
      </c>
      <c r="T51">
        <v>327.5</v>
      </c>
      <c r="U51">
        <v>267</v>
      </c>
      <c r="V51">
        <v>297.2</v>
      </c>
      <c r="W51">
        <v>287.89999999999998</v>
      </c>
      <c r="X51">
        <v>357.4</v>
      </c>
      <c r="Y51">
        <v>415.1</v>
      </c>
      <c r="Z51">
        <v>411.2</v>
      </c>
      <c r="AA51">
        <v>396.3</v>
      </c>
      <c r="AB51">
        <v>372.7</v>
      </c>
      <c r="AC51">
        <v>512.70000000000005</v>
      </c>
      <c r="AD51">
        <v>349.5</v>
      </c>
      <c r="AE51">
        <v>438.3</v>
      </c>
      <c r="AF51">
        <v>350.4</v>
      </c>
      <c r="AG51">
        <v>322.2</v>
      </c>
      <c r="AH51">
        <v>340.7</v>
      </c>
      <c r="AI51">
        <v>352</v>
      </c>
      <c r="AJ51" s="20">
        <f>AVERAGE(Q51:AI51)</f>
        <v>360.22631578947363</v>
      </c>
      <c r="AK51" s="8">
        <f>ROUND(AJ51*1000,-4)</f>
        <v>360000</v>
      </c>
    </row>
    <row r="52" spans="1:39" x14ac:dyDescent="0.2">
      <c r="A52" t="s">
        <v>41</v>
      </c>
      <c r="Q52" s="8">
        <v>5.9</v>
      </c>
      <c r="R52">
        <v>6.1</v>
      </c>
      <c r="S52">
        <v>6.3</v>
      </c>
      <c r="T52">
        <v>6.5</v>
      </c>
      <c r="U52">
        <v>6.7</v>
      </c>
      <c r="V52">
        <v>6.9</v>
      </c>
      <c r="W52">
        <v>6.4</v>
      </c>
      <c r="X52">
        <v>6.5</v>
      </c>
      <c r="Y52">
        <v>6.5</v>
      </c>
      <c r="Z52">
        <v>6.6</v>
      </c>
      <c r="AA52">
        <v>6.6</v>
      </c>
      <c r="AB52">
        <v>6.8</v>
      </c>
      <c r="AC52">
        <v>6.9</v>
      </c>
      <c r="AD52">
        <v>7</v>
      </c>
      <c r="AE52">
        <v>7.1</v>
      </c>
      <c r="AF52">
        <v>7.2</v>
      </c>
      <c r="AG52">
        <v>7.3</v>
      </c>
      <c r="AH52">
        <v>7.4</v>
      </c>
      <c r="AI52">
        <v>7.5</v>
      </c>
      <c r="AJ52" s="20">
        <f>AVERAGE(Q52:AI52)</f>
        <v>6.7473684210526308</v>
      </c>
      <c r="AK52" s="8">
        <f>ROUND(AJ52*1000,-2)</f>
        <v>6700</v>
      </c>
    </row>
    <row r="53" spans="1:39" x14ac:dyDescent="0.2">
      <c r="A53" t="s">
        <v>42</v>
      </c>
      <c r="Q53" s="8">
        <v>0.5</v>
      </c>
      <c r="R53">
        <v>0.9</v>
      </c>
      <c r="S53">
        <v>0.1</v>
      </c>
      <c r="T53">
        <v>0.6</v>
      </c>
      <c r="U53">
        <v>1.4</v>
      </c>
      <c r="V53">
        <v>4.2</v>
      </c>
      <c r="W53">
        <v>1.1000000000000001</v>
      </c>
      <c r="X53">
        <v>2.5</v>
      </c>
      <c r="Y53">
        <v>1.7</v>
      </c>
      <c r="Z53">
        <v>1.8</v>
      </c>
      <c r="AA53">
        <v>1.4</v>
      </c>
      <c r="AB53">
        <v>1.5</v>
      </c>
      <c r="AC53">
        <v>1.2</v>
      </c>
      <c r="AD53">
        <v>2.2000000000000002</v>
      </c>
      <c r="AE53">
        <v>2.9</v>
      </c>
      <c r="AF53">
        <v>4.8</v>
      </c>
      <c r="AG53">
        <v>3.5</v>
      </c>
      <c r="AH53">
        <v>3.3</v>
      </c>
      <c r="AI53">
        <v>1.5</v>
      </c>
      <c r="AJ53" s="20">
        <f>AVERAGE(Q53:AI53)</f>
        <v>1.9526315789473681</v>
      </c>
      <c r="AK53" s="8">
        <f>ROUND(AJ53*1000,-2)</f>
        <v>2000</v>
      </c>
      <c r="AL53" s="9">
        <f>AK53+AK60</f>
        <v>86000</v>
      </c>
    </row>
    <row r="54" spans="1:39" x14ac:dyDescent="0.2">
      <c r="A54" t="s">
        <v>43</v>
      </c>
      <c r="Q54" s="8">
        <v>-238.6</v>
      </c>
      <c r="R54">
        <v>-232.5</v>
      </c>
      <c r="S54">
        <v>-103.3</v>
      </c>
      <c r="T54">
        <v>-170</v>
      </c>
      <c r="U54">
        <v>-218.5</v>
      </c>
      <c r="V54">
        <v>-204.4</v>
      </c>
      <c r="W54">
        <v>-216.7</v>
      </c>
      <c r="X54">
        <v>-222.4</v>
      </c>
      <c r="Y54">
        <v>-238.5</v>
      </c>
      <c r="Z54">
        <v>-210.3</v>
      </c>
      <c r="AA54">
        <v>-220.2</v>
      </c>
      <c r="AB54">
        <v>-288.60000000000002</v>
      </c>
      <c r="AC54">
        <v>-289.2</v>
      </c>
      <c r="AD54">
        <v>-166.7</v>
      </c>
      <c r="AE54">
        <v>-255.6</v>
      </c>
      <c r="AF54">
        <f>0-232.9</f>
        <v>-232.9</v>
      </c>
      <c r="AG54">
        <f>0-252.9</f>
        <v>-252.9</v>
      </c>
      <c r="AH54">
        <f>0-269.3</f>
        <v>-269.3</v>
      </c>
      <c r="AI54">
        <f>0-209.2</f>
        <v>-209.2</v>
      </c>
      <c r="AJ54" s="20">
        <f>AVERAGE(Q54:AH54)</f>
        <v>-223.92222222222222</v>
      </c>
      <c r="AK54" s="8">
        <f>ROUND(AJ54*1000,-4)</f>
        <v>-220000</v>
      </c>
      <c r="AM54" s="9">
        <f>AK50+AK51+AK52+AK53+AK54</f>
        <v>159700</v>
      </c>
    </row>
    <row r="56" spans="1:39" x14ac:dyDescent="0.2">
      <c r="A56" t="s">
        <v>97</v>
      </c>
    </row>
    <row r="57" spans="1:39" x14ac:dyDescent="0.2">
      <c r="A57" t="s">
        <v>82</v>
      </c>
      <c r="Q57" s="8">
        <v>28.5</v>
      </c>
      <c r="R57">
        <v>27.6</v>
      </c>
      <c r="S57">
        <v>22</v>
      </c>
      <c r="T57">
        <v>18.2</v>
      </c>
      <c r="U57">
        <v>21.4</v>
      </c>
      <c r="V57">
        <v>30.5</v>
      </c>
      <c r="W57">
        <v>30.9</v>
      </c>
      <c r="X57">
        <v>32.4</v>
      </c>
      <c r="Y57">
        <v>28.7</v>
      </c>
      <c r="Z57">
        <v>28.9</v>
      </c>
      <c r="AA57">
        <v>29.8</v>
      </c>
      <c r="AB57">
        <v>29</v>
      </c>
      <c r="AC57">
        <v>26</v>
      </c>
      <c r="AD57">
        <v>21.4</v>
      </c>
      <c r="AE57">
        <v>24.1</v>
      </c>
      <c r="AF57">
        <v>28.2</v>
      </c>
      <c r="AG57">
        <v>29.7</v>
      </c>
      <c r="AH57">
        <v>29.5</v>
      </c>
      <c r="AI57">
        <v>24.4</v>
      </c>
      <c r="AJ57" s="20">
        <f>AVERAGE(Q57:AI57)</f>
        <v>26.905263157894733</v>
      </c>
      <c r="AK57" s="8">
        <f t="shared" ref="AK57:AK60" si="4">ROUND(AJ57*1000,-3)</f>
        <v>27000</v>
      </c>
    </row>
    <row r="58" spans="1:39" x14ac:dyDescent="0.2">
      <c r="A58" t="s">
        <v>40</v>
      </c>
      <c r="Q58" s="8">
        <v>185.6</v>
      </c>
      <c r="R58">
        <v>199.9</v>
      </c>
      <c r="S58">
        <v>242.7</v>
      </c>
      <c r="T58">
        <v>235.3</v>
      </c>
      <c r="U58">
        <v>233.3</v>
      </c>
      <c r="V58">
        <v>214.3</v>
      </c>
      <c r="W58">
        <v>216</v>
      </c>
      <c r="X58">
        <v>216.3</v>
      </c>
      <c r="Y58">
        <v>216.3</v>
      </c>
      <c r="Z58">
        <v>216.3</v>
      </c>
      <c r="AA58">
        <v>216.3</v>
      </c>
      <c r="AB58">
        <v>212.7</v>
      </c>
      <c r="AC58">
        <v>212.7</v>
      </c>
      <c r="AD58">
        <v>212.7</v>
      </c>
      <c r="AE58">
        <v>212.7</v>
      </c>
      <c r="AF58">
        <v>212.7</v>
      </c>
      <c r="AG58">
        <v>205.6</v>
      </c>
      <c r="AH58">
        <v>216.5</v>
      </c>
      <c r="AI58">
        <v>239.5</v>
      </c>
      <c r="AJ58" s="20">
        <f>AVERAGE(Q58:AI58)</f>
        <v>216.70526315789471</v>
      </c>
      <c r="AK58" s="8">
        <f>ROUND(AJ58*1000,-4)</f>
        <v>220000</v>
      </c>
    </row>
    <row r="59" spans="1:39" x14ac:dyDescent="0.2">
      <c r="A59" t="s">
        <v>41</v>
      </c>
      <c r="Q59" s="8">
        <v>62.6</v>
      </c>
      <c r="R59">
        <v>64.599999999999994</v>
      </c>
      <c r="S59">
        <v>62.8</v>
      </c>
      <c r="T59">
        <v>67.2</v>
      </c>
      <c r="U59">
        <v>68.099999999999994</v>
      </c>
      <c r="V59">
        <v>71.3</v>
      </c>
      <c r="W59">
        <v>67.8</v>
      </c>
      <c r="X59">
        <v>61.6</v>
      </c>
      <c r="Y59">
        <v>61.6</v>
      </c>
      <c r="Z59">
        <v>61.6</v>
      </c>
      <c r="AA59">
        <v>62.5</v>
      </c>
      <c r="AB59">
        <v>60.8</v>
      </c>
      <c r="AC59">
        <v>60.8</v>
      </c>
      <c r="AD59">
        <v>60.8</v>
      </c>
      <c r="AE59">
        <v>60.8</v>
      </c>
      <c r="AF59">
        <v>60.8</v>
      </c>
      <c r="AG59">
        <v>46.8</v>
      </c>
      <c r="AH59">
        <v>46.8</v>
      </c>
      <c r="AI59">
        <v>51.1</v>
      </c>
      <c r="AJ59" s="20">
        <f>AVERAGE(Q59:AI59)</f>
        <v>61.073684210526295</v>
      </c>
      <c r="AK59" s="8">
        <f t="shared" si="4"/>
        <v>61000</v>
      </c>
    </row>
    <row r="60" spans="1:39" x14ac:dyDescent="0.2">
      <c r="A60" t="s">
        <v>42</v>
      </c>
      <c r="Q60" s="8">
        <v>42.7</v>
      </c>
      <c r="R60">
        <v>110.6</v>
      </c>
      <c r="S60">
        <v>6.3</v>
      </c>
      <c r="T60">
        <v>62.7</v>
      </c>
      <c r="U60">
        <v>84.9</v>
      </c>
      <c r="V60">
        <v>155.19999999999999</v>
      </c>
      <c r="W60">
        <v>78.8</v>
      </c>
      <c r="X60">
        <v>105</v>
      </c>
      <c r="Y60">
        <v>139.9</v>
      </c>
      <c r="Z60">
        <v>105.4</v>
      </c>
      <c r="AA60">
        <v>89.4</v>
      </c>
      <c r="AB60">
        <v>98.3</v>
      </c>
      <c r="AC60">
        <v>47.2</v>
      </c>
      <c r="AD60">
        <v>45.8</v>
      </c>
      <c r="AE60">
        <v>60</v>
      </c>
      <c r="AF60">
        <v>90.6</v>
      </c>
      <c r="AG60">
        <v>94.3</v>
      </c>
      <c r="AH60">
        <v>165.7</v>
      </c>
      <c r="AI60">
        <v>15.1</v>
      </c>
      <c r="AJ60" s="20">
        <f>AVERAGE(Q60:AI60)</f>
        <v>84.1</v>
      </c>
      <c r="AK60" s="8">
        <f t="shared" si="4"/>
        <v>84000</v>
      </c>
      <c r="AM60" s="9">
        <f>AK57+AK58+AK59+AK60</f>
        <v>392000</v>
      </c>
    </row>
    <row r="62" spans="1:39" x14ac:dyDescent="0.2">
      <c r="A62" t="s">
        <v>44</v>
      </c>
    </row>
    <row r="63" spans="1:39" x14ac:dyDescent="0.2">
      <c r="A63" s="12" t="s">
        <v>82</v>
      </c>
      <c r="B63" s="12"/>
      <c r="C63" s="12"/>
      <c r="D63" s="12"/>
      <c r="Q63" s="8">
        <v>6.6</v>
      </c>
      <c r="R63">
        <v>6.6</v>
      </c>
      <c r="S63">
        <v>6.6</v>
      </c>
      <c r="T63">
        <v>6.6</v>
      </c>
      <c r="U63">
        <v>6.6</v>
      </c>
      <c r="V63">
        <v>6.6</v>
      </c>
      <c r="W63">
        <v>6.6</v>
      </c>
      <c r="X63">
        <v>6.6</v>
      </c>
      <c r="Y63">
        <v>6.6</v>
      </c>
      <c r="Z63">
        <v>6.6</v>
      </c>
      <c r="AA63">
        <v>6.4</v>
      </c>
      <c r="AB63">
        <v>6.6</v>
      </c>
      <c r="AC63">
        <v>6.6</v>
      </c>
      <c r="AD63">
        <v>6.6</v>
      </c>
      <c r="AE63">
        <v>6.6</v>
      </c>
      <c r="AF63">
        <v>6.4</v>
      </c>
      <c r="AG63">
        <v>6.6</v>
      </c>
      <c r="AH63">
        <v>6.6</v>
      </c>
      <c r="AI63">
        <v>6.6</v>
      </c>
      <c r="AJ63" s="20">
        <f>AVERAGE(Q63:AI63)</f>
        <v>6.5789473684210513</v>
      </c>
      <c r="AK63" s="8">
        <f>ROUND(AJ63*1000,-2)</f>
        <v>6600</v>
      </c>
    </row>
    <row r="64" spans="1:39" x14ac:dyDescent="0.2">
      <c r="A64" s="12" t="s">
        <v>40</v>
      </c>
      <c r="B64" s="12"/>
      <c r="C64" s="12"/>
      <c r="D64" s="12"/>
      <c r="Q64" s="8">
        <v>73.3</v>
      </c>
      <c r="R64">
        <v>76.400000000000006</v>
      </c>
      <c r="S64">
        <v>55.7</v>
      </c>
      <c r="T64">
        <v>63.7</v>
      </c>
      <c r="U64">
        <v>53.8</v>
      </c>
      <c r="V64">
        <v>75.400000000000006</v>
      </c>
      <c r="W64">
        <v>126.6</v>
      </c>
      <c r="X64">
        <v>159</v>
      </c>
      <c r="Y64">
        <v>142.1</v>
      </c>
      <c r="Z64">
        <v>138.4</v>
      </c>
      <c r="AA64">
        <v>134.80000000000001</v>
      </c>
      <c r="AB64">
        <v>94.4</v>
      </c>
      <c r="AC64">
        <v>97.5</v>
      </c>
      <c r="AD64">
        <v>97.5</v>
      </c>
      <c r="AE64">
        <v>78</v>
      </c>
      <c r="AF64">
        <v>72.599999999999994</v>
      </c>
      <c r="AG64">
        <v>85.4</v>
      </c>
      <c r="AH64">
        <v>88.7</v>
      </c>
      <c r="AI64">
        <v>83</v>
      </c>
      <c r="AJ64" s="20">
        <f>AVERAGE(Q64:AI64)</f>
        <v>94.542105263157907</v>
      </c>
      <c r="AK64" s="8">
        <f t="shared" ref="AK64" si="5">ROUND(AJ64*1000,-3)</f>
        <v>95000</v>
      </c>
    </row>
    <row r="65" spans="1:40" x14ac:dyDescent="0.2">
      <c r="A65" s="12" t="s">
        <v>41</v>
      </c>
      <c r="B65" s="12"/>
      <c r="C65" s="12"/>
      <c r="D65" s="12"/>
      <c r="Q65" s="8">
        <v>5.7</v>
      </c>
      <c r="R65">
        <v>5.8</v>
      </c>
      <c r="S65">
        <v>5.9</v>
      </c>
      <c r="T65">
        <v>6</v>
      </c>
      <c r="U65">
        <v>6.1</v>
      </c>
      <c r="V65">
        <v>6.2</v>
      </c>
      <c r="W65">
        <v>6.1</v>
      </c>
      <c r="X65">
        <v>6.1</v>
      </c>
      <c r="Y65">
        <v>6.2</v>
      </c>
      <c r="Z65">
        <v>6.2</v>
      </c>
      <c r="AA65">
        <v>6.3</v>
      </c>
      <c r="AB65">
        <v>6.3</v>
      </c>
      <c r="AC65">
        <v>6.3</v>
      </c>
      <c r="AD65">
        <v>6.3</v>
      </c>
      <c r="AE65">
        <v>6.3</v>
      </c>
      <c r="AF65">
        <v>6.4</v>
      </c>
      <c r="AG65">
        <v>6.4</v>
      </c>
      <c r="AH65">
        <v>6.4</v>
      </c>
      <c r="AI65">
        <v>6.4</v>
      </c>
      <c r="AJ65" s="20">
        <f>AVERAGE(Q65:AI65)</f>
        <v>6.1789473684210536</v>
      </c>
      <c r="AK65" s="8">
        <f>ROUND(AJ65*1000,-2)</f>
        <v>6200</v>
      </c>
      <c r="AM65" s="9">
        <f>AK63+AK64+AK65+AK66</f>
        <v>102800</v>
      </c>
    </row>
    <row r="66" spans="1:40" x14ac:dyDescent="0.2">
      <c r="A66" s="12" t="s">
        <v>42</v>
      </c>
      <c r="B66" s="12"/>
      <c r="C66" s="12"/>
      <c r="D66" s="12"/>
      <c r="Q66" s="8">
        <v>-6.1</v>
      </c>
      <c r="R66">
        <v>-5.7</v>
      </c>
      <c r="S66">
        <v>-6.2</v>
      </c>
      <c r="T66">
        <v>-6.3</v>
      </c>
      <c r="U66">
        <v>-6.2</v>
      </c>
      <c r="V66">
        <v>-6.1</v>
      </c>
      <c r="W66">
        <v>-5</v>
      </c>
      <c r="X66">
        <v>-4.5</v>
      </c>
      <c r="Y66">
        <v>-5.6</v>
      </c>
      <c r="Z66">
        <v>-4.3</v>
      </c>
      <c r="AA66">
        <v>-5.3</v>
      </c>
      <c r="AB66">
        <v>-4.7</v>
      </c>
      <c r="AC66">
        <v>-5.0999999999999996</v>
      </c>
      <c r="AD66">
        <v>-5.6</v>
      </c>
      <c r="AE66">
        <v>-3.1</v>
      </c>
      <c r="AF66">
        <f>0-3.1</f>
        <v>-3.1</v>
      </c>
      <c r="AG66">
        <f>0-3.1</f>
        <v>-3.1</v>
      </c>
      <c r="AH66">
        <f>0-3.1</f>
        <v>-3.1</v>
      </c>
      <c r="AI66">
        <f>0-3.1</f>
        <v>-3.1</v>
      </c>
      <c r="AJ66" s="20">
        <f>AVERAGE(Q66:AH66)</f>
        <v>-4.9499999999999984</v>
      </c>
      <c r="AK66" s="8">
        <f>ROUND(AJ66*1000,-2)</f>
        <v>-5000</v>
      </c>
    </row>
    <row r="68" spans="1:40" x14ac:dyDescent="0.2">
      <c r="A68" s="12" t="s">
        <v>100</v>
      </c>
      <c r="B68" s="12"/>
      <c r="C68" s="12"/>
      <c r="D68" s="12"/>
      <c r="Q68" s="8">
        <v>576.9</v>
      </c>
      <c r="R68">
        <v>533</v>
      </c>
      <c r="S68">
        <v>436.5</v>
      </c>
      <c r="T68">
        <v>352.8</v>
      </c>
      <c r="U68">
        <v>278.3</v>
      </c>
      <c r="V68">
        <v>308.8</v>
      </c>
      <c r="W68">
        <v>357.9</v>
      </c>
      <c r="X68">
        <v>367</v>
      </c>
      <c r="Y68">
        <v>410.8</v>
      </c>
      <c r="Z68">
        <v>443.8</v>
      </c>
      <c r="AA68">
        <v>443.4</v>
      </c>
      <c r="AB68">
        <v>479.2</v>
      </c>
      <c r="AC68">
        <v>432.8</v>
      </c>
      <c r="AD68">
        <v>343.9</v>
      </c>
      <c r="AE68">
        <v>355.4</v>
      </c>
      <c r="AF68">
        <v>369.3</v>
      </c>
      <c r="AG68">
        <v>379.5</v>
      </c>
      <c r="AH68">
        <v>421.2</v>
      </c>
      <c r="AI68">
        <v>362.8</v>
      </c>
      <c r="AJ68" s="20">
        <f>AVERAGE(Q68:AI68)</f>
        <v>402.80526315789473</v>
      </c>
      <c r="AK68" s="8">
        <f>ROUND(AJ68*1000,-4)</f>
        <v>400000</v>
      </c>
      <c r="AM68" s="9">
        <f>SUM(Q68:AH68)</f>
        <v>7290.5</v>
      </c>
      <c r="AN68" s="9">
        <f>AK22+AK40+610000</f>
        <v>694800</v>
      </c>
    </row>
    <row r="69" spans="1:40" x14ac:dyDescent="0.2">
      <c r="A69" s="12"/>
      <c r="B69" s="12"/>
      <c r="C69" s="12"/>
      <c r="D69" s="12"/>
      <c r="AJ69" s="20"/>
      <c r="AK69" s="8"/>
      <c r="AL69" s="10"/>
      <c r="AM69" s="9">
        <f>AM68+AJ68</f>
        <v>7693.3052631578948</v>
      </c>
    </row>
    <row r="70" spans="1:40" x14ac:dyDescent="0.2">
      <c r="A70" s="12" t="s">
        <v>143</v>
      </c>
      <c r="B70" s="12"/>
      <c r="C70" s="12"/>
      <c r="D70" s="12"/>
      <c r="AJ70" s="42">
        <f>0.03*18</f>
        <v>0.54</v>
      </c>
      <c r="AK70" s="8"/>
      <c r="AL70" s="10"/>
    </row>
    <row r="72" spans="1:40" ht="34" x14ac:dyDescent="0.2">
      <c r="A72" s="31" t="s">
        <v>162</v>
      </c>
      <c r="B72" s="31"/>
      <c r="C72" s="31"/>
      <c r="D72" s="31"/>
      <c r="Q72" s="8">
        <v>3955.7</v>
      </c>
      <c r="R72">
        <v>4219</v>
      </c>
      <c r="S72">
        <v>3774.4</v>
      </c>
      <c r="T72">
        <v>3789.5</v>
      </c>
      <c r="U72">
        <v>3550.7</v>
      </c>
      <c r="V72">
        <v>3645.9</v>
      </c>
      <c r="W72">
        <v>3836.8</v>
      </c>
      <c r="X72">
        <v>4096.1000000000004</v>
      </c>
      <c r="Y72">
        <v>4158.2</v>
      </c>
      <c r="Z72">
        <v>4050.4</v>
      </c>
      <c r="AA72">
        <v>3897.1</v>
      </c>
      <c r="AB72">
        <v>3787.6</v>
      </c>
      <c r="AC72">
        <v>4092</v>
      </c>
      <c r="AD72">
        <v>3563.8</v>
      </c>
      <c r="AE72">
        <v>3452.6</v>
      </c>
      <c r="AF72">
        <v>3452.6</v>
      </c>
      <c r="AG72">
        <v>3452.6</v>
      </c>
      <c r="AH72">
        <v>3452.6</v>
      </c>
      <c r="AJ72" s="20">
        <f>AVERAGE(Q72:AH72)</f>
        <v>3790.4222222222215</v>
      </c>
      <c r="AK72" s="8">
        <f>ROUND(AJ72*1000,-3)+AK22+AK40</f>
        <v>3874800</v>
      </c>
      <c r="AL72" s="9"/>
    </row>
    <row r="74" spans="1:40" x14ac:dyDescent="0.2">
      <c r="A74" t="s">
        <v>144</v>
      </c>
      <c r="AK74" s="9">
        <f>AK6+AK12+AK18+AK30+AK37+AK46+AK51+AK58+AK64</f>
        <v>2653000</v>
      </c>
      <c r="AN74" s="26">
        <v>0.67</v>
      </c>
    </row>
    <row r="75" spans="1:40" x14ac:dyDescent="0.2">
      <c r="A75" t="s">
        <v>145</v>
      </c>
      <c r="AK75" s="9">
        <f>AK14+AK20+AK32+AK53+AK60</f>
        <v>760000</v>
      </c>
      <c r="AN75" s="26">
        <v>0.2</v>
      </c>
    </row>
    <row r="76" spans="1:40" x14ac:dyDescent="0.2">
      <c r="A76" t="s">
        <v>146</v>
      </c>
      <c r="AK76" s="9">
        <f>AK7+AK13+AK19+AK31+AK38+AK47+AK52+AK59+AK65</f>
        <v>259100</v>
      </c>
      <c r="AN76" s="26">
        <v>7.0000000000000007E-2</v>
      </c>
    </row>
    <row r="77" spans="1:40" x14ac:dyDescent="0.2">
      <c r="A77" t="s">
        <v>167</v>
      </c>
      <c r="AK77" s="9">
        <f>AK11+AK29+AK36+AK45+AK50+AK57+AK63+AK5+AK17</f>
        <v>233700</v>
      </c>
      <c r="AN77" s="26">
        <v>7.0000000000000007E-2</v>
      </c>
    </row>
    <row r="78" spans="1:40" x14ac:dyDescent="0.2">
      <c r="A78" t="s">
        <v>161</v>
      </c>
      <c r="Q78" s="8">
        <f>Q68+Q40+Q22</f>
        <v>662.4</v>
      </c>
      <c r="R78" s="8">
        <f t="shared" ref="R78:AG78" si="6">R68+R40+R22</f>
        <v>616.29999999999995</v>
      </c>
      <c r="S78" s="8">
        <f t="shared" si="6"/>
        <v>513.6</v>
      </c>
      <c r="T78" s="8">
        <f t="shared" si="6"/>
        <v>428.2</v>
      </c>
      <c r="U78" s="8">
        <f t="shared" si="6"/>
        <v>355.1</v>
      </c>
      <c r="V78" s="8">
        <f t="shared" si="6"/>
        <v>393.80000000000007</v>
      </c>
      <c r="W78" s="8">
        <f t="shared" si="6"/>
        <v>444</v>
      </c>
      <c r="X78" s="8">
        <f t="shared" si="6"/>
        <v>453.1</v>
      </c>
      <c r="Y78" s="8">
        <f t="shared" si="6"/>
        <v>495.1</v>
      </c>
      <c r="Z78" s="8">
        <f t="shared" si="6"/>
        <v>533.1</v>
      </c>
      <c r="AA78" s="8">
        <f t="shared" si="6"/>
        <v>531</v>
      </c>
      <c r="AB78" s="8">
        <f t="shared" si="6"/>
        <v>569.9</v>
      </c>
      <c r="AC78" s="8">
        <f t="shared" si="6"/>
        <v>517.4</v>
      </c>
      <c r="AD78" s="8">
        <f t="shared" si="6"/>
        <v>423.79999999999995</v>
      </c>
      <c r="AE78" s="8">
        <f t="shared" si="6"/>
        <v>442.59999999999997</v>
      </c>
      <c r="AF78" s="8">
        <f t="shared" si="6"/>
        <v>460.8</v>
      </c>
      <c r="AG78" s="8">
        <f t="shared" si="6"/>
        <v>468.59999999999997</v>
      </c>
      <c r="AH78" s="8">
        <f>AH68+AH40+AH22</f>
        <v>512.4</v>
      </c>
      <c r="AI78" s="8"/>
      <c r="AJ78" s="20">
        <f>AVERAGE(Q78:AH78)</f>
        <v>490.06666666666661</v>
      </c>
      <c r="AK78" s="9">
        <f>AK22+AK40+AK68</f>
        <v>484800</v>
      </c>
      <c r="AM78" s="9">
        <f>AK77+AK78</f>
        <v>718500</v>
      </c>
      <c r="AN78" s="26">
        <f>AN74+AN75+AN76+AN77</f>
        <v>1.0100000000000002</v>
      </c>
    </row>
    <row r="79" spans="1:40" x14ac:dyDescent="0.2">
      <c r="AK79" s="9"/>
      <c r="AN79" s="26"/>
    </row>
    <row r="80" spans="1:40" ht="34" x14ac:dyDescent="0.2">
      <c r="A80" s="32" t="s">
        <v>163</v>
      </c>
      <c r="B80" s="32"/>
      <c r="C80" s="32"/>
      <c r="D80" s="32"/>
    </row>
    <row r="81" spans="1:39" x14ac:dyDescent="0.2">
      <c r="A81" t="s">
        <v>99</v>
      </c>
      <c r="Q81" s="8">
        <v>40</v>
      </c>
      <c r="R81">
        <v>39</v>
      </c>
      <c r="S81">
        <v>38</v>
      </c>
      <c r="T81">
        <v>37</v>
      </c>
      <c r="U81">
        <v>38</v>
      </c>
      <c r="V81">
        <v>36</v>
      </c>
      <c r="W81">
        <v>37</v>
      </c>
      <c r="X81">
        <v>37</v>
      </c>
      <c r="Y81">
        <v>36</v>
      </c>
      <c r="Z81">
        <v>36</v>
      </c>
      <c r="AA81">
        <v>35</v>
      </c>
      <c r="AB81">
        <v>35</v>
      </c>
      <c r="AC81">
        <v>34</v>
      </c>
      <c r="AD81">
        <v>35</v>
      </c>
      <c r="AE81">
        <v>36</v>
      </c>
      <c r="AF81">
        <v>29</v>
      </c>
      <c r="AG81">
        <v>29.5</v>
      </c>
      <c r="AH81">
        <v>29.3</v>
      </c>
      <c r="AI81">
        <v>29.6</v>
      </c>
      <c r="AK81" s="9">
        <f>ROUND(AVERAGE(Q81:AI81)*1000,-3)</f>
        <v>35000</v>
      </c>
      <c r="AM81" s="51">
        <f>AK81/AL85</f>
        <v>8.9743589743589737E-3</v>
      </c>
    </row>
    <row r="82" spans="1:39" x14ac:dyDescent="0.2">
      <c r="A82" t="s">
        <v>39</v>
      </c>
      <c r="Q82" s="8">
        <v>2377600</v>
      </c>
      <c r="R82" s="8">
        <v>2405300</v>
      </c>
      <c r="S82" s="28">
        <v>2184000</v>
      </c>
      <c r="T82" s="28">
        <v>2099200</v>
      </c>
      <c r="U82" s="28">
        <v>1915700</v>
      </c>
      <c r="V82" s="28">
        <v>1832300</v>
      </c>
      <c r="W82" s="28">
        <v>2152600</v>
      </c>
      <c r="X82" s="28">
        <v>2258600</v>
      </c>
      <c r="Y82" s="28">
        <v>2402300</v>
      </c>
      <c r="Z82" s="28">
        <v>2326100</v>
      </c>
      <c r="AA82" s="28">
        <v>2201700</v>
      </c>
      <c r="AB82" s="28">
        <v>2268000</v>
      </c>
      <c r="AC82" s="28">
        <v>2632000</v>
      </c>
      <c r="AD82" s="28">
        <v>1952000</v>
      </c>
      <c r="AE82" s="28">
        <v>1924500</v>
      </c>
      <c r="AF82" s="28">
        <v>1643600</v>
      </c>
      <c r="AG82" s="28">
        <v>2144000</v>
      </c>
      <c r="AH82" s="28">
        <v>2264800</v>
      </c>
      <c r="AI82" s="28">
        <v>2366600</v>
      </c>
      <c r="AK82" s="9">
        <f>ROUND(AVERAGE(Q82:AI82),-5)</f>
        <v>2200000</v>
      </c>
      <c r="AM82" s="42">
        <f>AK82/AL85</f>
        <v>0.5641025641025641</v>
      </c>
    </row>
    <row r="83" spans="1:39" x14ac:dyDescent="0.2">
      <c r="A83" t="s">
        <v>97</v>
      </c>
      <c r="Q83" s="8">
        <v>319400</v>
      </c>
      <c r="R83" s="28">
        <v>402700</v>
      </c>
      <c r="S83" s="28">
        <v>333900</v>
      </c>
      <c r="T83" s="28">
        <v>383300</v>
      </c>
      <c r="U83" s="28">
        <v>407700</v>
      </c>
      <c r="V83" s="28">
        <v>471200</v>
      </c>
      <c r="W83" s="28">
        <v>393400</v>
      </c>
      <c r="X83" s="28">
        <v>415300</v>
      </c>
      <c r="Y83" s="28">
        <v>446500</v>
      </c>
      <c r="Z83" s="28">
        <v>412300</v>
      </c>
      <c r="AA83" s="28">
        <v>398100</v>
      </c>
      <c r="AB83" s="28">
        <v>400900</v>
      </c>
      <c r="AC83" s="28">
        <v>346800</v>
      </c>
      <c r="AD83" s="28">
        <v>340700</v>
      </c>
      <c r="AE83" s="28">
        <v>357600</v>
      </c>
      <c r="AF83" s="28">
        <v>392300</v>
      </c>
      <c r="AG83" s="28">
        <v>376400</v>
      </c>
      <c r="AH83" s="28">
        <v>458500</v>
      </c>
      <c r="AI83" s="28">
        <v>480000</v>
      </c>
      <c r="AK83" s="9">
        <f>ROUND(AVERAGE(Q83:AI83),-4)</f>
        <v>400000</v>
      </c>
      <c r="AM83" s="42">
        <f>AK83/AL85</f>
        <v>0.10256410256410256</v>
      </c>
    </row>
    <row r="84" spans="1:39" x14ac:dyDescent="0.2">
      <c r="A84" t="s">
        <v>44</v>
      </c>
      <c r="Q84" s="8">
        <v>800500</v>
      </c>
      <c r="R84" s="28">
        <v>930700</v>
      </c>
      <c r="S84" s="28">
        <v>772400</v>
      </c>
      <c r="T84" s="28">
        <v>848500</v>
      </c>
      <c r="U84" s="28">
        <v>803400</v>
      </c>
      <c r="V84" s="28">
        <v>883500</v>
      </c>
      <c r="W84" s="28">
        <v>933300</v>
      </c>
      <c r="X84" s="28">
        <v>965800</v>
      </c>
      <c r="Y84" s="28">
        <v>880400</v>
      </c>
      <c r="Z84" s="28">
        <v>877500</v>
      </c>
      <c r="AA84" s="28">
        <v>884800</v>
      </c>
      <c r="AB84" s="28">
        <v>814800</v>
      </c>
      <c r="AC84" s="28">
        <v>921300</v>
      </c>
      <c r="AD84" s="28">
        <v>961900</v>
      </c>
      <c r="AE84" s="28">
        <v>803400</v>
      </c>
      <c r="AF84" s="28">
        <v>757800</v>
      </c>
      <c r="AG84" s="28">
        <v>927900</v>
      </c>
      <c r="AH84" s="28">
        <v>965800</v>
      </c>
      <c r="AI84" s="28">
        <v>1048200</v>
      </c>
      <c r="AK84" s="9">
        <f>ROUND(AVERAGE(Q84:AI84),-4)</f>
        <v>880000</v>
      </c>
      <c r="AM84" s="42">
        <f>AK84/AL85</f>
        <v>0.22564102564102564</v>
      </c>
    </row>
    <row r="85" spans="1:39" x14ac:dyDescent="0.2">
      <c r="A85" t="s">
        <v>45</v>
      </c>
      <c r="Q85" s="8">
        <v>418000</v>
      </c>
      <c r="R85" s="28">
        <v>441700</v>
      </c>
      <c r="S85" s="28">
        <v>445600</v>
      </c>
      <c r="T85" s="28">
        <v>421800</v>
      </c>
      <c r="U85" s="28">
        <v>386300</v>
      </c>
      <c r="V85" s="28">
        <v>422500</v>
      </c>
      <c r="W85" s="28">
        <v>320800</v>
      </c>
      <c r="X85" s="28">
        <v>419800</v>
      </c>
      <c r="Y85" s="28">
        <v>393200</v>
      </c>
      <c r="Z85" s="28">
        <v>398500</v>
      </c>
      <c r="AA85" s="28">
        <v>377200</v>
      </c>
      <c r="AB85" s="28">
        <v>398300</v>
      </c>
      <c r="AC85" s="28">
        <v>372300</v>
      </c>
      <c r="AD85" s="28">
        <v>369600</v>
      </c>
      <c r="AE85" s="28">
        <v>355000</v>
      </c>
      <c r="AF85" s="28">
        <v>354400</v>
      </c>
      <c r="AG85" s="28">
        <v>419400</v>
      </c>
      <c r="AH85" s="28">
        <v>462300</v>
      </c>
      <c r="AI85" s="28">
        <v>440700</v>
      </c>
      <c r="AK85" s="9">
        <f>ROUND(AVERAGE(Q85:AI85),-4)</f>
        <v>400000</v>
      </c>
      <c r="AL85" s="9">
        <f>ROUND(AK81+AK82+AK83+AK84+AK85,-5)</f>
        <v>3900000</v>
      </c>
      <c r="AM85" s="42">
        <f>AK85/AL85</f>
        <v>0.10256410256410256</v>
      </c>
    </row>
    <row r="86" spans="1:39" x14ac:dyDescent="0.2"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I86" s="8">
        <f>SUM(AI81:AI85)</f>
        <v>4335529.5999999996</v>
      </c>
      <c r="AK86" s="9"/>
      <c r="AM86" s="42">
        <f>SUM(AM81:AM85)</f>
        <v>1.0038461538461538</v>
      </c>
    </row>
    <row r="87" spans="1:39" ht="34" x14ac:dyDescent="0.2">
      <c r="A87" s="32" t="s">
        <v>164</v>
      </c>
      <c r="B87" s="32"/>
      <c r="C87" s="32"/>
      <c r="D87" s="32"/>
    </row>
    <row r="88" spans="1:39" x14ac:dyDescent="0.2">
      <c r="A88" t="s">
        <v>155</v>
      </c>
      <c r="B88" s="64">
        <v>1213000</v>
      </c>
      <c r="C88" s="64">
        <v>1589000</v>
      </c>
      <c r="D88" s="64">
        <v>1780000</v>
      </c>
      <c r="E88" s="64">
        <v>2086000</v>
      </c>
      <c r="F88" s="64">
        <v>2117000</v>
      </c>
      <c r="G88" s="64">
        <v>1864400</v>
      </c>
      <c r="H88" s="64">
        <v>1906100</v>
      </c>
      <c r="I88" s="64">
        <v>2246700</v>
      </c>
      <c r="J88" s="64">
        <f>2152400-207415</f>
        <v>1944985</v>
      </c>
      <c r="K88" s="64">
        <f>2221300-192537</f>
        <v>2028763</v>
      </c>
      <c r="L88" s="64">
        <f>2714800-161955</f>
        <v>2552845</v>
      </c>
      <c r="M88" s="64">
        <f>2853900-156912</f>
        <v>2696988</v>
      </c>
      <c r="N88" s="64">
        <f>2566700-14384</f>
        <v>2552316</v>
      </c>
      <c r="O88" s="63">
        <f>2728000-148258</f>
        <v>2579742</v>
      </c>
      <c r="P88" s="8">
        <f>AVERAGE(F88:O88)</f>
        <v>2248983.9</v>
      </c>
      <c r="Q88" s="8">
        <f>(2802800-169243)</f>
        <v>2633557</v>
      </c>
      <c r="R88" s="8">
        <f>(2841000-153216)</f>
        <v>2687784</v>
      </c>
      <c r="S88" s="8">
        <f>2969200-163244</f>
        <v>2805956</v>
      </c>
      <c r="T88" s="28">
        <v>2830599</v>
      </c>
      <c r="U88" s="8">
        <v>2784645</v>
      </c>
      <c r="V88" s="8">
        <v>2428469</v>
      </c>
      <c r="W88" s="28">
        <v>2782866</v>
      </c>
      <c r="X88" s="8">
        <v>2783323</v>
      </c>
      <c r="Y88" s="8">
        <v>2752497</v>
      </c>
      <c r="Z88" s="8">
        <v>2831711</v>
      </c>
      <c r="AA88" s="8">
        <v>2780367</v>
      </c>
      <c r="AB88" s="8">
        <v>2781108</v>
      </c>
      <c r="AC88" s="28">
        <v>2789667</v>
      </c>
      <c r="AD88" s="28">
        <v>2778867</v>
      </c>
      <c r="AE88" s="28">
        <v>2774661</v>
      </c>
      <c r="AF88" s="8">
        <v>2604732</v>
      </c>
      <c r="AG88" s="8">
        <v>2612833</v>
      </c>
      <c r="AH88" s="8">
        <v>2509503</v>
      </c>
      <c r="AI88" s="8">
        <v>2632260</v>
      </c>
      <c r="AK88" s="9">
        <f>ROUND(AVERAGE(Q88:AI88),-5)</f>
        <v>2700000</v>
      </c>
    </row>
    <row r="89" spans="1:39" x14ac:dyDescent="0.2">
      <c r="A89" t="s">
        <v>156</v>
      </c>
      <c r="B89" s="64">
        <v>2988000</v>
      </c>
      <c r="C89" s="64">
        <v>3186000</v>
      </c>
      <c r="D89" s="64">
        <v>3342000</v>
      </c>
      <c r="E89" s="64">
        <v>3705000</v>
      </c>
      <c r="F89" s="64">
        <v>3347000</v>
      </c>
      <c r="G89" s="65"/>
      <c r="H89" s="65"/>
      <c r="I89" s="65"/>
      <c r="J89" s="64"/>
      <c r="K89" s="64"/>
      <c r="L89" s="65"/>
      <c r="M89" s="64"/>
      <c r="N89" s="64"/>
      <c r="O89" s="63"/>
      <c r="P89" s="8"/>
      <c r="Q89" s="8">
        <v>2113000</v>
      </c>
      <c r="R89" s="8">
        <v>2039000</v>
      </c>
      <c r="S89" s="8">
        <v>1868000</v>
      </c>
      <c r="T89" s="28">
        <v>1738000</v>
      </c>
      <c r="U89" s="8">
        <v>1745000</v>
      </c>
      <c r="V89" s="8">
        <v>2272000</v>
      </c>
      <c r="X89" s="8"/>
      <c r="Y89" s="8"/>
      <c r="Z89" s="8"/>
      <c r="AA89" s="8"/>
      <c r="AB89" s="8"/>
      <c r="AF89" s="8"/>
      <c r="AG89" s="8"/>
      <c r="AH89" s="8"/>
      <c r="AI89" s="8"/>
      <c r="AK89" s="9">
        <f>ROUND(AVERAGE(Q89:AH89),-5)</f>
        <v>2000000</v>
      </c>
    </row>
    <row r="90" spans="1:39" x14ac:dyDescent="0.2">
      <c r="A90" t="s">
        <v>154</v>
      </c>
      <c r="B90" s="64">
        <v>4749000</v>
      </c>
      <c r="C90" s="64">
        <v>4837000</v>
      </c>
      <c r="D90" s="64">
        <v>4983000</v>
      </c>
      <c r="E90" s="64">
        <v>5088000</v>
      </c>
      <c r="F90" s="64">
        <v>5163000</v>
      </c>
      <c r="G90" s="64">
        <v>5005600</v>
      </c>
      <c r="H90" s="64">
        <v>4546200</v>
      </c>
      <c r="I90" s="64">
        <v>4835000</v>
      </c>
      <c r="J90" s="64">
        <f>5234100-44669</f>
        <v>5189431</v>
      </c>
      <c r="K90" s="64">
        <f>4925500-88679</f>
        <v>4836821</v>
      </c>
      <c r="L90" s="64">
        <f>5322900-96487</f>
        <v>5226413</v>
      </c>
      <c r="M90" s="64">
        <f>5250100-88227</f>
        <v>5161873</v>
      </c>
      <c r="N90" s="64">
        <f>5045200-91996</f>
        <v>4953204</v>
      </c>
      <c r="O90" s="63">
        <f>5194400-87203</f>
        <v>5107197</v>
      </c>
      <c r="P90" s="8">
        <f t="shared" ref="P90:P97" si="7">AVERAGE(F90:O90)</f>
        <v>5002473.9000000004</v>
      </c>
      <c r="Q90" s="8">
        <f>(5162200-90205)</f>
        <v>5071995</v>
      </c>
      <c r="R90" s="8">
        <f>(5254700-86075)</f>
        <v>5168625</v>
      </c>
      <c r="S90" s="8">
        <f>5365600-90002</f>
        <v>5275598</v>
      </c>
      <c r="T90" s="28">
        <v>4408746</v>
      </c>
      <c r="U90" s="8">
        <v>4316185</v>
      </c>
      <c r="V90" s="8">
        <v>4344258</v>
      </c>
      <c r="W90" s="28">
        <v>4335299</v>
      </c>
      <c r="X90" s="8">
        <v>4370695</v>
      </c>
      <c r="Y90" s="8">
        <v>4498810</v>
      </c>
      <c r="Z90" s="8">
        <v>4358074</v>
      </c>
      <c r="AA90" s="8">
        <v>4356839</v>
      </c>
      <c r="AB90" s="8">
        <v>4312661</v>
      </c>
      <c r="AC90" s="28">
        <v>4416718</v>
      </c>
      <c r="AD90" s="28">
        <v>4475789</v>
      </c>
      <c r="AE90" s="28">
        <v>4649734</v>
      </c>
      <c r="AF90" s="8">
        <v>4602756</v>
      </c>
      <c r="AG90" s="8">
        <v>4381101</v>
      </c>
      <c r="AH90" s="8">
        <v>4026515</v>
      </c>
      <c r="AI90" s="8">
        <v>4265525</v>
      </c>
      <c r="AK90" s="9">
        <f>ROUND(AVERAGE(Q90:AI90),-5)</f>
        <v>4500000</v>
      </c>
    </row>
    <row r="91" spans="1:39" x14ac:dyDescent="0.2">
      <c r="A91" t="s">
        <v>157</v>
      </c>
      <c r="B91" s="64">
        <v>112000</v>
      </c>
      <c r="C91" s="64">
        <v>109000</v>
      </c>
      <c r="D91" s="64">
        <v>129000</v>
      </c>
      <c r="E91" s="64">
        <v>156000</v>
      </c>
      <c r="F91" s="64">
        <v>178100</v>
      </c>
      <c r="G91" s="63">
        <v>180200</v>
      </c>
      <c r="H91" s="64">
        <v>177500</v>
      </c>
      <c r="I91" s="64">
        <v>204400</v>
      </c>
      <c r="J91" s="64">
        <f>227500-1714</f>
        <v>225786</v>
      </c>
      <c r="K91" s="64">
        <f>217400-1721</f>
        <v>215679</v>
      </c>
      <c r="L91" s="64">
        <f>249200-746</f>
        <v>248454</v>
      </c>
      <c r="M91" s="64">
        <f>242800-732</f>
        <v>242068</v>
      </c>
      <c r="N91" s="64">
        <f>245300-794</f>
        <v>244506</v>
      </c>
      <c r="O91" s="63">
        <f>291100-1615</f>
        <v>289485</v>
      </c>
      <c r="P91" s="8">
        <f t="shared" si="7"/>
        <v>220617.8</v>
      </c>
      <c r="Q91" s="8">
        <f>(322000-2128)</f>
        <v>319872</v>
      </c>
      <c r="R91" s="8">
        <f>(315400-1492)</f>
        <v>313908</v>
      </c>
      <c r="S91" s="8">
        <f>326700-1491</f>
        <v>325209</v>
      </c>
      <c r="T91" s="28">
        <v>298392</v>
      </c>
      <c r="U91" s="8">
        <v>283006</v>
      </c>
      <c r="V91" s="8">
        <v>291778</v>
      </c>
      <c r="W91" s="28">
        <v>292864</v>
      </c>
      <c r="X91" s="8">
        <v>300312</v>
      </c>
      <c r="Y91" s="8">
        <v>269654</v>
      </c>
      <c r="Z91" s="8">
        <v>248613</v>
      </c>
      <c r="AA91" s="8">
        <v>241437</v>
      </c>
      <c r="AB91" s="8">
        <v>222847</v>
      </c>
      <c r="AC91" s="28">
        <v>237161</v>
      </c>
      <c r="AD91" s="28">
        <v>223563</v>
      </c>
      <c r="AE91" s="28">
        <v>224616</v>
      </c>
      <c r="AF91" s="8">
        <v>222729</v>
      </c>
      <c r="AG91" s="8">
        <v>238326</v>
      </c>
      <c r="AH91" s="8">
        <v>243425</v>
      </c>
      <c r="AI91" s="8">
        <v>244103</v>
      </c>
      <c r="AK91" s="9">
        <f>ROUND(AVERAGE(Q91:AI91),-4)</f>
        <v>270000</v>
      </c>
      <c r="AL91" s="9">
        <f>AK89+AK92+AK93+AK94</f>
        <v>2258000</v>
      </c>
    </row>
    <row r="92" spans="1:39" x14ac:dyDescent="0.2">
      <c r="A92" t="s">
        <v>158</v>
      </c>
      <c r="B92" s="64">
        <v>136000</v>
      </c>
      <c r="C92" s="64">
        <v>133000</v>
      </c>
      <c r="D92" s="64">
        <v>137000</v>
      </c>
      <c r="E92" s="64">
        <v>140000</v>
      </c>
      <c r="F92" s="64">
        <v>133000</v>
      </c>
      <c r="G92" s="65"/>
      <c r="H92" s="64"/>
      <c r="I92" s="65"/>
      <c r="J92" s="64"/>
      <c r="K92" s="64"/>
      <c r="L92" s="65"/>
      <c r="M92" s="64"/>
      <c r="N92" s="64"/>
      <c r="O92" s="63"/>
      <c r="Q92" s="8">
        <v>130000</v>
      </c>
      <c r="R92" s="8">
        <v>83000</v>
      </c>
      <c r="S92" s="8">
        <v>123000</v>
      </c>
      <c r="T92" s="28">
        <v>116000</v>
      </c>
      <c r="U92" s="8">
        <v>93000</v>
      </c>
      <c r="V92" s="8">
        <v>93000</v>
      </c>
      <c r="X92" s="8"/>
      <c r="Y92" s="8"/>
      <c r="Z92" s="8"/>
      <c r="AA92" s="8"/>
      <c r="AB92" s="8"/>
      <c r="AF92" s="8"/>
      <c r="AG92" s="8"/>
      <c r="AH92" s="8"/>
      <c r="AI92" s="8"/>
      <c r="AK92" s="9">
        <f>ROUND(AVERAGE(Q92:AH92),-4)</f>
        <v>110000</v>
      </c>
    </row>
    <row r="93" spans="1:39" x14ac:dyDescent="0.2">
      <c r="A93" t="s">
        <v>159</v>
      </c>
      <c r="F93" s="63"/>
      <c r="G93" s="65"/>
      <c r="H93" s="64"/>
      <c r="I93" s="65"/>
      <c r="J93" s="64"/>
      <c r="K93" s="64"/>
      <c r="L93" s="65"/>
      <c r="M93" s="64"/>
      <c r="N93" s="64"/>
      <c r="O93" s="63"/>
      <c r="Q93" s="8">
        <v>26000</v>
      </c>
      <c r="R93" s="8">
        <v>28000</v>
      </c>
      <c r="S93" s="8">
        <v>28000</v>
      </c>
      <c r="T93" s="28">
        <v>30000</v>
      </c>
      <c r="U93" s="8">
        <v>26000</v>
      </c>
      <c r="V93" s="8">
        <v>28000</v>
      </c>
      <c r="X93" s="8"/>
      <c r="Y93" s="8"/>
      <c r="Z93" s="8"/>
      <c r="AA93" s="8"/>
      <c r="AB93" s="8"/>
      <c r="AF93" s="8"/>
      <c r="AG93" s="8"/>
      <c r="AH93" s="8"/>
      <c r="AI93" s="8"/>
      <c r="AK93" s="9">
        <f>ROUND(AVERAGE(Q93:AH93),-3)</f>
        <v>28000</v>
      </c>
    </row>
    <row r="94" spans="1:39" x14ac:dyDescent="0.2">
      <c r="A94" t="s">
        <v>160</v>
      </c>
      <c r="F94" s="63"/>
      <c r="G94" s="65"/>
      <c r="H94" s="64"/>
      <c r="I94" s="65"/>
      <c r="J94" s="64"/>
      <c r="K94" s="64"/>
      <c r="L94" s="65"/>
      <c r="M94" s="64"/>
      <c r="N94" s="64"/>
      <c r="O94" s="63"/>
      <c r="Q94" s="8">
        <v>123000</v>
      </c>
      <c r="R94" s="8">
        <v>128000</v>
      </c>
      <c r="S94" s="8">
        <v>123000</v>
      </c>
      <c r="T94" s="28">
        <v>124000</v>
      </c>
      <c r="U94" s="8">
        <v>121000</v>
      </c>
      <c r="V94" s="8">
        <v>124000</v>
      </c>
      <c r="X94" s="8"/>
      <c r="Y94" s="8"/>
      <c r="Z94" s="8"/>
      <c r="AA94" s="8"/>
      <c r="AB94" s="8"/>
      <c r="AF94" s="8"/>
      <c r="AG94" s="8"/>
      <c r="AH94" s="8"/>
      <c r="AI94" s="8"/>
      <c r="AK94" s="9">
        <f>ROUND(AVERAGE(Q94:AH94),-4)</f>
        <v>120000</v>
      </c>
    </row>
    <row r="95" spans="1:39" ht="34" x14ac:dyDescent="0.2">
      <c r="A95" s="22" t="s">
        <v>165</v>
      </c>
      <c r="B95" s="22"/>
      <c r="C95" s="22"/>
      <c r="D95" s="22"/>
      <c r="F95" s="63">
        <v>801000</v>
      </c>
      <c r="G95" s="65"/>
      <c r="H95" s="64"/>
      <c r="I95" s="65"/>
      <c r="J95" s="64"/>
      <c r="K95" s="64"/>
      <c r="L95" s="65"/>
      <c r="M95" s="64"/>
      <c r="N95" s="64"/>
      <c r="O95" s="63"/>
      <c r="P95" s="8">
        <f t="shared" si="7"/>
        <v>801000</v>
      </c>
      <c r="Q95" s="8">
        <v>1438000</v>
      </c>
      <c r="R95" s="8">
        <v>1240000</v>
      </c>
      <c r="S95" s="8">
        <v>1142000</v>
      </c>
      <c r="T95" s="28">
        <v>1070000</v>
      </c>
      <c r="U95" s="8">
        <v>1023000</v>
      </c>
      <c r="V95" s="8">
        <v>1049000</v>
      </c>
      <c r="X95" s="8"/>
      <c r="Y95" s="8"/>
      <c r="Z95" s="8"/>
      <c r="AA95" s="8"/>
      <c r="AB95" s="8"/>
      <c r="AF95" s="8"/>
      <c r="AG95" s="8"/>
      <c r="AH95" s="8"/>
      <c r="AI95" s="8"/>
      <c r="AK95" s="9">
        <f>ROUND(AVERAGE(Q95:AH95),-5)</f>
        <v>1200000</v>
      </c>
    </row>
    <row r="96" spans="1:39" x14ac:dyDescent="0.2">
      <c r="A96" t="s">
        <v>166</v>
      </c>
      <c r="B96" s="8">
        <f>1700000+9094000</f>
        <v>10794000</v>
      </c>
      <c r="C96" s="8">
        <f>1700000+2946</f>
        <v>1702946</v>
      </c>
      <c r="D96" s="8">
        <f>1700000+631000</f>
        <v>2331000</v>
      </c>
      <c r="E96" s="64">
        <f>1500000+139000</f>
        <v>1639000</v>
      </c>
      <c r="F96" s="63">
        <f>1500000+42000</f>
        <v>1542000</v>
      </c>
      <c r="G96" s="64">
        <v>1520900</v>
      </c>
      <c r="H96" s="64">
        <v>1580700</v>
      </c>
      <c r="I96" s="64">
        <v>5192800</v>
      </c>
      <c r="J96" s="64">
        <v>1525500</v>
      </c>
      <c r="K96" s="64">
        <v>1712300</v>
      </c>
      <c r="L96" s="64">
        <v>1505300</v>
      </c>
      <c r="M96" s="64">
        <v>2872500</v>
      </c>
      <c r="N96" s="64">
        <v>4718400</v>
      </c>
      <c r="O96" s="63">
        <v>2894100</v>
      </c>
      <c r="P96" s="8">
        <f t="shared" si="7"/>
        <v>2506450</v>
      </c>
      <c r="Q96" s="8">
        <f>1000*(2037.1)</f>
        <v>2037100</v>
      </c>
      <c r="R96" s="8">
        <f>1000*(1700.6)</f>
        <v>1700600</v>
      </c>
      <c r="S96" s="8">
        <f>1000*(1623.2)</f>
        <v>1623200</v>
      </c>
      <c r="T96" s="8">
        <f>1500000+61855</f>
        <v>1561855</v>
      </c>
      <c r="U96" s="8">
        <f>1500000+93142</f>
        <v>1593142</v>
      </c>
      <c r="V96" s="8">
        <f>1500000+116342</f>
        <v>1616342</v>
      </c>
      <c r="W96" s="8">
        <f>1500000+36232</f>
        <v>1536232</v>
      </c>
      <c r="X96" s="8">
        <f>1500000+21603</f>
        <v>1521603</v>
      </c>
      <c r="Y96" s="8">
        <f>1500000+91379</f>
        <v>1591379</v>
      </c>
      <c r="Z96" s="8">
        <f>1500000+64923</f>
        <v>1564923</v>
      </c>
      <c r="AA96" s="8">
        <f>1500000+171324</f>
        <v>1671324</v>
      </c>
      <c r="AB96" s="8">
        <f>1500000+130623</f>
        <v>1630623</v>
      </c>
      <c r="AC96" s="8">
        <f>1367023+126221</f>
        <v>1493244</v>
      </c>
      <c r="AD96" s="28">
        <f>1445158</f>
        <v>1445158</v>
      </c>
      <c r="AE96" s="28">
        <f>1581210</f>
        <v>1581210</v>
      </c>
      <c r="AF96" s="8">
        <f>1514829</f>
        <v>1514829</v>
      </c>
      <c r="AG96" s="8">
        <f>1509230</f>
        <v>1509230</v>
      </c>
      <c r="AH96" s="8">
        <f>1516688</f>
        <v>1516688</v>
      </c>
      <c r="AI96" s="8">
        <f>1493327+7416</f>
        <v>1500743</v>
      </c>
      <c r="AK96" s="9">
        <f>ROUND(AVERAGE(Q96:AI96),-5)</f>
        <v>1600000</v>
      </c>
    </row>
    <row r="97" spans="1:37" x14ac:dyDescent="0.2">
      <c r="A97" t="s">
        <v>366</v>
      </c>
      <c r="B97" s="8">
        <v>129704</v>
      </c>
      <c r="C97" s="8">
        <v>98000</v>
      </c>
      <c r="D97" s="8">
        <v>128000</v>
      </c>
      <c r="E97" s="64">
        <v>139000</v>
      </c>
      <c r="F97" s="63">
        <v>133700</v>
      </c>
      <c r="G97" s="64">
        <v>140700</v>
      </c>
      <c r="H97" s="64">
        <v>101100</v>
      </c>
      <c r="I97" s="64">
        <v>61400</v>
      </c>
      <c r="J97" s="64">
        <v>124400</v>
      </c>
      <c r="K97" s="64">
        <v>125500</v>
      </c>
      <c r="L97" s="64">
        <v>112400</v>
      </c>
      <c r="M97" s="64">
        <v>89200</v>
      </c>
      <c r="N97" s="64">
        <v>113800</v>
      </c>
      <c r="O97" s="63">
        <v>78700</v>
      </c>
      <c r="P97" s="8">
        <f t="shared" si="7"/>
        <v>108090</v>
      </c>
      <c r="Q97" s="8">
        <v>107400</v>
      </c>
      <c r="R97" s="8">
        <v>103700</v>
      </c>
      <c r="S97" s="8">
        <v>121700</v>
      </c>
      <c r="T97" s="28">
        <v>114734</v>
      </c>
      <c r="U97" s="8">
        <v>100762</v>
      </c>
      <c r="V97" s="8">
        <v>108426</v>
      </c>
      <c r="W97">
        <v>107314</v>
      </c>
      <c r="X97">
        <v>105276</v>
      </c>
      <c r="Y97">
        <v>115434</v>
      </c>
      <c r="Z97">
        <v>114771</v>
      </c>
      <c r="AA97">
        <v>117464</v>
      </c>
      <c r="AB97">
        <v>77954</v>
      </c>
      <c r="AC97">
        <v>94830</v>
      </c>
      <c r="AD97">
        <v>110923</v>
      </c>
      <c r="AE97">
        <v>144602</v>
      </c>
      <c r="AF97">
        <v>151991</v>
      </c>
      <c r="AG97">
        <v>150191</v>
      </c>
      <c r="AH97">
        <v>126701</v>
      </c>
      <c r="AI97">
        <v>122569</v>
      </c>
      <c r="AK97" s="9">
        <f>ROUND(AVERAGE(Q97:AI97),-4)</f>
        <v>120000</v>
      </c>
    </row>
    <row r="98" spans="1:37" x14ac:dyDescent="0.2">
      <c r="AK98" s="9">
        <f>SUM(AK81:AK97)+AK78</f>
        <v>17047800</v>
      </c>
    </row>
    <row r="102" spans="1:37" x14ac:dyDescent="0.2">
      <c r="AI102" s="9">
        <f>AI88+AI90+AI91</f>
        <v>7141888</v>
      </c>
    </row>
    <row r="103" spans="1:37" x14ac:dyDescent="0.2">
      <c r="AI103" s="9">
        <f>AI82+AI83+AI84+AI85+30000+360000+80000+AI88+AI90+AI91+AI96+AI97</f>
        <v>13570700</v>
      </c>
      <c r="AJ103" s="9">
        <f>AI103+AK95</f>
        <v>14770700</v>
      </c>
    </row>
    <row r="104" spans="1:37" x14ac:dyDescent="0.2">
      <c r="AI104" s="9">
        <f>AK89+AK92+AK93+AK94+AK95</f>
        <v>3458000</v>
      </c>
    </row>
    <row r="105" spans="1:37" x14ac:dyDescent="0.2">
      <c r="AI105" s="9">
        <f>AI103+AI104</f>
        <v>17028700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9ED4-FF22-0A43-B4C2-5DB044B7460B}">
  <dimension ref="A1:N35"/>
  <sheetViews>
    <sheetView workbookViewId="0">
      <selection activeCell="O21" sqref="O21"/>
    </sheetView>
  </sheetViews>
  <sheetFormatPr baseColWidth="10" defaultRowHeight="16" x14ac:dyDescent="0.2"/>
  <cols>
    <col min="3" max="5" width="12.1640625" customWidth="1"/>
    <col min="11" max="11" width="13.5" customWidth="1"/>
    <col min="14" max="14" width="13" customWidth="1"/>
  </cols>
  <sheetData>
    <row r="1" spans="1:14" x14ac:dyDescent="0.2">
      <c r="A1" t="s">
        <v>367</v>
      </c>
      <c r="G1" t="s">
        <v>368</v>
      </c>
      <c r="J1" t="s">
        <v>369</v>
      </c>
      <c r="M1" t="s">
        <v>370</v>
      </c>
    </row>
    <row r="2" spans="1:14" x14ac:dyDescent="0.2">
      <c r="A2">
        <v>1986</v>
      </c>
      <c r="B2">
        <v>23780</v>
      </c>
      <c r="C2" s="8">
        <f t="shared" ref="C2:C33" si="0">B2*723.968</f>
        <v>17215959.039999999</v>
      </c>
      <c r="D2" s="8"/>
      <c r="E2" s="8"/>
      <c r="M2">
        <v>23270</v>
      </c>
      <c r="N2" s="8">
        <f t="shared" ref="N2:N35" si="1">M2*723.968</f>
        <v>16846735.359999999</v>
      </c>
    </row>
    <row r="3" spans="1:14" x14ac:dyDescent="0.2">
      <c r="A3">
        <v>1987</v>
      </c>
      <c r="B3">
        <v>18120</v>
      </c>
      <c r="C3" s="8">
        <f t="shared" si="0"/>
        <v>13118300.16</v>
      </c>
      <c r="D3" s="8"/>
      <c r="E3" s="8"/>
      <c r="M3">
        <v>18550</v>
      </c>
      <c r="N3" s="8">
        <f t="shared" si="1"/>
        <v>13429606.399999999</v>
      </c>
    </row>
    <row r="4" spans="1:14" x14ac:dyDescent="0.2">
      <c r="A4">
        <v>1988</v>
      </c>
      <c r="B4">
        <v>13330</v>
      </c>
      <c r="C4" s="8">
        <f t="shared" si="0"/>
        <v>9650493.4399999995</v>
      </c>
      <c r="D4" s="8"/>
      <c r="E4" s="8"/>
      <c r="M4">
        <v>11220</v>
      </c>
      <c r="N4" s="8">
        <f t="shared" si="1"/>
        <v>8122920.96</v>
      </c>
    </row>
    <row r="5" spans="1:14" x14ac:dyDescent="0.2">
      <c r="A5">
        <v>1989</v>
      </c>
      <c r="B5">
        <v>12470</v>
      </c>
      <c r="C5" s="8">
        <f t="shared" si="0"/>
        <v>9027880.959999999</v>
      </c>
      <c r="D5" s="8"/>
      <c r="E5" s="8"/>
      <c r="M5">
        <v>11020</v>
      </c>
      <c r="N5" s="8">
        <f t="shared" si="1"/>
        <v>7978127.3599999994</v>
      </c>
    </row>
    <row r="6" spans="1:14" x14ac:dyDescent="0.2">
      <c r="A6">
        <v>1990</v>
      </c>
      <c r="B6">
        <v>12790</v>
      </c>
      <c r="C6" s="8">
        <f t="shared" si="0"/>
        <v>9259550.7199999988</v>
      </c>
      <c r="D6" s="8"/>
      <c r="E6" s="8">
        <f>H6+K6</f>
        <v>8957945.6512000002</v>
      </c>
      <c r="G6">
        <v>113.4</v>
      </c>
      <c r="H6" s="8">
        <f t="shared" ref="H6:H35" si="2">G6*723.968</f>
        <v>82097.9712</v>
      </c>
      <c r="J6">
        <v>12260</v>
      </c>
      <c r="K6" s="8">
        <f t="shared" ref="K6:K35" si="3">J6*723.968</f>
        <v>8875847.6799999997</v>
      </c>
      <c r="M6">
        <v>11240</v>
      </c>
      <c r="N6" s="8">
        <f t="shared" si="1"/>
        <v>8137400.3199999994</v>
      </c>
    </row>
    <row r="7" spans="1:14" x14ac:dyDescent="0.2">
      <c r="A7">
        <v>1991</v>
      </c>
      <c r="B7">
        <v>12380</v>
      </c>
      <c r="C7" s="8">
        <f t="shared" si="0"/>
        <v>8962723.8399999999</v>
      </c>
      <c r="D7" s="8"/>
      <c r="E7" s="8">
        <f t="shared" ref="E7:E35" si="4">H7+K7</f>
        <v>8984660.0703999996</v>
      </c>
      <c r="G7">
        <v>100.3</v>
      </c>
      <c r="H7" s="8">
        <f t="shared" si="2"/>
        <v>72613.990399999995</v>
      </c>
      <c r="J7">
        <v>12310</v>
      </c>
      <c r="K7" s="8">
        <f t="shared" si="3"/>
        <v>8912046.0800000001</v>
      </c>
      <c r="M7">
        <v>11220</v>
      </c>
      <c r="N7" s="8">
        <f t="shared" si="1"/>
        <v>8122920.96</v>
      </c>
    </row>
    <row r="8" spans="1:14" x14ac:dyDescent="0.2">
      <c r="A8">
        <v>1992</v>
      </c>
      <c r="B8">
        <v>11010</v>
      </c>
      <c r="C8" s="8">
        <f t="shared" si="0"/>
        <v>7970887.6799999997</v>
      </c>
      <c r="D8" s="8"/>
      <c r="E8" s="8">
        <f t="shared" si="4"/>
        <v>9079065.4975999985</v>
      </c>
      <c r="G8">
        <v>190.7</v>
      </c>
      <c r="H8" s="8">
        <f t="shared" si="2"/>
        <v>138060.69759999998</v>
      </c>
      <c r="J8">
        <v>12350</v>
      </c>
      <c r="K8" s="8">
        <f t="shared" si="3"/>
        <v>8941004.7999999989</v>
      </c>
      <c r="M8">
        <v>11020</v>
      </c>
      <c r="N8" s="8">
        <f t="shared" si="1"/>
        <v>7978127.3599999994</v>
      </c>
    </row>
    <row r="9" spans="1:14" x14ac:dyDescent="0.2">
      <c r="A9">
        <v>1993</v>
      </c>
      <c r="B9">
        <v>9687</v>
      </c>
      <c r="C9" s="8">
        <f t="shared" si="0"/>
        <v>7013078.0159999998</v>
      </c>
      <c r="D9" s="8"/>
      <c r="E9" s="8">
        <f t="shared" si="4"/>
        <v>9762056.9088000003</v>
      </c>
      <c r="G9">
        <v>594.1</v>
      </c>
      <c r="H9" s="8">
        <f t="shared" si="2"/>
        <v>430109.38880000002</v>
      </c>
      <c r="J9">
        <v>12890</v>
      </c>
      <c r="K9" s="8">
        <f t="shared" si="3"/>
        <v>9331947.5199999996</v>
      </c>
      <c r="M9">
        <v>11190</v>
      </c>
      <c r="N9" s="8">
        <f t="shared" si="1"/>
        <v>8101201.9199999999</v>
      </c>
    </row>
    <row r="10" spans="1:14" x14ac:dyDescent="0.2">
      <c r="A10">
        <v>1994</v>
      </c>
      <c r="B10">
        <v>13000</v>
      </c>
      <c r="C10" s="8">
        <f t="shared" si="0"/>
        <v>9411584</v>
      </c>
      <c r="D10" s="8"/>
      <c r="E10" s="8">
        <f t="shared" si="4"/>
        <v>8957366.4768000003</v>
      </c>
      <c r="G10">
        <v>182.6</v>
      </c>
      <c r="H10" s="8">
        <f t="shared" si="2"/>
        <v>132196.55679999999</v>
      </c>
      <c r="J10">
        <v>12190</v>
      </c>
      <c r="K10" s="8">
        <f t="shared" si="3"/>
        <v>8825169.9199999999</v>
      </c>
      <c r="M10">
        <v>11450</v>
      </c>
      <c r="N10" s="8">
        <f t="shared" si="1"/>
        <v>8289433.5999999996</v>
      </c>
    </row>
    <row r="11" spans="1:14" x14ac:dyDescent="0.2">
      <c r="A11">
        <v>1995</v>
      </c>
      <c r="B11">
        <v>12090</v>
      </c>
      <c r="C11" s="8">
        <f t="shared" si="0"/>
        <v>8752773.1199999992</v>
      </c>
      <c r="D11" s="8"/>
      <c r="E11" s="8">
        <f t="shared" si="4"/>
        <v>10427021.516799999</v>
      </c>
      <c r="G11">
        <v>492.6</v>
      </c>
      <c r="H11" s="8">
        <f t="shared" si="2"/>
        <v>356626.63679999998</v>
      </c>
      <c r="J11">
        <v>13910</v>
      </c>
      <c r="K11" s="8">
        <f t="shared" si="3"/>
        <v>10070394.879999999</v>
      </c>
      <c r="M11">
        <v>12740</v>
      </c>
      <c r="N11" s="8">
        <f t="shared" si="1"/>
        <v>9223352.3200000003</v>
      </c>
    </row>
    <row r="12" spans="1:14" x14ac:dyDescent="0.2">
      <c r="A12">
        <v>1996</v>
      </c>
      <c r="B12">
        <v>13890</v>
      </c>
      <c r="C12" s="8">
        <f t="shared" si="0"/>
        <v>10055915.52</v>
      </c>
      <c r="D12" s="8"/>
      <c r="E12" s="8">
        <f t="shared" si="4"/>
        <v>12063985.5616</v>
      </c>
      <c r="G12">
        <v>163.69999999999999</v>
      </c>
      <c r="H12" s="8">
        <f t="shared" si="2"/>
        <v>118513.56159999999</v>
      </c>
      <c r="J12">
        <v>16500</v>
      </c>
      <c r="K12" s="8">
        <f t="shared" si="3"/>
        <v>11945472</v>
      </c>
      <c r="M12">
        <v>15870</v>
      </c>
      <c r="N12" s="8">
        <f t="shared" si="1"/>
        <v>11489372.16</v>
      </c>
    </row>
    <row r="13" spans="1:14" x14ac:dyDescent="0.2">
      <c r="A13">
        <v>1997</v>
      </c>
      <c r="B13">
        <v>15420</v>
      </c>
      <c r="C13" s="8">
        <f t="shared" si="0"/>
        <v>11163586.559999999</v>
      </c>
      <c r="D13" s="8"/>
      <c r="E13" s="8">
        <f t="shared" si="4"/>
        <v>14639284.531199999</v>
      </c>
      <c r="G13">
        <v>210.9</v>
      </c>
      <c r="H13" s="8">
        <f t="shared" si="2"/>
        <v>152684.8512</v>
      </c>
      <c r="J13">
        <v>20010</v>
      </c>
      <c r="K13" s="8">
        <f t="shared" si="3"/>
        <v>14486599.68</v>
      </c>
      <c r="M13">
        <v>19120</v>
      </c>
      <c r="N13" s="8">
        <f t="shared" si="1"/>
        <v>13842268.16</v>
      </c>
    </row>
    <row r="14" spans="1:14" x14ac:dyDescent="0.2">
      <c r="A14">
        <v>1998</v>
      </c>
      <c r="B14">
        <v>16530</v>
      </c>
      <c r="C14" s="8">
        <f t="shared" si="0"/>
        <v>11967191.039999999</v>
      </c>
      <c r="D14" s="8"/>
      <c r="E14" s="8">
        <f t="shared" si="4"/>
        <v>14376773.734399999</v>
      </c>
      <c r="G14">
        <v>378.3</v>
      </c>
      <c r="H14" s="8">
        <f t="shared" si="2"/>
        <v>273877.0944</v>
      </c>
      <c r="J14">
        <v>19480</v>
      </c>
      <c r="K14" s="8">
        <f t="shared" si="3"/>
        <v>14102896.639999999</v>
      </c>
      <c r="M14">
        <v>18540</v>
      </c>
      <c r="N14" s="8">
        <f t="shared" si="1"/>
        <v>13422366.719999999</v>
      </c>
    </row>
    <row r="15" spans="1:14" x14ac:dyDescent="0.2">
      <c r="A15">
        <v>1999</v>
      </c>
      <c r="B15">
        <v>15750</v>
      </c>
      <c r="C15" s="8">
        <f t="shared" si="0"/>
        <v>11402496</v>
      </c>
      <c r="D15" s="8"/>
      <c r="E15" s="8">
        <f t="shared" si="4"/>
        <v>12243746.816</v>
      </c>
      <c r="G15">
        <v>192</v>
      </c>
      <c r="H15" s="8">
        <f t="shared" si="2"/>
        <v>139001.856</v>
      </c>
      <c r="J15">
        <v>16720</v>
      </c>
      <c r="K15" s="8">
        <f t="shared" si="3"/>
        <v>12104744.959999999</v>
      </c>
      <c r="M15">
        <v>15760</v>
      </c>
      <c r="N15" s="8">
        <f t="shared" si="1"/>
        <v>11409735.68</v>
      </c>
    </row>
    <row r="16" spans="1:14" x14ac:dyDescent="0.2">
      <c r="A16">
        <v>2000</v>
      </c>
      <c r="B16">
        <v>15150</v>
      </c>
      <c r="C16" s="8">
        <f t="shared" si="0"/>
        <v>10968115.199999999</v>
      </c>
      <c r="D16" s="8"/>
      <c r="E16" s="8">
        <f t="shared" si="4"/>
        <v>10321756.569599999</v>
      </c>
      <c r="G16">
        <v>147.19999999999999</v>
      </c>
      <c r="H16" s="8">
        <f t="shared" si="2"/>
        <v>106568.08959999999</v>
      </c>
      <c r="J16">
        <v>14110</v>
      </c>
      <c r="K16" s="8">
        <f t="shared" si="3"/>
        <v>10215188.479999999</v>
      </c>
      <c r="M16">
        <v>13120</v>
      </c>
      <c r="N16" s="8">
        <f t="shared" si="1"/>
        <v>9498460.1600000001</v>
      </c>
    </row>
    <row r="17" spans="1:14" x14ac:dyDescent="0.2">
      <c r="A17">
        <v>2001</v>
      </c>
      <c r="B17">
        <v>14500</v>
      </c>
      <c r="C17" s="8">
        <f t="shared" si="0"/>
        <v>10497536</v>
      </c>
      <c r="D17" s="8"/>
      <c r="E17" s="8">
        <f t="shared" si="4"/>
        <v>9179407.4623999987</v>
      </c>
      <c r="G17">
        <v>149.30000000000001</v>
      </c>
      <c r="H17" s="8">
        <f t="shared" si="2"/>
        <v>108088.4224</v>
      </c>
      <c r="J17">
        <v>12530</v>
      </c>
      <c r="K17" s="8">
        <f t="shared" si="3"/>
        <v>9071319.0399999991</v>
      </c>
      <c r="M17">
        <v>11520</v>
      </c>
      <c r="N17" s="8">
        <f t="shared" si="1"/>
        <v>8340111.3599999994</v>
      </c>
    </row>
    <row r="18" spans="1:14" x14ac:dyDescent="0.2">
      <c r="A18">
        <v>2002</v>
      </c>
      <c r="B18">
        <v>14510</v>
      </c>
      <c r="C18" s="8">
        <f t="shared" si="0"/>
        <v>10504775.68</v>
      </c>
      <c r="D18" s="8"/>
      <c r="E18" s="8">
        <f t="shared" si="4"/>
        <v>8957366.4768000003</v>
      </c>
      <c r="G18">
        <v>102.6</v>
      </c>
      <c r="H18" s="8">
        <f t="shared" si="2"/>
        <v>74279.116799999989</v>
      </c>
      <c r="J18">
        <v>12270</v>
      </c>
      <c r="K18" s="8">
        <f t="shared" si="3"/>
        <v>8883087.3599999994</v>
      </c>
      <c r="M18">
        <v>11520</v>
      </c>
      <c r="N18" s="8">
        <f t="shared" si="1"/>
        <v>8340111.3599999994</v>
      </c>
    </row>
    <row r="19" spans="1:14" x14ac:dyDescent="0.2">
      <c r="A19">
        <v>2003</v>
      </c>
      <c r="B19">
        <v>13070</v>
      </c>
      <c r="C19" s="8">
        <f t="shared" si="0"/>
        <v>9462261.7599999998</v>
      </c>
      <c r="D19" s="8"/>
      <c r="E19" s="8">
        <f t="shared" si="4"/>
        <v>9039681.6383999996</v>
      </c>
      <c r="G19">
        <v>116.3</v>
      </c>
      <c r="H19" s="8">
        <f t="shared" si="2"/>
        <v>84197.478399999993</v>
      </c>
      <c r="J19">
        <v>12370</v>
      </c>
      <c r="K19" s="8">
        <f t="shared" si="3"/>
        <v>8955484.1600000001</v>
      </c>
      <c r="M19">
        <v>11550</v>
      </c>
      <c r="N19" s="8">
        <f t="shared" si="1"/>
        <v>8361830.3999999994</v>
      </c>
    </row>
    <row r="20" spans="1:14" x14ac:dyDescent="0.2">
      <c r="A20">
        <v>2004</v>
      </c>
      <c r="B20">
        <v>13270</v>
      </c>
      <c r="C20" s="8">
        <f t="shared" si="0"/>
        <v>9607055.3599999994</v>
      </c>
      <c r="D20" s="8"/>
      <c r="E20" s="8">
        <f t="shared" si="4"/>
        <v>9029908.0703999996</v>
      </c>
      <c r="G20">
        <v>112.8</v>
      </c>
      <c r="H20" s="8">
        <f t="shared" si="2"/>
        <v>81663.590399999986</v>
      </c>
      <c r="J20">
        <v>12360</v>
      </c>
      <c r="K20" s="8">
        <f t="shared" si="3"/>
        <v>8948244.4800000004</v>
      </c>
      <c r="M20">
        <v>11480</v>
      </c>
      <c r="N20" s="8">
        <f t="shared" si="1"/>
        <v>8311152.6399999997</v>
      </c>
    </row>
    <row r="21" spans="1:14" x14ac:dyDescent="0.2">
      <c r="A21">
        <v>2005</v>
      </c>
      <c r="B21">
        <v>10970</v>
      </c>
      <c r="C21" s="8">
        <f t="shared" si="0"/>
        <v>7941928.96</v>
      </c>
      <c r="D21" s="8"/>
      <c r="E21" s="8">
        <f t="shared" si="4"/>
        <v>10008712.806399999</v>
      </c>
      <c r="G21">
        <v>824.8</v>
      </c>
      <c r="H21" s="8">
        <f t="shared" si="2"/>
        <v>597128.80639999988</v>
      </c>
      <c r="J21">
        <v>13000</v>
      </c>
      <c r="K21" s="8">
        <f t="shared" si="3"/>
        <v>9411584</v>
      </c>
      <c r="M21">
        <v>11550</v>
      </c>
      <c r="N21" s="8">
        <f t="shared" si="1"/>
        <v>8361830.3999999994</v>
      </c>
    </row>
    <row r="22" spans="1:14" x14ac:dyDescent="0.2">
      <c r="A22">
        <v>2006</v>
      </c>
      <c r="B22">
        <v>12980</v>
      </c>
      <c r="C22" s="8">
        <f t="shared" si="0"/>
        <v>9397104.6399999987</v>
      </c>
      <c r="D22" s="8"/>
      <c r="E22" s="8">
        <f t="shared" si="4"/>
        <v>9182013.7471999992</v>
      </c>
      <c r="G22">
        <v>232.9</v>
      </c>
      <c r="H22" s="8">
        <f t="shared" si="2"/>
        <v>168612.14720000001</v>
      </c>
      <c r="J22">
        <v>12450</v>
      </c>
      <c r="K22" s="8">
        <f t="shared" si="3"/>
        <v>9013401.5999999996</v>
      </c>
      <c r="M22">
        <v>11730</v>
      </c>
      <c r="N22" s="8">
        <f t="shared" si="1"/>
        <v>8492144.6399999987</v>
      </c>
    </row>
    <row r="23" spans="1:14" x14ac:dyDescent="0.2">
      <c r="A23">
        <v>2007</v>
      </c>
      <c r="B23">
        <v>13050</v>
      </c>
      <c r="C23" s="8">
        <f t="shared" si="0"/>
        <v>9447782.4000000004</v>
      </c>
      <c r="D23" s="8"/>
      <c r="E23" s="8">
        <f t="shared" si="4"/>
        <v>9298138.214399999</v>
      </c>
      <c r="G23">
        <v>133.30000000000001</v>
      </c>
      <c r="H23" s="8">
        <f t="shared" si="2"/>
        <v>96504.934399999998</v>
      </c>
      <c r="J23">
        <v>12710</v>
      </c>
      <c r="K23" s="8">
        <f t="shared" si="3"/>
        <v>9201633.2799999993</v>
      </c>
      <c r="M23">
        <v>11600</v>
      </c>
      <c r="N23" s="8">
        <f t="shared" si="1"/>
        <v>8398028.7999999989</v>
      </c>
    </row>
    <row r="24" spans="1:14" x14ac:dyDescent="0.2">
      <c r="A24">
        <v>2008</v>
      </c>
      <c r="B24">
        <v>13120</v>
      </c>
      <c r="C24" s="8">
        <f t="shared" si="0"/>
        <v>9498460.1600000001</v>
      </c>
      <c r="D24" s="8"/>
      <c r="E24" s="8">
        <f t="shared" si="4"/>
        <v>10141488.537599999</v>
      </c>
      <c r="G24">
        <v>158.19999999999999</v>
      </c>
      <c r="H24" s="8">
        <f t="shared" si="2"/>
        <v>114531.73759999998</v>
      </c>
      <c r="J24">
        <v>13850</v>
      </c>
      <c r="K24" s="8">
        <f t="shared" si="3"/>
        <v>10026956.799999999</v>
      </c>
      <c r="M24">
        <v>12620</v>
      </c>
      <c r="N24" s="8">
        <f t="shared" si="1"/>
        <v>9136476.1600000001</v>
      </c>
    </row>
    <row r="25" spans="1:14" x14ac:dyDescent="0.2">
      <c r="A25">
        <v>2009</v>
      </c>
      <c r="B25">
        <v>12720</v>
      </c>
      <c r="C25" s="8">
        <f t="shared" si="0"/>
        <v>9208872.959999999</v>
      </c>
      <c r="D25" s="8"/>
      <c r="E25" s="8">
        <f t="shared" si="4"/>
        <v>9386317.5167999994</v>
      </c>
      <c r="G25">
        <v>125.1</v>
      </c>
      <c r="H25" s="8">
        <f t="shared" si="2"/>
        <v>90568.396799999988</v>
      </c>
      <c r="J25">
        <v>12840</v>
      </c>
      <c r="K25" s="8">
        <f t="shared" si="3"/>
        <v>9295749.1199999992</v>
      </c>
      <c r="M25">
        <v>11600</v>
      </c>
      <c r="N25" s="8">
        <f t="shared" si="1"/>
        <v>8398028.7999999989</v>
      </c>
    </row>
    <row r="26" spans="1:14" x14ac:dyDescent="0.2">
      <c r="A26">
        <v>2010</v>
      </c>
      <c r="B26">
        <v>12790</v>
      </c>
      <c r="C26" s="8">
        <f t="shared" si="0"/>
        <v>9259550.7199999988</v>
      </c>
      <c r="D26" s="8"/>
      <c r="E26" s="8">
        <f t="shared" si="4"/>
        <v>9634059.3663999997</v>
      </c>
      <c r="G26">
        <v>207.3</v>
      </c>
      <c r="H26" s="8">
        <f t="shared" si="2"/>
        <v>150078.56640000001</v>
      </c>
      <c r="J26">
        <v>13100</v>
      </c>
      <c r="K26" s="8">
        <f t="shared" si="3"/>
        <v>9483980.7999999989</v>
      </c>
      <c r="M26">
        <v>11630</v>
      </c>
      <c r="N26" s="8">
        <f t="shared" si="1"/>
        <v>8419747.8399999999</v>
      </c>
    </row>
    <row r="27" spans="1:14" x14ac:dyDescent="0.2">
      <c r="A27">
        <v>2011</v>
      </c>
      <c r="B27">
        <v>13540</v>
      </c>
      <c r="C27" s="8">
        <f t="shared" si="0"/>
        <v>9802526.7199999988</v>
      </c>
      <c r="D27" s="8"/>
      <c r="E27" s="8">
        <f t="shared" si="4"/>
        <v>13862901.248</v>
      </c>
      <c r="G27">
        <v>548.5</v>
      </c>
      <c r="H27" s="8">
        <f t="shared" si="2"/>
        <v>397096.44799999997</v>
      </c>
      <c r="J27">
        <v>18600</v>
      </c>
      <c r="K27" s="8">
        <f t="shared" si="3"/>
        <v>13465804.799999999</v>
      </c>
      <c r="M27">
        <v>17580</v>
      </c>
      <c r="N27" s="8">
        <f t="shared" si="1"/>
        <v>12727357.439999999</v>
      </c>
    </row>
    <row r="28" spans="1:14" x14ac:dyDescent="0.2">
      <c r="A28">
        <v>2012</v>
      </c>
      <c r="B28">
        <v>12980</v>
      </c>
      <c r="C28" s="8">
        <f t="shared" si="0"/>
        <v>9397104.6399999987</v>
      </c>
      <c r="D28" s="8"/>
      <c r="E28" s="8">
        <f t="shared" si="4"/>
        <v>10386479.308800001</v>
      </c>
      <c r="G28">
        <v>166.6</v>
      </c>
      <c r="H28" s="8">
        <f t="shared" si="2"/>
        <v>120613.06879999999</v>
      </c>
      <c r="J28">
        <v>14180</v>
      </c>
      <c r="K28" s="8">
        <f t="shared" si="3"/>
        <v>10265866.24</v>
      </c>
      <c r="M28">
        <v>13120</v>
      </c>
      <c r="N28" s="8">
        <f t="shared" si="1"/>
        <v>9498460.1600000001</v>
      </c>
    </row>
    <row r="29" spans="1:14" x14ac:dyDescent="0.2">
      <c r="A29">
        <v>2013</v>
      </c>
      <c r="B29">
        <v>12490</v>
      </c>
      <c r="C29" s="8">
        <f t="shared" si="0"/>
        <v>9042360.3200000003</v>
      </c>
      <c r="D29" s="8"/>
      <c r="E29" s="8">
        <f t="shared" si="4"/>
        <v>9313413.939199999</v>
      </c>
      <c r="G29">
        <v>164.4</v>
      </c>
      <c r="H29" s="8">
        <f t="shared" si="2"/>
        <v>119020.3392</v>
      </c>
      <c r="J29">
        <v>12700</v>
      </c>
      <c r="K29" s="8">
        <f t="shared" si="3"/>
        <v>9194393.5999999996</v>
      </c>
      <c r="M29">
        <v>11410</v>
      </c>
      <c r="N29" s="8">
        <f t="shared" si="1"/>
        <v>8260474.8799999999</v>
      </c>
    </row>
    <row r="30" spans="1:14" x14ac:dyDescent="0.2">
      <c r="A30">
        <v>2014</v>
      </c>
      <c r="B30">
        <v>13480</v>
      </c>
      <c r="C30" s="8">
        <f t="shared" si="0"/>
        <v>9759088.6399999987</v>
      </c>
      <c r="D30" s="8"/>
      <c r="E30" s="8">
        <f t="shared" si="4"/>
        <v>8476868.9151999988</v>
      </c>
      <c r="G30">
        <v>148.9</v>
      </c>
      <c r="H30" s="8">
        <f t="shared" si="2"/>
        <v>107798.8352</v>
      </c>
      <c r="J30">
        <v>11560</v>
      </c>
      <c r="K30" s="8">
        <f t="shared" si="3"/>
        <v>8369070.0799999991</v>
      </c>
      <c r="M30">
        <v>10450</v>
      </c>
      <c r="N30" s="8">
        <f t="shared" si="1"/>
        <v>7565465.5999999996</v>
      </c>
    </row>
    <row r="31" spans="1:14" x14ac:dyDescent="0.2">
      <c r="A31">
        <v>2015</v>
      </c>
      <c r="B31">
        <v>12770</v>
      </c>
      <c r="C31" s="8">
        <f t="shared" si="0"/>
        <v>9245071.3599999994</v>
      </c>
      <c r="D31" s="8"/>
      <c r="E31" s="8">
        <f t="shared" si="4"/>
        <v>9949709.4144000001</v>
      </c>
      <c r="G31">
        <v>123.3</v>
      </c>
      <c r="H31" s="8">
        <f t="shared" si="2"/>
        <v>89265.254399999991</v>
      </c>
      <c r="J31">
        <v>13620</v>
      </c>
      <c r="K31" s="8">
        <f t="shared" si="3"/>
        <v>9860444.1600000001</v>
      </c>
      <c r="M31">
        <v>12620</v>
      </c>
      <c r="N31" s="8">
        <f t="shared" si="1"/>
        <v>9136476.1600000001</v>
      </c>
    </row>
    <row r="32" spans="1:14" x14ac:dyDescent="0.2">
      <c r="A32">
        <v>2016</v>
      </c>
      <c r="B32">
        <v>12800</v>
      </c>
      <c r="C32" s="8">
        <f t="shared" si="0"/>
        <v>9266790.4000000004</v>
      </c>
      <c r="D32" s="8"/>
      <c r="E32" s="8">
        <f t="shared" si="4"/>
        <v>9926759.628800001</v>
      </c>
      <c r="G32">
        <v>161.6</v>
      </c>
      <c r="H32" s="8">
        <f t="shared" si="2"/>
        <v>116993.22879999998</v>
      </c>
      <c r="J32">
        <v>13550</v>
      </c>
      <c r="K32" s="8">
        <f t="shared" si="3"/>
        <v>9809766.4000000004</v>
      </c>
      <c r="M32">
        <v>12560</v>
      </c>
      <c r="N32" s="8">
        <f t="shared" si="1"/>
        <v>9093038.0800000001</v>
      </c>
    </row>
    <row r="33" spans="1:14" x14ac:dyDescent="0.2">
      <c r="A33">
        <v>2017</v>
      </c>
      <c r="B33">
        <v>11910</v>
      </c>
      <c r="C33" s="8">
        <f t="shared" si="0"/>
        <v>8622458.879999999</v>
      </c>
      <c r="D33" s="8"/>
      <c r="E33" s="8">
        <f t="shared" si="4"/>
        <v>10201071.103999998</v>
      </c>
      <c r="G33">
        <v>230.5</v>
      </c>
      <c r="H33" s="8">
        <f t="shared" si="2"/>
        <v>166874.62399999998</v>
      </c>
      <c r="J33">
        <v>13860</v>
      </c>
      <c r="K33" s="8">
        <f t="shared" si="3"/>
        <v>10034196.479999999</v>
      </c>
      <c r="M33">
        <v>12640</v>
      </c>
      <c r="N33" s="8">
        <f t="shared" si="1"/>
        <v>9150955.5199999996</v>
      </c>
    </row>
    <row r="34" spans="1:14" x14ac:dyDescent="0.2">
      <c r="E34" s="8">
        <f t="shared" si="4"/>
        <v>9910904.7295999993</v>
      </c>
      <c r="G34">
        <v>119.7</v>
      </c>
      <c r="H34" s="8">
        <f t="shared" si="2"/>
        <v>86658.969599999997</v>
      </c>
      <c r="J34">
        <v>13570</v>
      </c>
      <c r="K34" s="8">
        <f t="shared" si="3"/>
        <v>9824245.7599999998</v>
      </c>
      <c r="M34">
        <v>12650</v>
      </c>
      <c r="N34" s="8">
        <f t="shared" si="1"/>
        <v>9158195.1999999993</v>
      </c>
    </row>
    <row r="35" spans="1:14" x14ac:dyDescent="0.2">
      <c r="E35" s="8">
        <f t="shared" si="4"/>
        <v>10286933.708799999</v>
      </c>
      <c r="G35">
        <v>309.10000000000002</v>
      </c>
      <c r="H35" s="8">
        <f t="shared" si="2"/>
        <v>223778.50880000001</v>
      </c>
      <c r="J35">
        <v>13900</v>
      </c>
      <c r="K35" s="8">
        <f t="shared" si="3"/>
        <v>10063155.199999999</v>
      </c>
      <c r="M35">
        <v>12770</v>
      </c>
      <c r="N35" s="8">
        <f t="shared" si="1"/>
        <v>9245071.3599999994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603E-C158-5747-BA1D-43C579582FC3}">
  <dimension ref="A1:U51"/>
  <sheetViews>
    <sheetView workbookViewId="0">
      <selection activeCell="S23" sqref="S23:S31"/>
    </sheetView>
  </sheetViews>
  <sheetFormatPr baseColWidth="10" defaultRowHeight="16" x14ac:dyDescent="0.2"/>
  <cols>
    <col min="6" max="6" width="14" style="8" bestFit="1" customWidth="1"/>
    <col min="16" max="16" width="12.1640625" customWidth="1"/>
  </cols>
  <sheetData>
    <row r="1" spans="1:21" ht="34" x14ac:dyDescent="0.2">
      <c r="B1">
        <v>9315000</v>
      </c>
      <c r="C1">
        <v>9180500</v>
      </c>
      <c r="D1">
        <v>9379500</v>
      </c>
      <c r="E1" t="s">
        <v>373</v>
      </c>
      <c r="I1">
        <v>9380000</v>
      </c>
      <c r="J1">
        <v>9382000</v>
      </c>
      <c r="K1">
        <v>9202000</v>
      </c>
      <c r="L1">
        <v>9404200</v>
      </c>
      <c r="M1" s="66" t="s">
        <v>374</v>
      </c>
      <c r="N1" s="66"/>
      <c r="P1" t="s">
        <v>376</v>
      </c>
      <c r="Q1" t="s">
        <v>377</v>
      </c>
      <c r="R1" t="s">
        <v>378</v>
      </c>
      <c r="S1" s="22" t="s">
        <v>379</v>
      </c>
    </row>
    <row r="2" spans="1:21" x14ac:dyDescent="0.2">
      <c r="A2">
        <v>2000</v>
      </c>
      <c r="B2">
        <v>4416</v>
      </c>
      <c r="C2">
        <v>5311</v>
      </c>
      <c r="D2">
        <v>1154</v>
      </c>
      <c r="E2">
        <f>B2+C2+D2</f>
        <v>10881</v>
      </c>
      <c r="F2" s="8">
        <f>E2*723.968</f>
        <v>7877495.8079999993</v>
      </c>
      <c r="I2">
        <v>13120</v>
      </c>
      <c r="J2" s="8">
        <v>11.5</v>
      </c>
      <c r="K2">
        <v>14.1</v>
      </c>
      <c r="L2">
        <v>14110</v>
      </c>
      <c r="M2">
        <f>L2-I2</f>
        <v>990</v>
      </c>
      <c r="N2" s="9">
        <f>L2-I2-J2-K2</f>
        <v>964.4</v>
      </c>
      <c r="P2" s="8">
        <f>I2*723.968</f>
        <v>9498460.1600000001</v>
      </c>
      <c r="Q2" s="8">
        <f>J2*723.968</f>
        <v>8325.6319999999996</v>
      </c>
      <c r="R2" s="8">
        <f>K2*723.968</f>
        <v>10207.948799999998</v>
      </c>
      <c r="S2" s="8">
        <f>N2*723.968</f>
        <v>698194.73919999995</v>
      </c>
    </row>
    <row r="3" spans="1:21" x14ac:dyDescent="0.2">
      <c r="A3">
        <v>2001</v>
      </c>
      <c r="B3">
        <v>3403</v>
      </c>
      <c r="C3">
        <v>4147</v>
      </c>
      <c r="D3">
        <v>1604</v>
      </c>
      <c r="E3">
        <f t="shared" ref="E3:E21" si="0">B3+C3+D3</f>
        <v>9154</v>
      </c>
      <c r="F3" s="8">
        <f t="shared" ref="F3:F21" si="1">E3*723.968</f>
        <v>6627203.0719999997</v>
      </c>
      <c r="I3">
        <v>11520</v>
      </c>
      <c r="J3" s="8">
        <v>27.2</v>
      </c>
      <c r="K3">
        <v>114.5</v>
      </c>
      <c r="L3">
        <v>12530</v>
      </c>
      <c r="M3">
        <f t="shared" ref="M3:M21" si="2">L3-I3</f>
        <v>1010</v>
      </c>
      <c r="N3" s="9">
        <f t="shared" ref="N3:N20" si="3">L3-I3-J3-K3</f>
        <v>868.3</v>
      </c>
      <c r="P3" s="8">
        <f t="shared" ref="P3:P21" si="4">I3*723.968</f>
        <v>8340111.3599999994</v>
      </c>
      <c r="Q3" s="8">
        <f t="shared" ref="Q3:Q20" si="5">J3*723.968</f>
        <v>19691.929599999999</v>
      </c>
      <c r="R3" s="8">
        <f t="shared" ref="R3:R20" si="6">K3*723.968</f>
        <v>82894.335999999996</v>
      </c>
      <c r="S3" s="8">
        <f t="shared" ref="S3:S20" si="7">N3*723.968</f>
        <v>628621.41439999989</v>
      </c>
    </row>
    <row r="4" spans="1:21" x14ac:dyDescent="0.2">
      <c r="A4">
        <v>2002</v>
      </c>
      <c r="B4">
        <v>2027</v>
      </c>
      <c r="C4">
        <v>2557</v>
      </c>
      <c r="D4">
        <v>741.5</v>
      </c>
      <c r="E4">
        <f t="shared" si="0"/>
        <v>5325.5</v>
      </c>
      <c r="F4" s="8">
        <f t="shared" si="1"/>
        <v>3855491.5839999998</v>
      </c>
      <c r="I4">
        <v>11520</v>
      </c>
      <c r="J4" s="8">
        <v>11.1</v>
      </c>
      <c r="K4">
        <v>102.9</v>
      </c>
      <c r="L4">
        <v>12270</v>
      </c>
      <c r="M4">
        <f t="shared" si="2"/>
        <v>750</v>
      </c>
      <c r="N4" s="9">
        <f t="shared" si="3"/>
        <v>636</v>
      </c>
      <c r="P4" s="8">
        <f t="shared" si="4"/>
        <v>8340111.3599999994</v>
      </c>
      <c r="Q4" s="8">
        <f t="shared" si="5"/>
        <v>8036.0447999999997</v>
      </c>
      <c r="R4" s="8">
        <f t="shared" si="6"/>
        <v>74496.307199999996</v>
      </c>
      <c r="S4" s="8">
        <f t="shared" si="7"/>
        <v>460443.64799999999</v>
      </c>
    </row>
    <row r="5" spans="1:21" x14ac:dyDescent="0.2">
      <c r="A5">
        <v>2003</v>
      </c>
      <c r="B5">
        <v>3363</v>
      </c>
      <c r="C5">
        <v>3780</v>
      </c>
      <c r="D5">
        <v>908.4</v>
      </c>
      <c r="E5">
        <f t="shared" si="0"/>
        <v>8051.4</v>
      </c>
      <c r="F5" s="8">
        <f t="shared" si="1"/>
        <v>5828955.9551999997</v>
      </c>
      <c r="I5">
        <v>11550</v>
      </c>
      <c r="J5" s="8">
        <v>16.100000000000001</v>
      </c>
      <c r="K5">
        <v>56.5</v>
      </c>
      <c r="L5">
        <v>12370</v>
      </c>
      <c r="M5">
        <f t="shared" si="2"/>
        <v>820</v>
      </c>
      <c r="N5" s="9">
        <f t="shared" si="3"/>
        <v>747.4</v>
      </c>
      <c r="P5" s="8">
        <f t="shared" si="4"/>
        <v>8361830.3999999994</v>
      </c>
      <c r="Q5" s="8">
        <f t="shared" si="5"/>
        <v>11655.8848</v>
      </c>
      <c r="R5" s="8">
        <f t="shared" si="6"/>
        <v>40904.191999999995</v>
      </c>
      <c r="S5" s="8">
        <f t="shared" si="7"/>
        <v>541093.68319999997</v>
      </c>
    </row>
    <row r="6" spans="1:21" x14ac:dyDescent="0.2">
      <c r="A6">
        <v>2004</v>
      </c>
      <c r="B6">
        <v>2649</v>
      </c>
      <c r="C6">
        <v>3523</v>
      </c>
      <c r="D6">
        <v>981.2</v>
      </c>
      <c r="E6">
        <f t="shared" si="0"/>
        <v>7153.2</v>
      </c>
      <c r="F6" s="8">
        <f t="shared" si="1"/>
        <v>5178687.8975999998</v>
      </c>
      <c r="I6">
        <v>11480</v>
      </c>
      <c r="J6" s="8">
        <v>17.399999999999999</v>
      </c>
      <c r="K6">
        <v>73</v>
      </c>
      <c r="L6">
        <v>12360</v>
      </c>
      <c r="M6">
        <f t="shared" si="2"/>
        <v>880</v>
      </c>
      <c r="N6" s="9">
        <f t="shared" si="3"/>
        <v>789.6</v>
      </c>
      <c r="P6" s="8">
        <f t="shared" si="4"/>
        <v>8311152.6399999997</v>
      </c>
      <c r="Q6" s="8">
        <f t="shared" si="5"/>
        <v>12597.043199999998</v>
      </c>
      <c r="R6" s="8">
        <f t="shared" si="6"/>
        <v>52849.663999999997</v>
      </c>
      <c r="S6" s="8">
        <f t="shared" si="7"/>
        <v>571645.13280000002</v>
      </c>
      <c r="T6">
        <v>28240</v>
      </c>
      <c r="U6">
        <f>T6*723.968</f>
        <v>20444856.32</v>
      </c>
    </row>
    <row r="7" spans="1:21" x14ac:dyDescent="0.2">
      <c r="A7">
        <v>2005</v>
      </c>
      <c r="B7">
        <v>5897</v>
      </c>
      <c r="C7">
        <v>6820</v>
      </c>
      <c r="D7">
        <v>2293</v>
      </c>
      <c r="E7">
        <f t="shared" si="0"/>
        <v>15010</v>
      </c>
      <c r="F7" s="8">
        <f t="shared" si="1"/>
        <v>10866759.68</v>
      </c>
      <c r="I7">
        <v>11550</v>
      </c>
      <c r="J7" s="8">
        <v>46.3</v>
      </c>
      <c r="K7">
        <v>393.6</v>
      </c>
      <c r="L7">
        <v>13000</v>
      </c>
      <c r="M7">
        <f t="shared" si="2"/>
        <v>1450</v>
      </c>
      <c r="N7" s="9">
        <f t="shared" si="3"/>
        <v>1010.1</v>
      </c>
      <c r="P7" s="8">
        <f t="shared" si="4"/>
        <v>8361830.3999999994</v>
      </c>
      <c r="Q7" s="8">
        <f t="shared" si="5"/>
        <v>33519.718399999998</v>
      </c>
      <c r="R7" s="8">
        <f t="shared" si="6"/>
        <v>284953.80479999998</v>
      </c>
      <c r="S7" s="8">
        <f t="shared" si="7"/>
        <v>731280.07679999992</v>
      </c>
    </row>
    <row r="8" spans="1:21" x14ac:dyDescent="0.2">
      <c r="A8">
        <v>2006</v>
      </c>
      <c r="B8">
        <v>4590</v>
      </c>
      <c r="C8">
        <v>5423</v>
      </c>
      <c r="D8">
        <v>1282</v>
      </c>
      <c r="E8">
        <f t="shared" si="0"/>
        <v>11295</v>
      </c>
      <c r="F8" s="8">
        <f t="shared" si="1"/>
        <v>8177218.5599999996</v>
      </c>
      <c r="I8">
        <v>11730</v>
      </c>
      <c r="J8" s="8">
        <v>20.399999999999999</v>
      </c>
      <c r="K8">
        <v>108.3</v>
      </c>
      <c r="L8">
        <v>12450</v>
      </c>
      <c r="M8">
        <f t="shared" si="2"/>
        <v>720</v>
      </c>
      <c r="N8" s="9">
        <f t="shared" si="3"/>
        <v>591.30000000000007</v>
      </c>
      <c r="P8" s="8">
        <f t="shared" si="4"/>
        <v>8492144.6399999987</v>
      </c>
      <c r="Q8" s="8">
        <f t="shared" si="5"/>
        <v>14768.947199999999</v>
      </c>
      <c r="R8" s="8">
        <f t="shared" si="6"/>
        <v>78405.734399999987</v>
      </c>
      <c r="S8" s="8">
        <f t="shared" si="7"/>
        <v>428082.27840000001</v>
      </c>
    </row>
    <row r="9" spans="1:21" x14ac:dyDescent="0.2">
      <c r="A9">
        <v>2007</v>
      </c>
      <c r="B9">
        <v>3596</v>
      </c>
      <c r="C9">
        <v>5439</v>
      </c>
      <c r="D9">
        <v>1877</v>
      </c>
      <c r="E9">
        <f t="shared" si="0"/>
        <v>10912</v>
      </c>
      <c r="F9" s="8">
        <f t="shared" si="1"/>
        <v>7899938.8159999996</v>
      </c>
      <c r="I9">
        <v>11600</v>
      </c>
      <c r="J9" s="8">
        <v>31.6</v>
      </c>
      <c r="K9">
        <v>153.1</v>
      </c>
      <c r="L9">
        <v>12710</v>
      </c>
      <c r="M9">
        <f t="shared" si="2"/>
        <v>1110</v>
      </c>
      <c r="N9" s="9">
        <f t="shared" si="3"/>
        <v>925.30000000000007</v>
      </c>
      <c r="P9" s="8">
        <f t="shared" si="4"/>
        <v>8398028.7999999989</v>
      </c>
      <c r="Q9" s="8">
        <f t="shared" si="5"/>
        <v>22877.388800000001</v>
      </c>
      <c r="R9" s="8">
        <f t="shared" si="6"/>
        <v>110839.50079999999</v>
      </c>
      <c r="S9" s="8">
        <f t="shared" si="7"/>
        <v>669887.59039999999</v>
      </c>
    </row>
    <row r="10" spans="1:21" x14ac:dyDescent="0.2">
      <c r="A10">
        <v>2008</v>
      </c>
      <c r="B10">
        <v>4982</v>
      </c>
      <c r="C10">
        <v>8761</v>
      </c>
      <c r="D10">
        <v>2593</v>
      </c>
      <c r="E10">
        <f t="shared" si="0"/>
        <v>16336</v>
      </c>
      <c r="F10" s="8">
        <f t="shared" si="1"/>
        <v>11826741.248</v>
      </c>
      <c r="I10">
        <v>12620</v>
      </c>
      <c r="J10" s="8">
        <v>21.7</v>
      </c>
      <c r="K10">
        <v>284.10000000000002</v>
      </c>
      <c r="L10">
        <v>13850</v>
      </c>
      <c r="M10">
        <f t="shared" si="2"/>
        <v>1230</v>
      </c>
      <c r="N10" s="9">
        <f t="shared" si="3"/>
        <v>924.19999999999993</v>
      </c>
      <c r="P10" s="8">
        <f t="shared" si="4"/>
        <v>9136476.1600000001</v>
      </c>
      <c r="Q10" s="8">
        <f t="shared" si="5"/>
        <v>15710.105599999999</v>
      </c>
      <c r="R10" s="8">
        <f t="shared" si="6"/>
        <v>205679.3088</v>
      </c>
      <c r="S10" s="8">
        <f t="shared" si="7"/>
        <v>669091.22559999989</v>
      </c>
    </row>
    <row r="11" spans="1:21" x14ac:dyDescent="0.2">
      <c r="A11">
        <v>2009</v>
      </c>
      <c r="B11">
        <v>4932</v>
      </c>
      <c r="C11">
        <v>7272</v>
      </c>
      <c r="D11">
        <v>1296</v>
      </c>
      <c r="E11">
        <f t="shared" si="0"/>
        <v>13500</v>
      </c>
      <c r="F11" s="8">
        <f t="shared" si="1"/>
        <v>9773568</v>
      </c>
      <c r="I11">
        <v>11600</v>
      </c>
      <c r="J11" s="8">
        <v>14.1</v>
      </c>
      <c r="K11">
        <v>74.8</v>
      </c>
      <c r="L11">
        <v>12840</v>
      </c>
      <c r="M11">
        <f t="shared" si="2"/>
        <v>1240</v>
      </c>
      <c r="N11" s="9">
        <f t="shared" si="3"/>
        <v>1151.1000000000001</v>
      </c>
      <c r="P11" s="8">
        <f t="shared" si="4"/>
        <v>8398028.7999999989</v>
      </c>
      <c r="Q11" s="8">
        <f t="shared" si="5"/>
        <v>10207.948799999998</v>
      </c>
      <c r="R11" s="8">
        <f t="shared" si="6"/>
        <v>54152.806399999994</v>
      </c>
      <c r="S11" s="8">
        <f t="shared" si="7"/>
        <v>833359.56480000005</v>
      </c>
    </row>
    <row r="12" spans="1:21" x14ac:dyDescent="0.2">
      <c r="A12">
        <v>2010</v>
      </c>
      <c r="B12">
        <v>4681</v>
      </c>
      <c r="C12">
        <v>5547</v>
      </c>
      <c r="D12">
        <v>1181</v>
      </c>
      <c r="E12">
        <f t="shared" si="0"/>
        <v>11409</v>
      </c>
      <c r="F12" s="8">
        <f t="shared" si="1"/>
        <v>8259750.9119999995</v>
      </c>
      <c r="I12">
        <v>11630</v>
      </c>
      <c r="J12" s="8">
        <v>24.4</v>
      </c>
      <c r="K12">
        <v>286.60000000000002</v>
      </c>
      <c r="L12">
        <v>13100</v>
      </c>
      <c r="M12">
        <f t="shared" si="2"/>
        <v>1470</v>
      </c>
      <c r="N12" s="9">
        <f t="shared" si="3"/>
        <v>1159</v>
      </c>
      <c r="P12" s="8">
        <f t="shared" si="4"/>
        <v>8419747.8399999999</v>
      </c>
      <c r="Q12" s="8">
        <f t="shared" si="5"/>
        <v>17664.819199999998</v>
      </c>
      <c r="R12" s="8">
        <f t="shared" si="6"/>
        <v>207489.22880000001</v>
      </c>
      <c r="S12" s="8">
        <f t="shared" si="7"/>
        <v>839078.91200000001</v>
      </c>
    </row>
    <row r="13" spans="1:21" x14ac:dyDescent="0.2">
      <c r="A13">
        <v>2011</v>
      </c>
      <c r="B13">
        <v>10160</v>
      </c>
      <c r="C13">
        <v>9585</v>
      </c>
      <c r="D13">
        <v>1238</v>
      </c>
      <c r="E13">
        <f t="shared" si="0"/>
        <v>20983</v>
      </c>
      <c r="F13" s="8">
        <f t="shared" si="1"/>
        <v>15191020.544</v>
      </c>
      <c r="I13">
        <v>17580</v>
      </c>
      <c r="J13" s="8">
        <v>31.2</v>
      </c>
      <c r="K13">
        <v>67.3</v>
      </c>
      <c r="L13">
        <v>18600</v>
      </c>
      <c r="M13">
        <f t="shared" si="2"/>
        <v>1020</v>
      </c>
      <c r="N13" s="9">
        <f t="shared" si="3"/>
        <v>921.5</v>
      </c>
      <c r="P13" s="8">
        <f t="shared" si="4"/>
        <v>12727357.439999999</v>
      </c>
      <c r="Q13" s="8">
        <f t="shared" si="5"/>
        <v>22587.801599999999</v>
      </c>
      <c r="R13" s="8">
        <f t="shared" si="6"/>
        <v>48723.046399999992</v>
      </c>
      <c r="S13" s="8">
        <f t="shared" si="7"/>
        <v>667136.51199999999</v>
      </c>
    </row>
    <row r="14" spans="1:21" x14ac:dyDescent="0.2">
      <c r="A14">
        <v>2012</v>
      </c>
      <c r="B14">
        <v>3689</v>
      </c>
      <c r="C14">
        <v>3489</v>
      </c>
      <c r="D14">
        <v>983.1</v>
      </c>
      <c r="E14">
        <f t="shared" si="0"/>
        <v>8161.1</v>
      </c>
      <c r="F14" s="8">
        <f t="shared" si="1"/>
        <v>5908375.2447999995</v>
      </c>
      <c r="I14">
        <v>13120</v>
      </c>
      <c r="J14" s="8">
        <v>21.1</v>
      </c>
      <c r="K14">
        <v>80.5</v>
      </c>
      <c r="L14">
        <v>14180</v>
      </c>
      <c r="M14">
        <f t="shared" si="2"/>
        <v>1060</v>
      </c>
      <c r="N14" s="9">
        <f t="shared" si="3"/>
        <v>958.40000000000009</v>
      </c>
      <c r="P14" s="8">
        <f t="shared" si="4"/>
        <v>9498460.1600000001</v>
      </c>
      <c r="Q14" s="8">
        <f t="shared" si="5"/>
        <v>15275.7248</v>
      </c>
      <c r="R14" s="8">
        <f t="shared" si="6"/>
        <v>58279.423999999999</v>
      </c>
      <c r="S14" s="8">
        <f t="shared" si="7"/>
        <v>693850.93119999999</v>
      </c>
    </row>
    <row r="15" spans="1:21" x14ac:dyDescent="0.2">
      <c r="A15">
        <v>2013</v>
      </c>
      <c r="B15">
        <v>2692</v>
      </c>
      <c r="C15">
        <v>3412</v>
      </c>
      <c r="D15">
        <v>917.2</v>
      </c>
      <c r="E15">
        <f t="shared" si="0"/>
        <v>7021.2</v>
      </c>
      <c r="F15" s="8">
        <f t="shared" si="1"/>
        <v>5083124.1215999993</v>
      </c>
      <c r="I15">
        <v>11410</v>
      </c>
      <c r="J15" s="8">
        <v>34.200000000000003</v>
      </c>
      <c r="K15">
        <v>166.2</v>
      </c>
      <c r="L15">
        <v>12700</v>
      </c>
      <c r="M15">
        <f t="shared" si="2"/>
        <v>1290</v>
      </c>
      <c r="N15" s="9">
        <f t="shared" si="3"/>
        <v>1089.5999999999999</v>
      </c>
      <c r="P15" s="8">
        <f t="shared" si="4"/>
        <v>8260474.8799999999</v>
      </c>
      <c r="Q15" s="8">
        <f t="shared" si="5"/>
        <v>24759.705600000001</v>
      </c>
      <c r="R15" s="8">
        <f t="shared" si="6"/>
        <v>120323.48159999998</v>
      </c>
      <c r="S15" s="8">
        <f t="shared" si="7"/>
        <v>788835.53279999993</v>
      </c>
    </row>
    <row r="16" spans="1:21" x14ac:dyDescent="0.2">
      <c r="A16">
        <v>2014</v>
      </c>
      <c r="B16">
        <v>4259</v>
      </c>
      <c r="C16">
        <v>6834</v>
      </c>
      <c r="D16">
        <v>923.3</v>
      </c>
      <c r="E16">
        <f t="shared" si="0"/>
        <v>12016.3</v>
      </c>
      <c r="F16" s="8">
        <f t="shared" si="1"/>
        <v>8699416.6783999987</v>
      </c>
      <c r="I16">
        <v>10450</v>
      </c>
      <c r="J16" s="8">
        <v>30.6</v>
      </c>
      <c r="K16">
        <v>45.5</v>
      </c>
      <c r="L16">
        <v>11560</v>
      </c>
      <c r="M16">
        <f t="shared" si="2"/>
        <v>1110</v>
      </c>
      <c r="N16" s="9">
        <f t="shared" si="3"/>
        <v>1033.9000000000001</v>
      </c>
      <c r="P16" s="8">
        <f t="shared" si="4"/>
        <v>7565465.5999999996</v>
      </c>
      <c r="Q16" s="8">
        <f t="shared" si="5"/>
        <v>22153.4208</v>
      </c>
      <c r="R16" s="8">
        <f t="shared" si="6"/>
        <v>32940.544000000002</v>
      </c>
      <c r="S16" s="8">
        <f t="shared" si="7"/>
        <v>748510.51520000002</v>
      </c>
    </row>
    <row r="17" spans="1:19" x14ac:dyDescent="0.2">
      <c r="A17">
        <v>2015</v>
      </c>
      <c r="B17">
        <v>4680</v>
      </c>
      <c r="C17">
        <v>6711</v>
      </c>
      <c r="D17">
        <v>1394</v>
      </c>
      <c r="E17">
        <f t="shared" si="0"/>
        <v>12785</v>
      </c>
      <c r="F17" s="8">
        <f t="shared" si="1"/>
        <v>9255930.879999999</v>
      </c>
      <c r="I17">
        <v>12620</v>
      </c>
      <c r="J17" s="8">
        <v>28.9</v>
      </c>
      <c r="K17">
        <v>111.9</v>
      </c>
      <c r="L17">
        <v>13620</v>
      </c>
      <c r="M17">
        <f t="shared" si="2"/>
        <v>1000</v>
      </c>
      <c r="N17" s="9">
        <f t="shared" si="3"/>
        <v>859.2</v>
      </c>
      <c r="P17" s="8">
        <f t="shared" si="4"/>
        <v>9136476.1600000001</v>
      </c>
      <c r="Q17" s="8">
        <f t="shared" si="5"/>
        <v>20922.675199999998</v>
      </c>
      <c r="R17" s="8">
        <f t="shared" si="6"/>
        <v>81012.019199999995</v>
      </c>
      <c r="S17" s="8">
        <f t="shared" si="7"/>
        <v>622033.30559999996</v>
      </c>
    </row>
    <row r="18" spans="1:19" x14ac:dyDescent="0.2">
      <c r="A18">
        <v>2016</v>
      </c>
      <c r="B18">
        <v>5479</v>
      </c>
      <c r="C18">
        <v>6251</v>
      </c>
      <c r="D18">
        <v>1717</v>
      </c>
      <c r="E18">
        <f t="shared" si="0"/>
        <v>13447</v>
      </c>
      <c r="F18" s="8">
        <f t="shared" si="1"/>
        <v>9735197.6959999986</v>
      </c>
      <c r="I18">
        <v>12560</v>
      </c>
      <c r="J18" s="8">
        <v>28.8</v>
      </c>
      <c r="K18">
        <v>68.7</v>
      </c>
      <c r="L18">
        <v>13550</v>
      </c>
      <c r="M18">
        <f t="shared" si="2"/>
        <v>990</v>
      </c>
      <c r="N18" s="9">
        <f t="shared" si="3"/>
        <v>892.5</v>
      </c>
      <c r="P18" s="8">
        <f t="shared" si="4"/>
        <v>9093038.0800000001</v>
      </c>
      <c r="Q18" s="8">
        <f t="shared" si="5"/>
        <v>20850.278399999999</v>
      </c>
      <c r="R18" s="8">
        <f t="shared" si="6"/>
        <v>49736.601600000002</v>
      </c>
      <c r="S18" s="8">
        <f t="shared" si="7"/>
        <v>646141.43999999994</v>
      </c>
    </row>
    <row r="19" spans="1:19" x14ac:dyDescent="0.2">
      <c r="A19">
        <v>2017</v>
      </c>
      <c r="B19">
        <v>7008</v>
      </c>
      <c r="C19">
        <v>6459</v>
      </c>
      <c r="D19">
        <v>1965</v>
      </c>
      <c r="E19">
        <f t="shared" si="0"/>
        <v>15432</v>
      </c>
      <c r="F19" s="8">
        <f t="shared" si="1"/>
        <v>11172274.175999999</v>
      </c>
      <c r="I19">
        <v>12640</v>
      </c>
      <c r="J19" s="8">
        <v>23.7</v>
      </c>
      <c r="K19">
        <v>179.9</v>
      </c>
      <c r="L19">
        <v>13860</v>
      </c>
      <c r="M19">
        <f t="shared" si="2"/>
        <v>1220</v>
      </c>
      <c r="N19" s="9">
        <f t="shared" si="3"/>
        <v>1016.4</v>
      </c>
      <c r="P19" s="8">
        <f t="shared" si="4"/>
        <v>9150955.5199999996</v>
      </c>
      <c r="Q19" s="8">
        <f t="shared" si="5"/>
        <v>17158.041599999997</v>
      </c>
      <c r="R19" s="8">
        <f t="shared" si="6"/>
        <v>130241.8432</v>
      </c>
      <c r="S19" s="8">
        <f t="shared" si="7"/>
        <v>735841.07519999996</v>
      </c>
    </row>
    <row r="20" spans="1:19" x14ac:dyDescent="0.2">
      <c r="A20">
        <v>2018</v>
      </c>
      <c r="B20">
        <v>4062</v>
      </c>
      <c r="C20">
        <v>3468</v>
      </c>
      <c r="D20">
        <v>665.5</v>
      </c>
      <c r="E20">
        <f t="shared" si="0"/>
        <v>8195.5</v>
      </c>
      <c r="F20" s="8">
        <f t="shared" si="1"/>
        <v>5933279.7439999999</v>
      </c>
      <c r="I20">
        <v>12650</v>
      </c>
      <c r="J20" s="8">
        <v>18.8</v>
      </c>
      <c r="K20">
        <v>56.9</v>
      </c>
      <c r="L20">
        <v>13570</v>
      </c>
      <c r="M20">
        <f t="shared" si="2"/>
        <v>920</v>
      </c>
      <c r="N20" s="9">
        <f t="shared" si="3"/>
        <v>844.30000000000007</v>
      </c>
      <c r="P20" s="8">
        <f t="shared" si="4"/>
        <v>9158195.1999999993</v>
      </c>
      <c r="Q20" s="8">
        <f t="shared" si="5"/>
        <v>13610.598399999999</v>
      </c>
      <c r="R20" s="8">
        <f t="shared" si="6"/>
        <v>41193.779199999997</v>
      </c>
      <c r="S20" s="8">
        <f t="shared" si="7"/>
        <v>611246.18240000005</v>
      </c>
    </row>
    <row r="21" spans="1:19" x14ac:dyDescent="0.2">
      <c r="A21">
        <v>2019</v>
      </c>
      <c r="B21">
        <v>5946</v>
      </c>
      <c r="C21">
        <v>7946</v>
      </c>
      <c r="D21">
        <v>1833</v>
      </c>
      <c r="E21">
        <f t="shared" si="0"/>
        <v>15725</v>
      </c>
      <c r="F21" s="8">
        <f t="shared" si="1"/>
        <v>11384396.799999999</v>
      </c>
      <c r="I21">
        <v>12770</v>
      </c>
      <c r="J21" s="8">
        <v>31.2</v>
      </c>
      <c r="K21" s="8"/>
      <c r="L21">
        <v>13900</v>
      </c>
      <c r="M21">
        <f t="shared" si="2"/>
        <v>1130</v>
      </c>
      <c r="N21" s="9"/>
      <c r="P21" s="8">
        <f t="shared" si="4"/>
        <v>9245071.3599999994</v>
      </c>
      <c r="Q21" s="8">
        <f t="shared" ref="Q21" si="8">J21*723.968</f>
        <v>22587.801599999999</v>
      </c>
    </row>
    <row r="23" spans="1:19" x14ac:dyDescent="0.2">
      <c r="E23">
        <v>0.1</v>
      </c>
      <c r="F23" s="8">
        <f>PERCENTILE(F2:F21,0.1)</f>
        <v>5169131.5199999996</v>
      </c>
      <c r="P23" s="8">
        <f>PERCENTILE(P2:P21,0.01)</f>
        <v>7697517.3631999996</v>
      </c>
      <c r="Q23" s="8">
        <f>PERCENTILE(Q$2:Q$21,0.01)</f>
        <v>8091.0663679999998</v>
      </c>
      <c r="R23" s="8">
        <f>PERCENTILE(R$2:R$20,0.01)</f>
        <v>14299.815935999997</v>
      </c>
      <c r="S23" s="8">
        <f>PERCENTILE(S$2:S$20,0.01)</f>
        <v>433907.32492799999</v>
      </c>
    </row>
    <row r="24" spans="1:19" x14ac:dyDescent="0.2">
      <c r="E24">
        <v>0.25</v>
      </c>
      <c r="F24" s="8">
        <f>PERCENTILE(F2:F21,0.25)</f>
        <v>5927053.6191999996</v>
      </c>
      <c r="P24" s="8">
        <f>PERCENTILE(P3:P22,0.05)</f>
        <v>8190973.9519999996</v>
      </c>
      <c r="Q24" s="8">
        <f>PERCENTILE(Q2:Q21,0.05)</f>
        <v>8311.1526400000002</v>
      </c>
      <c r="R24" s="8">
        <f>PERCENTILE(R2:R20,0.05)</f>
        <v>30667.284479999998</v>
      </c>
      <c r="S24" s="8">
        <f>PERCENTILE(S2:S20,0.05)</f>
        <v>457207.51104000001</v>
      </c>
    </row>
    <row r="25" spans="1:19" x14ac:dyDescent="0.2">
      <c r="E25" t="s">
        <v>375</v>
      </c>
      <c r="F25" s="8">
        <f>MEDIAN(F2:F21)</f>
        <v>8218484.7359999996</v>
      </c>
      <c r="P25" s="8">
        <f>PERCENTILE(P4:P23,0.1)</f>
        <v>8147883.3766399994</v>
      </c>
      <c r="Q25" s="8">
        <f>PERCENTILE(Q2:Q21,0.1)</f>
        <v>10019.717119999999</v>
      </c>
      <c r="R25" s="8">
        <f>PERCENTILE(R2:R21,0.1)</f>
        <v>39311.462399999997</v>
      </c>
      <c r="S25" s="8">
        <f>PERCENTILE(S2:S21,0.1)</f>
        <v>524963.67615999992</v>
      </c>
    </row>
    <row r="26" spans="1:19" x14ac:dyDescent="0.2">
      <c r="E26">
        <v>0.75</v>
      </c>
      <c r="F26" s="8">
        <f>PERCENTILE(F2:F21,0.75)</f>
        <v>10046865.92</v>
      </c>
      <c r="P26" s="8">
        <f>PERCENTILE(P5:P24,0.25)</f>
        <v>8336491.5199999996</v>
      </c>
      <c r="Q26" s="8">
        <f>PERCENTILE(Q2:Q21,0.25)</f>
        <v>13357.209599999998</v>
      </c>
      <c r="R26" s="8">
        <f>PERCENTILE(R2:R21,0.25)</f>
        <v>49229.823999999993</v>
      </c>
      <c r="S26" s="8">
        <f>PERCENTILE(S2:S21,0.25)</f>
        <v>616639.74399999995</v>
      </c>
    </row>
    <row r="27" spans="1:19" x14ac:dyDescent="0.2">
      <c r="E27">
        <v>0.9</v>
      </c>
      <c r="F27" s="8">
        <f>PERCENTILE(F2:F21,0.9)</f>
        <v>11428631.2448</v>
      </c>
      <c r="P27" s="8">
        <f>PERCENTILE(P6:P25,0.5)</f>
        <v>8419747.8399999999</v>
      </c>
      <c r="Q27" s="8">
        <f>PERCENTILE(Q2:Q21,0.5)</f>
        <v>17411.430399999997</v>
      </c>
      <c r="R27" s="8">
        <f>PERCENTILE(R2:R21,0.5)</f>
        <v>74496.307199999996</v>
      </c>
      <c r="S27" s="8">
        <f>PERCENTILE(S2:S21,0.5)</f>
        <v>669091.22559999989</v>
      </c>
    </row>
    <row r="28" spans="1:19" x14ac:dyDescent="0.2">
      <c r="P28" s="8">
        <f>PERCENTILE(P7:P26,0.75)</f>
        <v>9143715.8399999999</v>
      </c>
      <c r="Q28" s="8">
        <f>PERCENTILE(Q2:Q21,0.75)</f>
        <v>22262.016</v>
      </c>
      <c r="R28" s="8">
        <f>PERCENTILE(R2:R21,0.75)</f>
        <v>115581.49119999999</v>
      </c>
      <c r="S28" s="8">
        <f>PERCENTILE(S2:S21,0.75)</f>
        <v>733560.57599999988</v>
      </c>
    </row>
    <row r="29" spans="1:19" x14ac:dyDescent="0.2">
      <c r="P29" s="8">
        <f>PERCENTILE(P8:P27,0.9)</f>
        <v>9295749.1199999992</v>
      </c>
      <c r="Q29" s="8">
        <f>PERCENTILE(Q2:Q21,0.9)</f>
        <v>23065.620480000005</v>
      </c>
      <c r="R29" s="8">
        <f>PERCENTILE(R2:R21,0.9)</f>
        <v>206041.2928</v>
      </c>
      <c r="S29" s="8">
        <f>PERCENTILE(S2:S21,0.9)</f>
        <v>797740.33919999993</v>
      </c>
    </row>
    <row r="30" spans="1:19" x14ac:dyDescent="0.2">
      <c r="P30" s="8">
        <f>PERCENTILE(P9:P28,0.95)</f>
        <v>9821349.8879999928</v>
      </c>
      <c r="Q30" s="8">
        <f>PERCENTILE(Q2:Q21,0.95)</f>
        <v>25197.706240000007</v>
      </c>
      <c r="R30" s="8">
        <f>PERCENTILE(R2:R21,0.95)</f>
        <v>215235.68639999983</v>
      </c>
      <c r="S30" s="8">
        <f>PERCENTILE(S2:S21,0.95)</f>
        <v>833931.49952000007</v>
      </c>
    </row>
    <row r="31" spans="1:19" x14ac:dyDescent="0.2">
      <c r="F31"/>
      <c r="P31" s="8">
        <f>PERCENTILE(P10:P29,0.99)</f>
        <v>12146155.9296</v>
      </c>
      <c r="Q31" s="8">
        <f>PERCENTILE(Q2:Q21,0.99)</f>
        <v>31855.315967999988</v>
      </c>
      <c r="R31" s="8">
        <f>PERCENTILE(R2:R21,0.99)</f>
        <v>271010.18112000002</v>
      </c>
      <c r="S31" s="8">
        <f>PERCENTILE(S2:S21,0.99)</f>
        <v>838049.429504</v>
      </c>
    </row>
    <row r="32" spans="1:19" x14ac:dyDescent="0.2">
      <c r="F32"/>
    </row>
    <row r="33" spans="6:6" x14ac:dyDescent="0.2">
      <c r="F33"/>
    </row>
    <row r="34" spans="6:6" x14ac:dyDescent="0.2">
      <c r="F34"/>
    </row>
    <row r="35" spans="6:6" x14ac:dyDescent="0.2">
      <c r="F35"/>
    </row>
    <row r="36" spans="6:6" x14ac:dyDescent="0.2">
      <c r="F36"/>
    </row>
    <row r="37" spans="6:6" x14ac:dyDescent="0.2">
      <c r="F37"/>
    </row>
    <row r="38" spans="6:6" x14ac:dyDescent="0.2">
      <c r="F38"/>
    </row>
    <row r="39" spans="6:6" x14ac:dyDescent="0.2">
      <c r="F39"/>
    </row>
    <row r="40" spans="6:6" x14ac:dyDescent="0.2">
      <c r="F40"/>
    </row>
    <row r="41" spans="6:6" x14ac:dyDescent="0.2">
      <c r="F41"/>
    </row>
    <row r="42" spans="6:6" x14ac:dyDescent="0.2">
      <c r="F42"/>
    </row>
    <row r="43" spans="6:6" x14ac:dyDescent="0.2">
      <c r="F43"/>
    </row>
    <row r="44" spans="6:6" x14ac:dyDescent="0.2">
      <c r="F44"/>
    </row>
    <row r="45" spans="6:6" x14ac:dyDescent="0.2">
      <c r="F45"/>
    </row>
    <row r="46" spans="6:6" x14ac:dyDescent="0.2">
      <c r="F46"/>
    </row>
    <row r="47" spans="6:6" x14ac:dyDescent="0.2">
      <c r="F47"/>
    </row>
    <row r="48" spans="6:6" x14ac:dyDescent="0.2">
      <c r="F48"/>
    </row>
    <row r="49" spans="6:6" x14ac:dyDescent="0.2">
      <c r="F49"/>
    </row>
    <row r="50" spans="6:6" x14ac:dyDescent="0.2">
      <c r="F50"/>
    </row>
    <row r="51" spans="6:6" x14ac:dyDescent="0.2">
      <c r="F5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2DBA8-845E-A040-8BB8-58C3824C5C93}">
  <dimension ref="A1:V91"/>
  <sheetViews>
    <sheetView workbookViewId="0">
      <selection activeCell="I25" sqref="I25"/>
    </sheetView>
  </sheetViews>
  <sheetFormatPr baseColWidth="10" defaultRowHeight="16" x14ac:dyDescent="0.2"/>
  <cols>
    <col min="9" max="9" width="14" bestFit="1" customWidth="1"/>
  </cols>
  <sheetData>
    <row r="1" spans="1:22" x14ac:dyDescent="0.2">
      <c r="A1" t="s">
        <v>47</v>
      </c>
      <c r="B1">
        <v>9427520</v>
      </c>
      <c r="C1">
        <v>60</v>
      </c>
      <c r="D1">
        <v>5403</v>
      </c>
      <c r="E1">
        <v>2001</v>
      </c>
      <c r="F1" s="28">
        <v>11520</v>
      </c>
      <c r="G1">
        <f t="shared" ref="G1:G32" si="0">F1*723.968</f>
        <v>8340111.3599999994</v>
      </c>
      <c r="R1">
        <v>1895</v>
      </c>
      <c r="S1">
        <v>6360</v>
      </c>
      <c r="T1">
        <v>4520</v>
      </c>
      <c r="U1">
        <v>2080</v>
      </c>
    </row>
    <row r="2" spans="1:22" x14ac:dyDescent="0.2">
      <c r="A2" t="s">
        <v>47</v>
      </c>
      <c r="B2">
        <v>9427520</v>
      </c>
      <c r="C2">
        <v>60</v>
      </c>
      <c r="D2">
        <v>5403</v>
      </c>
      <c r="E2">
        <v>2002</v>
      </c>
      <c r="F2" s="28">
        <v>11520</v>
      </c>
      <c r="G2">
        <f t="shared" si="0"/>
        <v>8340111.3599999994</v>
      </c>
      <c r="R2">
        <f>R1+1</f>
        <v>1896</v>
      </c>
      <c r="S2">
        <v>6790</v>
      </c>
      <c r="T2">
        <v>4320</v>
      </c>
      <c r="U2">
        <v>1530</v>
      </c>
    </row>
    <row r="3" spans="1:22" x14ac:dyDescent="0.2">
      <c r="A3" t="s">
        <v>47</v>
      </c>
      <c r="B3">
        <v>9427520</v>
      </c>
      <c r="C3">
        <v>60</v>
      </c>
      <c r="D3">
        <v>5403</v>
      </c>
      <c r="E3">
        <v>2003</v>
      </c>
      <c r="F3" s="28">
        <v>11550</v>
      </c>
      <c r="G3">
        <f t="shared" si="0"/>
        <v>8361830.3999999994</v>
      </c>
      <c r="R3">
        <f t="shared" ref="R3:R28" si="1">R2+1</f>
        <v>1897</v>
      </c>
      <c r="S3">
        <v>8260</v>
      </c>
      <c r="T3">
        <v>6460</v>
      </c>
      <c r="U3">
        <v>2660</v>
      </c>
    </row>
    <row r="4" spans="1:22" x14ac:dyDescent="0.2">
      <c r="A4" t="s">
        <v>47</v>
      </c>
      <c r="B4">
        <v>9427520</v>
      </c>
      <c r="C4">
        <v>60</v>
      </c>
      <c r="D4">
        <v>5403</v>
      </c>
      <c r="E4">
        <v>2004</v>
      </c>
      <c r="F4" s="28">
        <v>11480</v>
      </c>
      <c r="G4">
        <f t="shared" si="0"/>
        <v>8311152.6399999997</v>
      </c>
      <c r="R4">
        <f t="shared" si="1"/>
        <v>1898</v>
      </c>
      <c r="S4">
        <v>4850</v>
      </c>
      <c r="T4">
        <v>5430</v>
      </c>
      <c r="U4">
        <v>1880</v>
      </c>
    </row>
    <row r="5" spans="1:22" x14ac:dyDescent="0.2">
      <c r="A5" t="s">
        <v>47</v>
      </c>
      <c r="B5">
        <v>9427520</v>
      </c>
      <c r="C5">
        <v>60</v>
      </c>
      <c r="D5">
        <v>5403</v>
      </c>
      <c r="E5">
        <v>2005</v>
      </c>
      <c r="F5" s="28">
        <v>11550</v>
      </c>
      <c r="G5">
        <f t="shared" si="0"/>
        <v>8361830.3999999994</v>
      </c>
      <c r="R5">
        <f t="shared" si="1"/>
        <v>1899</v>
      </c>
      <c r="S5">
        <v>8900</v>
      </c>
      <c r="T5">
        <v>8480</v>
      </c>
      <c r="U5">
        <v>2380</v>
      </c>
    </row>
    <row r="6" spans="1:22" x14ac:dyDescent="0.2">
      <c r="A6" t="s">
        <v>47</v>
      </c>
      <c r="B6">
        <v>9427520</v>
      </c>
      <c r="C6">
        <v>60</v>
      </c>
      <c r="D6">
        <v>5403</v>
      </c>
      <c r="E6">
        <v>2006</v>
      </c>
      <c r="F6" s="28">
        <v>11730</v>
      </c>
      <c r="G6">
        <f t="shared" si="0"/>
        <v>8492144.6399999987</v>
      </c>
      <c r="R6">
        <f t="shared" si="1"/>
        <v>1900</v>
      </c>
      <c r="S6">
        <v>6880</v>
      </c>
      <c r="T6">
        <v>3820</v>
      </c>
      <c r="U6">
        <v>1800</v>
      </c>
      <c r="V6">
        <f>AVERAGE(U1:U11)</f>
        <v>1927</v>
      </c>
    </row>
    <row r="7" spans="1:22" x14ac:dyDescent="0.2">
      <c r="A7" t="s">
        <v>47</v>
      </c>
      <c r="B7">
        <v>9427520</v>
      </c>
      <c r="C7">
        <v>60</v>
      </c>
      <c r="D7">
        <v>5403</v>
      </c>
      <c r="E7">
        <v>2007</v>
      </c>
      <c r="F7" s="28">
        <v>11600</v>
      </c>
      <c r="G7">
        <f t="shared" si="0"/>
        <v>8398028.7999999989</v>
      </c>
      <c r="R7">
        <f t="shared" si="1"/>
        <v>1901</v>
      </c>
      <c r="S7">
        <v>7010</v>
      </c>
      <c r="T7">
        <v>4600</v>
      </c>
      <c r="U7">
        <v>1700</v>
      </c>
    </row>
    <row r="8" spans="1:22" x14ac:dyDescent="0.2">
      <c r="A8" t="s">
        <v>47</v>
      </c>
      <c r="B8">
        <v>9427520</v>
      </c>
      <c r="C8">
        <v>60</v>
      </c>
      <c r="D8">
        <v>5403</v>
      </c>
      <c r="E8">
        <v>2008</v>
      </c>
      <c r="F8" s="28">
        <v>12620</v>
      </c>
      <c r="G8">
        <f t="shared" si="0"/>
        <v>9136476.1600000001</v>
      </c>
      <c r="R8">
        <f t="shared" si="1"/>
        <v>1902</v>
      </c>
      <c r="S8">
        <v>4280</v>
      </c>
      <c r="T8">
        <v>3600</v>
      </c>
      <c r="U8">
        <v>847</v>
      </c>
    </row>
    <row r="9" spans="1:22" x14ac:dyDescent="0.2">
      <c r="A9" t="s">
        <v>47</v>
      </c>
      <c r="B9">
        <v>9427520</v>
      </c>
      <c r="C9">
        <v>60</v>
      </c>
      <c r="D9">
        <v>5403</v>
      </c>
      <c r="E9">
        <v>2009</v>
      </c>
      <c r="F9" s="28">
        <v>11600</v>
      </c>
      <c r="G9">
        <f t="shared" si="0"/>
        <v>8398028.7999999989</v>
      </c>
      <c r="N9">
        <f>AVERAGE(F1:F12)</f>
        <v>12291.666666666666</v>
      </c>
      <c r="R9">
        <f t="shared" si="1"/>
        <v>1903</v>
      </c>
      <c r="S9">
        <v>5650</v>
      </c>
      <c r="T9">
        <v>4960</v>
      </c>
      <c r="U9">
        <v>2030</v>
      </c>
    </row>
    <row r="10" spans="1:22" x14ac:dyDescent="0.2">
      <c r="A10" t="s">
        <v>47</v>
      </c>
      <c r="B10">
        <v>9427520</v>
      </c>
      <c r="C10">
        <v>60</v>
      </c>
      <c r="D10">
        <v>5403</v>
      </c>
      <c r="E10">
        <v>2010</v>
      </c>
      <c r="F10" s="28">
        <v>11630</v>
      </c>
      <c r="G10">
        <f t="shared" si="0"/>
        <v>8419747.8399999999</v>
      </c>
      <c r="R10">
        <f t="shared" si="1"/>
        <v>1904</v>
      </c>
      <c r="S10">
        <v>5070</v>
      </c>
      <c r="T10">
        <v>5320</v>
      </c>
      <c r="U10">
        <v>1500</v>
      </c>
    </row>
    <row r="11" spans="1:22" x14ac:dyDescent="0.2">
      <c r="A11" t="s">
        <v>47</v>
      </c>
      <c r="B11">
        <v>9427520</v>
      </c>
      <c r="C11">
        <v>60</v>
      </c>
      <c r="D11">
        <v>5403</v>
      </c>
      <c r="E11">
        <v>2011</v>
      </c>
      <c r="F11" s="28">
        <v>17580</v>
      </c>
      <c r="G11">
        <f t="shared" si="0"/>
        <v>12727357.439999999</v>
      </c>
      <c r="R11">
        <f t="shared" si="1"/>
        <v>1905</v>
      </c>
      <c r="S11">
        <v>6490</v>
      </c>
      <c r="T11">
        <v>4120</v>
      </c>
      <c r="U11">
        <v>2790</v>
      </c>
    </row>
    <row r="12" spans="1:22" x14ac:dyDescent="0.2">
      <c r="A12" t="s">
        <v>47</v>
      </c>
      <c r="B12">
        <v>9427520</v>
      </c>
      <c r="C12">
        <v>60</v>
      </c>
      <c r="D12">
        <v>5403</v>
      </c>
      <c r="E12">
        <v>2012</v>
      </c>
      <c r="F12" s="28">
        <v>13120</v>
      </c>
      <c r="G12">
        <f t="shared" si="0"/>
        <v>9498460.1600000001</v>
      </c>
      <c r="I12" s="42">
        <f>AVERAGE(F1:F21)</f>
        <v>12173.809523809523</v>
      </c>
      <c r="J12">
        <f>AVERAGE(G3:G25)</f>
        <v>7629048.8765217373</v>
      </c>
      <c r="N12">
        <f>AVERAGE(F13:F21)</f>
        <v>12016.666666666666</v>
      </c>
      <c r="R12">
        <f t="shared" si="1"/>
        <v>1906</v>
      </c>
      <c r="S12">
        <v>7690</v>
      </c>
      <c r="T12">
        <v>6670</v>
      </c>
      <c r="U12">
        <v>2700</v>
      </c>
    </row>
    <row r="13" spans="1:22" x14ac:dyDescent="0.2">
      <c r="A13" t="s">
        <v>47</v>
      </c>
      <c r="B13">
        <v>9427520</v>
      </c>
      <c r="C13">
        <v>60</v>
      </c>
      <c r="D13">
        <v>5403</v>
      </c>
      <c r="E13">
        <v>2013</v>
      </c>
      <c r="F13" s="28">
        <v>11410</v>
      </c>
      <c r="G13">
        <f t="shared" si="0"/>
        <v>8260474.8799999999</v>
      </c>
      <c r="I13" s="8">
        <f>ROUND(AVERAGE(G1:G21),-1)</f>
        <v>8813450</v>
      </c>
      <c r="R13">
        <f t="shared" si="1"/>
        <v>1907</v>
      </c>
      <c r="S13">
        <v>7900</v>
      </c>
      <c r="T13">
        <v>9250</v>
      </c>
      <c r="U13">
        <v>3430</v>
      </c>
    </row>
    <row r="14" spans="1:22" x14ac:dyDescent="0.2">
      <c r="A14" t="s">
        <v>47</v>
      </c>
      <c r="B14">
        <v>9427520</v>
      </c>
      <c r="C14">
        <v>60</v>
      </c>
      <c r="D14">
        <v>5403</v>
      </c>
      <c r="E14">
        <v>2014</v>
      </c>
      <c r="F14" s="28">
        <v>10450</v>
      </c>
      <c r="G14">
        <f t="shared" si="0"/>
        <v>7565465.5999999996</v>
      </c>
      <c r="R14">
        <f t="shared" si="1"/>
        <v>1908</v>
      </c>
      <c r="S14">
        <v>4660</v>
      </c>
      <c r="T14">
        <v>4390</v>
      </c>
      <c r="U14">
        <v>1860</v>
      </c>
    </row>
    <row r="15" spans="1:22" x14ac:dyDescent="0.2">
      <c r="A15" t="s">
        <v>47</v>
      </c>
      <c r="B15">
        <v>9427520</v>
      </c>
      <c r="C15">
        <v>60</v>
      </c>
      <c r="D15">
        <v>5403</v>
      </c>
      <c r="E15">
        <v>2015</v>
      </c>
      <c r="F15" s="28">
        <v>12620</v>
      </c>
      <c r="G15">
        <f t="shared" si="0"/>
        <v>9136476.1600000001</v>
      </c>
      <c r="I15" t="e">
        <f>AVERAGE(F72:F91)</f>
        <v>#DIV/0!</v>
      </c>
      <c r="N15">
        <v>25360</v>
      </c>
      <c r="O15" t="s">
        <v>582</v>
      </c>
      <c r="P15">
        <f>N15/600000</f>
        <v>4.2266666666666668E-2</v>
      </c>
      <c r="R15">
        <f t="shared" si="1"/>
        <v>1909</v>
      </c>
      <c r="S15">
        <v>8470</v>
      </c>
      <c r="T15">
        <v>9040</v>
      </c>
      <c r="U15">
        <v>3270</v>
      </c>
      <c r="V15">
        <f>AVERAGE(U12:U28)</f>
        <v>2630</v>
      </c>
    </row>
    <row r="16" spans="1:22" x14ac:dyDescent="0.2">
      <c r="A16" t="s">
        <v>47</v>
      </c>
      <c r="B16">
        <v>9427520</v>
      </c>
      <c r="C16">
        <v>60</v>
      </c>
      <c r="D16">
        <v>5403</v>
      </c>
      <c r="E16">
        <v>2016</v>
      </c>
      <c r="F16" s="28">
        <v>12560</v>
      </c>
      <c r="G16">
        <f t="shared" si="0"/>
        <v>9093038.0800000001</v>
      </c>
      <c r="I16">
        <f>ROUND(AVERAGE(G72:G91),-2)</f>
        <v>0</v>
      </c>
      <c r="N16">
        <v>47650</v>
      </c>
      <c r="O16" t="s">
        <v>583</v>
      </c>
      <c r="P16">
        <f>N16/600000</f>
        <v>7.9416666666666663E-2</v>
      </c>
      <c r="R16">
        <f t="shared" si="1"/>
        <v>1910</v>
      </c>
      <c r="S16">
        <v>5830</v>
      </c>
      <c r="T16">
        <v>4900</v>
      </c>
      <c r="U16">
        <v>1610</v>
      </c>
    </row>
    <row r="17" spans="1:21" x14ac:dyDescent="0.2">
      <c r="A17" t="s">
        <v>47</v>
      </c>
      <c r="B17">
        <v>9427520</v>
      </c>
      <c r="C17">
        <v>60</v>
      </c>
      <c r="D17">
        <v>5403</v>
      </c>
      <c r="E17">
        <v>2017</v>
      </c>
      <c r="F17" s="28">
        <v>12640</v>
      </c>
      <c r="G17">
        <f t="shared" si="0"/>
        <v>9150955.5199999996</v>
      </c>
      <c r="N17">
        <v>172000</v>
      </c>
      <c r="P17">
        <f>N17/600000</f>
        <v>0.28666666666666668</v>
      </c>
      <c r="R17">
        <f t="shared" si="1"/>
        <v>1911</v>
      </c>
      <c r="S17">
        <v>6790</v>
      </c>
      <c r="T17">
        <v>4360</v>
      </c>
      <c r="U17">
        <v>3320</v>
      </c>
    </row>
    <row r="18" spans="1:21" x14ac:dyDescent="0.2">
      <c r="A18" t="s">
        <v>47</v>
      </c>
      <c r="B18">
        <v>9427520</v>
      </c>
      <c r="C18">
        <v>60</v>
      </c>
      <c r="D18">
        <v>5403</v>
      </c>
      <c r="E18">
        <v>2018</v>
      </c>
      <c r="F18" s="28">
        <v>12650</v>
      </c>
      <c r="G18">
        <f t="shared" si="0"/>
        <v>9158195.1999999993</v>
      </c>
      <c r="R18">
        <f t="shared" si="1"/>
        <v>1912</v>
      </c>
      <c r="S18">
        <v>8500</v>
      </c>
      <c r="T18">
        <v>6420</v>
      </c>
      <c r="U18">
        <v>1900</v>
      </c>
    </row>
    <row r="19" spans="1:21" x14ac:dyDescent="0.2">
      <c r="A19" t="s">
        <v>47</v>
      </c>
      <c r="B19">
        <v>9427520</v>
      </c>
      <c r="C19">
        <v>60</v>
      </c>
      <c r="D19">
        <v>5403</v>
      </c>
      <c r="E19">
        <v>2019</v>
      </c>
      <c r="F19" s="28">
        <v>12770</v>
      </c>
      <c r="G19">
        <f t="shared" si="0"/>
        <v>9245071.3599999994</v>
      </c>
      <c r="R19">
        <f t="shared" si="1"/>
        <v>1913</v>
      </c>
      <c r="S19">
        <v>5320</v>
      </c>
      <c r="T19">
        <v>5530</v>
      </c>
      <c r="U19">
        <v>1640</v>
      </c>
    </row>
    <row r="20" spans="1:21" x14ac:dyDescent="0.2">
      <c r="A20" t="s">
        <v>47</v>
      </c>
      <c r="B20">
        <v>9427520</v>
      </c>
      <c r="C20">
        <v>60</v>
      </c>
      <c r="D20">
        <v>5403</v>
      </c>
      <c r="E20">
        <v>2020</v>
      </c>
      <c r="F20" s="28">
        <v>11610</v>
      </c>
      <c r="G20">
        <f t="shared" si="0"/>
        <v>8405268.4800000004</v>
      </c>
      <c r="R20">
        <f t="shared" si="1"/>
        <v>1914</v>
      </c>
      <c r="S20">
        <v>8650</v>
      </c>
      <c r="T20">
        <v>7320</v>
      </c>
      <c r="U20">
        <v>2530</v>
      </c>
    </row>
    <row r="21" spans="1:21" x14ac:dyDescent="0.2">
      <c r="A21" t="s">
        <v>47</v>
      </c>
      <c r="B21">
        <v>9427520</v>
      </c>
      <c r="C21">
        <v>60</v>
      </c>
      <c r="D21">
        <v>5403</v>
      </c>
      <c r="E21">
        <v>2021</v>
      </c>
      <c r="F21" s="28">
        <v>11440</v>
      </c>
      <c r="G21">
        <f t="shared" si="0"/>
        <v>8282193.9199999999</v>
      </c>
      <c r="I21" s="20"/>
      <c r="R21">
        <f t="shared" si="1"/>
        <v>1915</v>
      </c>
      <c r="S21">
        <v>5120</v>
      </c>
      <c r="T21">
        <v>3730</v>
      </c>
      <c r="U21">
        <v>2680</v>
      </c>
    </row>
    <row r="22" spans="1:21" x14ac:dyDescent="0.2">
      <c r="E22">
        <v>2022</v>
      </c>
      <c r="F22" s="28">
        <v>9760</v>
      </c>
      <c r="G22">
        <f>F22*723.968</f>
        <v>7065927.6799999997</v>
      </c>
      <c r="R22">
        <f t="shared" si="1"/>
        <v>1916</v>
      </c>
      <c r="S22">
        <v>7810</v>
      </c>
      <c r="T22">
        <v>6040</v>
      </c>
      <c r="U22">
        <v>3690</v>
      </c>
    </row>
    <row r="23" spans="1:21" x14ac:dyDescent="0.2">
      <c r="A23">
        <v>730000</v>
      </c>
      <c r="G23">
        <f t="shared" si="0"/>
        <v>0</v>
      </c>
      <c r="R23">
        <f t="shared" si="1"/>
        <v>1917</v>
      </c>
      <c r="S23">
        <v>8550</v>
      </c>
      <c r="T23">
        <v>8660</v>
      </c>
      <c r="U23">
        <v>2840</v>
      </c>
    </row>
    <row r="24" spans="1:21" x14ac:dyDescent="0.2">
      <c r="A24">
        <v>540000</v>
      </c>
      <c r="G24">
        <f t="shared" si="0"/>
        <v>0</v>
      </c>
      <c r="R24">
        <f t="shared" si="1"/>
        <v>1918</v>
      </c>
      <c r="S24">
        <v>6980</v>
      </c>
      <c r="T24">
        <v>5210</v>
      </c>
      <c r="U24">
        <v>1700</v>
      </c>
    </row>
    <row r="25" spans="1:21" x14ac:dyDescent="0.2">
      <c r="A25">
        <v>600000</v>
      </c>
      <c r="G25">
        <f t="shared" si="0"/>
        <v>0</v>
      </c>
      <c r="R25">
        <f t="shared" si="1"/>
        <v>1919</v>
      </c>
      <c r="S25">
        <v>4580</v>
      </c>
      <c r="T25">
        <v>3170</v>
      </c>
      <c r="U25">
        <v>2530</v>
      </c>
    </row>
    <row r="26" spans="1:21" x14ac:dyDescent="0.2">
      <c r="A26">
        <v>640000</v>
      </c>
      <c r="G26">
        <f t="shared" si="0"/>
        <v>0</v>
      </c>
      <c r="R26">
        <f t="shared" si="1"/>
        <v>1920</v>
      </c>
      <c r="S26">
        <v>9010</v>
      </c>
      <c r="T26">
        <v>6270</v>
      </c>
      <c r="U26">
        <v>3610</v>
      </c>
    </row>
    <row r="27" spans="1:21" x14ac:dyDescent="0.2">
      <c r="A27">
        <v>1050000</v>
      </c>
      <c r="G27">
        <f t="shared" si="0"/>
        <v>0</v>
      </c>
      <c r="R27">
        <f t="shared" si="1"/>
        <v>1921</v>
      </c>
      <c r="S27">
        <v>9120</v>
      </c>
      <c r="T27">
        <v>7420</v>
      </c>
      <c r="U27">
        <v>2800</v>
      </c>
    </row>
    <row r="28" spans="1:21" x14ac:dyDescent="0.2">
      <c r="A28">
        <v>520000</v>
      </c>
      <c r="G28">
        <f t="shared" si="0"/>
        <v>0</v>
      </c>
      <c r="I28" s="20"/>
      <c r="R28">
        <f t="shared" si="1"/>
        <v>1922</v>
      </c>
      <c r="S28">
        <v>6780</v>
      </c>
      <c r="T28">
        <v>6480</v>
      </c>
      <c r="U28">
        <v>2600</v>
      </c>
    </row>
    <row r="29" spans="1:21" x14ac:dyDescent="0.2">
      <c r="A29">
        <v>800000</v>
      </c>
      <c r="G29">
        <f t="shared" si="0"/>
        <v>0</v>
      </c>
    </row>
    <row r="30" spans="1:21" x14ac:dyDescent="0.2">
      <c r="A30">
        <v>860000</v>
      </c>
      <c r="G30">
        <f t="shared" si="0"/>
        <v>0</v>
      </c>
    </row>
    <row r="31" spans="1:21" x14ac:dyDescent="0.2">
      <c r="A31">
        <v>900000</v>
      </c>
      <c r="G31">
        <f t="shared" si="0"/>
        <v>0</v>
      </c>
      <c r="L31" t="s">
        <v>47</v>
      </c>
      <c r="M31">
        <v>9304800</v>
      </c>
      <c r="N31">
        <v>60</v>
      </c>
      <c r="O31">
        <v>19345</v>
      </c>
      <c r="P31">
        <v>2001</v>
      </c>
      <c r="Q31">
        <v>531.20000000000005</v>
      </c>
    </row>
    <row r="32" spans="1:21" x14ac:dyDescent="0.2">
      <c r="A32">
        <v>1060000</v>
      </c>
      <c r="G32">
        <f t="shared" si="0"/>
        <v>0</v>
      </c>
      <c r="L32" t="s">
        <v>47</v>
      </c>
      <c r="M32">
        <v>9304800</v>
      </c>
      <c r="N32">
        <v>60</v>
      </c>
      <c r="O32">
        <v>19345</v>
      </c>
      <c r="P32">
        <v>2002</v>
      </c>
      <c r="Q32">
        <v>314.3</v>
      </c>
    </row>
    <row r="33" spans="1:17" x14ac:dyDescent="0.2">
      <c r="A33">
        <v>800000</v>
      </c>
      <c r="G33">
        <f t="shared" ref="G33:G64" si="2">F33*723.968</f>
        <v>0</v>
      </c>
      <c r="L33" t="s">
        <v>47</v>
      </c>
      <c r="M33">
        <v>9304800</v>
      </c>
      <c r="N33">
        <v>60</v>
      </c>
      <c r="O33">
        <v>19345</v>
      </c>
      <c r="P33">
        <v>2003</v>
      </c>
      <c r="Q33">
        <v>552.6</v>
      </c>
    </row>
    <row r="34" spans="1:17" x14ac:dyDescent="0.2">
      <c r="A34">
        <v>800000</v>
      </c>
      <c r="G34">
        <f t="shared" si="2"/>
        <v>0</v>
      </c>
      <c r="L34" t="s">
        <v>47</v>
      </c>
      <c r="M34">
        <v>9304800</v>
      </c>
      <c r="N34">
        <v>60</v>
      </c>
      <c r="O34">
        <v>19345</v>
      </c>
      <c r="P34">
        <v>2004</v>
      </c>
      <c r="Q34">
        <v>467.9</v>
      </c>
    </row>
    <row r="35" spans="1:17" x14ac:dyDescent="0.2">
      <c r="A35">
        <v>930000</v>
      </c>
      <c r="G35">
        <f t="shared" si="2"/>
        <v>0</v>
      </c>
      <c r="L35" t="s">
        <v>47</v>
      </c>
      <c r="M35">
        <v>9304800</v>
      </c>
      <c r="N35">
        <v>60</v>
      </c>
      <c r="O35">
        <v>19345</v>
      </c>
      <c r="P35">
        <v>2005</v>
      </c>
      <c r="Q35">
        <v>681.2</v>
      </c>
    </row>
    <row r="36" spans="1:17" x14ac:dyDescent="0.2">
      <c r="A36">
        <v>800000</v>
      </c>
      <c r="G36">
        <f t="shared" si="2"/>
        <v>0</v>
      </c>
      <c r="L36" t="s">
        <v>47</v>
      </c>
      <c r="M36">
        <v>9304800</v>
      </c>
      <c r="N36">
        <v>60</v>
      </c>
      <c r="O36">
        <v>19345</v>
      </c>
      <c r="P36">
        <v>2006</v>
      </c>
      <c r="Q36">
        <v>657.8</v>
      </c>
    </row>
    <row r="37" spans="1:17" x14ac:dyDescent="0.2">
      <c r="A37">
        <v>720000</v>
      </c>
      <c r="G37">
        <f t="shared" si="2"/>
        <v>0</v>
      </c>
      <c r="L37" t="s">
        <v>47</v>
      </c>
      <c r="M37">
        <v>9304800</v>
      </c>
      <c r="N37">
        <v>60</v>
      </c>
      <c r="O37">
        <v>19345</v>
      </c>
      <c r="P37">
        <v>2007</v>
      </c>
      <c r="Q37">
        <v>500.8</v>
      </c>
    </row>
    <row r="38" spans="1:17" x14ac:dyDescent="0.2">
      <c r="A38">
        <v>720000</v>
      </c>
      <c r="G38">
        <f t="shared" si="2"/>
        <v>0</v>
      </c>
      <c r="L38" t="s">
        <v>47</v>
      </c>
      <c r="M38">
        <v>9304800</v>
      </c>
      <c r="N38">
        <v>60</v>
      </c>
      <c r="O38">
        <v>19345</v>
      </c>
      <c r="P38">
        <v>2008</v>
      </c>
      <c r="Q38">
        <v>696.6</v>
      </c>
    </row>
    <row r="39" spans="1:17" x14ac:dyDescent="0.2">
      <c r="A39">
        <v>850000</v>
      </c>
      <c r="G39">
        <f t="shared" si="2"/>
        <v>0</v>
      </c>
      <c r="L39" t="s">
        <v>47</v>
      </c>
      <c r="M39">
        <v>9304800</v>
      </c>
      <c r="N39">
        <v>60</v>
      </c>
      <c r="O39">
        <v>19345</v>
      </c>
      <c r="P39">
        <v>2009</v>
      </c>
      <c r="Q39">
        <v>685.5</v>
      </c>
    </row>
    <row r="40" spans="1:17" x14ac:dyDescent="0.2">
      <c r="A40">
        <v>660000</v>
      </c>
      <c r="G40">
        <f t="shared" si="2"/>
        <v>0</v>
      </c>
      <c r="L40" t="s">
        <v>47</v>
      </c>
      <c r="M40">
        <v>9304800</v>
      </c>
      <c r="N40">
        <v>60</v>
      </c>
      <c r="O40">
        <v>19345</v>
      </c>
      <c r="P40">
        <v>2010</v>
      </c>
      <c r="Q40">
        <v>555.1</v>
      </c>
    </row>
    <row r="41" spans="1:17" x14ac:dyDescent="0.2">
      <c r="A41">
        <v>850000</v>
      </c>
      <c r="G41">
        <f t="shared" si="2"/>
        <v>0</v>
      </c>
      <c r="L41" t="s">
        <v>47</v>
      </c>
      <c r="M41">
        <v>9304800</v>
      </c>
      <c r="N41">
        <v>60</v>
      </c>
      <c r="O41">
        <v>19345</v>
      </c>
      <c r="P41">
        <v>2011</v>
      </c>
      <c r="Q41">
        <v>1002</v>
      </c>
    </row>
    <row r="42" spans="1:17" x14ac:dyDescent="0.2">
      <c r="A42">
        <v>670000</v>
      </c>
      <c r="G42">
        <f t="shared" si="2"/>
        <v>0</v>
      </c>
      <c r="L42" t="s">
        <v>47</v>
      </c>
      <c r="M42">
        <v>9304800</v>
      </c>
      <c r="N42">
        <v>60</v>
      </c>
      <c r="O42">
        <v>19345</v>
      </c>
      <c r="P42">
        <v>2012</v>
      </c>
      <c r="Q42">
        <v>443.5</v>
      </c>
    </row>
    <row r="43" spans="1:17" x14ac:dyDescent="0.2">
      <c r="A43">
        <v>700000</v>
      </c>
      <c r="G43">
        <f t="shared" si="2"/>
        <v>0</v>
      </c>
      <c r="L43" t="s">
        <v>47</v>
      </c>
      <c r="M43">
        <v>9304800</v>
      </c>
      <c r="N43">
        <v>60</v>
      </c>
      <c r="O43">
        <v>19345</v>
      </c>
      <c r="P43">
        <v>2013</v>
      </c>
      <c r="Q43">
        <v>455.4</v>
      </c>
    </row>
    <row r="44" spans="1:17" x14ac:dyDescent="0.2">
      <c r="A44">
        <f>AVERAGE(A23:A43)</f>
        <v>771428.57142857148</v>
      </c>
      <c r="G44">
        <f t="shared" si="2"/>
        <v>0</v>
      </c>
      <c r="L44" t="s">
        <v>47</v>
      </c>
      <c r="M44">
        <v>9304800</v>
      </c>
      <c r="N44">
        <v>60</v>
      </c>
      <c r="O44">
        <v>19345</v>
      </c>
      <c r="P44">
        <v>2014</v>
      </c>
      <c r="Q44">
        <v>704.6</v>
      </c>
    </row>
    <row r="45" spans="1:17" x14ac:dyDescent="0.2">
      <c r="G45">
        <f t="shared" si="2"/>
        <v>0</v>
      </c>
      <c r="L45" t="s">
        <v>47</v>
      </c>
      <c r="M45">
        <v>9304800</v>
      </c>
      <c r="N45">
        <v>60</v>
      </c>
      <c r="O45">
        <v>19345</v>
      </c>
      <c r="P45">
        <v>2015</v>
      </c>
      <c r="Q45">
        <v>680.5</v>
      </c>
    </row>
    <row r="46" spans="1:17" x14ac:dyDescent="0.2">
      <c r="G46">
        <f t="shared" si="2"/>
        <v>0</v>
      </c>
      <c r="L46" t="s">
        <v>47</v>
      </c>
      <c r="M46">
        <v>9304800</v>
      </c>
      <c r="N46">
        <v>60</v>
      </c>
      <c r="O46">
        <v>19345</v>
      </c>
      <c r="P46">
        <v>2016</v>
      </c>
      <c r="Q46">
        <v>621</v>
      </c>
    </row>
    <row r="47" spans="1:17" x14ac:dyDescent="0.2">
      <c r="G47">
        <f t="shared" si="2"/>
        <v>0</v>
      </c>
      <c r="L47" t="s">
        <v>47</v>
      </c>
      <c r="M47">
        <v>9304800</v>
      </c>
      <c r="N47">
        <v>60</v>
      </c>
      <c r="O47">
        <v>19345</v>
      </c>
      <c r="P47">
        <v>2017</v>
      </c>
      <c r="Q47">
        <v>568.79999999999995</v>
      </c>
    </row>
    <row r="48" spans="1:17" x14ac:dyDescent="0.2">
      <c r="G48">
        <f t="shared" si="2"/>
        <v>0</v>
      </c>
      <c r="L48" t="s">
        <v>47</v>
      </c>
      <c r="M48">
        <v>9304800</v>
      </c>
      <c r="N48">
        <v>60</v>
      </c>
      <c r="O48">
        <v>19345</v>
      </c>
      <c r="P48">
        <v>2018</v>
      </c>
      <c r="Q48">
        <v>424.3</v>
      </c>
    </row>
    <row r="49" spans="7:17" x14ac:dyDescent="0.2">
      <c r="G49">
        <f t="shared" si="2"/>
        <v>0</v>
      </c>
      <c r="L49" t="s">
        <v>47</v>
      </c>
      <c r="M49">
        <v>9304800</v>
      </c>
      <c r="N49">
        <v>60</v>
      </c>
      <c r="O49">
        <v>19345</v>
      </c>
      <c r="P49">
        <v>2019</v>
      </c>
      <c r="Q49">
        <v>770.3</v>
      </c>
    </row>
    <row r="50" spans="7:17" x14ac:dyDescent="0.2">
      <c r="G50">
        <f t="shared" si="2"/>
        <v>0</v>
      </c>
      <c r="L50" t="s">
        <v>47</v>
      </c>
      <c r="M50">
        <v>9304800</v>
      </c>
      <c r="N50">
        <v>60</v>
      </c>
      <c r="O50">
        <v>19345</v>
      </c>
      <c r="P50">
        <v>2020</v>
      </c>
      <c r="Q50">
        <v>485.2</v>
      </c>
    </row>
    <row r="51" spans="7:17" x14ac:dyDescent="0.2">
      <c r="G51">
        <f t="shared" si="2"/>
        <v>0</v>
      </c>
      <c r="L51" t="s">
        <v>47</v>
      </c>
      <c r="M51">
        <v>9304800</v>
      </c>
      <c r="N51">
        <v>60</v>
      </c>
      <c r="O51">
        <v>19345</v>
      </c>
      <c r="P51">
        <v>2021</v>
      </c>
      <c r="Q51">
        <v>336</v>
      </c>
    </row>
    <row r="52" spans="7:17" x14ac:dyDescent="0.2">
      <c r="G52">
        <f t="shared" si="2"/>
        <v>0</v>
      </c>
    </row>
    <row r="53" spans="7:17" x14ac:dyDescent="0.2">
      <c r="G53">
        <f t="shared" si="2"/>
        <v>0</v>
      </c>
    </row>
    <row r="54" spans="7:17" x14ac:dyDescent="0.2">
      <c r="G54">
        <f t="shared" si="2"/>
        <v>0</v>
      </c>
    </row>
    <row r="55" spans="7:17" x14ac:dyDescent="0.2">
      <c r="G55">
        <f t="shared" si="2"/>
        <v>0</v>
      </c>
    </row>
    <row r="56" spans="7:17" x14ac:dyDescent="0.2">
      <c r="G56">
        <f t="shared" si="2"/>
        <v>0</v>
      </c>
    </row>
    <row r="57" spans="7:17" x14ac:dyDescent="0.2">
      <c r="G57">
        <f t="shared" si="2"/>
        <v>0</v>
      </c>
    </row>
    <row r="58" spans="7:17" x14ac:dyDescent="0.2">
      <c r="G58">
        <f t="shared" si="2"/>
        <v>0</v>
      </c>
    </row>
    <row r="59" spans="7:17" x14ac:dyDescent="0.2">
      <c r="G59">
        <f t="shared" si="2"/>
        <v>0</v>
      </c>
    </row>
    <row r="60" spans="7:17" x14ac:dyDescent="0.2">
      <c r="G60">
        <f t="shared" si="2"/>
        <v>0</v>
      </c>
    </row>
    <row r="61" spans="7:17" x14ac:dyDescent="0.2">
      <c r="G61">
        <f t="shared" si="2"/>
        <v>0</v>
      </c>
    </row>
    <row r="62" spans="7:17" x14ac:dyDescent="0.2">
      <c r="G62">
        <f t="shared" si="2"/>
        <v>0</v>
      </c>
    </row>
    <row r="63" spans="7:17" x14ac:dyDescent="0.2">
      <c r="G63">
        <f t="shared" si="2"/>
        <v>0</v>
      </c>
    </row>
    <row r="64" spans="7:17" x14ac:dyDescent="0.2">
      <c r="G64">
        <f t="shared" si="2"/>
        <v>0</v>
      </c>
    </row>
    <row r="65" spans="7:7" x14ac:dyDescent="0.2">
      <c r="G65">
        <f t="shared" ref="G65:G91" si="3">F65*723.968</f>
        <v>0</v>
      </c>
    </row>
    <row r="66" spans="7:7" x14ac:dyDescent="0.2">
      <c r="G66">
        <f t="shared" si="3"/>
        <v>0</v>
      </c>
    </row>
    <row r="67" spans="7:7" x14ac:dyDescent="0.2">
      <c r="G67">
        <f t="shared" si="3"/>
        <v>0</v>
      </c>
    </row>
    <row r="68" spans="7:7" x14ac:dyDescent="0.2">
      <c r="G68">
        <f t="shared" si="3"/>
        <v>0</v>
      </c>
    </row>
    <row r="69" spans="7:7" x14ac:dyDescent="0.2">
      <c r="G69">
        <f t="shared" si="3"/>
        <v>0</v>
      </c>
    </row>
    <row r="70" spans="7:7" x14ac:dyDescent="0.2">
      <c r="G70">
        <f t="shared" si="3"/>
        <v>0</v>
      </c>
    </row>
    <row r="71" spans="7:7" x14ac:dyDescent="0.2">
      <c r="G71">
        <f t="shared" si="3"/>
        <v>0</v>
      </c>
    </row>
    <row r="72" spans="7:7" x14ac:dyDescent="0.2">
      <c r="G72">
        <f t="shared" si="3"/>
        <v>0</v>
      </c>
    </row>
    <row r="73" spans="7:7" x14ac:dyDescent="0.2">
      <c r="G73">
        <f t="shared" si="3"/>
        <v>0</v>
      </c>
    </row>
    <row r="74" spans="7:7" x14ac:dyDescent="0.2">
      <c r="G74">
        <f t="shared" si="3"/>
        <v>0</v>
      </c>
    </row>
    <row r="75" spans="7:7" x14ac:dyDescent="0.2">
      <c r="G75">
        <f t="shared" si="3"/>
        <v>0</v>
      </c>
    </row>
    <row r="76" spans="7:7" x14ac:dyDescent="0.2">
      <c r="G76">
        <f t="shared" si="3"/>
        <v>0</v>
      </c>
    </row>
    <row r="77" spans="7:7" x14ac:dyDescent="0.2">
      <c r="G77">
        <f t="shared" si="3"/>
        <v>0</v>
      </c>
    </row>
    <row r="78" spans="7:7" x14ac:dyDescent="0.2">
      <c r="G78">
        <f t="shared" si="3"/>
        <v>0</v>
      </c>
    </row>
    <row r="79" spans="7:7" x14ac:dyDescent="0.2">
      <c r="G79">
        <f t="shared" si="3"/>
        <v>0</v>
      </c>
    </row>
    <row r="80" spans="7:7" x14ac:dyDescent="0.2">
      <c r="G80">
        <f t="shared" si="3"/>
        <v>0</v>
      </c>
    </row>
    <row r="81" spans="7:7" x14ac:dyDescent="0.2">
      <c r="G81">
        <f t="shared" si="3"/>
        <v>0</v>
      </c>
    </row>
    <row r="82" spans="7:7" x14ac:dyDescent="0.2">
      <c r="G82">
        <f t="shared" si="3"/>
        <v>0</v>
      </c>
    </row>
    <row r="83" spans="7:7" x14ac:dyDescent="0.2">
      <c r="G83">
        <f t="shared" si="3"/>
        <v>0</v>
      </c>
    </row>
    <row r="84" spans="7:7" x14ac:dyDescent="0.2">
      <c r="G84">
        <f t="shared" si="3"/>
        <v>0</v>
      </c>
    </row>
    <row r="85" spans="7:7" x14ac:dyDescent="0.2">
      <c r="G85">
        <f t="shared" si="3"/>
        <v>0</v>
      </c>
    </row>
    <row r="86" spans="7:7" x14ac:dyDescent="0.2">
      <c r="G86">
        <f t="shared" si="3"/>
        <v>0</v>
      </c>
    </row>
    <row r="87" spans="7:7" x14ac:dyDescent="0.2">
      <c r="G87">
        <f t="shared" si="3"/>
        <v>0</v>
      </c>
    </row>
    <row r="88" spans="7:7" x14ac:dyDescent="0.2">
      <c r="G88">
        <f t="shared" si="3"/>
        <v>0</v>
      </c>
    </row>
    <row r="89" spans="7:7" x14ac:dyDescent="0.2">
      <c r="G89">
        <f t="shared" si="3"/>
        <v>0</v>
      </c>
    </row>
    <row r="90" spans="7:7" x14ac:dyDescent="0.2">
      <c r="G90">
        <f t="shared" si="3"/>
        <v>0</v>
      </c>
    </row>
    <row r="91" spans="7:7" x14ac:dyDescent="0.2">
      <c r="G9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streamflow summary</vt:lpstr>
      <vt:lpstr>Powell computations</vt:lpstr>
      <vt:lpstr>WY reservoir</vt:lpstr>
      <vt:lpstr>computation sheet</vt:lpstr>
      <vt:lpstr>CY consumptive uses</vt:lpstr>
      <vt:lpstr>WY annual flows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Gordon Gianniny</cp:lastModifiedBy>
  <dcterms:created xsi:type="dcterms:W3CDTF">2019-06-28T17:42:26Z</dcterms:created>
  <dcterms:modified xsi:type="dcterms:W3CDTF">2023-03-28T20:06:39Z</dcterms:modified>
  <cp:category/>
</cp:coreProperties>
</file>